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xr:revisionPtr revIDLastSave="0" documentId="8_{3A1A1F19-2AAB-4147-826D-1F65133599B6}" xr6:coauthVersionLast="44" xr6:coauthVersionMax="44" xr10:uidLastSave="{00000000-0000-0000-0000-000000000000}"/>
  <bookViews>
    <workbookView xWindow="-120" yWindow="-120" windowWidth="29040" windowHeight="15840" tabRatio="930" xr2:uid="{00000000-000D-0000-FFFF-FFFF00000000}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Léky Recepty" sheetId="346" r:id="rId12"/>
    <sheet name="LRp Lékaři" sheetId="415" r:id="rId13"/>
    <sheet name="LRp Detail" sheetId="347" r:id="rId14"/>
    <sheet name="LRp PL" sheetId="388" r:id="rId15"/>
    <sheet name="LRp PL Detail" sheetId="390" r:id="rId16"/>
    <sheet name="Materiál Žádanky" sheetId="420" r:id="rId17"/>
    <sheet name="MŽ Detail" sheetId="403" r:id="rId18"/>
    <sheet name="Osobní náklady" sheetId="431" r:id="rId19"/>
    <sheet name="ON Data" sheetId="432" state="hidden" r:id="rId20"/>
    <sheet name="ZV Vykáz.-A" sheetId="344" r:id="rId21"/>
    <sheet name="ZV Vykáz.-A Lékaři" sheetId="429" r:id="rId22"/>
    <sheet name="ZV Vykáz.-A Detail" sheetId="345" r:id="rId23"/>
    <sheet name="ZV Vykáz.-A Det.Lék." sheetId="430" r:id="rId24"/>
    <sheet name="ZV Vykáz.-H" sheetId="410" r:id="rId25"/>
    <sheet name="ZV Vykáz.-H Detail" sheetId="377" r:id="rId26"/>
    <sheet name="CaseMix" sheetId="370" r:id="rId27"/>
    <sheet name="ALOS" sheetId="374" r:id="rId28"/>
    <sheet name="Total" sheetId="371" r:id="rId29"/>
    <sheet name="ZV Vyžád." sheetId="342" r:id="rId30"/>
    <sheet name="ZV Vyžád. Detail" sheetId="343" r:id="rId31"/>
    <sheet name="OD TISS" sheetId="372" r:id="rId32"/>
  </sheets>
  <definedNames>
    <definedName name="_xlnm._FilterDatabase" localSheetId="5" hidden="1">HV!$A$5:$A$5</definedName>
    <definedName name="_xlnm._FilterDatabase" localSheetId="11" hidden="1">'Léky Recepty'!$A$4:$M$4</definedName>
    <definedName name="_xlnm._FilterDatabase" localSheetId="6" hidden="1">'Léky Žádanky'!$A$4:$I$4</definedName>
    <definedName name="_xlnm._FilterDatabase" localSheetId="13" hidden="1">'LRp Detail'!$A$6:$U$6</definedName>
    <definedName name="_xlnm._FilterDatabase" localSheetId="12" hidden="1">'LRp Lékaři'!$A$4:$N$4</definedName>
    <definedName name="_xlnm._FilterDatabase" localSheetId="14" hidden="1">'LRp PL'!$A$3:$F$50</definedName>
    <definedName name="_xlnm._FilterDatabase" localSheetId="15" hidden="1">'LRp PL Detail'!$A$5:$M$1005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6" hidden="1">'Materiál Žádanky'!$A$4:$I$4</definedName>
    <definedName name="_xlnm._FilterDatabase" localSheetId="17" hidden="1">'MŽ Detail'!$A$4:$K$4</definedName>
    <definedName name="_xlnm._FilterDatabase" localSheetId="31" hidden="1">'OD TISS'!$A$5:$N$5</definedName>
    <definedName name="_xlnm._FilterDatabase" localSheetId="28" hidden="1">Total!$A$4:$Y$4</definedName>
    <definedName name="_xlnm._FilterDatabase" localSheetId="23" hidden="1">'ZV Vykáz.-A Det.Lék.'!$A$5:$S$5</definedName>
    <definedName name="_xlnm._FilterDatabase" localSheetId="22" hidden="1">'ZV Vykáz.-A Detail'!$A$5:$R$5</definedName>
    <definedName name="_xlnm._FilterDatabase" localSheetId="21" hidden="1">'ZV Vykáz.-A Lékaři'!$A$4:$A$5</definedName>
    <definedName name="_xlnm._FilterDatabase" localSheetId="25" hidden="1">'ZV Vykáz.-H Detail'!$A$5:$Q$5</definedName>
    <definedName name="_xlnm._FilterDatabase" localSheetId="29" hidden="1">'ZV Vyžád.'!$A$5:$M$5</definedName>
    <definedName name="_xlnm._FilterDatabase" localSheetId="30" hidden="1">'ZV Vyžád. Detail'!$A$5:$Q$5</definedName>
    <definedName name="doměsíce">'HI Graf'!$C$11</definedName>
    <definedName name="Obdobi" localSheetId="19">'ON Data'!$B$3:$B$16</definedName>
    <definedName name="Obdobi" localSheetId="18">'ON Data'!$B$3:$B$16</definedName>
    <definedName name="Obdobi">#REF!</definedName>
    <definedName name="_xlnm.Print_Area" localSheetId="27">ALOS!$A$1:$M$45</definedName>
    <definedName name="_xlnm.Print_Area" localSheetId="26">CaseMix!$A$1:$O$39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T71" i="371" l="1"/>
  <c r="S71" i="371"/>
  <c r="T70" i="371"/>
  <c r="S70" i="371"/>
  <c r="T69" i="371"/>
  <c r="S69" i="371"/>
  <c r="T68" i="371"/>
  <c r="S68" i="371"/>
  <c r="T67" i="371"/>
  <c r="S67" i="371"/>
  <c r="T66" i="371"/>
  <c r="S66" i="371"/>
  <c r="T65" i="371"/>
  <c r="S65" i="371"/>
  <c r="T64" i="371"/>
  <c r="S64" i="371"/>
  <c r="T63" i="371"/>
  <c r="S63" i="371"/>
  <c r="T62" i="371"/>
  <c r="S62" i="371"/>
  <c r="T61" i="371"/>
  <c r="S61" i="371"/>
  <c r="T60" i="371"/>
  <c r="S60" i="371"/>
  <c r="T59" i="371"/>
  <c r="S59" i="371"/>
  <c r="T58" i="371"/>
  <c r="S58" i="371"/>
  <c r="T57" i="371"/>
  <c r="S57" i="371"/>
  <c r="T56" i="371"/>
  <c r="S56" i="371"/>
  <c r="T55" i="371"/>
  <c r="S55" i="371"/>
  <c r="T54" i="371"/>
  <c r="S54" i="371"/>
  <c r="T53" i="371"/>
  <c r="S53" i="371"/>
  <c r="T52" i="371"/>
  <c r="S52" i="371"/>
  <c r="T51" i="371"/>
  <c r="S51" i="371"/>
  <c r="T50" i="371"/>
  <c r="S50" i="371"/>
  <c r="T49" i="371"/>
  <c r="S49" i="371"/>
  <c r="T48" i="371"/>
  <c r="S48" i="371"/>
  <c r="T47" i="371"/>
  <c r="S47" i="371"/>
  <c r="T46" i="371"/>
  <c r="S46" i="371"/>
  <c r="T45" i="371"/>
  <c r="S45" i="371"/>
  <c r="T44" i="371"/>
  <c r="S44" i="371"/>
  <c r="T43" i="371"/>
  <c r="S43" i="371"/>
  <c r="T42" i="371"/>
  <c r="S42" i="371"/>
  <c r="T41" i="371"/>
  <c r="S41" i="371"/>
  <c r="T40" i="371"/>
  <c r="S40" i="371"/>
  <c r="T39" i="371"/>
  <c r="S39" i="371"/>
  <c r="T38" i="371"/>
  <c r="S38" i="371"/>
  <c r="T37" i="371"/>
  <c r="S37" i="371"/>
  <c r="T36" i="371"/>
  <c r="S36" i="371"/>
  <c r="T35" i="371"/>
  <c r="S35" i="371"/>
  <c r="T34" i="371"/>
  <c r="S34" i="371"/>
  <c r="T33" i="371"/>
  <c r="S33" i="371"/>
  <c r="T32" i="371"/>
  <c r="S32" i="371"/>
  <c r="T31" i="371"/>
  <c r="S31" i="371"/>
  <c r="T30" i="371"/>
  <c r="S30" i="371"/>
  <c r="T29" i="371"/>
  <c r="S29" i="371"/>
  <c r="T28" i="371"/>
  <c r="S28" i="371"/>
  <c r="T27" i="371"/>
  <c r="S27" i="371"/>
  <c r="T26" i="371"/>
  <c r="S26" i="371"/>
  <c r="T25" i="371"/>
  <c r="S25" i="371"/>
  <c r="T24" i="371"/>
  <c r="S24" i="371"/>
  <c r="T23" i="371"/>
  <c r="S23" i="371"/>
  <c r="T22" i="371"/>
  <c r="S22" i="371"/>
  <c r="T21" i="371"/>
  <c r="S21" i="371"/>
  <c r="T20" i="371"/>
  <c r="S20" i="371"/>
  <c r="T19" i="371"/>
  <c r="S19" i="371"/>
  <c r="T18" i="371"/>
  <c r="S18" i="371"/>
  <c r="T17" i="371"/>
  <c r="S17" i="371"/>
  <c r="T16" i="371"/>
  <c r="S16" i="371"/>
  <c r="T15" i="371"/>
  <c r="S15" i="371"/>
  <c r="T14" i="371"/>
  <c r="S14" i="371"/>
  <c r="T13" i="371"/>
  <c r="S13" i="371"/>
  <c r="T12" i="371"/>
  <c r="S12" i="371"/>
  <c r="T11" i="371"/>
  <c r="S11" i="371"/>
  <c r="T10" i="371"/>
  <c r="S10" i="371"/>
  <c r="T9" i="371"/>
  <c r="S9" i="371"/>
  <c r="T8" i="371"/>
  <c r="S8" i="371"/>
  <c r="T7" i="371"/>
  <c r="S7" i="371"/>
  <c r="T6" i="371"/>
  <c r="S6" i="371"/>
  <c r="R71" i="371"/>
  <c r="Q71" i="371"/>
  <c r="R70" i="371"/>
  <c r="Q70" i="371"/>
  <c r="R69" i="371"/>
  <c r="Q69" i="371"/>
  <c r="R68" i="371"/>
  <c r="Q68" i="371"/>
  <c r="R67" i="371"/>
  <c r="Q67" i="371"/>
  <c r="R66" i="371"/>
  <c r="Q66" i="371"/>
  <c r="R65" i="371"/>
  <c r="Q65" i="371"/>
  <c r="R64" i="371"/>
  <c r="Q64" i="371"/>
  <c r="R63" i="371"/>
  <c r="Q63" i="371"/>
  <c r="R62" i="371"/>
  <c r="Q62" i="371"/>
  <c r="R61" i="371"/>
  <c r="Q61" i="371"/>
  <c r="R60" i="371"/>
  <c r="Q60" i="371"/>
  <c r="R59" i="371"/>
  <c r="Q59" i="371"/>
  <c r="R58" i="371"/>
  <c r="Q58" i="371"/>
  <c r="R57" i="371"/>
  <c r="Q57" i="371"/>
  <c r="R56" i="371"/>
  <c r="Q56" i="371"/>
  <c r="R55" i="371"/>
  <c r="Q55" i="371"/>
  <c r="R54" i="371"/>
  <c r="Q54" i="371"/>
  <c r="R53" i="371"/>
  <c r="Q53" i="371"/>
  <c r="R52" i="371"/>
  <c r="Q52" i="371"/>
  <c r="R51" i="371"/>
  <c r="Q51" i="371"/>
  <c r="R50" i="371"/>
  <c r="Q50" i="371"/>
  <c r="R49" i="371"/>
  <c r="Q49" i="371"/>
  <c r="R48" i="371"/>
  <c r="Q48" i="371"/>
  <c r="R47" i="371"/>
  <c r="Q47" i="371"/>
  <c r="R46" i="371"/>
  <c r="Q46" i="371"/>
  <c r="R45" i="371"/>
  <c r="Q45" i="371"/>
  <c r="R44" i="371"/>
  <c r="Q44" i="371"/>
  <c r="R43" i="371"/>
  <c r="Q43" i="371"/>
  <c r="R42" i="371"/>
  <c r="Q42" i="371"/>
  <c r="R41" i="371"/>
  <c r="Q41" i="371"/>
  <c r="R40" i="371"/>
  <c r="Q40" i="371"/>
  <c r="R39" i="371"/>
  <c r="Q39" i="371"/>
  <c r="R38" i="371"/>
  <c r="Q38" i="371"/>
  <c r="R37" i="371"/>
  <c r="Q37" i="371"/>
  <c r="R36" i="371"/>
  <c r="Q36" i="371"/>
  <c r="R35" i="371"/>
  <c r="Q35" i="371"/>
  <c r="R34" i="371"/>
  <c r="Q34" i="371"/>
  <c r="R33" i="371"/>
  <c r="Q33" i="371"/>
  <c r="R32" i="371"/>
  <c r="Q32" i="371"/>
  <c r="R31" i="371"/>
  <c r="Q31" i="371"/>
  <c r="R30" i="371"/>
  <c r="Q30" i="371"/>
  <c r="R29" i="371"/>
  <c r="Q29" i="371"/>
  <c r="R28" i="371"/>
  <c r="Q28" i="371"/>
  <c r="R27" i="371"/>
  <c r="Q27" i="371"/>
  <c r="R26" i="371"/>
  <c r="Q26" i="371"/>
  <c r="R25" i="371"/>
  <c r="Q25" i="371"/>
  <c r="R24" i="371"/>
  <c r="Q24" i="371"/>
  <c r="R23" i="371"/>
  <c r="Q23" i="371"/>
  <c r="R22" i="371"/>
  <c r="Q22" i="371"/>
  <c r="R21" i="371"/>
  <c r="Q21" i="371"/>
  <c r="R20" i="371"/>
  <c r="Q20" i="371"/>
  <c r="R19" i="371"/>
  <c r="Q19" i="371"/>
  <c r="R18" i="371"/>
  <c r="Q18" i="371"/>
  <c r="R17" i="371"/>
  <c r="Q17" i="371"/>
  <c r="R16" i="371"/>
  <c r="Q16" i="371"/>
  <c r="R15" i="371"/>
  <c r="Q15" i="371"/>
  <c r="R14" i="371"/>
  <c r="Q14" i="371"/>
  <c r="R13" i="371"/>
  <c r="Q13" i="371"/>
  <c r="R12" i="371"/>
  <c r="Q12" i="371"/>
  <c r="R11" i="371"/>
  <c r="Q11" i="371"/>
  <c r="R10" i="371"/>
  <c r="Q10" i="371"/>
  <c r="R9" i="371"/>
  <c r="Q9" i="371"/>
  <c r="R8" i="371"/>
  <c r="Q8" i="371"/>
  <c r="R7" i="371"/>
  <c r="Q7" i="371"/>
  <c r="R6" i="371"/>
  <c r="Q6" i="371"/>
  <c r="R5" i="371"/>
  <c r="Q5" i="371"/>
  <c r="M818" i="367"/>
  <c r="M817" i="367"/>
  <c r="M816" i="367"/>
  <c r="M815" i="367"/>
  <c r="M814" i="367"/>
  <c r="M813" i="367"/>
  <c r="M812" i="367"/>
  <c r="M811" i="367"/>
  <c r="M810" i="367"/>
  <c r="M809" i="367"/>
  <c r="M808" i="367"/>
  <c r="M807" i="367"/>
  <c r="M806" i="367"/>
  <c r="M805" i="367"/>
  <c r="M804" i="367"/>
  <c r="M803" i="367"/>
  <c r="M802" i="367"/>
  <c r="M801" i="367"/>
  <c r="M800" i="367"/>
  <c r="M799" i="367"/>
  <c r="M798" i="367"/>
  <c r="M797" i="367"/>
  <c r="M796" i="367"/>
  <c r="M795" i="367"/>
  <c r="M794" i="367"/>
  <c r="M793" i="367"/>
  <c r="M792" i="367"/>
  <c r="M791" i="367"/>
  <c r="M790" i="367"/>
  <c r="M789" i="367"/>
  <c r="M788" i="367"/>
  <c r="M787" i="367"/>
  <c r="M786" i="367"/>
  <c r="M785" i="367"/>
  <c r="M784" i="367"/>
  <c r="M783" i="367"/>
  <c r="M782" i="367"/>
  <c r="M781" i="367"/>
  <c r="M780" i="367"/>
  <c r="M779" i="367"/>
  <c r="M778" i="367"/>
  <c r="M777" i="367"/>
  <c r="M776" i="367"/>
  <c r="M775" i="367"/>
  <c r="M774" i="367"/>
  <c r="M773" i="367"/>
  <c r="M772" i="367"/>
  <c r="M771" i="367"/>
  <c r="M770" i="367"/>
  <c r="M769" i="367"/>
  <c r="M768" i="367"/>
  <c r="M767" i="367"/>
  <c r="M766" i="367"/>
  <c r="M765" i="367"/>
  <c r="M764" i="367"/>
  <c r="M763" i="367"/>
  <c r="M762" i="367"/>
  <c r="M761" i="367"/>
  <c r="M760" i="367"/>
  <c r="M759" i="367"/>
  <c r="M758" i="367"/>
  <c r="M757" i="367"/>
  <c r="M756" i="367"/>
  <c r="M755" i="367"/>
  <c r="M754" i="367"/>
  <c r="M753" i="367"/>
  <c r="M752" i="367"/>
  <c r="M751" i="367"/>
  <c r="M750" i="367"/>
  <c r="M749" i="367"/>
  <c r="M748" i="367"/>
  <c r="M747" i="367"/>
  <c r="M746" i="367"/>
  <c r="M745" i="367"/>
  <c r="M744" i="367"/>
  <c r="M743" i="367"/>
  <c r="M742" i="367"/>
  <c r="M741" i="367"/>
  <c r="M740" i="367"/>
  <c r="M739" i="367"/>
  <c r="M738" i="367"/>
  <c r="M737" i="367"/>
  <c r="M736" i="367"/>
  <c r="M735" i="367"/>
  <c r="M734" i="367"/>
  <c r="M733" i="367"/>
  <c r="M732" i="367"/>
  <c r="M731" i="367"/>
  <c r="M730" i="367"/>
  <c r="M729" i="367"/>
  <c r="M728" i="367"/>
  <c r="M727" i="367"/>
  <c r="M726" i="367"/>
  <c r="M725" i="367"/>
  <c r="M724" i="367"/>
  <c r="M723" i="367"/>
  <c r="M722" i="367"/>
  <c r="M721" i="367"/>
  <c r="M720" i="367"/>
  <c r="M719" i="367"/>
  <c r="M718" i="367"/>
  <c r="M717" i="367"/>
  <c r="M716" i="367"/>
  <c r="M715" i="367"/>
  <c r="M714" i="367"/>
  <c r="M713" i="367"/>
  <c r="M712" i="367"/>
  <c r="M711" i="367"/>
  <c r="M710" i="367"/>
  <c r="M709" i="367"/>
  <c r="M708" i="367"/>
  <c r="M707" i="367"/>
  <c r="M706" i="367"/>
  <c r="M705" i="367"/>
  <c r="M704" i="367"/>
  <c r="M703" i="367"/>
  <c r="M702" i="367"/>
  <c r="M701" i="367"/>
  <c r="M700" i="367"/>
  <c r="M699" i="367"/>
  <c r="M698" i="367"/>
  <c r="M697" i="367"/>
  <c r="M696" i="367"/>
  <c r="M695" i="367"/>
  <c r="M694" i="367"/>
  <c r="M693" i="367"/>
  <c r="M692" i="367"/>
  <c r="M691" i="367"/>
  <c r="M690" i="367"/>
  <c r="M689" i="367"/>
  <c r="M688" i="367"/>
  <c r="M687" i="367"/>
  <c r="M686" i="367"/>
  <c r="M685" i="367"/>
  <c r="M684" i="367"/>
  <c r="M683" i="367"/>
  <c r="M682" i="367"/>
  <c r="M681" i="367"/>
  <c r="M680" i="367"/>
  <c r="M679" i="367"/>
  <c r="M678" i="367"/>
  <c r="M677" i="367"/>
  <c r="M676" i="367"/>
  <c r="M675" i="367"/>
  <c r="M674" i="367"/>
  <c r="M673" i="367"/>
  <c r="M672" i="367"/>
  <c r="M671" i="367"/>
  <c r="M670" i="367"/>
  <c r="M669" i="367"/>
  <c r="M668" i="367"/>
  <c r="M667" i="367"/>
  <c r="M666" i="367"/>
  <c r="M665" i="367"/>
  <c r="M664" i="367"/>
  <c r="M663" i="367"/>
  <c r="M662" i="367"/>
  <c r="M661" i="367"/>
  <c r="M660" i="367"/>
  <c r="M659" i="367"/>
  <c r="M658" i="367"/>
  <c r="M657" i="367"/>
  <c r="M656" i="367"/>
  <c r="M655" i="367"/>
  <c r="M654" i="367"/>
  <c r="M653" i="367"/>
  <c r="M652" i="367"/>
  <c r="M651" i="367"/>
  <c r="M650" i="367"/>
  <c r="M649" i="367"/>
  <c r="M648" i="367"/>
  <c r="M647" i="367"/>
  <c r="M646" i="367"/>
  <c r="M645" i="367"/>
  <c r="M644" i="367"/>
  <c r="M643" i="367"/>
  <c r="M642" i="367"/>
  <c r="M641" i="367"/>
  <c r="M640" i="367"/>
  <c r="M639" i="367"/>
  <c r="M638" i="367"/>
  <c r="M637" i="367"/>
  <c r="M636" i="367"/>
  <c r="M635" i="367"/>
  <c r="M634" i="367"/>
  <c r="M633" i="367"/>
  <c r="M632" i="367"/>
  <c r="M631" i="367"/>
  <c r="M630" i="367"/>
  <c r="M629" i="367"/>
  <c r="M628" i="367"/>
  <c r="M627" i="367"/>
  <c r="M626" i="367"/>
  <c r="M625" i="367"/>
  <c r="M624" i="367"/>
  <c r="M623" i="367"/>
  <c r="M622" i="367"/>
  <c r="M621" i="367"/>
  <c r="M620" i="367"/>
  <c r="M619" i="367"/>
  <c r="M618" i="367"/>
  <c r="M617" i="367"/>
  <c r="M616" i="367"/>
  <c r="M615" i="367"/>
  <c r="M614" i="367"/>
  <c r="M613" i="367"/>
  <c r="M612" i="367"/>
  <c r="M611" i="367"/>
  <c r="M610" i="367"/>
  <c r="M609" i="367"/>
  <c r="M608" i="367"/>
  <c r="M607" i="367"/>
  <c r="M606" i="367"/>
  <c r="M605" i="367"/>
  <c r="M604" i="367"/>
  <c r="M603" i="367"/>
  <c r="M602" i="367"/>
  <c r="M601" i="367"/>
  <c r="M600" i="367"/>
  <c r="M599" i="367"/>
  <c r="M598" i="367"/>
  <c r="M597" i="367"/>
  <c r="M596" i="367"/>
  <c r="M595" i="367"/>
  <c r="M594" i="367"/>
  <c r="M593" i="367"/>
  <c r="M592" i="367"/>
  <c r="M591" i="367"/>
  <c r="M590" i="367"/>
  <c r="M589" i="367"/>
  <c r="M588" i="367"/>
  <c r="M587" i="367"/>
  <c r="M586" i="367"/>
  <c r="M585" i="367"/>
  <c r="M584" i="367"/>
  <c r="M583" i="367"/>
  <c r="M582" i="367"/>
  <c r="M581" i="367"/>
  <c r="M580" i="367"/>
  <c r="M579" i="367"/>
  <c r="M578" i="367"/>
  <c r="M577" i="367"/>
  <c r="M576" i="367"/>
  <c r="M575" i="367"/>
  <c r="M574" i="367"/>
  <c r="M573" i="367"/>
  <c r="M572" i="367"/>
  <c r="M571" i="367"/>
  <c r="M570" i="367"/>
  <c r="M569" i="367"/>
  <c r="M568" i="367"/>
  <c r="M567" i="367"/>
  <c r="M566" i="367"/>
  <c r="M565" i="367"/>
  <c r="M564" i="367"/>
  <c r="M563" i="367"/>
  <c r="M562" i="367"/>
  <c r="M561" i="367"/>
  <c r="M560" i="367"/>
  <c r="M559" i="367"/>
  <c r="M558" i="367"/>
  <c r="M557" i="367"/>
  <c r="M556" i="367"/>
  <c r="M555" i="367"/>
  <c r="M554" i="367"/>
  <c r="M553" i="367"/>
  <c r="M552" i="367"/>
  <c r="M551" i="367"/>
  <c r="M550" i="367"/>
  <c r="M549" i="367"/>
  <c r="M548" i="367"/>
  <c r="M547" i="367"/>
  <c r="M546" i="367"/>
  <c r="M545" i="367"/>
  <c r="M544" i="367"/>
  <c r="M543" i="367"/>
  <c r="M542" i="367"/>
  <c r="M541" i="367"/>
  <c r="M540" i="367"/>
  <c r="M539" i="367"/>
  <c r="M538" i="367"/>
  <c r="M537" i="367"/>
  <c r="M536" i="367"/>
  <c r="M535" i="367"/>
  <c r="M534" i="367"/>
  <c r="M533" i="367"/>
  <c r="M532" i="367"/>
  <c r="M531" i="367"/>
  <c r="M530" i="367"/>
  <c r="M529" i="367"/>
  <c r="M528" i="367"/>
  <c r="M527" i="367"/>
  <c r="M526" i="367"/>
  <c r="M525" i="367"/>
  <c r="M524" i="367"/>
  <c r="M523" i="367"/>
  <c r="M522" i="367"/>
  <c r="M521" i="367"/>
  <c r="M520" i="367"/>
  <c r="M519" i="367"/>
  <c r="M518" i="367"/>
  <c r="M517" i="367"/>
  <c r="M516" i="367"/>
  <c r="M515" i="367"/>
  <c r="M514" i="367"/>
  <c r="M513" i="367"/>
  <c r="M512" i="367"/>
  <c r="M511" i="367"/>
  <c r="M510" i="367"/>
  <c r="M509" i="367"/>
  <c r="M508" i="367"/>
  <c r="M507" i="367"/>
  <c r="M506" i="367"/>
  <c r="M505" i="367"/>
  <c r="M504" i="367"/>
  <c r="M503" i="367"/>
  <c r="M502" i="367"/>
  <c r="M501" i="367"/>
  <c r="M500" i="367"/>
  <c r="M499" i="367"/>
  <c r="M498" i="367"/>
  <c r="M497" i="367"/>
  <c r="M496" i="367"/>
  <c r="M495" i="367"/>
  <c r="M494" i="367"/>
  <c r="M493" i="367"/>
  <c r="M492" i="367"/>
  <c r="M491" i="367"/>
  <c r="M490" i="367"/>
  <c r="M489" i="367"/>
  <c r="M488" i="367"/>
  <c r="M487" i="367"/>
  <c r="M486" i="367"/>
  <c r="M485" i="367"/>
  <c r="M484" i="367"/>
  <c r="M483" i="367"/>
  <c r="M482" i="367"/>
  <c r="M481" i="367"/>
  <c r="M480" i="367"/>
  <c r="M479" i="367"/>
  <c r="M478" i="367"/>
  <c r="M477" i="367"/>
  <c r="M476" i="367"/>
  <c r="M475" i="367"/>
  <c r="M474" i="367"/>
  <c r="M473" i="367"/>
  <c r="M472" i="367"/>
  <c r="M471" i="367"/>
  <c r="M470" i="367"/>
  <c r="M469" i="367"/>
  <c r="M468" i="367"/>
  <c r="M467" i="367"/>
  <c r="M466" i="367"/>
  <c r="M465" i="367"/>
  <c r="M464" i="367"/>
  <c r="M463" i="367"/>
  <c r="M462" i="367"/>
  <c r="M461" i="367"/>
  <c r="M460" i="367"/>
  <c r="M459" i="367"/>
  <c r="M458" i="367"/>
  <c r="M457" i="367"/>
  <c r="M456" i="367"/>
  <c r="M455" i="367"/>
  <c r="M454" i="367"/>
  <c r="M453" i="367"/>
  <c r="M452" i="367"/>
  <c r="M451" i="367"/>
  <c r="M450" i="367"/>
  <c r="M449" i="367"/>
  <c r="M448" i="367"/>
  <c r="M447" i="367"/>
  <c r="M446" i="367"/>
  <c r="M445" i="367"/>
  <c r="M444" i="367"/>
  <c r="M443" i="367"/>
  <c r="M442" i="367"/>
  <c r="M441" i="367"/>
  <c r="M440" i="367"/>
  <c r="M439" i="367"/>
  <c r="M438" i="367"/>
  <c r="M437" i="367"/>
  <c r="M436" i="367"/>
  <c r="M435" i="367"/>
  <c r="M434" i="367"/>
  <c r="M433" i="367"/>
  <c r="M432" i="367"/>
  <c r="M431" i="367"/>
  <c r="M430" i="367"/>
  <c r="M429" i="367"/>
  <c r="M428" i="367"/>
  <c r="M427" i="367"/>
  <c r="M426" i="367"/>
  <c r="M425" i="367"/>
  <c r="M424" i="367"/>
  <c r="M423" i="367"/>
  <c r="M422" i="367"/>
  <c r="M421" i="367"/>
  <c r="M420" i="367"/>
  <c r="M419" i="367"/>
  <c r="M418" i="367"/>
  <c r="M417" i="367"/>
  <c r="M416" i="367"/>
  <c r="M415" i="367"/>
  <c r="M414" i="367"/>
  <c r="M413" i="367"/>
  <c r="M412" i="367"/>
  <c r="M411" i="367"/>
  <c r="M410" i="367"/>
  <c r="M409" i="367"/>
  <c r="M408" i="367"/>
  <c r="M407" i="367"/>
  <c r="M406" i="367"/>
  <c r="M405" i="367"/>
  <c r="M404" i="367"/>
  <c r="M403" i="367"/>
  <c r="M402" i="367"/>
  <c r="M401" i="367"/>
  <c r="M400" i="367"/>
  <c r="M399" i="367"/>
  <c r="M398" i="367"/>
  <c r="M397" i="367"/>
  <c r="M396" i="367"/>
  <c r="M395" i="367"/>
  <c r="M394" i="367"/>
  <c r="M393" i="367"/>
  <c r="M392" i="367"/>
  <c r="M391" i="367"/>
  <c r="M390" i="367"/>
  <c r="M389" i="367"/>
  <c r="M388" i="367"/>
  <c r="M387" i="367"/>
  <c r="M386" i="367"/>
  <c r="M385" i="367"/>
  <c r="M384" i="367"/>
  <c r="M383" i="367"/>
  <c r="M382" i="367"/>
  <c r="M381" i="367"/>
  <c r="M380" i="367"/>
  <c r="M379" i="367"/>
  <c r="M378" i="367"/>
  <c r="M377" i="367"/>
  <c r="M376" i="367"/>
  <c r="M375" i="367"/>
  <c r="M374" i="367"/>
  <c r="M373" i="367"/>
  <c r="M372" i="367"/>
  <c r="M371" i="367"/>
  <c r="M370" i="367"/>
  <c r="M369" i="367"/>
  <c r="M368" i="367"/>
  <c r="M367" i="367"/>
  <c r="M366" i="367"/>
  <c r="M365" i="367"/>
  <c r="M364" i="367"/>
  <c r="M363" i="367"/>
  <c r="M362" i="367"/>
  <c r="M361" i="367"/>
  <c r="M360" i="367"/>
  <c r="M359" i="367"/>
  <c r="M358" i="367"/>
  <c r="M357" i="367"/>
  <c r="M356" i="367"/>
  <c r="M355" i="367"/>
  <c r="M354" i="367"/>
  <c r="M353" i="367"/>
  <c r="M352" i="367"/>
  <c r="M351" i="367"/>
  <c r="M350" i="367"/>
  <c r="M349" i="367"/>
  <c r="M348" i="367"/>
  <c r="M347" i="367"/>
  <c r="M346" i="367"/>
  <c r="M345" i="367"/>
  <c r="M344" i="367"/>
  <c r="M343" i="367"/>
  <c r="M342" i="367"/>
  <c r="M341" i="367"/>
  <c r="M340" i="367"/>
  <c r="M339" i="367"/>
  <c r="M338" i="367"/>
  <c r="M337" i="367"/>
  <c r="M336" i="367"/>
  <c r="M335" i="367"/>
  <c r="M334" i="367"/>
  <c r="M333" i="367"/>
  <c r="M332" i="367"/>
  <c r="M331" i="367"/>
  <c r="M330" i="367"/>
  <c r="M329" i="367"/>
  <c r="M328" i="367"/>
  <c r="M327" i="367"/>
  <c r="M326" i="367"/>
  <c r="M325" i="367"/>
  <c r="M324" i="367"/>
  <c r="M323" i="367"/>
  <c r="M322" i="367"/>
  <c r="M321" i="367"/>
  <c r="M320" i="367"/>
  <c r="M319" i="367"/>
  <c r="M318" i="367"/>
  <c r="M317" i="367"/>
  <c r="M316" i="367"/>
  <c r="M315" i="367"/>
  <c r="M314" i="367"/>
  <c r="M313" i="367"/>
  <c r="M312" i="367"/>
  <c r="M311" i="367"/>
  <c r="M310" i="367"/>
  <c r="M309" i="367"/>
  <c r="M308" i="367"/>
  <c r="M307" i="367"/>
  <c r="M306" i="367"/>
  <c r="M305" i="367"/>
  <c r="M304" i="367"/>
  <c r="M303" i="367"/>
  <c r="M302" i="367"/>
  <c r="M301" i="367"/>
  <c r="M300" i="367"/>
  <c r="M299" i="367"/>
  <c r="M298" i="367"/>
  <c r="M297" i="367"/>
  <c r="M296" i="367"/>
  <c r="M295" i="367"/>
  <c r="M294" i="367"/>
  <c r="M293" i="367"/>
  <c r="M292" i="367"/>
  <c r="M291" i="367"/>
  <c r="M290" i="367"/>
  <c r="M289" i="367"/>
  <c r="M288" i="367"/>
  <c r="M287" i="367"/>
  <c r="M286" i="367"/>
  <c r="M285" i="367"/>
  <c r="M284" i="367"/>
  <c r="M283" i="367"/>
  <c r="M282" i="367"/>
  <c r="M281" i="367"/>
  <c r="M280" i="367"/>
  <c r="M279" i="367"/>
  <c r="M278" i="367"/>
  <c r="M277" i="367"/>
  <c r="M276" i="367"/>
  <c r="M275" i="367"/>
  <c r="M274" i="367"/>
  <c r="M273" i="367"/>
  <c r="M272" i="367"/>
  <c r="M271" i="367"/>
  <c r="M270" i="367"/>
  <c r="M269" i="367"/>
  <c r="M268" i="367"/>
  <c r="M267" i="367"/>
  <c r="M266" i="367"/>
  <c r="M265" i="367"/>
  <c r="M264" i="367"/>
  <c r="M263" i="367"/>
  <c r="M262" i="367"/>
  <c r="M261" i="367"/>
  <c r="M260" i="367"/>
  <c r="M259" i="367"/>
  <c r="M258" i="367"/>
  <c r="M257" i="367"/>
  <c r="M256" i="367"/>
  <c r="M255" i="367"/>
  <c r="M254" i="367"/>
  <c r="M253" i="367"/>
  <c r="M252" i="367"/>
  <c r="M251" i="367"/>
  <c r="M250" i="367"/>
  <c r="M249" i="367"/>
  <c r="M248" i="367"/>
  <c r="M247" i="367"/>
  <c r="M246" i="367"/>
  <c r="M245" i="367"/>
  <c r="M244" i="367"/>
  <c r="M243" i="367"/>
  <c r="M242" i="367"/>
  <c r="M241" i="367"/>
  <c r="M240" i="367"/>
  <c r="M239" i="367"/>
  <c r="M238" i="367"/>
  <c r="M237" i="367"/>
  <c r="M236" i="367"/>
  <c r="M235" i="367"/>
  <c r="M234" i="367"/>
  <c r="M233" i="367"/>
  <c r="M232" i="367"/>
  <c r="M231" i="367"/>
  <c r="M230" i="367"/>
  <c r="M229" i="367"/>
  <c r="M228" i="367"/>
  <c r="M227" i="367"/>
  <c r="M226" i="367"/>
  <c r="M225" i="367"/>
  <c r="M224" i="367"/>
  <c r="M223" i="367"/>
  <c r="M222" i="367"/>
  <c r="M221" i="367"/>
  <c r="M220" i="367"/>
  <c r="M219" i="367"/>
  <c r="M218" i="367"/>
  <c r="M217" i="367"/>
  <c r="M216" i="367"/>
  <c r="M215" i="367"/>
  <c r="M214" i="367"/>
  <c r="M213" i="367"/>
  <c r="M212" i="367"/>
  <c r="M211" i="367"/>
  <c r="M210" i="367"/>
  <c r="M209" i="367"/>
  <c r="M208" i="367"/>
  <c r="M207" i="367"/>
  <c r="M206" i="367"/>
  <c r="M205" i="367"/>
  <c r="M204" i="367"/>
  <c r="M203" i="367"/>
  <c r="M202" i="367"/>
  <c r="M201" i="367"/>
  <c r="M200" i="367"/>
  <c r="M199" i="367"/>
  <c r="M198" i="367"/>
  <c r="M197" i="367"/>
  <c r="M196" i="367"/>
  <c r="M195" i="367"/>
  <c r="M194" i="367"/>
  <c r="M193" i="367"/>
  <c r="M192" i="367"/>
  <c r="M191" i="367"/>
  <c r="M190" i="367"/>
  <c r="M189" i="367"/>
  <c r="M188" i="367"/>
  <c r="M187" i="367"/>
  <c r="M186" i="367"/>
  <c r="M185" i="367"/>
  <c r="M184" i="367"/>
  <c r="M183" i="367"/>
  <c r="M182" i="367"/>
  <c r="M181" i="367"/>
  <c r="M180" i="367"/>
  <c r="M179" i="367"/>
  <c r="M178" i="367"/>
  <c r="M177" i="367"/>
  <c r="M176" i="367"/>
  <c r="M175" i="367"/>
  <c r="M174" i="367"/>
  <c r="M173" i="367"/>
  <c r="M172" i="367"/>
  <c r="M171" i="367"/>
  <c r="M170" i="367"/>
  <c r="M169" i="367"/>
  <c r="M168" i="367"/>
  <c r="M167" i="367"/>
  <c r="M166" i="367"/>
  <c r="M165" i="367"/>
  <c r="M164" i="367"/>
  <c r="M163" i="367"/>
  <c r="M162" i="367"/>
  <c r="M161" i="367"/>
  <c r="M160" i="367"/>
  <c r="M159" i="367"/>
  <c r="M158" i="367"/>
  <c r="M157" i="367"/>
  <c r="M156" i="367"/>
  <c r="M155" i="367"/>
  <c r="M154" i="367"/>
  <c r="M153" i="367"/>
  <c r="M152" i="367"/>
  <c r="M151" i="367"/>
  <c r="M150" i="367"/>
  <c r="M149" i="367"/>
  <c r="M148" i="367"/>
  <c r="M147" i="367"/>
  <c r="M146" i="367"/>
  <c r="M145" i="367"/>
  <c r="M144" i="367"/>
  <c r="M143" i="367"/>
  <c r="M142" i="367"/>
  <c r="M141" i="367"/>
  <c r="M140" i="367"/>
  <c r="M139" i="367"/>
  <c r="M138" i="367"/>
  <c r="M137" i="367"/>
  <c r="M136" i="367"/>
  <c r="M135" i="367"/>
  <c r="M134" i="367"/>
  <c r="M133" i="367"/>
  <c r="M132" i="367"/>
  <c r="M131" i="367"/>
  <c r="M130" i="367"/>
  <c r="M129" i="367"/>
  <c r="M128" i="367"/>
  <c r="M127" i="367"/>
  <c r="M126" i="367"/>
  <c r="M125" i="367"/>
  <c r="M124" i="367"/>
  <c r="M123" i="367"/>
  <c r="M122" i="367"/>
  <c r="M121" i="367"/>
  <c r="M120" i="367"/>
  <c r="M119" i="367"/>
  <c r="M118" i="367"/>
  <c r="M117" i="367"/>
  <c r="M116" i="367"/>
  <c r="M115" i="367"/>
  <c r="M114" i="367"/>
  <c r="M113" i="367"/>
  <c r="M112" i="367"/>
  <c r="M111" i="367"/>
  <c r="M110" i="367"/>
  <c r="M109" i="367"/>
  <c r="M108" i="367"/>
  <c r="M107" i="367"/>
  <c r="M106" i="367"/>
  <c r="M105" i="367"/>
  <c r="M104" i="367"/>
  <c r="M103" i="367"/>
  <c r="M102" i="367"/>
  <c r="M101" i="367"/>
  <c r="M100" i="367"/>
  <c r="M99" i="367"/>
  <c r="M98" i="367"/>
  <c r="M97" i="367"/>
  <c r="M96" i="367"/>
  <c r="M95" i="367"/>
  <c r="M94" i="367"/>
  <c r="M93" i="367"/>
  <c r="M92" i="367"/>
  <c r="M91" i="367"/>
  <c r="M90" i="367"/>
  <c r="M89" i="367"/>
  <c r="M88" i="367"/>
  <c r="M87" i="367"/>
  <c r="M86" i="367"/>
  <c r="M85" i="367"/>
  <c r="M84" i="367"/>
  <c r="M83" i="367"/>
  <c r="M82" i="367"/>
  <c r="M81" i="367"/>
  <c r="M80" i="367"/>
  <c r="M79" i="367"/>
  <c r="M78" i="367"/>
  <c r="M77" i="367"/>
  <c r="M76" i="367"/>
  <c r="M75" i="367"/>
  <c r="M74" i="367"/>
  <c r="M73" i="367"/>
  <c r="M72" i="367"/>
  <c r="M71" i="367"/>
  <c r="M70" i="367"/>
  <c r="M69" i="367"/>
  <c r="M68" i="367"/>
  <c r="M67" i="367"/>
  <c r="M66" i="367"/>
  <c r="M65" i="367"/>
  <c r="M64" i="367"/>
  <c r="M63" i="367"/>
  <c r="M62" i="367"/>
  <c r="M61" i="367"/>
  <c r="M60" i="367"/>
  <c r="M59" i="367"/>
  <c r="M58" i="367"/>
  <c r="M57" i="367"/>
  <c r="M56" i="367"/>
  <c r="M55" i="367"/>
  <c r="M54" i="367"/>
  <c r="M53" i="367"/>
  <c r="M52" i="367"/>
  <c r="M51" i="367"/>
  <c r="M50" i="367"/>
  <c r="M49" i="367"/>
  <c r="M48" i="367"/>
  <c r="M47" i="367"/>
  <c r="M46" i="367"/>
  <c r="M45" i="367"/>
  <c r="M44" i="367"/>
  <c r="M43" i="367"/>
  <c r="M42" i="367"/>
  <c r="M41" i="367"/>
  <c r="M40" i="367"/>
  <c r="M39" i="367"/>
  <c r="M38" i="367"/>
  <c r="M37" i="367"/>
  <c r="M36" i="367"/>
  <c r="M35" i="367"/>
  <c r="M34" i="367"/>
  <c r="M33" i="367"/>
  <c r="M32" i="367"/>
  <c r="M31" i="367"/>
  <c r="M30" i="367"/>
  <c r="M29" i="367"/>
  <c r="M28" i="367"/>
  <c r="M27" i="367"/>
  <c r="M26" i="367"/>
  <c r="M25" i="367"/>
  <c r="M24" i="367"/>
  <c r="M23" i="367"/>
  <c r="M22" i="367"/>
  <c r="M21" i="367"/>
  <c r="M20" i="367"/>
  <c r="M19" i="367"/>
  <c r="M18" i="367"/>
  <c r="M17" i="367"/>
  <c r="M16" i="367"/>
  <c r="M15" i="367"/>
  <c r="M14" i="367"/>
  <c r="M13" i="367"/>
  <c r="M12" i="367"/>
  <c r="M11" i="367"/>
  <c r="M10" i="367"/>
  <c r="M9" i="367"/>
  <c r="M8" i="367"/>
  <c r="M7" i="367"/>
  <c r="M6" i="367"/>
  <c r="C9" i="431"/>
  <c r="C17" i="431"/>
  <c r="D10" i="431"/>
  <c r="D18" i="431"/>
  <c r="E11" i="431"/>
  <c r="E19" i="431"/>
  <c r="F12" i="431"/>
  <c r="G13" i="431"/>
  <c r="G21" i="431"/>
  <c r="H14" i="431"/>
  <c r="H22" i="431"/>
  <c r="I15" i="431"/>
  <c r="I23" i="431"/>
  <c r="K9" i="431"/>
  <c r="L10" i="431"/>
  <c r="M19" i="431"/>
  <c r="N20" i="431"/>
  <c r="P14" i="431"/>
  <c r="Q15" i="431"/>
  <c r="D19" i="431"/>
  <c r="H23" i="431"/>
  <c r="K10" i="431"/>
  <c r="L11" i="431"/>
  <c r="M20" i="431"/>
  <c r="O14" i="431"/>
  <c r="P23" i="431"/>
  <c r="K19" i="431"/>
  <c r="O15" i="431"/>
  <c r="N23" i="431"/>
  <c r="C18" i="431"/>
  <c r="G22" i="431"/>
  <c r="J9" i="431"/>
  <c r="L19" i="431"/>
  <c r="O22" i="431"/>
  <c r="I17" i="431"/>
  <c r="P16" i="431"/>
  <c r="Q18" i="431"/>
  <c r="C11" i="431"/>
  <c r="C19" i="431"/>
  <c r="D12" i="431"/>
  <c r="D20" i="431"/>
  <c r="E13" i="431"/>
  <c r="E21" i="431"/>
  <c r="F14" i="431"/>
  <c r="F22" i="431"/>
  <c r="G15" i="431"/>
  <c r="G23" i="431"/>
  <c r="H16" i="431"/>
  <c r="I9" i="431"/>
  <c r="L12" i="431"/>
  <c r="M13" i="431"/>
  <c r="M21" i="431"/>
  <c r="Q17" i="431"/>
  <c r="C12" i="431"/>
  <c r="C20" i="431"/>
  <c r="D13" i="431"/>
  <c r="D21" i="431"/>
  <c r="E14" i="431"/>
  <c r="E22" i="431"/>
  <c r="F15" i="431"/>
  <c r="F23" i="431"/>
  <c r="G16" i="431"/>
  <c r="H9" i="431"/>
  <c r="H17" i="431"/>
  <c r="I10" i="431"/>
  <c r="I18" i="431"/>
  <c r="J11" i="431"/>
  <c r="J19" i="431"/>
  <c r="K12" i="431"/>
  <c r="K20" i="431"/>
  <c r="L13" i="431"/>
  <c r="L21" i="431"/>
  <c r="M14" i="431"/>
  <c r="M22" i="431"/>
  <c r="N15" i="431"/>
  <c r="Q10" i="431"/>
  <c r="C13" i="431"/>
  <c r="C21" i="431"/>
  <c r="D14" i="431"/>
  <c r="D22" i="431"/>
  <c r="E15" i="431"/>
  <c r="E23" i="431"/>
  <c r="F16" i="431"/>
  <c r="G9" i="431"/>
  <c r="G17" i="431"/>
  <c r="H10" i="431"/>
  <c r="H18" i="431"/>
  <c r="I11" i="431"/>
  <c r="I19" i="431"/>
  <c r="J12" i="431"/>
  <c r="J20" i="431"/>
  <c r="K13" i="431"/>
  <c r="K21" i="431"/>
  <c r="L14" i="431"/>
  <c r="L22" i="431"/>
  <c r="M15" i="431"/>
  <c r="M23" i="431"/>
  <c r="N16" i="431"/>
  <c r="O9" i="431"/>
  <c r="O17" i="431"/>
  <c r="P10" i="431"/>
  <c r="P18" i="431"/>
  <c r="Q11" i="431"/>
  <c r="Q19" i="431"/>
  <c r="Q21" i="431"/>
  <c r="P15" i="431"/>
  <c r="L20" i="431"/>
  <c r="P9" i="431"/>
  <c r="C14" i="431"/>
  <c r="C22" i="431"/>
  <c r="D15" i="431"/>
  <c r="D23" i="431"/>
  <c r="E16" i="431"/>
  <c r="F9" i="431"/>
  <c r="F17" i="431"/>
  <c r="G10" i="431"/>
  <c r="G18" i="431"/>
  <c r="H11" i="431"/>
  <c r="H19" i="431"/>
  <c r="I12" i="431"/>
  <c r="I20" i="431"/>
  <c r="J13" i="431"/>
  <c r="J21" i="431"/>
  <c r="K14" i="431"/>
  <c r="K22" i="431"/>
  <c r="L15" i="431"/>
  <c r="L23" i="431"/>
  <c r="M16" i="431"/>
  <c r="N9" i="431"/>
  <c r="N17" i="431"/>
  <c r="O10" i="431"/>
  <c r="O18" i="431"/>
  <c r="P11" i="431"/>
  <c r="P19" i="431"/>
  <c r="Q12" i="431"/>
  <c r="Q20" i="431"/>
  <c r="C15" i="431"/>
  <c r="C23" i="431"/>
  <c r="D16" i="431"/>
  <c r="E9" i="431"/>
  <c r="E17" i="431"/>
  <c r="F10" i="431"/>
  <c r="F18" i="431"/>
  <c r="G11" i="431"/>
  <c r="G19" i="431"/>
  <c r="H12" i="431"/>
  <c r="H20" i="431"/>
  <c r="I13" i="431"/>
  <c r="I21" i="431"/>
  <c r="J14" i="431"/>
  <c r="J22" i="431"/>
  <c r="K15" i="431"/>
  <c r="K23" i="431"/>
  <c r="L16" i="431"/>
  <c r="M9" i="431"/>
  <c r="M17" i="431"/>
  <c r="N10" i="431"/>
  <c r="N18" i="431"/>
  <c r="O11" i="431"/>
  <c r="O19" i="431"/>
  <c r="P12" i="431"/>
  <c r="Q13" i="431"/>
  <c r="N13" i="431"/>
  <c r="K11" i="431"/>
  <c r="N22" i="431"/>
  <c r="O16" i="431"/>
  <c r="P20" i="431"/>
  <c r="J10" i="431"/>
  <c r="O23" i="431"/>
  <c r="C16" i="431"/>
  <c r="D9" i="431"/>
  <c r="D17" i="431"/>
  <c r="E10" i="431"/>
  <c r="E18" i="431"/>
  <c r="F11" i="431"/>
  <c r="F19" i="431"/>
  <c r="G12" i="431"/>
  <c r="G20" i="431"/>
  <c r="H13" i="431"/>
  <c r="H21" i="431"/>
  <c r="I14" i="431"/>
  <c r="I22" i="431"/>
  <c r="J15" i="431"/>
  <c r="J23" i="431"/>
  <c r="K16" i="431"/>
  <c r="L9" i="431"/>
  <c r="L17" i="431"/>
  <c r="M10" i="431"/>
  <c r="M18" i="431"/>
  <c r="N11" i="431"/>
  <c r="N19" i="431"/>
  <c r="O12" i="431"/>
  <c r="O20" i="431"/>
  <c r="P13" i="431"/>
  <c r="P21" i="431"/>
  <c r="Q14" i="431"/>
  <c r="Q22" i="431"/>
  <c r="F20" i="431"/>
  <c r="J16" i="431"/>
  <c r="K17" i="431"/>
  <c r="L18" i="431"/>
  <c r="M11" i="431"/>
  <c r="N12" i="431"/>
  <c r="O13" i="431"/>
  <c r="O21" i="431"/>
  <c r="P22" i="431"/>
  <c r="Q23" i="431"/>
  <c r="C10" i="431"/>
  <c r="D11" i="431"/>
  <c r="E12" i="431"/>
  <c r="E20" i="431"/>
  <c r="F13" i="431"/>
  <c r="F21" i="431"/>
  <c r="G14" i="431"/>
  <c r="H15" i="431"/>
  <c r="I16" i="431"/>
  <c r="J17" i="431"/>
  <c r="K18" i="431"/>
  <c r="M12" i="431"/>
  <c r="N21" i="431"/>
  <c r="Q16" i="431"/>
  <c r="J18" i="431"/>
  <c r="N14" i="431"/>
  <c r="Q9" i="431"/>
  <c r="P17" i="431"/>
  <c r="R9" i="431" l="1"/>
  <c r="S9" i="431"/>
  <c r="R16" i="431"/>
  <c r="S16" i="431"/>
  <c r="S23" i="431"/>
  <c r="R23" i="431"/>
  <c r="S22" i="431"/>
  <c r="R22" i="431"/>
  <c r="S14" i="431"/>
  <c r="R14" i="431"/>
  <c r="S13" i="431"/>
  <c r="R13" i="431"/>
  <c r="S20" i="431"/>
  <c r="R20" i="431"/>
  <c r="S12" i="431"/>
  <c r="R12" i="431"/>
  <c r="S21" i="431"/>
  <c r="R21" i="431"/>
  <c r="R19" i="431"/>
  <c r="S19" i="431"/>
  <c r="S11" i="431"/>
  <c r="R11" i="431"/>
  <c r="R10" i="431"/>
  <c r="S10" i="431"/>
  <c r="S17" i="431"/>
  <c r="R17" i="431"/>
  <c r="S18" i="431"/>
  <c r="R18" i="431"/>
  <c r="S15" i="431"/>
  <c r="R15" i="431"/>
  <c r="O8" i="431"/>
  <c r="G8" i="431"/>
  <c r="N8" i="431"/>
  <c r="I8" i="431"/>
  <c r="P8" i="431"/>
  <c r="K8" i="431"/>
  <c r="F8" i="431"/>
  <c r="D8" i="431"/>
  <c r="Q8" i="431"/>
  <c r="J8" i="431"/>
  <c r="M8" i="431"/>
  <c r="C8" i="431"/>
  <c r="E8" i="431"/>
  <c r="L8" i="431"/>
  <c r="H8" i="431"/>
  <c r="C6" i="431" l="1"/>
  <c r="L6" i="431"/>
  <c r="R8" i="431"/>
  <c r="S8" i="431"/>
  <c r="Q6" i="431"/>
  <c r="N6" i="431"/>
  <c r="K6" i="431"/>
  <c r="M6" i="431"/>
  <c r="H6" i="431"/>
  <c r="I6" i="431"/>
  <c r="P6" i="431"/>
  <c r="G6" i="431"/>
  <c r="J6" i="431"/>
  <c r="O6" i="431"/>
  <c r="R6" i="431" l="1"/>
  <c r="S6" i="431"/>
  <c r="T5" i="371" l="1"/>
  <c r="S5" i="371"/>
  <c r="D22" i="414" l="1"/>
  <c r="E22" i="414" s="1"/>
  <c r="D21" i="414"/>
  <c r="Q51" i="370" l="1"/>
  <c r="P51" i="370"/>
  <c r="O51" i="370"/>
  <c r="N51" i="370"/>
  <c r="Q50" i="370"/>
  <c r="P50" i="370"/>
  <c r="O50" i="370"/>
  <c r="N50" i="370"/>
  <c r="Q49" i="370"/>
  <c r="P49" i="370"/>
  <c r="O49" i="370"/>
  <c r="N49" i="370"/>
  <c r="Q48" i="370"/>
  <c r="P48" i="370"/>
  <c r="O48" i="370"/>
  <c r="N48" i="370"/>
  <c r="Q47" i="370"/>
  <c r="P47" i="370"/>
  <c r="O47" i="370"/>
  <c r="N47" i="370"/>
  <c r="Q46" i="370"/>
  <c r="P46" i="370"/>
  <c r="O46" i="370"/>
  <c r="N46" i="370"/>
  <c r="Q45" i="370"/>
  <c r="P45" i="370"/>
  <c r="O45" i="370"/>
  <c r="N45" i="370"/>
  <c r="Q44" i="370"/>
  <c r="P44" i="370"/>
  <c r="O44" i="370"/>
  <c r="N44" i="370"/>
  <c r="Q38" i="370"/>
  <c r="P38" i="370"/>
  <c r="O38" i="370"/>
  <c r="N38" i="370"/>
  <c r="Q37" i="370"/>
  <c r="P37" i="370"/>
  <c r="O37" i="370"/>
  <c r="N37" i="370"/>
  <c r="Q36" i="370"/>
  <c r="P36" i="370"/>
  <c r="O36" i="370"/>
  <c r="N36" i="370"/>
  <c r="Q35" i="370"/>
  <c r="P35" i="370"/>
  <c r="O35" i="370"/>
  <c r="N35" i="370"/>
  <c r="Q34" i="370"/>
  <c r="P34" i="370"/>
  <c r="O34" i="370"/>
  <c r="N34" i="370"/>
  <c r="Q33" i="370"/>
  <c r="P33" i="370"/>
  <c r="O33" i="370"/>
  <c r="N33" i="370"/>
  <c r="Q32" i="370"/>
  <c r="P32" i="370"/>
  <c r="O32" i="370"/>
  <c r="N32" i="370"/>
  <c r="Q31" i="370"/>
  <c r="P31" i="370"/>
  <c r="O31" i="370"/>
  <c r="N31" i="370"/>
  <c r="Q25" i="370"/>
  <c r="P25" i="370"/>
  <c r="O25" i="370"/>
  <c r="N25" i="370"/>
  <c r="Q24" i="370"/>
  <c r="P24" i="370"/>
  <c r="O24" i="370"/>
  <c r="N24" i="370"/>
  <c r="Q23" i="370"/>
  <c r="P23" i="370"/>
  <c r="O23" i="370"/>
  <c r="N23" i="370"/>
  <c r="Q22" i="370"/>
  <c r="P22" i="370"/>
  <c r="O22" i="370"/>
  <c r="N22" i="370"/>
  <c r="Q21" i="370"/>
  <c r="P21" i="370"/>
  <c r="O21" i="370"/>
  <c r="N21" i="370"/>
  <c r="Q20" i="370"/>
  <c r="P20" i="370"/>
  <c r="O20" i="370"/>
  <c r="N20" i="370"/>
  <c r="Q19" i="370"/>
  <c r="P19" i="370"/>
  <c r="O19" i="370"/>
  <c r="N19" i="370"/>
  <c r="Q18" i="370"/>
  <c r="P18" i="370"/>
  <c r="O18" i="370"/>
  <c r="N18" i="370"/>
  <c r="Q12" i="370"/>
  <c r="P12" i="370"/>
  <c r="Q11" i="370"/>
  <c r="P11" i="370"/>
  <c r="Q10" i="370"/>
  <c r="P10" i="370"/>
  <c r="Q9" i="370"/>
  <c r="P9" i="370"/>
  <c r="Q8" i="370"/>
  <c r="P8" i="370"/>
  <c r="Q7" i="370"/>
  <c r="P7" i="370"/>
  <c r="Q6" i="370"/>
  <c r="P6" i="370"/>
  <c r="Q5" i="370"/>
  <c r="P5" i="370"/>
  <c r="O12" i="370"/>
  <c r="N12" i="370"/>
  <c r="O11" i="370"/>
  <c r="N11" i="370"/>
  <c r="O10" i="370"/>
  <c r="N10" i="370"/>
  <c r="O9" i="370"/>
  <c r="N9" i="370"/>
  <c r="O8" i="370"/>
  <c r="N8" i="370"/>
  <c r="O7" i="370"/>
  <c r="N7" i="370"/>
  <c r="O6" i="370"/>
  <c r="N6" i="370"/>
  <c r="O5" i="370"/>
  <c r="N5" i="370"/>
  <c r="A29" i="383" l="1"/>
  <c r="Q3" i="430"/>
  <c r="P3" i="430"/>
  <c r="S3" i="430" s="1"/>
  <c r="M3" i="430"/>
  <c r="R3" i="430" s="1"/>
  <c r="L3" i="430"/>
  <c r="I3" i="430"/>
  <c r="H3" i="430"/>
  <c r="H3" i="344" l="1"/>
  <c r="E11" i="339" s="1"/>
  <c r="E3" i="344"/>
  <c r="B3" i="344"/>
  <c r="I3" i="344" l="1"/>
  <c r="J3" i="344"/>
  <c r="D20" i="414" s="1"/>
  <c r="C11" i="339"/>
  <c r="E21" i="414"/>
  <c r="A22" i="414"/>
  <c r="A21" i="414"/>
  <c r="A20" i="414"/>
  <c r="A25" i="414" l="1"/>
  <c r="A26" i="414"/>
  <c r="A28" i="414"/>
  <c r="A27" i="414"/>
  <c r="K51" i="370" l="1"/>
  <c r="J51" i="370"/>
  <c r="K50" i="370"/>
  <c r="J50" i="370"/>
  <c r="K49" i="370"/>
  <c r="J49" i="370"/>
  <c r="K48" i="370"/>
  <c r="J48" i="370"/>
  <c r="K47" i="370"/>
  <c r="J47" i="370"/>
  <c r="K46" i="370"/>
  <c r="J46" i="370"/>
  <c r="K45" i="370"/>
  <c r="J45" i="370"/>
  <c r="K44" i="370"/>
  <c r="J44" i="370"/>
  <c r="F51" i="370"/>
  <c r="E51" i="370"/>
  <c r="F50" i="370"/>
  <c r="E50" i="370"/>
  <c r="F49" i="370"/>
  <c r="E49" i="370"/>
  <c r="F48" i="370"/>
  <c r="E48" i="370"/>
  <c r="F47" i="370"/>
  <c r="E47" i="370"/>
  <c r="F46" i="370"/>
  <c r="E46" i="370"/>
  <c r="F45" i="370"/>
  <c r="E45" i="370"/>
  <c r="F44" i="370"/>
  <c r="E44" i="370"/>
  <c r="K38" i="370"/>
  <c r="J38" i="370"/>
  <c r="K37" i="370"/>
  <c r="J37" i="370"/>
  <c r="K36" i="370"/>
  <c r="J36" i="370"/>
  <c r="K35" i="370"/>
  <c r="J35" i="370"/>
  <c r="K34" i="370"/>
  <c r="J34" i="370"/>
  <c r="K33" i="370"/>
  <c r="J33" i="370"/>
  <c r="K32" i="370"/>
  <c r="J32" i="370"/>
  <c r="K31" i="370"/>
  <c r="J31" i="370"/>
  <c r="F38" i="370"/>
  <c r="E38" i="370"/>
  <c r="F37" i="370"/>
  <c r="E37" i="370"/>
  <c r="F36" i="370"/>
  <c r="E36" i="370"/>
  <c r="F35" i="370"/>
  <c r="E35" i="370"/>
  <c r="F34" i="370"/>
  <c r="E34" i="370"/>
  <c r="F33" i="370"/>
  <c r="E33" i="370"/>
  <c r="F32" i="370"/>
  <c r="E32" i="370"/>
  <c r="F31" i="370"/>
  <c r="E31" i="370"/>
  <c r="K25" i="370"/>
  <c r="J25" i="370"/>
  <c r="K24" i="370"/>
  <c r="J24" i="370"/>
  <c r="K23" i="370"/>
  <c r="J23" i="370"/>
  <c r="K22" i="370"/>
  <c r="J22" i="370"/>
  <c r="K21" i="370"/>
  <c r="J21" i="370"/>
  <c r="K20" i="370"/>
  <c r="J20" i="370"/>
  <c r="K19" i="370"/>
  <c r="J19" i="370"/>
  <c r="K18" i="370"/>
  <c r="J18" i="370"/>
  <c r="F25" i="370"/>
  <c r="E25" i="370"/>
  <c r="F24" i="370"/>
  <c r="E24" i="370"/>
  <c r="F23" i="370"/>
  <c r="E23" i="370"/>
  <c r="F22" i="370"/>
  <c r="E22" i="370"/>
  <c r="F21" i="370"/>
  <c r="E21" i="370"/>
  <c r="F20" i="370"/>
  <c r="E20" i="370"/>
  <c r="F19" i="370"/>
  <c r="E19" i="370"/>
  <c r="F18" i="370"/>
  <c r="E18" i="370"/>
  <c r="K12" i="370"/>
  <c r="J12" i="370"/>
  <c r="K11" i="370"/>
  <c r="J11" i="370"/>
  <c r="K10" i="370"/>
  <c r="J10" i="370"/>
  <c r="K9" i="370"/>
  <c r="J9" i="370"/>
  <c r="K8" i="370"/>
  <c r="J8" i="370"/>
  <c r="K7" i="370"/>
  <c r="J7" i="370"/>
  <c r="K6" i="370"/>
  <c r="J6" i="370"/>
  <c r="K5" i="370"/>
  <c r="J5" i="370"/>
  <c r="I52" i="370"/>
  <c r="H52" i="370"/>
  <c r="G52" i="370"/>
  <c r="D52" i="370"/>
  <c r="C52" i="370"/>
  <c r="B52" i="370"/>
  <c r="I39" i="370"/>
  <c r="H39" i="370"/>
  <c r="G39" i="370"/>
  <c r="D39" i="370"/>
  <c r="C39" i="370"/>
  <c r="B39" i="370"/>
  <c r="I26" i="370"/>
  <c r="H26" i="370"/>
  <c r="G26" i="370"/>
  <c r="D26" i="370"/>
  <c r="C26" i="370"/>
  <c r="B26" i="370"/>
  <c r="I13" i="370"/>
  <c r="H13" i="370"/>
  <c r="G13" i="370"/>
  <c r="F12" i="370"/>
  <c r="E12" i="370"/>
  <c r="F11" i="370"/>
  <c r="E11" i="370"/>
  <c r="F10" i="370"/>
  <c r="E10" i="370"/>
  <c r="F9" i="370"/>
  <c r="E9" i="370"/>
  <c r="F8" i="370"/>
  <c r="E8" i="370"/>
  <c r="F7" i="370"/>
  <c r="E7" i="370"/>
  <c r="F6" i="370"/>
  <c r="E6" i="370"/>
  <c r="F5" i="370"/>
  <c r="E5" i="370"/>
  <c r="K13" i="370" l="1"/>
  <c r="P26" i="370"/>
  <c r="N26" i="370"/>
  <c r="P52" i="370"/>
  <c r="N52" i="370"/>
  <c r="Q39" i="370"/>
  <c r="O39" i="370"/>
  <c r="P39" i="370"/>
  <c r="N39" i="370"/>
  <c r="Q13" i="370"/>
  <c r="O13" i="370"/>
  <c r="Q26" i="370"/>
  <c r="O26" i="370"/>
  <c r="Q52" i="370"/>
  <c r="O52" i="370"/>
  <c r="F52" i="370"/>
  <c r="D28" i="414" s="1"/>
  <c r="E28" i="414" s="1"/>
  <c r="K52" i="370"/>
  <c r="K26" i="370"/>
  <c r="F26" i="370"/>
  <c r="J26" i="370"/>
  <c r="J13" i="370"/>
  <c r="E26" i="370"/>
  <c r="K39" i="370"/>
  <c r="E39" i="370"/>
  <c r="E52" i="370"/>
  <c r="J52" i="370"/>
  <c r="F39" i="370"/>
  <c r="J39" i="370"/>
  <c r="A12" i="414" l="1"/>
  <c r="A11" i="414"/>
  <c r="A9" i="414"/>
  <c r="A8" i="414"/>
  <c r="A7" i="414"/>
  <c r="A27" i="383" l="1"/>
  <c r="G3" i="429"/>
  <c r="F3" i="429"/>
  <c r="E3" i="429"/>
  <c r="D3" i="429"/>
  <c r="C3" i="429"/>
  <c r="B3" i="429"/>
  <c r="A37" i="383" l="1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C11" i="340" l="1"/>
  <c r="A21" i="383" l="1"/>
  <c r="A11" i="383"/>
  <c r="A7" i="339" l="1"/>
  <c r="D13" i="370" l="1"/>
  <c r="C13" i="370"/>
  <c r="B13" i="370"/>
  <c r="P13" i="370" l="1"/>
  <c r="N13" i="370"/>
  <c r="F13" i="370"/>
  <c r="D25" i="414" s="1"/>
  <c r="E13" i="370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5" i="414" l="1"/>
  <c r="D7" i="414"/>
  <c r="A31" i="414" l="1"/>
  <c r="A18" i="414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F15" i="339" l="1"/>
  <c r="B13" i="340" l="1"/>
  <c r="B12" i="340"/>
  <c r="A29" i="414"/>
  <c r="A24" i="414" l="1"/>
  <c r="A19" i="414"/>
  <c r="L3" i="342" l="1"/>
  <c r="K3" i="342"/>
  <c r="J3" i="342"/>
  <c r="M3" i="342" s="1"/>
  <c r="I3" i="342"/>
  <c r="H3" i="342"/>
  <c r="F3" i="342"/>
  <c r="E3" i="342"/>
  <c r="D3" i="342"/>
  <c r="G3" i="342" s="1"/>
  <c r="C3" i="342"/>
  <c r="B3" i="342"/>
  <c r="D31" i="414" s="1"/>
  <c r="R3" i="410"/>
  <c r="Q3" i="410"/>
  <c r="P3" i="410"/>
  <c r="S3" i="410" s="1"/>
  <c r="O3" i="410"/>
  <c r="N3" i="410"/>
  <c r="L3" i="410"/>
  <c r="K3" i="410"/>
  <c r="J3" i="410"/>
  <c r="M3" i="410" s="1"/>
  <c r="I3" i="410"/>
  <c r="H3" i="410"/>
  <c r="F3" i="410"/>
  <c r="E3" i="410"/>
  <c r="D3" i="410"/>
  <c r="G3" i="410" s="1"/>
  <c r="C3" i="410"/>
  <c r="B3" i="410"/>
  <c r="D23" i="414" s="1"/>
  <c r="Z3" i="344" l="1"/>
  <c r="Y3" i="344"/>
  <c r="W3" i="344"/>
  <c r="AB3" i="344" s="1"/>
  <c r="V3" i="344"/>
  <c r="T3" i="344"/>
  <c r="AA3" i="344" s="1"/>
  <c r="Q3" i="344"/>
  <c r="P3" i="344"/>
  <c r="N3" i="344"/>
  <c r="S3" i="344" s="1"/>
  <c r="M3" i="344"/>
  <c r="K3" i="344"/>
  <c r="G3" i="344"/>
  <c r="C3" i="344"/>
  <c r="B11" i="339"/>
  <c r="J11" i="339" s="1"/>
  <c r="R3" i="344" l="1"/>
  <c r="I11" i="339"/>
  <c r="F11" i="339"/>
  <c r="H11" i="339" l="1"/>
  <c r="G11" i="339"/>
  <c r="A30" i="414"/>
  <c r="A23" i="414"/>
  <c r="A15" i="414"/>
  <c r="A16" i="414"/>
  <c r="A4" i="414"/>
  <c r="A6" i="339" l="1"/>
  <c r="A5" i="339"/>
  <c r="D16" i="414"/>
  <c r="D19" i="414"/>
  <c r="C16" i="414"/>
  <c r="D4" i="414"/>
  <c r="C19" i="414"/>
  <c r="D12" i="414" l="1"/>
  <c r="D8" i="414"/>
  <c r="C15" i="414" l="1"/>
  <c r="C7" i="414"/>
  <c r="D11" i="414" l="1"/>
  <c r="E11" i="414" s="1"/>
  <c r="E23" i="414"/>
  <c r="E20" i="414"/>
  <c r="E15" i="414"/>
  <c r="E7" i="414"/>
  <c r="E12" i="414"/>
  <c r="E8" i="414"/>
  <c r="A17" i="383" l="1"/>
  <c r="A20" i="383" l="1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D27" i="414" l="1"/>
  <c r="E27" i="414" s="1"/>
  <c r="E12" i="339"/>
  <c r="D26" i="414"/>
  <c r="E26" i="414" s="1"/>
  <c r="C12" i="339"/>
  <c r="F12" i="339" s="1"/>
  <c r="E25" i="414"/>
  <c r="B12" i="339"/>
  <c r="D29" i="414"/>
  <c r="E29" i="414" s="1"/>
  <c r="M3" i="372"/>
  <c r="L3" i="372"/>
  <c r="K3" i="372"/>
  <c r="I3" i="372"/>
  <c r="J3" i="372" s="1"/>
  <c r="H3" i="372"/>
  <c r="G3" i="372"/>
  <c r="E3" i="372"/>
  <c r="D3" i="372"/>
  <c r="C3" i="372"/>
  <c r="O3" i="343"/>
  <c r="N3" i="343"/>
  <c r="K3" i="343"/>
  <c r="P3" i="343" s="1"/>
  <c r="J3" i="343"/>
  <c r="G3" i="343"/>
  <c r="F3" i="343"/>
  <c r="O3" i="377"/>
  <c r="N3" i="377"/>
  <c r="Q3" i="377" s="1"/>
  <c r="K3" i="377"/>
  <c r="P3" i="377" s="1"/>
  <c r="J3" i="377"/>
  <c r="G3" i="377"/>
  <c r="F3" i="377"/>
  <c r="P3" i="345"/>
  <c r="O3" i="345"/>
  <c r="R3" i="345" s="1"/>
  <c r="L3" i="345"/>
  <c r="Q3" i="345" s="1"/>
  <c r="K3" i="345"/>
  <c r="H3" i="345"/>
  <c r="G3" i="345"/>
  <c r="M3" i="390"/>
  <c r="H3" i="390" s="1"/>
  <c r="L3" i="390"/>
  <c r="J3" i="390"/>
  <c r="I3" i="390"/>
  <c r="G3" i="390"/>
  <c r="F3" i="390"/>
  <c r="T3" i="347"/>
  <c r="R3" i="347"/>
  <c r="P3" i="347"/>
  <c r="O3" i="347"/>
  <c r="N3" i="347"/>
  <c r="M3" i="347"/>
  <c r="M3" i="387"/>
  <c r="K3" i="387" s="1"/>
  <c r="L3" i="387"/>
  <c r="J3" i="387"/>
  <c r="I3" i="387"/>
  <c r="G3" i="387"/>
  <c r="F3" i="387"/>
  <c r="N3" i="220"/>
  <c r="L3" i="220" s="1"/>
  <c r="C24" i="414"/>
  <c r="D24" i="414"/>
  <c r="J12" i="339" l="1"/>
  <c r="Q3" i="347"/>
  <c r="S3" i="347"/>
  <c r="U3" i="347"/>
  <c r="H3" i="387"/>
  <c r="N3" i="372"/>
  <c r="F3" i="372"/>
  <c r="I12" i="339"/>
  <c r="I13" i="339" s="1"/>
  <c r="C31" i="414"/>
  <c r="E31" i="414" s="1"/>
  <c r="F13" i="339"/>
  <c r="E13" i="339"/>
  <c r="E15" i="339" s="1"/>
  <c r="H12" i="339"/>
  <c r="G12" i="339"/>
  <c r="K3" i="390"/>
  <c r="A4" i="383"/>
  <c r="A36" i="383"/>
  <c r="A35" i="383"/>
  <c r="A34" i="383"/>
  <c r="A33" i="383"/>
  <c r="A32" i="383"/>
  <c r="A31" i="383"/>
  <c r="A30" i="383"/>
  <c r="A28" i="383"/>
  <c r="A26" i="383"/>
  <c r="A23" i="383"/>
  <c r="A22" i="383"/>
  <c r="A19" i="383"/>
  <c r="A18" i="383"/>
  <c r="A16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E45" i="374"/>
  <c r="D45" i="374"/>
  <c r="E44" i="374"/>
  <c r="D44" i="374"/>
  <c r="E43" i="374"/>
  <c r="D43" i="374"/>
  <c r="E42" i="374"/>
  <c r="D42" i="374"/>
  <c r="E41" i="374"/>
  <c r="D41" i="374"/>
  <c r="E40" i="374"/>
  <c r="D40" i="374"/>
  <c r="E39" i="374"/>
  <c r="D39" i="374"/>
  <c r="E38" i="374"/>
  <c r="D38" i="374"/>
  <c r="E37" i="374"/>
  <c r="D37" i="374"/>
  <c r="E36" i="374"/>
  <c r="D36" i="374"/>
  <c r="E35" i="374"/>
  <c r="D35" i="374"/>
  <c r="E34" i="374"/>
  <c r="D34" i="374"/>
  <c r="E33" i="374"/>
  <c r="D33" i="374"/>
  <c r="Q3" i="343"/>
  <c r="C13" i="339"/>
  <c r="C15" i="339" s="1"/>
  <c r="B13" i="339"/>
  <c r="C4" i="414"/>
  <c r="D18" i="414"/>
  <c r="H13" i="339" l="1"/>
  <c r="J13" i="339"/>
  <c r="B15" i="339"/>
  <c r="G15" i="339"/>
  <c r="H15" i="339"/>
  <c r="D30" i="414"/>
  <c r="E30" i="414" s="1"/>
  <c r="E16" i="414"/>
  <c r="E4" i="414"/>
  <c r="C6" i="340"/>
  <c r="D6" i="340" s="1"/>
  <c r="B4" i="340"/>
  <c r="G13" i="339"/>
  <c r="C4" i="340" l="1"/>
  <c r="E19" i="414"/>
  <c r="E24" i="414"/>
  <c r="D4" i="340"/>
  <c r="E6" i="340"/>
  <c r="C18" i="414"/>
  <c r="E18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62361</author>
  </authors>
  <commentList>
    <comment ref="A4" authorId="0" shapeId="0" xr:uid="{00000000-0006-0000-1A00-000001000000}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<sst xmlns="http://schemas.openxmlformats.org/spreadsheetml/2006/main" count="40718" uniqueCount="6848">
  <si>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</si>
  <si>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</si>
  <si>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</si>
  <si>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</si>
  <si>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</si>
  <si>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</si>
  <si>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</si>
  <si>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</si>
  <si>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</si>
  <si>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</si>
  <si>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</si>
  <si>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</si>
  <si>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</si>
  <si>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</si>
  <si>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</si>
  <si>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</si>
  <si>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</si>
  <si>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</si>
  <si>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</si>
  <si>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</si>
  <si>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</si>
  <si>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</si>
  <si>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</si>
  <si>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</si>
  <si>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</si>
  <si>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</si>
  <si>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</si>
  <si>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</si>
  <si>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</si>
  <si>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</si>
  <si>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</si>
  <si>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</si>
  <si>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</si>
  <si>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</si>
  <si>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</si>
  <si>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</si>
  <si>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</si>
  <si>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</si>
  <si>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</si>
  <si>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</si>
  <si>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</si>
  <si>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</si>
  <si>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</si>
  <si>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</si>
  <si>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</si>
  <si>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</si>
  <si>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</si>
  <si>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</si>
  <si>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</si>
  <si>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</si>
  <si>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</si>
  <si>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</si>
  <si>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</si>
  <si>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</si>
  <si>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</si>
  <si>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</si>
  <si>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</si>
  <si>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</si>
  <si>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</si>
  <si>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</si>
  <si>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</si>
  <si>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</si>
  <si>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</si>
  <si>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</si>
  <si>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</si>
  <si>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</si>
  <si>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</si>
  <si>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</si>
  <si>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</si>
  <si>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DRG total</t>
  </si>
  <si>
    <t>Casemix</t>
  </si>
  <si>
    <t>CM</t>
  </si>
  <si>
    <t>Hosp.</t>
  </si>
  <si>
    <t>KL</t>
  </si>
  <si>
    <t>DRG</t>
  </si>
  <si>
    <t>Váha DRG</t>
  </si>
  <si>
    <t>LTP</t>
  </si>
  <si>
    <t>HTP</t>
  </si>
  <si>
    <t>Alos</t>
  </si>
  <si>
    <t>Alfa</t>
  </si>
  <si>
    <t>Nazev</t>
  </si>
  <si>
    <t>Rozdíly</t>
  </si>
  <si>
    <t>Ošetřovací dny</t>
  </si>
  <si>
    <t>poč.</t>
  </si>
  <si>
    <t>ø dnů</t>
  </si>
  <si>
    <t>ALOS</t>
  </si>
  <si>
    <t>FNOL</t>
  </si>
  <si>
    <t>rozdíl</t>
  </si>
  <si>
    <t>případy nad ALOS</t>
  </si>
  <si>
    <t>Kód</t>
  </si>
  <si>
    <t>Počet</t>
  </si>
  <si>
    <t>Lékový paušál</t>
  </si>
  <si>
    <t>Kč / j.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</si>
  <si>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</si>
  <si>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</si>
  <si>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</si>
  <si>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</si>
  <si>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</si>
  <si>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</si>
  <si>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</si>
  <si>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</si>
  <si>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</si>
  <si>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</si>
  <si>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</si>
  <si>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</si>
  <si>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</si>
  <si>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</si>
  <si>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</si>
  <si>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</si>
  <si>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</si>
  <si>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</si>
  <si>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</si>
  <si>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</si>
  <si>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</si>
  <si>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Přehled délky hospitalizace ve FNOL oproti ALOS (průměru v České republice)</t>
  </si>
  <si>
    <t>b</t>
  </si>
  <si>
    <t>1-13</t>
  </si>
  <si>
    <t>Zdravotnické pracoviště poskytující zdravotní výkon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</si>
  <si>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</si>
  <si>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</si>
  <si>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</si>
  <si>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</si>
  <si>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</si>
  <si>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</si>
  <si>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</si>
  <si>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</si>
  <si>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</si>
  <si>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</si>
  <si>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</si>
  <si>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</si>
  <si>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</si>
  <si>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</si>
  <si>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</si>
  <si>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</si>
  <si>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Plnění casemixu dle FNOL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</si>
  <si>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</si>
  <si>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</si>
  <si>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</si>
  <si>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</si>
  <si>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</si>
  <si>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</si>
  <si>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</si>
  <si>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</si>
  <si>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</si>
  <si>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Osobní náklady</t>
  </si>
  <si>
    <t>CaseMix</t>
  </si>
  <si>
    <t>Total</t>
  </si>
  <si>
    <t>OD TISS</t>
  </si>
  <si>
    <t>ZV Vyžád. Detail</t>
  </si>
  <si>
    <t>ZV Vyžád.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</si>
  <si>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</si>
  <si>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</si>
  <si>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</si>
  <si>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</si>
  <si>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</si>
  <si>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</si>
  <si>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</si>
  <si>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Zdravotní výkony (vybraných odborností) vyžádané pro pacienty hospitalizované na vlastním pracovišti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</si>
  <si>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</si>
  <si>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</si>
  <si>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</si>
  <si>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</si>
  <si>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</si>
  <si>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</si>
  <si>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</si>
  <si>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</si>
  <si>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Lékař</t>
  </si>
  <si>
    <t>111 - VZP</t>
  </si>
  <si>
    <t>201 - VoZP</t>
  </si>
  <si>
    <t>205 - ČPZP</t>
  </si>
  <si>
    <t>207 - OZP</t>
  </si>
  <si>
    <t>209 - ZP ŠKODA</t>
  </si>
  <si>
    <t>211 - ZP MV</t>
  </si>
  <si>
    <t>213 - RBP</t>
  </si>
  <si>
    <t>Hospodaření zdravotnického pracoviště (v tisících)</t>
  </si>
  <si>
    <t>Spotřeba léčivých přípravků</t>
  </si>
  <si>
    <t>Preskripce a záchyt receptů a poukazů</t>
  </si>
  <si>
    <t>Spotřeba zdravotnického materiálu</t>
  </si>
  <si>
    <t>Optimum CM pro</t>
  </si>
  <si>
    <t>olomoucký kraj</t>
  </si>
  <si>
    <t>Ošetřovací dny a TISS (v tisících Kč)</t>
  </si>
  <si>
    <t>Přehledové sestavy</t>
  </si>
  <si>
    <t>Akt. měsíc</t>
  </si>
  <si>
    <t>Kč/ks</t>
  </si>
  <si>
    <t>NS / ATC</t>
  </si>
  <si>
    <t>LŽ PL</t>
  </si>
  <si>
    <t>LRp PL</t>
  </si>
  <si>
    <t>LŽ PL Detail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</si>
  <si>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</si>
  <si>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</si>
  <si>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</si>
  <si>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</si>
  <si>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</si>
  <si>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</si>
  <si>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</si>
  <si>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</si>
  <si>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</si>
  <si>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</si>
  <si>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</si>
  <si>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</si>
  <si>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</si>
  <si>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</si>
  <si>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</si>
  <si>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</si>
  <si>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</si>
  <si>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</si>
  <si>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optimum 100% *</t>
  </si>
  <si>
    <t>optimum 95% *</t>
  </si>
  <si>
    <t>333 - Cizinci</t>
  </si>
  <si>
    <t>Lékař / ATC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</si>
  <si>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</si>
  <si>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</si>
  <si>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</si>
  <si>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</si>
  <si>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</si>
  <si>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</si>
  <si>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</si>
  <si>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</si>
  <si>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</si>
  <si>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</si>
  <si>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</si>
  <si>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</si>
  <si>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</si>
  <si>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</si>
  <si>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</si>
  <si>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</si>
  <si>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</si>
  <si>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</si>
  <si>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</si>
  <si>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</si>
  <si>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</si>
  <si>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</si>
  <si>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</si>
  <si>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</si>
  <si>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</si>
  <si>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</si>
  <si>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</si>
  <si>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</si>
  <si>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</si>
  <si>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</si>
  <si>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Počet případů hospitalizací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</si>
  <si>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</si>
  <si>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</si>
  <si>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</si>
  <si>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</si>
  <si>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</si>
  <si>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</si>
  <si>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</si>
  <si>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</si>
  <si>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</si>
  <si>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</si>
  <si>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</si>
  <si>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</si>
  <si>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</si>
  <si>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</si>
  <si>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Sml.odb./NS</t>
  </si>
  <si>
    <t>* Legenda (viz Vyhláška MZ ČR Sbírka zákonů č. 348/2016)</t>
  </si>
  <si>
    <t>DRG - úhrada formou případového paušálu</t>
  </si>
  <si>
    <t>DRG - individuálně smluvně sjednaná složka úhrady</t>
  </si>
  <si>
    <t>DRG - úhrada vyčleněná z úhrady formou případového paušálu</t>
  </si>
  <si>
    <t>§</t>
  </si>
  <si>
    <t>ZV Vykáz.-A Det.Lék.</t>
  </si>
  <si>
    <t>10 - úhrada formou případového paušálu, 13 - úhrada vyčleněná z úhrady formou případového paušálu)</t>
  </si>
  <si>
    <t>Kč (tisíce)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</si>
  <si>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</si>
  <si>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</si>
  <si>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</si>
  <si>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</si>
  <si>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</si>
  <si>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</si>
  <si>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</si>
  <si>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</si>
  <si>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</si>
  <si>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</si>
  <si>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</si>
  <si>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</si>
  <si>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</si>
  <si>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</si>
  <si>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</si>
  <si>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</si>
  <si>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</si>
  <si>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</si>
  <si>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</si>
  <si>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</si>
  <si>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</si>
  <si>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</si>
  <si>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</si>
  <si>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</si>
  <si>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</si>
  <si>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</si>
  <si>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</si>
  <si>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</si>
  <si>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</si>
  <si>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</si>
  <si>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</si>
  <si>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</si>
  <si>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t>Případy hospitalizací se při výpočtu casemixu v letech 2016, 2017, 2018 rozumí případy hospitalizací přepočtené pomocí pravidel pro Klasifikaci a sestavování případů</t>
  </si>
  <si>
    <t>hospitalizací platných pro rok 2018</t>
  </si>
  <si>
    <t>Casemix v letech 2016, 2017, 2018 je počet případů hospitalizací ukončených ve sledovaném období, poskytovatelem vykázaných a zdravotní pojišťovnou uznaných,</t>
  </si>
  <si>
    <t>které jsou podle Klasifikace zařazeny do skupin vztažených k diagnóze, vynásobený indexy 2017 (viz příohy č. 9 - individuálně smluvně sjednaná složka úhrady,</t>
  </si>
  <si>
    <t>POMĚROVÉ  PLNĚNÍ = Rozpočet na rok 2018 celkem a 1/12  ročního rozpočtu, skutečnost daných měsíců a % plnění načítané skutečnosti do data k poměrné části rozpočtu do data.</t>
  </si>
  <si>
    <t>Rozpočet výnosů pro rok 2019 je stanoven jako 100% skutečnosti referenčního období (2018)</t>
  </si>
  <si>
    <t>01/2020</t>
  </si>
  <si>
    <t>02/2020</t>
  </si>
  <si>
    <t>03/2020</t>
  </si>
  <si>
    <t>04/2020</t>
  </si>
  <si>
    <t>05/2020</t>
  </si>
  <si>
    <t>06/2020</t>
  </si>
  <si>
    <t>07/2020</t>
  </si>
  <si>
    <t>08/2020</t>
  </si>
  <si>
    <t>09/2020</t>
  </si>
  <si>
    <t>10/2020</t>
  </si>
  <si>
    <t>11/2020</t>
  </si>
  <si>
    <t>12/2020</t>
  </si>
  <si>
    <t>Rozp. 2019            CELKEM</t>
  </si>
  <si>
    <t>Skut. 2019 CELKEM</t>
  </si>
  <si>
    <t>ROZDÍL  Skut. - Rozp. 2019</t>
  </si>
  <si>
    <t>% plnění rozp.2019</t>
  </si>
  <si>
    <t>Rozp.rok 2020</t>
  </si>
  <si>
    <t>Sk.v tis 2020</t>
  </si>
  <si>
    <t>ROZDÍL (Sk.do data - Rozp.do data 2020)</t>
  </si>
  <si>
    <t>% plnění (Skut.do data/Rozp.rok 2020)</t>
  </si>
  <si>
    <t>Rozdíl 2018</t>
  </si>
  <si>
    <t>Plnění 2018</t>
  </si>
  <si>
    <t>% 2018</t>
  </si>
  <si>
    <t>CM 2018</t>
  </si>
  <si>
    <t>Hosp. 2018</t>
  </si>
  <si>
    <t>Rozdíly 2018</t>
  </si>
  <si>
    <r>
      <t>Zpět na Obsah</t>
    </r>
    <r>
      <rPr>
        <sz val="9"/>
        <rFont val="Calibri"/>
        <family val="2"/>
        <charset val="238"/>
        <scheme val="minor"/>
      </rPr>
      <t xml:space="preserve"> | 1.-5.měsíc | Kardiochirurgická klinika</t>
    </r>
  </si>
  <si>
    <t/>
  </si>
  <si>
    <t>Plnění rozpočtu po měsících</t>
  </si>
  <si>
    <t>5     Náklady</t>
  </si>
  <si>
    <t xml:space="preserve">     50     Spotřebované nákupy</t>
  </si>
  <si>
    <t xml:space="preserve">          501     Spotřeba materiálu</t>
  </si>
  <si>
    <t xml:space="preserve">               50109     Cenové odchylky k materiálu</t>
  </si>
  <si>
    <t xml:space="preserve">                    50109000     Cenové odchylky k materiálu</t>
  </si>
  <si>
    <t xml:space="preserve">               50110     Biologické implantáty</t>
  </si>
  <si>
    <t xml:space="preserve">                    50110001     Biologické implantáty (sk.507)</t>
  </si>
  <si>
    <t xml:space="preserve">               50113     Léky a léčiva</t>
  </si>
  <si>
    <t xml:space="preserve">                    50113001     Léky - paušál (LEK)</t>
  </si>
  <si>
    <t xml:space="preserve">                    50113002     Léky - parenterální výživa (LEK)</t>
  </si>
  <si>
    <t xml:space="preserve">                    50113006     Léky - enterální výživa (LEK)</t>
  </si>
  <si>
    <t xml:space="preserve">                    50113007     Léky - krev.deriváty ZUL (LEK)</t>
  </si>
  <si>
    <t xml:space="preserve">                    50113008     Léky - krev.deriváty ZUL (TO)</t>
  </si>
  <si>
    <t xml:space="preserve">                    50113011     Léky - hemofilici ZUL (TO)</t>
  </si>
  <si>
    <t xml:space="preserve">                    50113012     Léky - trombolýza (LEK)</t>
  </si>
  <si>
    <t xml:space="preserve">                    50113013     Léky - antibiotika (LEK)</t>
  </si>
  <si>
    <t xml:space="preserve">                    50113014     Léky - antimykotika (LEK)</t>
  </si>
  <si>
    <t xml:space="preserve">                    50113190     Léky - medicinální plyny (sklad SVM)</t>
  </si>
  <si>
    <t xml:space="preserve">               50114     Krevní přípravky</t>
  </si>
  <si>
    <t xml:space="preserve">                    50114002     Krevní přípravky</t>
  </si>
  <si>
    <t xml:space="preserve">                    50114003     Plazma</t>
  </si>
  <si>
    <t xml:space="preserve">               50115     Zdravotnické prostředky</t>
  </si>
  <si>
    <t xml:space="preserve">                    50115004     IUTN - kovové (Z506)</t>
  </si>
  <si>
    <t xml:space="preserve">                    50115011     IUTN - ostat.nákl.PZT (Z515)</t>
  </si>
  <si>
    <t xml:space="preserve">                    50115020     Laboratorní diagnostika-LEK (Z501)</t>
  </si>
  <si>
    <t xml:space="preserve">                    50115040     Laboratorní materiál (Z505)</t>
  </si>
  <si>
    <t xml:space="preserve">                    50115050     Obvazový materiál (Z502)</t>
  </si>
  <si>
    <t xml:space="preserve">                    50115060     ZPr - ostatní (Z503)</t>
  </si>
  <si>
    <t xml:space="preserve">                    50115062     ZPr - materiál hemodialýza (Z525)</t>
  </si>
  <si>
    <t xml:space="preserve">                    50115063     ZPr - vaky, sety (Z528)</t>
  </si>
  <si>
    <t xml:space="preserve">                    50115064     ZPr - šicí materiál (Z529)</t>
  </si>
  <si>
    <t xml:space="preserve">                    50115065     ZPr - vpichovací materiál (Z530)</t>
  </si>
  <si>
    <t xml:space="preserve">                    50115067     ZPr - rukavice (Z532)</t>
  </si>
  <si>
    <t xml:space="preserve">                    50115070     ZPr - katetry ostatní (Z513)</t>
  </si>
  <si>
    <t xml:space="preserve">                    50115079     ZPr - internzivní péče (Z542)</t>
  </si>
  <si>
    <t xml:space="preserve">                    50115080     ZPr - staplery, extraktory, endoskop.mat. (Z523)</t>
  </si>
  <si>
    <t xml:space="preserve">                    50115089     ZPr - katetry PICC/MIDLINE (Z554)</t>
  </si>
  <si>
    <t xml:space="preserve">                    50115090     ZPr - zubolékařský materiál (Z509)</t>
  </si>
  <si>
    <t xml:space="preserve">                    50115030     ZPr. - ostatní (testy) - COVID19 (Z556)</t>
  </si>
  <si>
    <t xml:space="preserve">               50116     Potraviny</t>
  </si>
  <si>
    <t xml:space="preserve">                    50116001     Lůžk. pacienti</t>
  </si>
  <si>
    <t xml:space="preserve">                    50116002     Lůžk. pacienti nad normu</t>
  </si>
  <si>
    <t xml:space="preserve">               50117     Všeobecný materiál</t>
  </si>
  <si>
    <t xml:space="preserve">                    50117001     Všeobecný materiál (N524,525,P35,49,T13,V26,31,32,34,35,37,47,111,Z510)</t>
  </si>
  <si>
    <t xml:space="preserve">                    50117002     Prací a čistící prostř.,drog.zboží (sk.V41)</t>
  </si>
  <si>
    <t xml:space="preserve">                    50117003     Desinfekční prostředky (ID-ř.733-LEK)</t>
  </si>
  <si>
    <t xml:space="preserve">                    50117004     Tiskopisy a kanc.potřeby (sk.V42, 43)</t>
  </si>
  <si>
    <t xml:space="preserve">                    50117005     Údržbový materiál ZVIT (sk.B36,61,62,64)</t>
  </si>
  <si>
    <t xml:space="preserve">                    50117007     Údržbový materiál ostatní - sklady (sk.T17)</t>
  </si>
  <si>
    <t xml:space="preserve">                    50117008     Spotřební materiál k PDS (potrubní pošta (sk.V22)</t>
  </si>
  <si>
    <t xml:space="preserve">                    50117009     Spotřební materiál k ZPr. (sk.V21)</t>
  </si>
  <si>
    <t xml:space="preserve">                    50117011     Obalový mat. pro sterilizaci (sk.V20)</t>
  </si>
  <si>
    <t xml:space="preserve">                    50117015     IT - spotřební materiál (sk. P37, 38, 48)</t>
  </si>
  <si>
    <t xml:space="preserve">                    50117023     Všeob.mat. - kancel.tech. (V34) od 1tis do 2999,99</t>
  </si>
  <si>
    <t xml:space="preserve">                    50117024     Všeob.mat. - ostatní-vyjímky (V44) od 0,01 do 999,99</t>
  </si>
  <si>
    <t xml:space="preserve">               50118     Náhradní díly</t>
  </si>
  <si>
    <t xml:space="preserve">                    50118001     ND - ostatní (všeob.sklad) (sk.V38)</t>
  </si>
  <si>
    <t xml:space="preserve">                    50118002     ND - zdravot.techn.(sklad) (sk.Z39)</t>
  </si>
  <si>
    <t xml:space="preserve">                    50118003     ND - ostatní techn.(OSBTK, vč.metrologa)</t>
  </si>
  <si>
    <t xml:space="preserve">                    50118004     ND - zdravotní techn. (OSBTK, vč.metrologa)</t>
  </si>
  <si>
    <t xml:space="preserve">                    50118005     ND - výpoč. techn.(sklad) (sk.P47)</t>
  </si>
  <si>
    <t xml:space="preserve">                    50118006     ND - ZVIT (sk.B63)</t>
  </si>
  <si>
    <t xml:space="preserve">                    50118009     ND - ostatní technika (UTZ)</t>
  </si>
  <si>
    <t xml:space="preserve">               50119     DDHM a textil</t>
  </si>
  <si>
    <t xml:space="preserve">                    50119077     OOPP a prádlo pro zaměstnance (sk.T14)</t>
  </si>
  <si>
    <t xml:space="preserve">                    50119090     OOPP pro pacienty a doprovod (sk.T11)</t>
  </si>
  <si>
    <t xml:space="preserve">                    50119092     Pokojový textil (sk. T15)</t>
  </si>
  <si>
    <t xml:space="preserve">                    50119099     Netkaný textil (sk.T18)</t>
  </si>
  <si>
    <t xml:space="preserve">                    50119100     Jednorázové ochranné pomůcky (sk.T18A)</t>
  </si>
  <si>
    <t xml:space="preserve">                    50119101     Jednorázový operační materiál (sk.T18B)</t>
  </si>
  <si>
    <t xml:space="preserve">                    50119102     Jednorázové hygienické potřeby (sk.T18C)</t>
  </si>
  <si>
    <t xml:space="preserve">                    50119080     OOPP a prádlo pro zaměstnance COVID19 - ochranné štíty (sk.T14C)</t>
  </si>
  <si>
    <t xml:space="preserve">                    50119103     Jednorázové ochranné pomůcky COVID19 - masky (sk.T18D)</t>
  </si>
  <si>
    <t xml:space="preserve">                    50119104     Jednorázové ochranné pomůcky COVID19 - respirátory FFP 2 (sk.T18E)</t>
  </si>
  <si>
    <t xml:space="preserve">                    50119105     Jednorázové ochranné pomůcky COVID19 - respirátory FFP 3 (sk.T18F)</t>
  </si>
  <si>
    <t xml:space="preserve">                    50119079     OOPP a prádlo pro zaměstnance COVID19 - ochranné brýle (sk.T14B)</t>
  </si>
  <si>
    <t xml:space="preserve">               50160     Knihy a časopisy</t>
  </si>
  <si>
    <t xml:space="preserve">                    50160002     Knihy a časopisy</t>
  </si>
  <si>
    <t xml:space="preserve">          502     Spotřeba energie</t>
  </si>
  <si>
    <t xml:space="preserve">               50210     Spotřeba energie</t>
  </si>
  <si>
    <t xml:space="preserve">                    50210071     Elektřina</t>
  </si>
  <si>
    <t xml:space="preserve">                    50210072     Vodné, stočné</t>
  </si>
  <si>
    <t xml:space="preserve">                    50210073     Pára</t>
  </si>
  <si>
    <t xml:space="preserve">     51     Služby</t>
  </si>
  <si>
    <t xml:space="preserve">          511     Opravy a udržování</t>
  </si>
  <si>
    <t xml:space="preserve">               51102     Technika a stavby</t>
  </si>
  <si>
    <t xml:space="preserve">                    51102021     Opravy zdravotnické techniky - OSBTK, vč.metrologa</t>
  </si>
  <si>
    <t xml:space="preserve">                    51102022     Opravy - Úsek inf.systémů</t>
  </si>
  <si>
    <t xml:space="preserve">                    51102023     Opravy ostatní techniky - OSBTK, vč.metrologa</t>
  </si>
  <si>
    <t xml:space="preserve">                    51102024     Opravy - správa budov</t>
  </si>
  <si>
    <t xml:space="preserve">                    51102025     Opravy - hl.energetik</t>
  </si>
  <si>
    <t xml:space="preserve">                    51102026     Opravy STA rozvodů (tel.antény) - ELSYS</t>
  </si>
  <si>
    <t xml:space="preserve">                    51102032     Opravy zdravotnické techniky - UTZ</t>
  </si>
  <si>
    <t xml:space="preserve">                    51102033     Opravy ostatní techniky - UTZ</t>
  </si>
  <si>
    <t xml:space="preserve">                    51102034     Opravy ostatní techniky - ELSYS</t>
  </si>
  <si>
    <t xml:space="preserve">          512     Cestovné</t>
  </si>
  <si>
    <t xml:space="preserve">               51201     Cestovné zaměstnanců-tuzemské</t>
  </si>
  <si>
    <t xml:space="preserve">                    51201000     Cestovné z mezd</t>
  </si>
  <si>
    <t xml:space="preserve">                    51201001     Cestovné tuzemské - OUC</t>
  </si>
  <si>
    <t xml:space="preserve">               51203     Cestovné zaměstnanců-zahraniční</t>
  </si>
  <si>
    <t xml:space="preserve">                    51203000     Cestovné zahraniční - mzdy</t>
  </si>
  <si>
    <t xml:space="preserve">                    51203001     Cestovné zahraniční - OUC</t>
  </si>
  <si>
    <t xml:space="preserve">          518     Ostatní služby</t>
  </si>
  <si>
    <t xml:space="preserve">               51802     Spoje</t>
  </si>
  <si>
    <t xml:space="preserve">                    51802001     Poštovné</t>
  </si>
  <si>
    <t xml:space="preserve">                    51802003     Telekom.styk</t>
  </si>
  <si>
    <t xml:space="preserve">               51804     Nájemné</t>
  </si>
  <si>
    <t xml:space="preserve">                    51804004     Popl. za R a TV, veř. produkce</t>
  </si>
  <si>
    <t xml:space="preserve">                    51804005     Náj. plynových lahví</t>
  </si>
  <si>
    <t xml:space="preserve">               51806     Úklid, odpad, desinf., deratizace</t>
  </si>
  <si>
    <t xml:space="preserve">                    51806001     Úklid. služby - paušál</t>
  </si>
  <si>
    <t xml:space="preserve">                    51806002     Úklid. služby - více práce</t>
  </si>
  <si>
    <t xml:space="preserve">                    51806004     Popl. za DDD a ostatní služby</t>
  </si>
  <si>
    <t xml:space="preserve">                    51806005     Odpad (spalovna)</t>
  </si>
  <si>
    <t xml:space="preserve">                    51806007     Praní prádla</t>
  </si>
  <si>
    <t xml:space="preserve">               51808     Revize a smluvní servisy majetku</t>
  </si>
  <si>
    <t xml:space="preserve">                    51808007     Revize, sml.servis - energetik</t>
  </si>
  <si>
    <t xml:space="preserve">                    51808008     Revize, tech.kontroly, prev.prohl.- OSBTK</t>
  </si>
  <si>
    <t xml:space="preserve">                    51808009     Revize, sml.servis PO - OBKR</t>
  </si>
  <si>
    <t xml:space="preserve">                    51808013     Revize - kalibrace - metrolog</t>
  </si>
  <si>
    <t xml:space="preserve">                    51808018     Smluvní servis - OSBTK</t>
  </si>
  <si>
    <t xml:space="preserve">                    51808020     Smluvní servis - UTZ</t>
  </si>
  <si>
    <t xml:space="preserve">                    51808021     Revize, tech.kontroly, prev.prohl.- UTZ</t>
  </si>
  <si>
    <t xml:space="preserve">               51874     Ostatní služby</t>
  </si>
  <si>
    <t xml:space="preserve">                    51874010     Ostatní služby - zdravotní</t>
  </si>
  <si>
    <t xml:space="preserve">                    51874018     Propagace, reklama, tisk (TM)</t>
  </si>
  <si>
    <t xml:space="preserve">     52     Osobní náklady</t>
  </si>
  <si>
    <t xml:space="preserve">          521     Mzdové náklady</t>
  </si>
  <si>
    <t xml:space="preserve">               52111     Hrubé mzdy</t>
  </si>
  <si>
    <t xml:space="preserve">                    52111000     Hrubé mzdy</t>
  </si>
  <si>
    <t xml:space="preserve">               52114     Půjčeno počítačem - SW VEMA</t>
  </si>
  <si>
    <t xml:space="preserve">                    52114000     Půjčeno počítačem</t>
  </si>
  <si>
    <t xml:space="preserve">               52121     OON - dohody</t>
  </si>
  <si>
    <t xml:space="preserve">                    52121000     OON - dohody</t>
  </si>
  <si>
    <t xml:space="preserve">               52128     Náhrada mzdy po dobu dočas.prac.neschopnosti</t>
  </si>
  <si>
    <t xml:space="preserve">                    52128000     Náhrada mzdy po dobu dočas.prac.neschop.-hraz.org.</t>
  </si>
  <si>
    <t xml:space="preserve">               52148     Peněžité dary z FKSP</t>
  </si>
  <si>
    <t xml:space="preserve">                    52148000     Peněžité dary z FKSP</t>
  </si>
  <si>
    <t xml:space="preserve">          524     Zákonné sociální pojištění</t>
  </si>
  <si>
    <t xml:space="preserve">               52401     Zdravotní pojištění organizace</t>
  </si>
  <si>
    <t xml:space="preserve">                    52401000     Zdravotní poj. organizace</t>
  </si>
  <si>
    <t xml:space="preserve">               52402     Sociální pojištění organizace</t>
  </si>
  <si>
    <t xml:space="preserve">                    52402000     Sociální poj. organizace</t>
  </si>
  <si>
    <t xml:space="preserve">          525     Jiné sociální pojištění</t>
  </si>
  <si>
    <t xml:space="preserve">               52510     Jiné sociální pojištění</t>
  </si>
  <si>
    <t xml:space="preserve">                    52510000     Pojištění zaměstnanců (čtvrtletně)</t>
  </si>
  <si>
    <t xml:space="preserve">          527     Zákonné sociální náklady</t>
  </si>
  <si>
    <t xml:space="preserve">               52710     Zákonné sociální náklady</t>
  </si>
  <si>
    <t xml:space="preserve">                    52710001     FKSP - jednotný příděl</t>
  </si>
  <si>
    <t xml:space="preserve">     54     Jiné provozní náklady</t>
  </si>
  <si>
    <t xml:space="preserve">          549     Ostatní náklady z činnosti</t>
  </si>
  <si>
    <t xml:space="preserve">               54910     Ostatní náklady z činnosti</t>
  </si>
  <si>
    <t xml:space="preserve">                    54910003     Práce výrobní povahy(výroba klíčů,tabulek)</t>
  </si>
  <si>
    <t xml:space="preserve">                    54910008     Školení, kongresové poplatky tuzemské - lékaři</t>
  </si>
  <si>
    <t xml:space="preserve">                    54910009     Školení, kongresové poplatky tuzemské - ost.zdrav.pracov.</t>
  </si>
  <si>
    <t xml:space="preserve">                    54910010     Školení - nezdrav.pracov.</t>
  </si>
  <si>
    <t xml:space="preserve">                    54910011     Registrační poplatky - kongresy zahraniční</t>
  </si>
  <si>
    <t xml:space="preserve">               54972     Školení, kongres.popl.tuzemské - lékaři (pouze OPMČ)</t>
  </si>
  <si>
    <t xml:space="preserve">                    54972000     Školení, kongres.popl.tuzemské - lékaři (pouze OPMČ)</t>
  </si>
  <si>
    <t xml:space="preserve">               54973     Školení, kongres.popl.tuzemské - ostatní zdrav.prac.(pouze OPMČ)</t>
  </si>
  <si>
    <t xml:space="preserve">                    54973000     Školení, kongres.popl.tuzemské - ostatní zdrav.prac.(pouze OPMČ)</t>
  </si>
  <si>
    <t xml:space="preserve">               54977     Registrační poplatky - kongresy zahraniční (pouze OPMČ)</t>
  </si>
  <si>
    <t xml:space="preserve">                    54977000     Registrační poplatky - kongresy zahraniční (pouze OPMČ)</t>
  </si>
  <si>
    <t xml:space="preserve">     55     Odpisy,rezervy a opravné položky provoz.nákladů</t>
  </si>
  <si>
    <t xml:space="preserve">          551     Odpisy dlouhodobého nehm. a hm. majetku</t>
  </si>
  <si>
    <t xml:space="preserve">               55110     Odpisy DM</t>
  </si>
  <si>
    <t xml:space="preserve">                    55110003     Odpisy DHM - budovy z odpisů</t>
  </si>
  <si>
    <t xml:space="preserve">                    55110004     Odpisy DHM - zdravot.techn. z odpisů</t>
  </si>
  <si>
    <t xml:space="preserve">                    55110005     Odpisy DHM - ostatní z odpisů</t>
  </si>
  <si>
    <t xml:space="preserve">                    55110013     Odpisy DHM - budovy z dotací</t>
  </si>
  <si>
    <t xml:space="preserve">                    55110014     Odpisy DHM - zdravot.techn. z dotací</t>
  </si>
  <si>
    <t xml:space="preserve">                    55110015     Odpisy DHM - ostatní z dotací</t>
  </si>
  <si>
    <t xml:space="preserve">               55120     ZC vyřazeného DM</t>
  </si>
  <si>
    <t xml:space="preserve">                    55120004     ZC DHM - zdravot.techn. z odpisů</t>
  </si>
  <si>
    <t xml:space="preserve">          558     Náklady z drobného dlouhodobého majetku</t>
  </si>
  <si>
    <t xml:space="preserve">               55801     DDHM zdravotnický a laboratorní</t>
  </si>
  <si>
    <t xml:space="preserve">                    55801001     DDHM - zdravotnické přístroje (sk.N_525)</t>
  </si>
  <si>
    <t xml:space="preserve">               55802     DDHM - provozní</t>
  </si>
  <si>
    <t xml:space="preserve">                    55802001     DDHM - kuchyňské zařízení a nádobí (sk.V_26)</t>
  </si>
  <si>
    <t xml:space="preserve">                    55802002     DDHM - ostatní provozní technika (sk.V_35)</t>
  </si>
  <si>
    <t xml:space="preserve">                    55802003     DDHM - kacelářská technika (sk.V_37)</t>
  </si>
  <si>
    <t xml:space="preserve">               55804     DDHM - výpočetní technika</t>
  </si>
  <si>
    <t xml:space="preserve">                    55804002     DDHM - telefony (sk.P_49)</t>
  </si>
  <si>
    <t xml:space="preserve">               55805     DDHM - inventář</t>
  </si>
  <si>
    <t xml:space="preserve">                    55805001     DDHM - ostatní (sk.T_19)</t>
  </si>
  <si>
    <t xml:space="preserve">                    55805002     DDHM - nábytek (sk.V_31)</t>
  </si>
  <si>
    <t>6     Výnosy</t>
  </si>
  <si>
    <t xml:space="preserve">     60     Tržby za vlastní výkony a zboží</t>
  </si>
  <si>
    <t xml:space="preserve">          602     Tržby z prodeje služeb</t>
  </si>
  <si>
    <t xml:space="preserve">               60210     Zdravotní služby samoplátcům a právnickým osobám</t>
  </si>
  <si>
    <t xml:space="preserve">                    60210322     Zdr.služby - právn.osoby</t>
  </si>
  <si>
    <t xml:space="preserve">                    60210323     Zdr.služby - státní orgány</t>
  </si>
  <si>
    <t xml:space="preserve">                    60210354     Zdr.služby - cizinci</t>
  </si>
  <si>
    <t xml:space="preserve">               60229     Zdr. výkony - ost. ZP sled.položky  OZPI</t>
  </si>
  <si>
    <t xml:space="preserve">                    60229201     Výkony + mater. - ZP ma výkon</t>
  </si>
  <si>
    <t xml:space="preserve">                    60229202     Výkony pojišť.EHS, výkony za cizinci (mimo EHS)</t>
  </si>
  <si>
    <t xml:space="preserve">               60245     Fakturace ZP - běžný rok (paušál)   OZPI</t>
  </si>
  <si>
    <t xml:space="preserve">                    60245401     Tržby ZP za zdrav.péči - paušál</t>
  </si>
  <si>
    <t xml:space="preserve">               60246     Dorovnání péče ZP - min.let         OZPI</t>
  </si>
  <si>
    <t xml:space="preserve">                    60246401     Tržby ZP za zdrav.péči - dorovnání min.let</t>
  </si>
  <si>
    <t xml:space="preserve">     64     Jiné provozní výnosy</t>
  </si>
  <si>
    <t xml:space="preserve">          648     Čerpání fondů</t>
  </si>
  <si>
    <t xml:space="preserve">               64824     Čerpání FKSP</t>
  </si>
  <si>
    <t xml:space="preserve">                    64824048     Čerpání z FKSP - peněžité dary</t>
  </si>
  <si>
    <t xml:space="preserve">          649     Ostatní výnosy z činnosti</t>
  </si>
  <si>
    <t xml:space="preserve">               64908     Ostatní výnosy z činnosti</t>
  </si>
  <si>
    <t xml:space="preserve">                    64908000     Rozdíly v zaokrouhlení</t>
  </si>
  <si>
    <t xml:space="preserve">               64924     Ostatní služby - mimo zdrav.výkony  FAKTURACE</t>
  </si>
  <si>
    <t xml:space="preserve">                    64924442     Telekom.služby, soukr. hovory</t>
  </si>
  <si>
    <t xml:space="preserve">                    64924450     Poštovné, balné za odeslání</t>
  </si>
  <si>
    <t xml:space="preserve">                    64924459     Školení, stáže, odb. semináře, konference</t>
  </si>
  <si>
    <t xml:space="preserve">     67     Výnosy z transferů</t>
  </si>
  <si>
    <t xml:space="preserve">          671     Transfery</t>
  </si>
  <si>
    <t xml:space="preserve">               67101     Nein.dotace, příspěvky, granty od zřizovatele</t>
  </si>
  <si>
    <t xml:space="preserve">                    67101006     Transfery MZ na rezidenční místa</t>
  </si>
  <si>
    <t>7     Vnitropodnikové náklady</t>
  </si>
  <si>
    <t xml:space="preserve">     79     Vnitropodnikové náklady</t>
  </si>
  <si>
    <t xml:space="preserve">          799     Vnitropodnikové náklady</t>
  </si>
  <si>
    <t xml:space="preserve">               79901     VPN - lékárna</t>
  </si>
  <si>
    <t xml:space="preserve">                    79901002     Výdej HVLP</t>
  </si>
  <si>
    <t xml:space="preserve">               79902     VPN - ZVIT technická údržba</t>
  </si>
  <si>
    <t xml:space="preserve">                    79902000     Výkony údržby</t>
  </si>
  <si>
    <t xml:space="preserve">               79903     VPN - doprava</t>
  </si>
  <si>
    <t xml:space="preserve">                    79903001     Doprava - sanitní</t>
  </si>
  <si>
    <t xml:space="preserve">                    79903002     Doprava - osobní</t>
  </si>
  <si>
    <t xml:space="preserve">                    79903003     Doprava - nákladní</t>
  </si>
  <si>
    <t xml:space="preserve">               79905     VPN - distribuce prádle (stř.9412)</t>
  </si>
  <si>
    <t xml:space="preserve">                    79905001     Režie - distribuce prádla (stř.9412)</t>
  </si>
  <si>
    <t xml:space="preserve">               79906     VPN - prádelna</t>
  </si>
  <si>
    <t xml:space="preserve">                    79906000     Praní prádla</t>
  </si>
  <si>
    <t xml:space="preserve">               79907     VPN - sklad</t>
  </si>
  <si>
    <t xml:space="preserve">                    79907002     Tisk tiskopisů</t>
  </si>
  <si>
    <t xml:space="preserve">               79910     VPN - informační technologie</t>
  </si>
  <si>
    <t xml:space="preserve">                    79910001     Výkony IT</t>
  </si>
  <si>
    <t xml:space="preserve">               79920     VPN - mezistřediskové převody</t>
  </si>
  <si>
    <t xml:space="preserve">                    79920001     Agregované výkony</t>
  </si>
  <si>
    <t xml:space="preserve">               79950     VPN - správní režie</t>
  </si>
  <si>
    <t xml:space="preserve">                    79950001     Rozúčtování režie HTS</t>
  </si>
  <si>
    <t>8     Vnitropodnikové výnosy</t>
  </si>
  <si>
    <t xml:space="preserve">     89     Vnitropodnikové výnosy</t>
  </si>
  <si>
    <t xml:space="preserve">          899     Vnitropodnikové výnosy</t>
  </si>
  <si>
    <t xml:space="preserve">               89920     VPV - mezistřediskové převody</t>
  </si>
  <si>
    <t xml:space="preserve">                    89920001     Agregované výkony</t>
  </si>
  <si>
    <t xml:space="preserve">                    89920004     Střediskové převody</t>
  </si>
  <si>
    <t>50</t>
  </si>
  <si>
    <t>KCHIR: Kardiochirurgická klinika</t>
  </si>
  <si>
    <t>50113001 - léky - paušál (LEK)</t>
  </si>
  <si>
    <t>50113002 - léky - parenterální výživa (LEK)</t>
  </si>
  <si>
    <t>50113006 - léky - enterální výživa (LEK)</t>
  </si>
  <si>
    <t>50113007 - léky - krev.deriváty ZUL (LEK)</t>
  </si>
  <si>
    <t>50113008 - léky - krev.deriváty ZUL (TO)</t>
  </si>
  <si>
    <t>50113011 - léky - hemofilici ZUL (TO)</t>
  </si>
  <si>
    <t>50113012 - léky - trombolýza (LEK)</t>
  </si>
  <si>
    <t>50113013 - léky - antibiotika (LEK)</t>
  </si>
  <si>
    <t>50113014 - léky - antimykotika (LEK)</t>
  </si>
  <si>
    <t>50113190 - léky - medicinální plyny (sklad SVM)</t>
  </si>
  <si>
    <t>KCHIR: Kardiochirurgická klinika Celkem</t>
  </si>
  <si>
    <t>SumaKL</t>
  </si>
  <si>
    <t>5011</t>
  </si>
  <si>
    <t>KCHIR: lůžkové oddělení 50</t>
  </si>
  <si>
    <t>KCHIR: lůžkové oddělení 50 Celkem</t>
  </si>
  <si>
    <t>SumaNS</t>
  </si>
  <si>
    <t>mezeraNS</t>
  </si>
  <si>
    <t>5021</t>
  </si>
  <si>
    <t>KCHIR: ambulance</t>
  </si>
  <si>
    <t>KCHIR: ambulance Celkem</t>
  </si>
  <si>
    <t>5031</t>
  </si>
  <si>
    <t>KCHIR: JIP 50B</t>
  </si>
  <si>
    <t>KCHIR: JIP 50B Celkem</t>
  </si>
  <si>
    <t>5062</t>
  </si>
  <si>
    <t>KCHIR: operační sál - lokální</t>
  </si>
  <si>
    <t>KCHIR: operační sál - lokální Celkem</t>
  </si>
  <si>
    <t>5001</t>
  </si>
  <si>
    <t>KCHIR: vedení klinického pracoviště</t>
  </si>
  <si>
    <t>KCHIR: vedení klinického pracoviště Celkem</t>
  </si>
  <si>
    <t>5071</t>
  </si>
  <si>
    <t>KCHIR: PICC tým</t>
  </si>
  <si>
    <t>KCHIR: PICC tým Celkem</t>
  </si>
  <si>
    <t>léky - paušál (LEK)</t>
  </si>
  <si>
    <t>O</t>
  </si>
  <si>
    <t>ACIDUM FOLICUM LECIVA</t>
  </si>
  <si>
    <t>DRG 30X10MG</t>
  </si>
  <si>
    <t xml:space="preserve">ADENOCOR </t>
  </si>
  <si>
    <t>INJ SOL 6X2ML/6MG</t>
  </si>
  <si>
    <t>ADRENALIN LECIVA</t>
  </si>
  <si>
    <t>INJ 5X1ML/1MG</t>
  </si>
  <si>
    <t>AESCIN-TEVA</t>
  </si>
  <si>
    <t>POR TBL FLM 30X20MG</t>
  </si>
  <si>
    <t>AGAPURIN SR 400</t>
  </si>
  <si>
    <t>400MG TBL PRO 100</t>
  </si>
  <si>
    <t>ALDACTONE-AMPULE</t>
  </si>
  <si>
    <t>INJ 10X10ML/200MG</t>
  </si>
  <si>
    <t>ALGIFEN NEO</t>
  </si>
  <si>
    <t>POR GTT SOL 1X50ML</t>
  </si>
  <si>
    <t>P</t>
  </si>
  <si>
    <t>ALOPURINOL SANDOZ</t>
  </si>
  <si>
    <t>300MG TBL NOB 30</t>
  </si>
  <si>
    <t>100MG TBL NOB 100</t>
  </si>
  <si>
    <t>AMARYL 2 MG</t>
  </si>
  <si>
    <t>POR TBL NOB 30X2MG</t>
  </si>
  <si>
    <t>AMARYL 3 MG</t>
  </si>
  <si>
    <t>POR TBL NOB 30X3MG</t>
  </si>
  <si>
    <t>AMBROBENE</t>
  </si>
  <si>
    <t>INJ 5X2ML/15MG</t>
  </si>
  <si>
    <t>AMBROBENE 7.5MG/ML</t>
  </si>
  <si>
    <t>SOL 1X40ML</t>
  </si>
  <si>
    <t>SOL 1X100ML</t>
  </si>
  <si>
    <t>AMIODARON HAMELN</t>
  </si>
  <si>
    <t>50MG/ML INJ/INF CNC SOL 10X3ML</t>
  </si>
  <si>
    <t>ANALGIN</t>
  </si>
  <si>
    <t>INJ SOL 5X5ML</t>
  </si>
  <si>
    <t>ANOPYRIN</t>
  </si>
  <si>
    <t>100MG TBL NOB 60(6X10)</t>
  </si>
  <si>
    <t>ANOPYRIN 100MG</t>
  </si>
  <si>
    <t>TBL 20X100MG</t>
  </si>
  <si>
    <t>APAURIN</t>
  </si>
  <si>
    <t>INJ 10X2ML/10MG</t>
  </si>
  <si>
    <t>AQUA PRO INJECTIONE ARDEAPHARMA</t>
  </si>
  <si>
    <t>INF 1X250ML</t>
  </si>
  <si>
    <t>ATROPIN BIOTIKA 0.5MG</t>
  </si>
  <si>
    <t>INJ 10X1ML/0.5MG</t>
  </si>
  <si>
    <t>ATROPIN BIOTIKA 1MG</t>
  </si>
  <si>
    <t>INJ 10X1ML/1MG</t>
  </si>
  <si>
    <t>ATROVENT 0.025%</t>
  </si>
  <si>
    <t>INH SOL 1X20ML</t>
  </si>
  <si>
    <t>ATROVENT N</t>
  </si>
  <si>
    <t>INH SOL PSS200X20RG</t>
  </si>
  <si>
    <t>BERODUAL</t>
  </si>
  <si>
    <t>INH LIQ 1X20ML</t>
  </si>
  <si>
    <t>BETALOC</t>
  </si>
  <si>
    <t>1MG/ML INJ SOL 5X5ML</t>
  </si>
  <si>
    <t>BETALOC ZOK 100 MG</t>
  </si>
  <si>
    <t>TBL RET 30X100MG</t>
  </si>
  <si>
    <t>BIGITAL</t>
  </si>
  <si>
    <t>10MG/5MG TBL NOB 30</t>
  </si>
  <si>
    <t>BIOFENAC 100 MG POTAHOVANÉ TABLETY</t>
  </si>
  <si>
    <t>POR TBL FLM 20X100MG</t>
  </si>
  <si>
    <t>Biopron9 tob.60+20</t>
  </si>
  <si>
    <t>BISEPTOL</t>
  </si>
  <si>
    <t>400MG/80MG TBL NOB 28</t>
  </si>
  <si>
    <t>BISOPROLOL AUROVITAS 2,5MG</t>
  </si>
  <si>
    <t>TBL FLM 30</t>
  </si>
  <si>
    <t>BISOPROLOL MYLAN</t>
  </si>
  <si>
    <t>10MG TBL FLM 30</t>
  </si>
  <si>
    <t>BISOPROLOL MYLAN 2,5 MG</t>
  </si>
  <si>
    <t>2,5MG TBL FLM 30</t>
  </si>
  <si>
    <t>BISOPROLOL MYLAN 5 MG</t>
  </si>
  <si>
    <t>POR TBL FLM 100X5MG</t>
  </si>
  <si>
    <t>BISOPROLOL PMCS 2,5 MG</t>
  </si>
  <si>
    <t>POR TBL NOB 30X2.5MG</t>
  </si>
  <si>
    <t>BRILIQUE 90 MG</t>
  </si>
  <si>
    <t>POR TBL FLM 56X90MG</t>
  </si>
  <si>
    <t>BURONIL 25 MG</t>
  </si>
  <si>
    <t>POR TBL OBD 50X25MG</t>
  </si>
  <si>
    <t>CALCIUM BIOTIKA</t>
  </si>
  <si>
    <t>INJ 10X10ML/1GM</t>
  </si>
  <si>
    <t>CALCIUM GLUCONICUM 10% B.BRAUN</t>
  </si>
  <si>
    <t>INJ SOL 20X10ML</t>
  </si>
  <si>
    <t>CARBOSORB</t>
  </si>
  <si>
    <t>320MG TBL NOB 20</t>
  </si>
  <si>
    <t>CARVESAN 6,25</t>
  </si>
  <si>
    <t>POR TBL NOB 100X6,25MG</t>
  </si>
  <si>
    <t>CEZERA 5 MG</t>
  </si>
  <si>
    <t>POR TBL FLM 90X5MG</t>
  </si>
  <si>
    <t>CINARIZIN LEK 75 MG</t>
  </si>
  <si>
    <t>POR TBL NOB 50X75MG</t>
  </si>
  <si>
    <t>CIPLOX 500</t>
  </si>
  <si>
    <t>500MG TBL FLM 10</t>
  </si>
  <si>
    <t>CITALEC 10 ZENTIVA</t>
  </si>
  <si>
    <t>CLARINASE REPETABS</t>
  </si>
  <si>
    <t>POR TBL PRO 14 II</t>
  </si>
  <si>
    <t>CODEIN SLOVAKOFARMA 30MG</t>
  </si>
  <si>
    <t>TBL 10X30MG-BLISTR</t>
  </si>
  <si>
    <t>CONCOR 5</t>
  </si>
  <si>
    <t>5MG TBL FLM 100</t>
  </si>
  <si>
    <t>CONTROLOC</t>
  </si>
  <si>
    <t>40MG TBL ENT 100 I</t>
  </si>
  <si>
    <t>CONTROLOC 20 MG</t>
  </si>
  <si>
    <t>POR TBL ENT 100X20MG</t>
  </si>
  <si>
    <t>CONTROLOC 40 MG</t>
  </si>
  <si>
    <t>POR TBL ENT 28X40MG</t>
  </si>
  <si>
    <t>CORDARONE</t>
  </si>
  <si>
    <t>POR TBL NOB30X200MG</t>
  </si>
  <si>
    <t>POR TBL NOB60X200MG</t>
  </si>
  <si>
    <t>INJ SOL 6X3ML/150MG</t>
  </si>
  <si>
    <t>COSYREL 10MG/10MG</t>
  </si>
  <si>
    <t xml:space="preserve">TBL FLM 30 </t>
  </si>
  <si>
    <t>COSYREL 5MG/5MG</t>
  </si>
  <si>
    <t>Deca durabolin 50mg amp.1x1ml - MIMOŘÁDNÝ DOVOZ!!</t>
  </si>
  <si>
    <t>DEGAN</t>
  </si>
  <si>
    <t>TBL 40X10MG</t>
  </si>
  <si>
    <t>INJ 50X2ML/10MG</t>
  </si>
  <si>
    <t>DEPAKINE CHRONO 300</t>
  </si>
  <si>
    <t>TBL RET 100X300MG</t>
  </si>
  <si>
    <t>DEPAKINE CHRONO 500MG(PULENE)</t>
  </si>
  <si>
    <t>TBL RET 30X500MG</t>
  </si>
  <si>
    <t>DETRALEX</t>
  </si>
  <si>
    <t>POR TBL FLM 120X500MG</t>
  </si>
  <si>
    <t>DEXAMED</t>
  </si>
  <si>
    <t>INJ 10X2ML/8MG</t>
  </si>
  <si>
    <t>DHC CONTINUS 90 MG</t>
  </si>
  <si>
    <t>PORTBLRET60X90MG B</t>
  </si>
  <si>
    <t>DIAPREL MR</t>
  </si>
  <si>
    <t>30MG TBL RET 60</t>
  </si>
  <si>
    <t>DIAZEPAM SLOVAKOFARMA</t>
  </si>
  <si>
    <t>10MG TBL NOB 20(1X20)</t>
  </si>
  <si>
    <t>DICLOFENAC AL 50</t>
  </si>
  <si>
    <t>TBL OBD 100X50MG</t>
  </si>
  <si>
    <t>DICLOFENAC AL RETARD</t>
  </si>
  <si>
    <t>TBL OBD 20X100MG</t>
  </si>
  <si>
    <t>DICYNONE 250</t>
  </si>
  <si>
    <t>INJ SOL 4X2ML/250MG</t>
  </si>
  <si>
    <t>DIGOXIN ORION INJ.-MIMOŘÁDNÝ DOVOZ!!</t>
  </si>
  <si>
    <t>INJ SOL 25X1ML/0.25MG</t>
  </si>
  <si>
    <t>DIGOXIN ZENTIVA</t>
  </si>
  <si>
    <t>0,5MG/2ML INJ SOL 5X2ML</t>
  </si>
  <si>
    <t>DIPIDOLOR</t>
  </si>
  <si>
    <t>7,5MG/ML INJ SOL 5X2ML</t>
  </si>
  <si>
    <t>DITHIADEN</t>
  </si>
  <si>
    <t>TBL 20X2MG</t>
  </si>
  <si>
    <t>INJ 10X2ML</t>
  </si>
  <si>
    <t>Dobutamin Admeda 250 inf.sol50ml</t>
  </si>
  <si>
    <t>DOLMINA 50</t>
  </si>
  <si>
    <t>TBL OBD 30X50MG</t>
  </si>
  <si>
    <t>DORETA 75 MG/650 MG</t>
  </si>
  <si>
    <t>POR TBL FLM 10</t>
  </si>
  <si>
    <t>POR TBL FLM 90</t>
  </si>
  <si>
    <t>DUOPLAVIN 75 MG/100 MG</t>
  </si>
  <si>
    <t>POR TBL FLM 28</t>
  </si>
  <si>
    <t>DUPHALAC</t>
  </si>
  <si>
    <t>667MG/ML POR SOL 1X200ML IV</t>
  </si>
  <si>
    <t>667MG/ML POR SOL 1X500ML IV</t>
  </si>
  <si>
    <t>DZ BRAUNOL 500 ML</t>
  </si>
  <si>
    <t>DZ OCTENISEPT drm. sol. 250 ml</t>
  </si>
  <si>
    <t>DRM SOL 1X250ML</t>
  </si>
  <si>
    <t>EBRANTIL 30 RETARD</t>
  </si>
  <si>
    <t>POR CPS PRO 50X30MG</t>
  </si>
  <si>
    <t>EBRANTIL 60 RETARD</t>
  </si>
  <si>
    <t>POR CPS PRO 50X60MG</t>
  </si>
  <si>
    <t>ELIQUIS 2,5 MG</t>
  </si>
  <si>
    <t>POR TBL FLM 168X2.5MG</t>
  </si>
  <si>
    <t>ELIQUIS 5 MG</t>
  </si>
  <si>
    <t>POR TBL FLM 60X5MG</t>
  </si>
  <si>
    <t>ELOCOM</t>
  </si>
  <si>
    <t>DRM CRM 1X30GM 0.1%</t>
  </si>
  <si>
    <t>ENTRESTO</t>
  </si>
  <si>
    <t>24MG/26MG TBL FLM 28</t>
  </si>
  <si>
    <t>EPLERENON SANDOZ 25 MG</t>
  </si>
  <si>
    <t>POR TBL FLM 30X25MG</t>
  </si>
  <si>
    <t>ERDOMED</t>
  </si>
  <si>
    <t>POR CPS DUR 60X300MG</t>
  </si>
  <si>
    <t>ERDOMED 300MG</t>
  </si>
  <si>
    <t>CPS 20X300MG</t>
  </si>
  <si>
    <t>Espumisan cps.100x40mg-blistr</t>
  </si>
  <si>
    <t>0057585</t>
  </si>
  <si>
    <t>EUTHYROX</t>
  </si>
  <si>
    <t>137MCG TBL NOB 100 II</t>
  </si>
  <si>
    <t>75MCG TBL NOB 100 II</t>
  </si>
  <si>
    <t>100MCG TBL NOB 100 I</t>
  </si>
  <si>
    <t>EUTHYROX 50</t>
  </si>
  <si>
    <t>TBL 100X50RG</t>
  </si>
  <si>
    <t>EXACYL</t>
  </si>
  <si>
    <t>POR TBLFLM20X500MG</t>
  </si>
  <si>
    <t>FERRLECIT</t>
  </si>
  <si>
    <t>INJ SOL 6X5ML/62.5MG</t>
  </si>
  <si>
    <t>FLUDROCORTISON SQUIBB</t>
  </si>
  <si>
    <t>TBL 100X0.1MG</t>
  </si>
  <si>
    <t>FLUMAZENIL PHARMASELECT</t>
  </si>
  <si>
    <t>0,1MG/ML INJ SOL+INF CNC SOL 5X5ML</t>
  </si>
  <si>
    <t>FOKUSIN</t>
  </si>
  <si>
    <t>POR CPS RDR 90X0.4MG</t>
  </si>
  <si>
    <t>POR CPS RDR30X0.4MG</t>
  </si>
  <si>
    <t>FRAXIPARINE</t>
  </si>
  <si>
    <t>INJ SOL 10X0.4ML</t>
  </si>
  <si>
    <t>INJ SOL 10X0.8ML</t>
  </si>
  <si>
    <t>INJ SOL 10X0.6ML</t>
  </si>
  <si>
    <t>INJ SOL 10X0.3ML</t>
  </si>
  <si>
    <t>INJ SOL 10X1ML</t>
  </si>
  <si>
    <t>FRAXIPARINE FORTE</t>
  </si>
  <si>
    <t>INJ 10X0.8ML/15.2KU</t>
  </si>
  <si>
    <t>FURORESE 40</t>
  </si>
  <si>
    <t>TBL 100X40MG</t>
  </si>
  <si>
    <t>FUROSEMID ACCORD</t>
  </si>
  <si>
    <t>10MG/ML INJ/INF SOL 10X2ML</t>
  </si>
  <si>
    <t>FUROSEMID BIOTIKA FORTE</t>
  </si>
  <si>
    <t>INJ 10X10ML/125MG</t>
  </si>
  <si>
    <t xml:space="preserve">GABANOX 300MG </t>
  </si>
  <si>
    <t>CPS DUR 90</t>
  </si>
  <si>
    <t>GLUCOPHAGE XR 1000 MG TABLETY S PRODLOUŽENÝM UVOLŇ</t>
  </si>
  <si>
    <t>POR TBL PRO 60X1000MG</t>
  </si>
  <si>
    <t>GLUKÓZA 10 BRAUN</t>
  </si>
  <si>
    <t>INF SOL 10X500ML-PE</t>
  </si>
  <si>
    <t>GLUKÓZA 5 BRAUN</t>
  </si>
  <si>
    <t>INF SOL 20X100ML-PE</t>
  </si>
  <si>
    <t>GODASAL 100</t>
  </si>
  <si>
    <t>POR TBL NOB 100</t>
  </si>
  <si>
    <t>GOPTEN 2 MG</t>
  </si>
  <si>
    <t>POR CPS DUR 98X2MG</t>
  </si>
  <si>
    <t>HALOPERIDOL</t>
  </si>
  <si>
    <t>INJ 5X1ML/5MG</t>
  </si>
  <si>
    <t>GTT 1X10ML/20MG</t>
  </si>
  <si>
    <t>HELICID 20 ZENTIVA</t>
  </si>
  <si>
    <t>POR CPS ETD 90X20MG</t>
  </si>
  <si>
    <t>HEMINEVRIN 192 MG</t>
  </si>
  <si>
    <t>POR CPS MOL 100X192MG (dříve název 300mg!)</t>
  </si>
  <si>
    <t>HEPARIN LECIVA</t>
  </si>
  <si>
    <t>INJ 1X10ML/50KU</t>
  </si>
  <si>
    <t>HIRUDOID</t>
  </si>
  <si>
    <t>DRM CRM 1X40GM</t>
  </si>
  <si>
    <t>DRM GEL 1X40GM</t>
  </si>
  <si>
    <t>HUMULIN N 100 M.J./ML</t>
  </si>
  <si>
    <t>INJ 1X10ML/1KU</t>
  </si>
  <si>
    <t>HUMULIN R 100 M.J./ML</t>
  </si>
  <si>
    <t>HYDROCORTISON 10MG</t>
  </si>
  <si>
    <t>TBL 20X10MG</t>
  </si>
  <si>
    <t>HYDROCORTISON VUAB 100 MG</t>
  </si>
  <si>
    <t>INJ PLV SOL 1X100MG</t>
  </si>
  <si>
    <t>HYLAK FORTE</t>
  </si>
  <si>
    <t>POR SOL 100ML</t>
  </si>
  <si>
    <t>CHLORID SODNÝ 0,9% BRAUN</t>
  </si>
  <si>
    <t>INF SOL 10X1000MLPLAH</t>
  </si>
  <si>
    <t>INF SOL 10X500MLPELAH</t>
  </si>
  <si>
    <t>INF SOL 20X100MLPELAH</t>
  </si>
  <si>
    <t>INF SOL 10X250MLPELAH</t>
  </si>
  <si>
    <t>IBALGIN</t>
  </si>
  <si>
    <t>50MG/G CRM 50G</t>
  </si>
  <si>
    <t>IBALGIN 400</t>
  </si>
  <si>
    <t>400MG TBL FLM 48</t>
  </si>
  <si>
    <t>400MG TBL FLM 36</t>
  </si>
  <si>
    <t>IBALGIN KRÉM 100G</t>
  </si>
  <si>
    <t>DRM CRM 1X100GM</t>
  </si>
  <si>
    <t>IBUMAX 400 MG</t>
  </si>
  <si>
    <t>PORTBLFLM100X400MG</t>
  </si>
  <si>
    <t>IMAZOL PLUS</t>
  </si>
  <si>
    <t>10MG/G+2,5MG/G CRM 30G</t>
  </si>
  <si>
    <t>KALIUM CHLORATUM BIOMEDICA</t>
  </si>
  <si>
    <t>POR TBLFLM100X500MG</t>
  </si>
  <si>
    <t>KALIUMCHLORID 7.45% BRAUN</t>
  </si>
  <si>
    <t>INF CNC SOL 20X100ML</t>
  </si>
  <si>
    <t>KALNORMIN</t>
  </si>
  <si>
    <t>POR TBL PRO 30X1GM</t>
  </si>
  <si>
    <t>KANAVIT</t>
  </si>
  <si>
    <t>20MG/ML POR GTT EML 1X5ML</t>
  </si>
  <si>
    <t>INJ 5X1ML/10MG</t>
  </si>
  <si>
    <t>KINITO</t>
  </si>
  <si>
    <t>50MG TBL FLM 40(2X20)</t>
  </si>
  <si>
    <t>KL ETHER 180G</t>
  </si>
  <si>
    <t>KL ETHER 200G</t>
  </si>
  <si>
    <t xml:space="preserve">KL CHLADIVE MAZANI 450 g  </t>
  </si>
  <si>
    <t>Fagron, Kulich</t>
  </si>
  <si>
    <t>KL MESOCAIN GEL, 500G v láhvi s pumpou</t>
  </si>
  <si>
    <t>NESTERILNÍ</t>
  </si>
  <si>
    <t>KL TBL MAGN.LACT 0,5G+B6 0,02G, 100TBL</t>
  </si>
  <si>
    <t>KLACID 500</t>
  </si>
  <si>
    <t>POR TBL FLM 14X500MG</t>
  </si>
  <si>
    <t>Klysma salinické 135ml</t>
  </si>
  <si>
    <t>LANTUS 100 JEDNOTEK/ML SOLOSTAR</t>
  </si>
  <si>
    <t xml:space="preserve">SDR INJ SOL 5X3ML </t>
  </si>
  <si>
    <t>LERIVON</t>
  </si>
  <si>
    <t>10MG TBL FLM 30 II</t>
  </si>
  <si>
    <t>LETROX 100</t>
  </si>
  <si>
    <t>POR TBL NOB 100X100RG II</t>
  </si>
  <si>
    <t>LEXAURIN 3</t>
  </si>
  <si>
    <t>3MG TBL NOB 30</t>
  </si>
  <si>
    <t>3MG TBL NOB 28</t>
  </si>
  <si>
    <t>LIDOCAIN EGIS 10 %</t>
  </si>
  <si>
    <t>DRM SPR SOL 1X38GM</t>
  </si>
  <si>
    <t>LIPOVÝ ČAJ LEROS</t>
  </si>
  <si>
    <t>SPC 20X1.5GM(SÁČKY)</t>
  </si>
  <si>
    <t>LOKREN 20 MG</t>
  </si>
  <si>
    <t>POR TBL FLM 98X20MG</t>
  </si>
  <si>
    <t>LOPERON CPS</t>
  </si>
  <si>
    <t>POR CPS DUR 10X2MG</t>
  </si>
  <si>
    <t>POR CPS DUR 20X2MG</t>
  </si>
  <si>
    <t>LORADUR MITE</t>
  </si>
  <si>
    <t>POR TBL NOB 50</t>
  </si>
  <si>
    <t>MAGNESIUM SULFURICUM BBP 20%</t>
  </si>
  <si>
    <t>200MG/ML INJ SOL 5X10ML</t>
  </si>
  <si>
    <t>MAGNETRANS 375mg 50 tyčinek granulátu</t>
  </si>
  <si>
    <t>MÁTOVÝ ČAJ LEROS</t>
  </si>
  <si>
    <t>SPC 20X2.0GM(SÁČKY)</t>
  </si>
  <si>
    <t>MEDROL 4MG</t>
  </si>
  <si>
    <t>TBL NOB 30 II</t>
  </si>
  <si>
    <t>MESOCAIN</t>
  </si>
  <si>
    <t>GEL 1X20GM</t>
  </si>
  <si>
    <t>INJ 10X10ML 1%</t>
  </si>
  <si>
    <t>MIDAZOLAM ACCORD 1 MG/ML</t>
  </si>
  <si>
    <t>INJ+INF SOL 10X5ML</t>
  </si>
  <si>
    <t>MIDAZOLAM ACCORD 5 MG/ML</t>
  </si>
  <si>
    <t>INJ+INF SOL 10X1ML</t>
  </si>
  <si>
    <t>MILGAMMA N</t>
  </si>
  <si>
    <t>POR CPS MOL 50</t>
  </si>
  <si>
    <t>MONO MACK DEPOT</t>
  </si>
  <si>
    <t>POR TBL PRO 28X100MG</t>
  </si>
  <si>
    <t>MORPHIN BIOTIKA 1%</t>
  </si>
  <si>
    <t>INJ 10X1ML/10MG</t>
  </si>
  <si>
    <t>NAC AL 600 ŠUMIVÉ TABLETY</t>
  </si>
  <si>
    <t>POR TBL EFF10X600MG</t>
  </si>
  <si>
    <t>POR TBL EFF 50X600MG</t>
  </si>
  <si>
    <t>POR TBL EFF20X600MG</t>
  </si>
  <si>
    <t>NEBIVOLOL SANDOZ 5 MG</t>
  </si>
  <si>
    <t>POR TBL NOB 28X5MG</t>
  </si>
  <si>
    <t>NEODOLPASSE</t>
  </si>
  <si>
    <t>75MG/30MG INF SOL 10X250ML</t>
  </si>
  <si>
    <t>NEUROL 0.25</t>
  </si>
  <si>
    <t>TBL 30X0.25MG</t>
  </si>
  <si>
    <t>NEURONTIN 300 MG</t>
  </si>
  <si>
    <t>POR CPS DUR 100X300MG</t>
  </si>
  <si>
    <t>NIMESIL</t>
  </si>
  <si>
    <t>PORGRASUS30X100MG-S</t>
  </si>
  <si>
    <t>NITRESAN 10 MG</t>
  </si>
  <si>
    <t>POR TBL NOB 100X10MG</t>
  </si>
  <si>
    <t>NITRO POHL INFUS.</t>
  </si>
  <si>
    <t>INF 10X10ML/10MG</t>
  </si>
  <si>
    <t>NORADRENALIN LECIVA</t>
  </si>
  <si>
    <t>NOVALGIN</t>
  </si>
  <si>
    <t>500MG TBL FLM 20</t>
  </si>
  <si>
    <t>INJ 10X2ML/1000MG</t>
  </si>
  <si>
    <t>INJ 5X5ML/2500MG</t>
  </si>
  <si>
    <t>NOVORAPID 100 U/ML</t>
  </si>
  <si>
    <t>INJ SOL 1X10ML</t>
  </si>
  <si>
    <t>OPHTHALMO-SEPTONEX</t>
  </si>
  <si>
    <t>OPH GTT SOL 1X10ML PLAST</t>
  </si>
  <si>
    <t>OXAZEPAM TBL.20X10MG</t>
  </si>
  <si>
    <t>TBL 20X10MG(BLISTR)</t>
  </si>
  <si>
    <t>Panthenol spray 10% 150 ml</t>
  </si>
  <si>
    <t>PARACETAMOL KABI 10MG/ML</t>
  </si>
  <si>
    <t>INF SOL 10X100ML/1000MG</t>
  </si>
  <si>
    <t>PARALEN 500</t>
  </si>
  <si>
    <t>POR TBL NOB 24X500MG</t>
  </si>
  <si>
    <t>PARALEN 500 TBL 12</t>
  </si>
  <si>
    <t>500MG TBL NOB 12</t>
  </si>
  <si>
    <t>PREDNISON 20 LECIVA</t>
  </si>
  <si>
    <t>TBL 20X20MG(BLISTR)</t>
  </si>
  <si>
    <t>PREDNISON 5 LECIVA</t>
  </si>
  <si>
    <t>TBL 20X5MG</t>
  </si>
  <si>
    <t>PRESTARIUM NEO</t>
  </si>
  <si>
    <t>PRESTARIUM NEO COMBI 5mg/1,25mg</t>
  </si>
  <si>
    <t>PROPOFOL 1% MCT/LCT FRESENIUS</t>
  </si>
  <si>
    <t>INJ EML 5X20ML</t>
  </si>
  <si>
    <t>RAPIFEN</t>
  </si>
  <si>
    <t>0,5MG/ML INJ SOL 5X2ML</t>
  </si>
  <si>
    <t>RINGERFUNDIN B.BRAUN</t>
  </si>
  <si>
    <t>INF SOL10X1000ML PE</t>
  </si>
  <si>
    <t>RINGERUV ROZTOK BRAUN</t>
  </si>
  <si>
    <t>INF 10X500ML(LDPE)</t>
  </si>
  <si>
    <t>RIVOTRIL 2 MG</t>
  </si>
  <si>
    <t>TBL 30X2MG</t>
  </si>
  <si>
    <t>Rosen Pinio-Nasal nosní sprej 10ml</t>
  </si>
  <si>
    <t>ROWATINEX</t>
  </si>
  <si>
    <t>GTT 1X10ML</t>
  </si>
  <si>
    <t>SALAZOPYRIN EN</t>
  </si>
  <si>
    <t>POR TBLENT100X500MG</t>
  </si>
  <si>
    <t>SERETIDE DISKUS</t>
  </si>
  <si>
    <t>50MCG/100MCG INH PLV DOS 1X60DÁV</t>
  </si>
  <si>
    <t>SIOFOR 1000</t>
  </si>
  <si>
    <t>POR TBL FLM 60X1000MG</t>
  </si>
  <si>
    <t>SIOFOR 500</t>
  </si>
  <si>
    <t>TBL OBD 60X500MG</t>
  </si>
  <si>
    <t>500MG TBL FLM 120 II</t>
  </si>
  <si>
    <t>SIOFOR 850MG</t>
  </si>
  <si>
    <t>TBL FLM 60x850MG</t>
  </si>
  <si>
    <t>SOLU-MEDROL</t>
  </si>
  <si>
    <t>INJ SIC 1X40MG+1ML</t>
  </si>
  <si>
    <t>INJ SIC 1X250MG+4ML</t>
  </si>
  <si>
    <t>SOLUVIT N PRO INFUS.</t>
  </si>
  <si>
    <t>INJ SIC 10</t>
  </si>
  <si>
    <t>SORBIFER DURULES</t>
  </si>
  <si>
    <t>POR TBL FLM 100X100MG</t>
  </si>
  <si>
    <t>SORTIS 40MG</t>
  </si>
  <si>
    <t>TBL OBD 30X40MG</t>
  </si>
  <si>
    <t>SPECIES UROLOGICAE PLANTA LEROS</t>
  </si>
  <si>
    <t>STACYL 100 MG ENTEROSOLVENTNÍ TABLETY</t>
  </si>
  <si>
    <t>POR TBL ENT 100X100MG I</t>
  </si>
  <si>
    <t>SUPP.GLYCERINI SANOVA Glycerín.čípky Extra 3g 10ks</t>
  </si>
  <si>
    <t>Suppositoria Glyc.Sanova Classic 2g</t>
  </si>
  <si>
    <t>SUPPOSITORIA GLYCERINI LÉČIVA</t>
  </si>
  <si>
    <t>SUP 10X2,06G</t>
  </si>
  <si>
    <t>SYNTOPHYLLIN</t>
  </si>
  <si>
    <t>INJ 5X10ML/240MG</t>
  </si>
  <si>
    <t>SYNTOSTIGMIN</t>
  </si>
  <si>
    <t>TANTUM VERDE</t>
  </si>
  <si>
    <t>1,5MG/ML GGR 240 ML</t>
  </si>
  <si>
    <t>TELMISARTAN SANDOZ</t>
  </si>
  <si>
    <t>80MG TBL NOB 100</t>
  </si>
  <si>
    <t>TEZZIMI</t>
  </si>
  <si>
    <t>10MG TBL NOB 30 I</t>
  </si>
  <si>
    <t>THIAMIN LECIVA</t>
  </si>
  <si>
    <t>INJ 10X2ML/100MG</t>
  </si>
  <si>
    <t>TIAPRIDAL</t>
  </si>
  <si>
    <t>INJ SOL 12X2ML/100MG</t>
  </si>
  <si>
    <t>TORECAN</t>
  </si>
  <si>
    <t>INJ 5X1ML/6.5MG</t>
  </si>
  <si>
    <t>TRALGIT OROTAB</t>
  </si>
  <si>
    <t>50MG POR TBL DIS 30 II</t>
  </si>
  <si>
    <t xml:space="preserve">TRAMAL RETARD </t>
  </si>
  <si>
    <t>TBL 10x100 MG</t>
  </si>
  <si>
    <t>TRIPLIXAM 10 MG/2,5 MG/10 MG</t>
  </si>
  <si>
    <t>TRIPLIXAM 5 MG/1,25 MG/5 MG</t>
  </si>
  <si>
    <t>POR TBL FLM 30</t>
  </si>
  <si>
    <t>TRITACE 2,5 MG</t>
  </si>
  <si>
    <t>POR TBL NOB 20X2.5MG</t>
  </si>
  <si>
    <t>TRITTICO AC 150</t>
  </si>
  <si>
    <t>TBL RET 60X150MG</t>
  </si>
  <si>
    <t>TRITTICO AC 75</t>
  </si>
  <si>
    <t>TBL RET 30X75MG</t>
  </si>
  <si>
    <t>TULIP 20 MG POTAHOVANÉ TABLETY</t>
  </si>
  <si>
    <t>POR TBL FLM 90X20MG</t>
  </si>
  <si>
    <t>TULIP 40 MG</t>
  </si>
  <si>
    <t>POR TBL FLM 90X40MG</t>
  </si>
  <si>
    <t>VENTOLIN</t>
  </si>
  <si>
    <t>5MG/ML INH SOL 1X20ML</t>
  </si>
  <si>
    <t>VENTOLIN INHALER N</t>
  </si>
  <si>
    <t>100MCG/DÁV INH SUS PSS 200DÁV</t>
  </si>
  <si>
    <t>VERMOX</t>
  </si>
  <si>
    <t>POR TBL NOB 6X100MG</t>
  </si>
  <si>
    <t>VEROSPIRON</t>
  </si>
  <si>
    <t>TBL 100X25MG</t>
  </si>
  <si>
    <t>VITAMIN B12 LECIVA 1000RG</t>
  </si>
  <si>
    <t>INJ 5X1ML/1000RG</t>
  </si>
  <si>
    <t>WARFARIN PMCS 2 MG</t>
  </si>
  <si>
    <t>POR TBL NOB 100X2MG</t>
  </si>
  <si>
    <t>WARFARIN PMCS 5 MG</t>
  </si>
  <si>
    <t>POR TBL NOB 100X5MG</t>
  </si>
  <si>
    <t>XADOS 20 MG TABLETY</t>
  </si>
  <si>
    <t>POR TBL NOB 30X20MG</t>
  </si>
  <si>
    <t>XARELTO 10 MG</t>
  </si>
  <si>
    <t>POR TBL FLM 100X10MG</t>
  </si>
  <si>
    <t>ZALDIAR</t>
  </si>
  <si>
    <t>37,5MG/325MG TBL FLM 30X1</t>
  </si>
  <si>
    <t>ZODAC</t>
  </si>
  <si>
    <t>POR TBL FLM 90X10MG</t>
  </si>
  <si>
    <t>TBL OBD 60X10MG</t>
  </si>
  <si>
    <t>ZOLOFT 50MG</t>
  </si>
  <si>
    <t>TBL OBD 28X50MG</t>
  </si>
  <si>
    <t>ZOLPIDEM MYLAN</t>
  </si>
  <si>
    <t>POR TBL FLM 50X10MG</t>
  </si>
  <si>
    <t>ZYLLT 75 MG</t>
  </si>
  <si>
    <t>POR TBL FLM 28X75MG</t>
  </si>
  <si>
    <t>POR TBL FLM 56X75MG</t>
  </si>
  <si>
    <t>léky - parenterální výživa (LEK)</t>
  </si>
  <si>
    <t>NUTRIFLEX OMEGA SPECIAL 56/144</t>
  </si>
  <si>
    <t>INF EML 5X1250ML</t>
  </si>
  <si>
    <t>léky - enterální výživa (LEK)</t>
  </si>
  <si>
    <t>NUTRIDRINK CREME S PŘÍCHUTÍ BANÁNOVOU</t>
  </si>
  <si>
    <t>POR SOL 4X125GM</t>
  </si>
  <si>
    <t>NUTRIDRINK S PŘÍCHUTÍ BANÁNOVOU</t>
  </si>
  <si>
    <t>POR SOL 1X200ML</t>
  </si>
  <si>
    <t>NUTRIDRINK S PŘÍCHUTÍ VANILKOVOU</t>
  </si>
  <si>
    <t>POR SOL 4X200ML</t>
  </si>
  <si>
    <t>PreOp 4x200ml</t>
  </si>
  <si>
    <t>PROTIFAR</t>
  </si>
  <si>
    <t>POR PLV SOL 1X225GM</t>
  </si>
  <si>
    <t>léky - hemofilici ZUL (TO)</t>
  </si>
  <si>
    <t>ALBUREX</t>
  </si>
  <si>
    <t>200G/L INF SOL 1X100ML</t>
  </si>
  <si>
    <t>léky - antibiotika (LEK)</t>
  </si>
  <si>
    <t>AMOKSIKLAV 1 G</t>
  </si>
  <si>
    <t>POR TBL FLM 21X1GM</t>
  </si>
  <si>
    <t>AMOKSIKLAV 1.2GM</t>
  </si>
  <si>
    <t>INJ SIC 5X1.2GM</t>
  </si>
  <si>
    <t>AMPICILIN 1,0 BIOTIKA</t>
  </si>
  <si>
    <t>INJ PLV SOL 10X1000MG</t>
  </si>
  <si>
    <t>AMPICILLIN AND SULBACTAM IBI 1 G + 500 MG PRÁŠEK P</t>
  </si>
  <si>
    <t>INJ PLV SOL 10X1G+500MG/LAH</t>
  </si>
  <si>
    <t>AMPIPLUS 1000mg/500mg - mimořádný dovoz</t>
  </si>
  <si>
    <t>inj.inf.sol 25 vials</t>
  </si>
  <si>
    <t>AXETINE 1,5GM</t>
  </si>
  <si>
    <t>INJ SIC 10X1.5GM</t>
  </si>
  <si>
    <t>AZEPO 1 G</t>
  </si>
  <si>
    <t>INJ+INF PLV SOL 10X1GM</t>
  </si>
  <si>
    <t>BELOGENT MAST</t>
  </si>
  <si>
    <t>UNG 1X30GM</t>
  </si>
  <si>
    <t>CEFTAZIDIM KABI 2 GM</t>
  </si>
  <si>
    <t>INJ+INF PLV SOL 10X2GM</t>
  </si>
  <si>
    <t>CEFTRIAXON KABI 2 G</t>
  </si>
  <si>
    <t>INF PLV SOL 10X2GM</t>
  </si>
  <si>
    <t>CIPROFLOXACIN KABI 200 MG/100 ML INFUZNÍ ROZTOK</t>
  </si>
  <si>
    <t>INF SOL 10X200MG/100ML</t>
  </si>
  <si>
    <t>CIPROFLOXACIN KABI 400 MG/200 ML INFUZNÍ ROZTOK</t>
  </si>
  <si>
    <t>INF SOL 10X400MG/200ML</t>
  </si>
  <si>
    <t>Clindamycin Kabi 150mg/ml 10 x 4ml/600mg</t>
  </si>
  <si>
    <t>10 x 4ml /600mg</t>
  </si>
  <si>
    <t>Clindamycin Kabi inj.sol.10x2ml/300mg</t>
  </si>
  <si>
    <t>FRAMYKOIN</t>
  </si>
  <si>
    <t>UNG 1X10GM</t>
  </si>
  <si>
    <t>FUROLIN TABLETY</t>
  </si>
  <si>
    <t>POR TBL NOB 30X100MG</t>
  </si>
  <si>
    <t>GENTAMICIN B.BRAUN INF SOL 240MG</t>
  </si>
  <si>
    <t>20X80ML 3MG/ML</t>
  </si>
  <si>
    <t>Gentamicin B.Braun INF SOL 80MG</t>
  </si>
  <si>
    <t>20x80ML 1mg/ml</t>
  </si>
  <si>
    <t>GENTAMICIN LEK 80 MG/2 ML</t>
  </si>
  <si>
    <t>INJ SOL 10X2ML/80MG</t>
  </si>
  <si>
    <t>MACMIROR COMPLEX</t>
  </si>
  <si>
    <t>VAG UNG 1X30GM+APL</t>
  </si>
  <si>
    <t>MEDOCLAV 1000 MG/200 MG</t>
  </si>
  <si>
    <t>INJ+INF PLV SOL 10X1.2GM</t>
  </si>
  <si>
    <t>MEROPENEM BRADEX</t>
  </si>
  <si>
    <t>1G INJ/INF PLV SOL 10</t>
  </si>
  <si>
    <t>METRONIDAZOLE NORIDEM</t>
  </si>
  <si>
    <t>5MG/ML INF SOL 10X100ML</t>
  </si>
  <si>
    <t>NOLICIN</t>
  </si>
  <si>
    <t>TBL 20X400MG</t>
  </si>
  <si>
    <t>PAMYCON NA PŘÍPRAVU KAPEK</t>
  </si>
  <si>
    <t>DRM PLV SOL 1X1LAH</t>
  </si>
  <si>
    <t>PENICILIN G 1,0 DRASELNÁ SO. BIOTIKA</t>
  </si>
  <si>
    <t>INJ PLV SOL 10X1MU</t>
  </si>
  <si>
    <t>PROSTAPHLIN 1000MG</t>
  </si>
  <si>
    <t>INJ PLV SOL 1</t>
  </si>
  <si>
    <t>SEFOTAK 1 G</t>
  </si>
  <si>
    <t>INJ PLV SOL 1X1GM</t>
  </si>
  <si>
    <t>SUMETROLIM</t>
  </si>
  <si>
    <t>TBL 20X480MG</t>
  </si>
  <si>
    <t>TYGACIL 50 MG</t>
  </si>
  <si>
    <t>INF PLV SOL 10X50MG/5ML</t>
  </si>
  <si>
    <t>UNASYN</t>
  </si>
  <si>
    <t>POR TBL FLM12X375MG</t>
  </si>
  <si>
    <t>VANCOMYCIN MYLAN 1000 MG</t>
  </si>
  <si>
    <t>INF PLV SOL 1X1GM</t>
  </si>
  <si>
    <t>VANCOMYCIN MYLAN 500 MG</t>
  </si>
  <si>
    <t>INF PLV SOL 1X500MG</t>
  </si>
  <si>
    <t>léky - antimykotika (LEK)</t>
  </si>
  <si>
    <t>BATRAFEN</t>
  </si>
  <si>
    <t>CRM 1X20GM</t>
  </si>
  <si>
    <t>BATRAFEN ROZTOK</t>
  </si>
  <si>
    <t>10MG/ML DRM SOL 20ML</t>
  </si>
  <si>
    <t>FLUCONAZOL KABI 2 MG/ML</t>
  </si>
  <si>
    <t>INF SOL 10X200ML/400MG</t>
  </si>
  <si>
    <t>KL AQUA PURIF. KUL., FAG. 1 kg</t>
  </si>
  <si>
    <t>ACC INJEKT</t>
  </si>
  <si>
    <t>INJ SOL 5X3ML/300MG</t>
  </si>
  <si>
    <t>ACIDUM ASCORBICUM</t>
  </si>
  <si>
    <t>INJ 5X5ML</t>
  </si>
  <si>
    <t>AGEN 10</t>
  </si>
  <si>
    <t>POR TBL NOB 90X10MG</t>
  </si>
  <si>
    <t>ALMIRAL</t>
  </si>
  <si>
    <t>INJ 10X3ML/75MG</t>
  </si>
  <si>
    <t>APO-DICLO SR 100</t>
  </si>
  <si>
    <t>POR TBL RET 100X100MG</t>
  </si>
  <si>
    <t>APO-PAROX</t>
  </si>
  <si>
    <t>INF 1X500ML</t>
  </si>
  <si>
    <t>ARDEAELYTOSOL CONC. NA.HYDR.CARB. 8,4%</t>
  </si>
  <si>
    <t>84MG/ML INF CNC SOL 20X80ML</t>
  </si>
  <si>
    <t>ARDEAELYTOSOL L-ARGININCHL.21%</t>
  </si>
  <si>
    <t>INF 1X80ML</t>
  </si>
  <si>
    <t>ARDEAELYTOSOL NA.HYDR.CARB. 8,4%</t>
  </si>
  <si>
    <t>84MG/ML INF CNC SOL 10X200ML</t>
  </si>
  <si>
    <t>ARDEAOSMOSOL MA 20</t>
  </si>
  <si>
    <t>200G/L INF SOL 20X100ML</t>
  </si>
  <si>
    <t>ARDUAN</t>
  </si>
  <si>
    <t>INJ SIC 25X4MG+2ML</t>
  </si>
  <si>
    <t>BETADINE - zelená</t>
  </si>
  <si>
    <t>LIQ 1X1000ML</t>
  </si>
  <si>
    <t>BETALOC ZOK</t>
  </si>
  <si>
    <t>50MG TBL PRO 100</t>
  </si>
  <si>
    <t>25MG TBL PRO 100</t>
  </si>
  <si>
    <t>BROMHEXIN - EGIS</t>
  </si>
  <si>
    <t>SOL 1X60ML/120MG</t>
  </si>
  <si>
    <t>CALCIUM CHLORATUM BIOTIKA</t>
  </si>
  <si>
    <t>INJ 5X10ML 10%</t>
  </si>
  <si>
    <t>CALYPSOL</t>
  </si>
  <si>
    <t>INJ 5X10ML/500MG</t>
  </si>
  <si>
    <t>CARDILAN</t>
  </si>
  <si>
    <t>INJ 10X10ML</t>
  </si>
  <si>
    <t>CATAPRES 0,15MG INJ-MIMOŘÁDNÝ DOVOZ!!</t>
  </si>
  <si>
    <t>INJ 5X1ML/0.15MG</t>
  </si>
  <si>
    <t>CEREBROLYSIN</t>
  </si>
  <si>
    <t>INJ SOL 5X10ML</t>
  </si>
  <si>
    <t>CERNEVIT</t>
  </si>
  <si>
    <t>INJ PLV SOL10X750MG</t>
  </si>
  <si>
    <t>CODEIN SLOVAKOFARMA</t>
  </si>
  <si>
    <t>15MG TBL NOB 10</t>
  </si>
  <si>
    <t>CONTROLOC I.V.</t>
  </si>
  <si>
    <t>INJ PLV SOL 1X40MG</t>
  </si>
  <si>
    <t>CYMEVENE</t>
  </si>
  <si>
    <t>500MG INF PLV CSL 1</t>
  </si>
  <si>
    <t>DEPAKINE CHRONO 500MG SECABLE</t>
  </si>
  <si>
    <t>TBL RET 100X500MG</t>
  </si>
  <si>
    <t>DEXMEDETOMIDINE EVER PHARMA</t>
  </si>
  <si>
    <t>100MCG/ML INF CNC SOL 25X2ML</t>
  </si>
  <si>
    <t>DZ OCTENISEPT 250 ml</t>
  </si>
  <si>
    <t>sprej</t>
  </si>
  <si>
    <t>DZ TRIXO 500 ML</t>
  </si>
  <si>
    <t>EBRANTIL I.V. 25</t>
  </si>
  <si>
    <t>INJ SOL 5X5ML/25MG</t>
  </si>
  <si>
    <t>EBRANTIL I.V. 50</t>
  </si>
  <si>
    <t>INJ SOL 5X10ML/50MG</t>
  </si>
  <si>
    <t>ECOLAV Výplach očí 100ml</t>
  </si>
  <si>
    <t>100 ml</t>
  </si>
  <si>
    <t>EGILOK</t>
  </si>
  <si>
    <t>25MG TBL NOB 60</t>
  </si>
  <si>
    <t>EGILOK 50MG</t>
  </si>
  <si>
    <t>TBL 60X50MG</t>
  </si>
  <si>
    <t>POR TBL FLM 20X2.5MG</t>
  </si>
  <si>
    <t>EMPRESSIN 40IU/2ML - mimořádný dovoz</t>
  </si>
  <si>
    <t>INJ SOL 10X2ML</t>
  </si>
  <si>
    <t>ENAP I.V.</t>
  </si>
  <si>
    <t>INJ 5X1ML/1.25MG</t>
  </si>
  <si>
    <t>EPHEDRIN BIOTIKA</t>
  </si>
  <si>
    <t>INJ SOL 10X1ML/50MG</t>
  </si>
  <si>
    <t>ESMOCARD LYO</t>
  </si>
  <si>
    <t>2500MG INF PLV CSL 1</t>
  </si>
  <si>
    <t>EUPHYLLIN CR N 200</t>
  </si>
  <si>
    <t>200MG CPS PRO 50</t>
  </si>
  <si>
    <t>INJ 5X5ML/500MG</t>
  </si>
  <si>
    <t>TBL 50X40MG</t>
  </si>
  <si>
    <t>GELASPAN 4% EBI20x500 ml</t>
  </si>
  <si>
    <t>INF SOL20X500ML VAK</t>
  </si>
  <si>
    <t>GERATAM 3 G</t>
  </si>
  <si>
    <t>INJ SOL 4X15ML/3GM</t>
  </si>
  <si>
    <t>GLUKÓZA 20 BRAUN</t>
  </si>
  <si>
    <t>200MG/ML INF SOL 10X500ML</t>
  </si>
  <si>
    <t>INF SOL 10X250ML-PE</t>
  </si>
  <si>
    <t>IBUPROFEN AL 400</t>
  </si>
  <si>
    <t>400MG TBL FLM 30</t>
  </si>
  <si>
    <t>ICHTOXYL</t>
  </si>
  <si>
    <t>IMURAN</t>
  </si>
  <si>
    <t>50MG TBL FLM 100</t>
  </si>
  <si>
    <t>INFADOLAN</t>
  </si>
  <si>
    <t>1600IU/G+300IU/G UNG 30G II</t>
  </si>
  <si>
    <t>IR  4% Citrate Solution SafeLock 1500 ml</t>
  </si>
  <si>
    <t>IR dialysační rozt.</t>
  </si>
  <si>
    <t>IR  AQUA STERILE OPLACH.1x1000 ml ECOTAINER</t>
  </si>
  <si>
    <t>IR OPLACH</t>
  </si>
  <si>
    <t>IR  Ci-Ca DIALYSAT K2</t>
  </si>
  <si>
    <t>IR DIALYSACNI RPZT.</t>
  </si>
  <si>
    <t xml:space="preserve">IR NaCl 0,9% Frekaflex 1000ml </t>
  </si>
  <si>
    <t>Roztok pro hemodialýzu</t>
  </si>
  <si>
    <t>KL ETHER LÉKOPISNÝ 1000 ml Fagron, Kulich</t>
  </si>
  <si>
    <t>UN 1155</t>
  </si>
  <si>
    <t>LETROX 75</t>
  </si>
  <si>
    <t>POR TBL NOB 100X75MCG II</t>
  </si>
  <si>
    <t>LEVOBUPIVACAINE KABI 5 MG/ML</t>
  </si>
  <si>
    <t>INJ+INF SOL 5X10ML</t>
  </si>
  <si>
    <t>LEXAURIN 1,5</t>
  </si>
  <si>
    <t>POR TBL NOB 30X1.5MG</t>
  </si>
  <si>
    <t>MAALOX SUSPENZE</t>
  </si>
  <si>
    <t>35MG/ML+40MG/ML POR SUS 1X250ML II</t>
  </si>
  <si>
    <t>MAGNESIUM SULFURICUM BBP 10%</t>
  </si>
  <si>
    <t>MAGNOSOLV</t>
  </si>
  <si>
    <t>365MG POR GRA SOL SCC 30</t>
  </si>
  <si>
    <t>MAXITROL</t>
  </si>
  <si>
    <t>OPH UNG 3,5G</t>
  </si>
  <si>
    <t>OPH GTT SUS 1X5ML</t>
  </si>
  <si>
    <t>INJ+INF SOL 10X3ML</t>
  </si>
  <si>
    <t>MUCOSOLVAN</t>
  </si>
  <si>
    <t>POR GTT SOL+INH SOL 60ML</t>
  </si>
  <si>
    <t>0,3MG/ML+0,12MG/ML INF SOL 1X250ML</t>
  </si>
  <si>
    <t>NEUROL 0.5</t>
  </si>
  <si>
    <t>POR TBL NOB30X0.5MG</t>
  </si>
  <si>
    <t>NEURONTIN 300MG</t>
  </si>
  <si>
    <t>CPS 50X300MG</t>
  </si>
  <si>
    <t>NORADRENALIN LÉČIVA</t>
  </si>
  <si>
    <t>IVN INF CNC SOL 5X5ML</t>
  </si>
  <si>
    <t>NOVOSEVEN 2 MG (100 KIU)</t>
  </si>
  <si>
    <t>INJ PSO LQF 2MG III</t>
  </si>
  <si>
    <t>ONDANSETRON B. BRAUN 2 MG/ML</t>
  </si>
  <si>
    <t>INJ SOL 20X4ML/8MG LDPE</t>
  </si>
  <si>
    <t>OPHTHALMO-AZULEN</t>
  </si>
  <si>
    <t>UNG OPH 1X5GM</t>
  </si>
  <si>
    <t>OTOBACID N</t>
  </si>
  <si>
    <t>0,2MG/G+5MG/G+479,8MG/G AUR GTT SOL 1X5ML</t>
  </si>
  <si>
    <t>PENTILIN</t>
  </si>
  <si>
    <t>20MG/ML INJ/INF SOL 5X5ML</t>
  </si>
  <si>
    <t>INJ EML 10X50ML</t>
  </si>
  <si>
    <t>INJ EML 10X100ML</t>
  </si>
  <si>
    <t>PROTAMIN MEDA AMPULLEN</t>
  </si>
  <si>
    <t>1000IU/ML INJ SOL 5X5ML</t>
  </si>
  <si>
    <t>REMESTYP 1.0</t>
  </si>
  <si>
    <t>INJ 5X10ML/1MG</t>
  </si>
  <si>
    <t>ROCURONIUM BROMIDE HAMELN</t>
  </si>
  <si>
    <t>10MG/ML INJ/INF SOL 10X5ML</t>
  </si>
  <si>
    <t>SEROPRAM</t>
  </si>
  <si>
    <t>INF 5X0.5ML/20MG</t>
  </si>
  <si>
    <t>SIMDAX 2,5 MG/ML</t>
  </si>
  <si>
    <t>INF CNC SOL 1X5ML</t>
  </si>
  <si>
    <t>SMECTA</t>
  </si>
  <si>
    <t>PLV POR 1X30SACKU</t>
  </si>
  <si>
    <t>INJ SIC 1X125MG+2ML</t>
  </si>
  <si>
    <t>INJ SIC 1X500MG+8ML</t>
  </si>
  <si>
    <t>SORTIS 80 MG</t>
  </si>
  <si>
    <t>POR TBL FLM 30X80MG</t>
  </si>
  <si>
    <t>SUFENTANIL TORREX 50MCG/ML</t>
  </si>
  <si>
    <t>INJ SOL 5X5ML (250rg)</t>
  </si>
  <si>
    <t>SUFENTANIL TORREX 5MCG/ML</t>
  </si>
  <si>
    <t>INJ SOL 5X10ML (50rg)</t>
  </si>
  <si>
    <t>SUXAMETHONIUM CHLORID VUAB 100MG</t>
  </si>
  <si>
    <t>INJ/INF PLV SOL 1x100MG</t>
  </si>
  <si>
    <t>TACHYBEN I.V. 25 MG INJEKČNÍ ROZTOK</t>
  </si>
  <si>
    <t>THIOCTACID 600 T</t>
  </si>
  <si>
    <t>INJ SOL 5X24ML/600MG</t>
  </si>
  <si>
    <t>TOBRADEX</t>
  </si>
  <si>
    <t>3MG/ML+1MG/ML OPH GTT SUS 1X5ML</t>
  </si>
  <si>
    <t>TRACRIUM 50</t>
  </si>
  <si>
    <t>10MG/ML INJ SOL 5X5ML</t>
  </si>
  <si>
    <t>TRANSMETIL 500 MG TABLETY</t>
  </si>
  <si>
    <t>POR TBL ENT 10X500MG</t>
  </si>
  <si>
    <t>Trental inj -MIMOŘÁDNÝ DOVOZ!!</t>
  </si>
  <si>
    <t>INJ 5X5ML/100MG</t>
  </si>
  <si>
    <t>VASOCARDIN 50</t>
  </si>
  <si>
    <t>POR TBL NOB 50X50MG</t>
  </si>
  <si>
    <t>VIANT</t>
  </si>
  <si>
    <t>INF PLV SOL 10</t>
  </si>
  <si>
    <t>VIDISIC</t>
  </si>
  <si>
    <t>GEL OPH 1X10GM</t>
  </si>
  <si>
    <t>ZARZIO 48 MU/0,5 ML</t>
  </si>
  <si>
    <t>INJ+INF SOL 5X0.5ML</t>
  </si>
  <si>
    <t>POR TBL FLM 20X10MG</t>
  </si>
  <si>
    <t>AMINOPLASMAL B.BRAUN 10%</t>
  </si>
  <si>
    <t>INF SOL 10X500ML</t>
  </si>
  <si>
    <t>AMINOPLASMAL B.BRAUN 5% E</t>
  </si>
  <si>
    <t>NEPHROTECT</t>
  </si>
  <si>
    <t>OLIMEL N9</t>
  </si>
  <si>
    <t>INF EML4X2000ML</t>
  </si>
  <si>
    <t>CUBITAN S PŘÍCHUTÍ ČOKOLÁDOVOU</t>
  </si>
  <si>
    <t>CUBITAN S PŘÍCHUTÍ VANILKOVOU</t>
  </si>
  <si>
    <t>DIASIP S PŘÍCHUTÍ CAPPUCCINO</t>
  </si>
  <si>
    <t>DIASIP S PŘÍCHUTÍ JAHODOVOU</t>
  </si>
  <si>
    <t>DIASIP S PŘÍCHUTÍ VANILKOVOU</t>
  </si>
  <si>
    <t>Nutricomp glutamine plus HDPE 500 ml plast</t>
  </si>
  <si>
    <t>1x500 ml</t>
  </si>
  <si>
    <t>NUTRIDRINK BALÍČEK 5+1</t>
  </si>
  <si>
    <t>POR SOL 6X200ML</t>
  </si>
  <si>
    <t>NUTRIDRINK COMPACT NEUTRAL</t>
  </si>
  <si>
    <t>POR SOL 4X125ML</t>
  </si>
  <si>
    <t>NUTRIDRINK CREME S PŘÍCHUTÍ ČOKOLÁDOVOU</t>
  </si>
  <si>
    <t>NUTRIDRINK CREME S PŘÍCHUTÍ VANILKOVOU</t>
  </si>
  <si>
    <t>NUTRIDRINK JUICE STYLE S PŘÍCHUTÍ JABLEČNOU</t>
  </si>
  <si>
    <t>NUTRIDRINK JUICE STYLE S PŘÍCHUTÍ JAHODOVOU</t>
  </si>
  <si>
    <t>NUTRIDRINK S PŘÍCHUTÍ ČOKOLÁDOVOU</t>
  </si>
  <si>
    <t>NUTRIDRINK YOGHURT S PŘÍCHUTÍ MALINA</t>
  </si>
  <si>
    <t>NUTRIDRINK YOGHURT S PŘÍCHUTÍ VANILKA A CITRÓN</t>
  </si>
  <si>
    <t>NUTRISON ADVANCED CUBISON</t>
  </si>
  <si>
    <t>POR SOL 1X1000ML</t>
  </si>
  <si>
    <t>NUTRISON ADVANCED PEPTISORB</t>
  </si>
  <si>
    <t xml:space="preserve">POR SOL 1X1000ML </t>
  </si>
  <si>
    <t>Nutrison Advanced Protison 500ml NOVÝ</t>
  </si>
  <si>
    <t>1x500ml</t>
  </si>
  <si>
    <t>léky - krev.deriváty ZUL (TO)</t>
  </si>
  <si>
    <t>ATENATIV</t>
  </si>
  <si>
    <t>50IU/ML INF PSO LQF 1+1X10ML</t>
  </si>
  <si>
    <t>HAEMOCOMPLETTAN P</t>
  </si>
  <si>
    <t>20MG/ML INJ/INF PLV SOL 1X2000MG</t>
  </si>
  <si>
    <t>20MG/ML INJ/INF PLV SOL 1X1000MG</t>
  </si>
  <si>
    <t>HUMAN ALBUMIN CSL BEHRING</t>
  </si>
  <si>
    <t>OCPLEX</t>
  </si>
  <si>
    <t>1000IU INF PSO LQF 1+1X40ML</t>
  </si>
  <si>
    <t>500IU INF PSO LQF 1+1X20ML</t>
  </si>
  <si>
    <t>AMIKACIN MEDOPHARM 500 MG/2 ML</t>
  </si>
  <si>
    <t>INJ+INF SOL 10X2ML/500MG</t>
  </si>
  <si>
    <t>AZITROMYCIN SANDOZ 500 MG</t>
  </si>
  <si>
    <t>POR TBL FLM 3X500MG</t>
  </si>
  <si>
    <t>BISEPTOL 480</t>
  </si>
  <si>
    <t>INJ 10X5ML</t>
  </si>
  <si>
    <t>COLOMYCIN INJEKCE 1 000 000 MJ</t>
  </si>
  <si>
    <t>1000000IU INJ PLV SOL/SOL NEB 10X1MIU</t>
  </si>
  <si>
    <t>GARAMYCIN SCHWAMM</t>
  </si>
  <si>
    <t>130MG SPO MED 1</t>
  </si>
  <si>
    <t>KLACID</t>
  </si>
  <si>
    <t>MACMIROR COMPLEX 500</t>
  </si>
  <si>
    <t>SUP VAG 8</t>
  </si>
  <si>
    <t>OFLOXIN INF</t>
  </si>
  <si>
    <t>INF SOL 10X100ML</t>
  </si>
  <si>
    <t>PIPERACILLIN/TAZOBACTAM IBIGEN - MIMOŘÁDNÝ DOVOZ</t>
  </si>
  <si>
    <t>4G/0,5G INF PLV SOL 10</t>
  </si>
  <si>
    <t>TARGOCID 400MG</t>
  </si>
  <si>
    <t>INJ SIC 1X400MG+SOL</t>
  </si>
  <si>
    <t>TOBREX</t>
  </si>
  <si>
    <t>GTT OPH 5ML 3MG/1ML</t>
  </si>
  <si>
    <t>ZYVOXID</t>
  </si>
  <si>
    <t>INF SOL 10X300ML</t>
  </si>
  <si>
    <t>ECALTA 100 MG</t>
  </si>
  <si>
    <t>INF PLV CSL 100MG+30ML</t>
  </si>
  <si>
    <t>INF SOL 10X100ML/200MG</t>
  </si>
  <si>
    <t>VFEND 200 MG</t>
  </si>
  <si>
    <t>INF PLV SOL 1X200MG</t>
  </si>
  <si>
    <t>INJ 50X5ML</t>
  </si>
  <si>
    <t>ADRENALIN BRADEX</t>
  </si>
  <si>
    <t>1MG/ML INJ SOL 10X1ML</t>
  </si>
  <si>
    <t>200G/L INF SOL 10X200ML</t>
  </si>
  <si>
    <t>BUPIVACAINE ACCORD</t>
  </si>
  <si>
    <t>5MG/ML INJ SOL 1X20ML</t>
  </si>
  <si>
    <t>DOLMINA INJ.</t>
  </si>
  <si>
    <t>INJ 5X3ML/75MG</t>
  </si>
  <si>
    <t>DZ OCTENISEPT 1 l</t>
  </si>
  <si>
    <t>ESMERON</t>
  </si>
  <si>
    <t>Esmocard 100mg/10ml inj.5 x 100mg/10ml</t>
  </si>
  <si>
    <t>FYZIOLOGICKÝ ROZTOK VIAFLO</t>
  </si>
  <si>
    <t>INF SOL 10X1000ML</t>
  </si>
  <si>
    <t>ISOCOR</t>
  </si>
  <si>
    <t>2,5MG/ML INJ/INF SOL 10X2ML</t>
  </si>
  <si>
    <t>ISOLYTE BP - PLAST. LÁHEV</t>
  </si>
  <si>
    <t xml:space="preserve">INF SOL 10X1000ML KP </t>
  </si>
  <si>
    <t>KALIUM CHLORATUM LECIVA 7.5%</t>
  </si>
  <si>
    <t>INJ 5X10ML 7.5%</t>
  </si>
  <si>
    <t>INF CNC SOL 20X20ML</t>
  </si>
  <si>
    <t>KL BALS.VISNEVSKI 100G</t>
  </si>
  <si>
    <t>KL MS HYDROG.PEROX. 3% 1000g</t>
  </si>
  <si>
    <t>KL MS HYDROG.PEROX. 3% 500g</t>
  </si>
  <si>
    <t>LIPOBASE</t>
  </si>
  <si>
    <t>CRM 100G</t>
  </si>
  <si>
    <t>MIDAZOLAM KALCEKS 5MG/ML</t>
  </si>
  <si>
    <t>INJ/INF SOL 10X1ML</t>
  </si>
  <si>
    <t>NALOXONE POLFA</t>
  </si>
  <si>
    <t>INJ 10X1ML/0.4MG</t>
  </si>
  <si>
    <t>REMIFENTANIL B. BRAUN 1 MG</t>
  </si>
  <si>
    <t>INJ/INF PLV CSL 5X1MG</t>
  </si>
  <si>
    <t>INF SOL 10X500ML PE</t>
  </si>
  <si>
    <t>ROCURONIUM B. BRAUN 10MG/ML</t>
  </si>
  <si>
    <t xml:space="preserve"> INJ/INF SOL 20X5ML</t>
  </si>
  <si>
    <t>SEVOFLURANE BAXTER 100%</t>
  </si>
  <si>
    <t>INH LIQ VAP 6X250ML I</t>
  </si>
  <si>
    <t xml:space="preserve">SEVORANE 100% </t>
  </si>
  <si>
    <t>INH SOL 1X250ML</t>
  </si>
  <si>
    <t>SOLUTIO THOMAS CUM PROCAINO ARDEAPHARMA</t>
  </si>
  <si>
    <t>INF CNC SOL 20X50ML</t>
  </si>
  <si>
    <t>TACHOSIL</t>
  </si>
  <si>
    <t>DRM SPO 9.5X4.8CM</t>
  </si>
  <si>
    <t>DRM SPO 3.0X2.5CM</t>
  </si>
  <si>
    <t>THIOPENTAL VUAB INJ. PLV. SOL. 0,5 G</t>
  </si>
  <si>
    <t>0,5G INJ PLV SOL 1</t>
  </si>
  <si>
    <t>5011 - KCHIR: lůžkové oddělení 50</t>
  </si>
  <si>
    <t>5031 - KCHIR: JIP 50B</t>
  </si>
  <si>
    <t>5062 - KCHIR: operační sál - lokální</t>
  </si>
  <si>
    <t>5021 - KCHIR: ambulance</t>
  </si>
  <si>
    <t>A02BC02 - PANTOPRAZOL</t>
  </si>
  <si>
    <t>A04AA01 - ONDANSETRON</t>
  </si>
  <si>
    <t>A10BA02 - METFORMIN</t>
  </si>
  <si>
    <t>A10BB12 - GLIMEPIRID</t>
  </si>
  <si>
    <t>B01AA03 - WARFARIN</t>
  </si>
  <si>
    <t>B01AB06 - NADROPARIN</t>
  </si>
  <si>
    <t>B01AC04 - KLOPIDOGREL</t>
  </si>
  <si>
    <t>C01BD01 - AMIODARON</t>
  </si>
  <si>
    <t>C03CA01 - FUROSEMID</t>
  </si>
  <si>
    <t>C05BA01 - ORGANO-HEPARINOID</t>
  </si>
  <si>
    <t>C07AB02 - METOPROLOL</t>
  </si>
  <si>
    <t>C07AB05 - BETAXOLOL</t>
  </si>
  <si>
    <t>C07AB07 - BISOPROLOL</t>
  </si>
  <si>
    <t>C08CA01 - AMLODIPIN</t>
  </si>
  <si>
    <t>C08CA08 - NITRENDIPIN</t>
  </si>
  <si>
    <t>C09AA04 - PERINDOPRIL</t>
  </si>
  <si>
    <t>C09AA05 - RAMIPRIL</t>
  </si>
  <si>
    <t>C09AA10 - TRANDOLAPRIL</t>
  </si>
  <si>
    <t>C10AA05 - ATORVASTATIN</t>
  </si>
  <si>
    <t>G04CA02 - TAMSULOSIN</t>
  </si>
  <si>
    <t>H02AB04 - METHYLPREDNISOLON</t>
  </si>
  <si>
    <t>J01AA12 - TIGECYKLIN</t>
  </si>
  <si>
    <t>J01DC02 - CEFUROXIM</t>
  </si>
  <si>
    <t>J01DD01 - CEFOTAXIM</t>
  </si>
  <si>
    <t>J01DD04 - CEFTRIAXON</t>
  </si>
  <si>
    <t>J01DH02 - MEROPENEM</t>
  </si>
  <si>
    <t>J01EE01 - SULFAMETHOXAZOL A TRIMETHOPRIM</t>
  </si>
  <si>
    <t>J01FA10 - AZITHROMYCIN</t>
  </si>
  <si>
    <t>J01FF01 - KLINDAMYCIN</t>
  </si>
  <si>
    <t>J01GB06 - AMIKACIN</t>
  </si>
  <si>
    <t>J01XA01 - VANKOMYCIN</t>
  </si>
  <si>
    <t>J01XD01 - METRONIDAZOL</t>
  </si>
  <si>
    <t>J01XX08 - LINEZOLID</t>
  </si>
  <si>
    <t>J02AC01 - FLUKONAZOL</t>
  </si>
  <si>
    <t>J02AX06 - ANIDULAFUNGIN</t>
  </si>
  <si>
    <t>J05AB06 - GANCIKLOVIR</t>
  </si>
  <si>
    <t>L03AA02 - FILGRASTIM</t>
  </si>
  <si>
    <t>L04AX01 - AZATHIOPRIN</t>
  </si>
  <si>
    <t>M03AC09 - ROKURONIUM-BROMID</t>
  </si>
  <si>
    <t>M04AA01 - ALOPURINOL</t>
  </si>
  <si>
    <t>N01AB08 - SEVOFLURAN</t>
  </si>
  <si>
    <t>N01AX10 - PROPOFOL</t>
  </si>
  <si>
    <t>N01BB10 - LEVOBUPIVAKAIN</t>
  </si>
  <si>
    <t>N02BB02 - SODNÁ SŮL METAMIZOLU</t>
  </si>
  <si>
    <t>N02BE01 - PARACETAMOL</t>
  </si>
  <si>
    <t>N03AG01 - KYSELINA VALPROOVÁ</t>
  </si>
  <si>
    <t>N03AX12 - GABAPENTIN</t>
  </si>
  <si>
    <t>N05BA12 - ALPRAZOLAM</t>
  </si>
  <si>
    <t>N05CD08 - MIDAZOLAM</t>
  </si>
  <si>
    <t>N05CF02 - ZOLPIDEM</t>
  </si>
  <si>
    <t>N05CM18 - DEXMEDETOMIDIN</t>
  </si>
  <si>
    <t>N06AB05 - PAROXETIN</t>
  </si>
  <si>
    <t>N06AB06 - SERTRALIN</t>
  </si>
  <si>
    <t>R03AC02 - SALBUTAMOL</t>
  </si>
  <si>
    <t>R05CB01 - ACETYLCYSTEIN</t>
  </si>
  <si>
    <t>R06AE07 - CETIRIZIN</t>
  </si>
  <si>
    <t>B01AF02 - APIXABAN</t>
  </si>
  <si>
    <t>C03DA04 - EPLERENON</t>
  </si>
  <si>
    <t>A03FA07 - ITOPRIDUM</t>
  </si>
  <si>
    <t>J01CR02 - AMOXICILIN A  INHIBITOR BETA-LAKTAMASY</t>
  </si>
  <si>
    <t>A10AB05 - INSULIN ASPART</t>
  </si>
  <si>
    <t>H03AA01 - SODNÁ SŮL LEVOTHYROXINU</t>
  </si>
  <si>
    <t>C01CA03 - NOREPINEFRIN</t>
  </si>
  <si>
    <t>V06XX - POTRAVINY PRO ZVLÁŠTNÍ LÉKAŘSKÉ ÚČELY (PZLÚ) (ČESKÁ ATC SKUP</t>
  </si>
  <si>
    <t>A02BC02</t>
  </si>
  <si>
    <t>214435</t>
  </si>
  <si>
    <t>20MG TBL ENT 100</t>
  </si>
  <si>
    <t>A03FA07</t>
  </si>
  <si>
    <t>166759</t>
  </si>
  <si>
    <t>50MG TBL FLM 40(4X10)</t>
  </si>
  <si>
    <t>A10AB05</t>
  </si>
  <si>
    <t>26786</t>
  </si>
  <si>
    <t>NOVORAPID</t>
  </si>
  <si>
    <t>100U/ML INJ SOL 1X10ML</t>
  </si>
  <si>
    <t>A10BA02</t>
  </si>
  <si>
    <t>191922</t>
  </si>
  <si>
    <t>SIOFOR</t>
  </si>
  <si>
    <t>1000MG TBL FLM 60</t>
  </si>
  <si>
    <t>208203</t>
  </si>
  <si>
    <t>208204</t>
  </si>
  <si>
    <t>500MG TBL FLM 60 II</t>
  </si>
  <si>
    <t>208207</t>
  </si>
  <si>
    <t>850MG TBL FLM 60 II</t>
  </si>
  <si>
    <t>A10BB12</t>
  </si>
  <si>
    <t>163077</t>
  </si>
  <si>
    <t>AMARYL</t>
  </si>
  <si>
    <t>2MG TBL NOB 30</t>
  </si>
  <si>
    <t>163085</t>
  </si>
  <si>
    <t>B01AA03</t>
  </si>
  <si>
    <t>192340</t>
  </si>
  <si>
    <t>WARFARIN PMCS</t>
  </si>
  <si>
    <t>2MG TBL NOB 100 I</t>
  </si>
  <si>
    <t>192342</t>
  </si>
  <si>
    <t>5MG TBL NOB 100 I</t>
  </si>
  <si>
    <t>B01AB06</t>
  </si>
  <si>
    <t>213480</t>
  </si>
  <si>
    <t>19000IU/ML INJ SOL ISP 10X0,6ML</t>
  </si>
  <si>
    <t>213482</t>
  </si>
  <si>
    <t>19000IU/ML INJ SOL ISP 10X0,8ML</t>
  </si>
  <si>
    <t>213485</t>
  </si>
  <si>
    <t>9500IU/ML INJ SOL ISP 10X0,8ML</t>
  </si>
  <si>
    <t>213487</t>
  </si>
  <si>
    <t>9500IU/ML INJ SOL ISP 10X0,3ML</t>
  </si>
  <si>
    <t>213489</t>
  </si>
  <si>
    <t>9500IU/ML INJ SOL ISP 10X0,6ML</t>
  </si>
  <si>
    <t>213490</t>
  </si>
  <si>
    <t>9500IU/ML INJ SOL ISP 10X1ML</t>
  </si>
  <si>
    <t>213494</t>
  </si>
  <si>
    <t>9500IU/ML INJ SOL ISP 10X0,4ML</t>
  </si>
  <si>
    <t>B01AC04</t>
  </si>
  <si>
    <t>149480</t>
  </si>
  <si>
    <t>ZYLLT</t>
  </si>
  <si>
    <t>75MG TBL FLM 28</t>
  </si>
  <si>
    <t>149483</t>
  </si>
  <si>
    <t>75MG TBL FLM 56</t>
  </si>
  <si>
    <t>B01AF02</t>
  </si>
  <si>
    <t>193741</t>
  </si>
  <si>
    <t>ELIQUIS</t>
  </si>
  <si>
    <t>2,5MG TBL FLM 168</t>
  </si>
  <si>
    <t>193745</t>
  </si>
  <si>
    <t>5MG TBL FLM 60</t>
  </si>
  <si>
    <t>C01BD01</t>
  </si>
  <si>
    <t>107938</t>
  </si>
  <si>
    <t>150MG/3ML INJ SOL 6X3ML</t>
  </si>
  <si>
    <t>13767</t>
  </si>
  <si>
    <t>200MG TBL NOB 30</t>
  </si>
  <si>
    <t>13768</t>
  </si>
  <si>
    <t>200MG TBL NOB 60</t>
  </si>
  <si>
    <t>C01CA03</t>
  </si>
  <si>
    <t>536</t>
  </si>
  <si>
    <t>1MG/ML INF CNC SOL 5X1ML</t>
  </si>
  <si>
    <t>C03CA01</t>
  </si>
  <si>
    <t>214036</t>
  </si>
  <si>
    <t>239807</t>
  </si>
  <si>
    <t>56805</t>
  </si>
  <si>
    <t>40MG TBL NOB 100</t>
  </si>
  <si>
    <t>C03DA04</t>
  </si>
  <si>
    <t>203030</t>
  </si>
  <si>
    <t>EPLERENON SANDOZ</t>
  </si>
  <si>
    <t>25MG TBL FLM 30</t>
  </si>
  <si>
    <t>C05BA01</t>
  </si>
  <si>
    <t>100304</t>
  </si>
  <si>
    <t>300MG/100G GEL 40G</t>
  </si>
  <si>
    <t>100308</t>
  </si>
  <si>
    <t>300MG/100G CRM 40G</t>
  </si>
  <si>
    <t>C07AB02</t>
  </si>
  <si>
    <t>231691</t>
  </si>
  <si>
    <t>100MG TBL PRO 30</t>
  </si>
  <si>
    <t>231703</t>
  </si>
  <si>
    <t>C07AB05</t>
  </si>
  <si>
    <t>49910</t>
  </si>
  <si>
    <t>LOKREN</t>
  </si>
  <si>
    <t>20MG TBL FLM 98</t>
  </si>
  <si>
    <t>C07AB07</t>
  </si>
  <si>
    <t>199671</t>
  </si>
  <si>
    <t>BISOPROLOL PMCS</t>
  </si>
  <si>
    <t>2,5MG TBL NOB 30</t>
  </si>
  <si>
    <t>226543</t>
  </si>
  <si>
    <t>BISOPROLOL AUROVITAS</t>
  </si>
  <si>
    <t>233559</t>
  </si>
  <si>
    <t>233584</t>
  </si>
  <si>
    <t>233600</t>
  </si>
  <si>
    <t>C08CA08</t>
  </si>
  <si>
    <t>111900</t>
  </si>
  <si>
    <t>NITRESAN</t>
  </si>
  <si>
    <t>10MG TBL NOB 100</t>
  </si>
  <si>
    <t>C09AA04</t>
  </si>
  <si>
    <t>101211</t>
  </si>
  <si>
    <t>5MG TBL FLM 90(3X30)</t>
  </si>
  <si>
    <t>C09AA05</t>
  </si>
  <si>
    <t>56976</t>
  </si>
  <si>
    <t>TRITACE</t>
  </si>
  <si>
    <t>2,5MG TBL NOB 20</t>
  </si>
  <si>
    <t>C09AA10</t>
  </si>
  <si>
    <t>234730</t>
  </si>
  <si>
    <t>GOPTEN</t>
  </si>
  <si>
    <t>2MG CPS DUR 98</t>
  </si>
  <si>
    <t>C10AA05</t>
  </si>
  <si>
    <t>50318</t>
  </si>
  <si>
    <t>TULIP</t>
  </si>
  <si>
    <t>20MG TBL FLM 90X1</t>
  </si>
  <si>
    <t>93019</t>
  </si>
  <si>
    <t>SORTIS</t>
  </si>
  <si>
    <t>40MG TBL FLM 30</t>
  </si>
  <si>
    <t>G04CA02</t>
  </si>
  <si>
    <t>14439</t>
  </si>
  <si>
    <t>0,4MG CPS RDR 30</t>
  </si>
  <si>
    <t>49195</t>
  </si>
  <si>
    <t>0,4MG CPS RDR 90</t>
  </si>
  <si>
    <t>H02AB04</t>
  </si>
  <si>
    <t>94882</t>
  </si>
  <si>
    <t>62,5MG/ML INJ PSO LQF 250MG+4ML</t>
  </si>
  <si>
    <t>9709</t>
  </si>
  <si>
    <t>40MG/ML INJ PSO LQF 40MG+1ML</t>
  </si>
  <si>
    <t>H03AA01</t>
  </si>
  <si>
    <t>187427</t>
  </si>
  <si>
    <t>LETROX</t>
  </si>
  <si>
    <t>100MCG TBL NOB 100</t>
  </si>
  <si>
    <t>243130</t>
  </si>
  <si>
    <t>243131</t>
  </si>
  <si>
    <t>243136</t>
  </si>
  <si>
    <t>243138</t>
  </si>
  <si>
    <t>50MCG TBL NOB 100 II</t>
  </si>
  <si>
    <t>J01AA12</t>
  </si>
  <si>
    <t>26127</t>
  </si>
  <si>
    <t>TYGACIL</t>
  </si>
  <si>
    <t>50MG INF PLV SOL 10</t>
  </si>
  <si>
    <t>J01CR02</t>
  </si>
  <si>
    <t>134595</t>
  </si>
  <si>
    <t>MEDOCLAV</t>
  </si>
  <si>
    <t>1000MG/200MG INJ/INF PLV SOL 10</t>
  </si>
  <si>
    <t>J01DC02</t>
  </si>
  <si>
    <t>64831</t>
  </si>
  <si>
    <t>AXETINE</t>
  </si>
  <si>
    <t>1,5G INJ/INF PLV SOL 10</t>
  </si>
  <si>
    <t>J01DD01</t>
  </si>
  <si>
    <t>201030</t>
  </si>
  <si>
    <t>SEFOTAK</t>
  </si>
  <si>
    <t>1G INJ/INF PLV SOL 1</t>
  </si>
  <si>
    <t>J01DD04</t>
  </si>
  <si>
    <t>121240</t>
  </si>
  <si>
    <t>CEFTRIAXON KABI</t>
  </si>
  <si>
    <t>2G INF PLV SOL 10</t>
  </si>
  <si>
    <t>J01DH02</t>
  </si>
  <si>
    <t>173750</t>
  </si>
  <si>
    <t>J01EE01</t>
  </si>
  <si>
    <t>241307</t>
  </si>
  <si>
    <t>J01FF01</t>
  </si>
  <si>
    <t>129834</t>
  </si>
  <si>
    <t>CLINDAMYCIN KABI</t>
  </si>
  <si>
    <t>150MG/ML INJ SOL/INF CNC SOL 10X2ML</t>
  </si>
  <si>
    <t>129836</t>
  </si>
  <si>
    <t>150MG/ML INJ SOL/INF CNC SOL 10X4ML</t>
  </si>
  <si>
    <t>J01XA01</t>
  </si>
  <si>
    <t>166265</t>
  </si>
  <si>
    <t>VANCOMYCIN MYLAN</t>
  </si>
  <si>
    <t>500MG INF PLV SOL 1</t>
  </si>
  <si>
    <t>166269</t>
  </si>
  <si>
    <t>1000MG INF PLV SOL 1</t>
  </si>
  <si>
    <t>J01XD01</t>
  </si>
  <si>
    <t>224407</t>
  </si>
  <si>
    <t>5MG/ML INF SOL 10X100ML I</t>
  </si>
  <si>
    <t>J02AC01</t>
  </si>
  <si>
    <t>164407</t>
  </si>
  <si>
    <t>FLUCONAZOL KABI</t>
  </si>
  <si>
    <t>2MG/ML INF SOL 10X200ML</t>
  </si>
  <si>
    <t>M04AA01</t>
  </si>
  <si>
    <t>127263</t>
  </si>
  <si>
    <t>127272</t>
  </si>
  <si>
    <t>N01AX10</t>
  </si>
  <si>
    <t>18167</t>
  </si>
  <si>
    <t>PROPOFOL MCT/LCT FRESENIUS</t>
  </si>
  <si>
    <t>10MG/ML INJ/INF EML 5X20ML</t>
  </si>
  <si>
    <t>N02BB02</t>
  </si>
  <si>
    <t>55823</t>
  </si>
  <si>
    <t>55824</t>
  </si>
  <si>
    <t>500MG/ML INJ SOL 5X5ML</t>
  </si>
  <si>
    <t>7981</t>
  </si>
  <si>
    <t>500MG/ML INJ SOL 10X2ML</t>
  </si>
  <si>
    <t>N02BE01</t>
  </si>
  <si>
    <t>157875</t>
  </si>
  <si>
    <t>PARACETAMOL KABI</t>
  </si>
  <si>
    <t>10MG/ML INF SOL 10X100ML</t>
  </si>
  <si>
    <t>N03AG01</t>
  </si>
  <si>
    <t>92034</t>
  </si>
  <si>
    <t>DEPAKINE CHRONO 300 MG SÉCABLE</t>
  </si>
  <si>
    <t>300MG TBL RET 100</t>
  </si>
  <si>
    <t>92587</t>
  </si>
  <si>
    <t>DEPAKINE CHRONO 500 MG SÉCABLE</t>
  </si>
  <si>
    <t>500MG TBL RET 30</t>
  </si>
  <si>
    <t>N03AX12</t>
  </si>
  <si>
    <t>150766</t>
  </si>
  <si>
    <t>GABANOX</t>
  </si>
  <si>
    <t>300MG CPS DUR 90</t>
  </si>
  <si>
    <t>84400</t>
  </si>
  <si>
    <t>NEURONTIN</t>
  </si>
  <si>
    <t>300MG CPS DUR 100</t>
  </si>
  <si>
    <t>N05BA12</t>
  </si>
  <si>
    <t>91788</t>
  </si>
  <si>
    <t>NEUROL</t>
  </si>
  <si>
    <t>0,25MG TBL NOB 30</t>
  </si>
  <si>
    <t>N05CD08</t>
  </si>
  <si>
    <t>127737</t>
  </si>
  <si>
    <t>MIDAZOLAM ACCORD</t>
  </si>
  <si>
    <t>5MG/ML INJ/INF SOL 10X1ML</t>
  </si>
  <si>
    <t>239963</t>
  </si>
  <si>
    <t>1MG/ML INJ/INF SOL 10X5ML</t>
  </si>
  <si>
    <t>N05CF02</t>
  </si>
  <si>
    <t>233366</t>
  </si>
  <si>
    <t>10MG TBL FLM 50</t>
  </si>
  <si>
    <t>N06AB06</t>
  </si>
  <si>
    <t>53950</t>
  </si>
  <si>
    <t>ZOLOFT</t>
  </si>
  <si>
    <t>50MG TBL FLM 28</t>
  </si>
  <si>
    <t>R03AC02</t>
  </si>
  <si>
    <t>231956</t>
  </si>
  <si>
    <t>237705</t>
  </si>
  <si>
    <t>31934</t>
  </si>
  <si>
    <t>R05CB01</t>
  </si>
  <si>
    <t>32857</t>
  </si>
  <si>
    <t>600MG TBL EFF 10 (1X10)</t>
  </si>
  <si>
    <t>32858</t>
  </si>
  <si>
    <t>600MG TBL EFF 20 (2X10)</t>
  </si>
  <si>
    <t>32859</t>
  </si>
  <si>
    <t>600MG TBL EFF 50 (5X10)</t>
  </si>
  <si>
    <t>R06AE07</t>
  </si>
  <si>
    <t>5496</t>
  </si>
  <si>
    <t>10MG TBL FLM 60</t>
  </si>
  <si>
    <t>99600</t>
  </si>
  <si>
    <t>10MG TBL FLM 90</t>
  </si>
  <si>
    <t>V06XX</t>
  </si>
  <si>
    <t>33220</t>
  </si>
  <si>
    <t>POR SOL 1X225G</t>
  </si>
  <si>
    <t>33749</t>
  </si>
  <si>
    <t>POR SOL 4X125G</t>
  </si>
  <si>
    <t>33847</t>
  </si>
  <si>
    <t>33936</t>
  </si>
  <si>
    <t>214427</t>
  </si>
  <si>
    <t>40MG INJ PLV SOL 1</t>
  </si>
  <si>
    <t>A04AA01</t>
  </si>
  <si>
    <t>187607</t>
  </si>
  <si>
    <t>ONDANSETRON B. BRAUN</t>
  </si>
  <si>
    <t>2MG/ML INJ SOL 20X4ML II</t>
  </si>
  <si>
    <t>168326</t>
  </si>
  <si>
    <t>2,5MG TBL FLM 20</t>
  </si>
  <si>
    <t>216900</t>
  </si>
  <si>
    <t>1MG/ML INF CNC SOL 5X5ML</t>
  </si>
  <si>
    <t>56804</t>
  </si>
  <si>
    <t>40MG TBL NOB 50</t>
  </si>
  <si>
    <t>132638</t>
  </si>
  <si>
    <t>50MG TBL NOB 50</t>
  </si>
  <si>
    <t>231696</t>
  </si>
  <si>
    <t>231702</t>
  </si>
  <si>
    <t>54151</t>
  </si>
  <si>
    <t>50MG TBL NOB 60</t>
  </si>
  <si>
    <t>C08CA01</t>
  </si>
  <si>
    <t>15379</t>
  </si>
  <si>
    <t>AGEN</t>
  </si>
  <si>
    <t>10MG TBL NOB 90</t>
  </si>
  <si>
    <t>122632</t>
  </si>
  <si>
    <t>80MG TBL FLM 30</t>
  </si>
  <si>
    <t>9710</t>
  </si>
  <si>
    <t>62,5MG/ML INJ PSO LQF 125MG+2ML</t>
  </si>
  <si>
    <t>9711</t>
  </si>
  <si>
    <t>62,5MG/ML INJ PSO LQF 500MG+7,8ML</t>
  </si>
  <si>
    <t>184245</t>
  </si>
  <si>
    <t>75MCG TBL NOB 100</t>
  </si>
  <si>
    <t>J01FA10</t>
  </si>
  <si>
    <t>45010</t>
  </si>
  <si>
    <t>AZITROMYCIN SANDOZ</t>
  </si>
  <si>
    <t>500MG TBL FLM 3</t>
  </si>
  <si>
    <t>J01GB06</t>
  </si>
  <si>
    <t>195147</t>
  </si>
  <si>
    <t>AMIKACIN MEDOPHARM</t>
  </si>
  <si>
    <t>500MG/2ML INJ/INF SOL 10X2ML</t>
  </si>
  <si>
    <t>J01XX08</t>
  </si>
  <si>
    <t>3708</t>
  </si>
  <si>
    <t>2MG/ML INF SOL 10X300ML I</t>
  </si>
  <si>
    <t>164401</t>
  </si>
  <si>
    <t>2MG/ML INF SOL 10X100ML</t>
  </si>
  <si>
    <t>J02AX06</t>
  </si>
  <si>
    <t>149384</t>
  </si>
  <si>
    <t>ECALTA</t>
  </si>
  <si>
    <t>100MG INF PLV CSL 1</t>
  </si>
  <si>
    <t>J05AB06</t>
  </si>
  <si>
    <t>241308</t>
  </si>
  <si>
    <t>L03AA02</t>
  </si>
  <si>
    <t>500570</t>
  </si>
  <si>
    <t>ZARZIO</t>
  </si>
  <si>
    <t>48MU/0,5ML INJ/INF SOL ISP 5X0,5ML I</t>
  </si>
  <si>
    <t>L04AX01</t>
  </si>
  <si>
    <t>199647</t>
  </si>
  <si>
    <t>M03AC09</t>
  </si>
  <si>
    <t>220105</t>
  </si>
  <si>
    <t>18172</t>
  </si>
  <si>
    <t>10MG/ML INJ/INF EML 10X50ML</t>
  </si>
  <si>
    <t>18175</t>
  </si>
  <si>
    <t>10MG/ML INJ/INF EML 10X100ML</t>
  </si>
  <si>
    <t>N01BB10</t>
  </si>
  <si>
    <t>197125</t>
  </si>
  <si>
    <t>LEVOBUPIVACAINE KABI</t>
  </si>
  <si>
    <t>5MG/ML INJ/INF SOL 5X10ML</t>
  </si>
  <si>
    <t>44997</t>
  </si>
  <si>
    <t>500MG TBL RET 100</t>
  </si>
  <si>
    <t>84399</t>
  </si>
  <si>
    <t>300MG CPS DUR 50</t>
  </si>
  <si>
    <t>6618</t>
  </si>
  <si>
    <t>0,5MG TBL NOB 30</t>
  </si>
  <si>
    <t>127738</t>
  </si>
  <si>
    <t>5MG/ML INJ/INF SOL 10X3ML</t>
  </si>
  <si>
    <t>239964</t>
  </si>
  <si>
    <t>233360</t>
  </si>
  <si>
    <t>10MG TBL FLM 20</t>
  </si>
  <si>
    <t>N05CM18</t>
  </si>
  <si>
    <t>136755</t>
  </si>
  <si>
    <t>N06AB05</t>
  </si>
  <si>
    <t>107847</t>
  </si>
  <si>
    <t>20MG TBL FLM 30</t>
  </si>
  <si>
    <t>217108</t>
  </si>
  <si>
    <t>217110</t>
  </si>
  <si>
    <t>33339</t>
  </si>
  <si>
    <t>33340</t>
  </si>
  <si>
    <t>33423</t>
  </si>
  <si>
    <t>33424</t>
  </si>
  <si>
    <t>33750</t>
  </si>
  <si>
    <t>33751</t>
  </si>
  <si>
    <t>33833</t>
  </si>
  <si>
    <t>33848</t>
  </si>
  <si>
    <t>33855</t>
  </si>
  <si>
    <t>NUTRIDRINK BALÍČEK 5 + 1</t>
  </si>
  <si>
    <t>33856</t>
  </si>
  <si>
    <t>33857</t>
  </si>
  <si>
    <t>33858</t>
  </si>
  <si>
    <t>33859</t>
  </si>
  <si>
    <t>33898</t>
  </si>
  <si>
    <t>124418</t>
  </si>
  <si>
    <t>ROCURONIUM B. BRAUN</t>
  </si>
  <si>
    <t>226690</t>
  </si>
  <si>
    <t>235904</t>
  </si>
  <si>
    <t>10MG/ML INJ/INF SOL 20X5ML</t>
  </si>
  <si>
    <t>N01AB08</t>
  </si>
  <si>
    <t>160320</t>
  </si>
  <si>
    <t>SEVOFLURANE BAXTER</t>
  </si>
  <si>
    <t>100% INH LIQ VAP 6X250ML I</t>
  </si>
  <si>
    <t>224479</t>
  </si>
  <si>
    <t>MIDAZOLAM KALCEKS</t>
  </si>
  <si>
    <t>239965</t>
  </si>
  <si>
    <t>Přehled plnění pozitivního listu - spotřeba léčivých přípravků - orientační přehled</t>
  </si>
  <si>
    <t>50 - KCHIR: Kardiochirurgická klinika</t>
  </si>
  <si>
    <t>5071 - KCHIR: PICC tým</t>
  </si>
  <si>
    <t>Kardiochirurgická klinika</t>
  </si>
  <si>
    <t>HVLP</t>
  </si>
  <si>
    <t>IPLP</t>
  </si>
  <si>
    <t>PZT</t>
  </si>
  <si>
    <t>89301501</t>
  </si>
  <si>
    <t>Standardní lůžková péče Celkem</t>
  </si>
  <si>
    <t>89301502</t>
  </si>
  <si>
    <t>Všeobecná ambulance Celkem</t>
  </si>
  <si>
    <t>Kardiochirurgická klinika Celkem</t>
  </si>
  <si>
    <t>* Legenda</t>
  </si>
  <si>
    <t>DIAPZT = Pomůcky pro diabetiky, jejichž název začíná slovem "Pumpa"</t>
  </si>
  <si>
    <t>Barshatskyi Artur</t>
  </si>
  <si>
    <t>Bureš Viktor</t>
  </si>
  <si>
    <t>Gwozdziewicz Marek</t>
  </si>
  <si>
    <t>Hanák Václav</t>
  </si>
  <si>
    <t>Homola Pavel</t>
  </si>
  <si>
    <t>Juchelka Jan</t>
  </si>
  <si>
    <t>Kaláb Martin</t>
  </si>
  <si>
    <t>Konečný Jakub</t>
  </si>
  <si>
    <t>Lonský Vladimír</t>
  </si>
  <si>
    <t>Marcián Pavel</t>
  </si>
  <si>
    <t>Pozdíšek Zbyněk</t>
  </si>
  <si>
    <t>Steriovský Andrea</t>
  </si>
  <si>
    <t>Šantavý Petr</t>
  </si>
  <si>
    <t>Šimek Martin</t>
  </si>
  <si>
    <t>Troubil Martin</t>
  </si>
  <si>
    <t>Vychodil Tomáš</t>
  </si>
  <si>
    <t>BISOPROLOL</t>
  </si>
  <si>
    <t>KODEIN</t>
  </si>
  <si>
    <t>56993</t>
  </si>
  <si>
    <t>30MG TBL NOB 10</t>
  </si>
  <si>
    <t>KYSELINA ACETYLSALICYLOVÁ</t>
  </si>
  <si>
    <t>99295</t>
  </si>
  <si>
    <t>100MG TBL NOB 20(2X10)</t>
  </si>
  <si>
    <t>PERINDOPRIL</t>
  </si>
  <si>
    <t>101205</t>
  </si>
  <si>
    <t>5MG TBL FLM 30</t>
  </si>
  <si>
    <t>AMOXICILIN A  INHIBITOR BETA-LAKTAMASY</t>
  </si>
  <si>
    <t>12494</t>
  </si>
  <si>
    <t>AUGMENTIN 1 G</t>
  </si>
  <si>
    <t>875MG/125MG TBL FLM 14 I</t>
  </si>
  <si>
    <t>TRAMADOL A PARACETAMOL</t>
  </si>
  <si>
    <t>179325</t>
  </si>
  <si>
    <t>DORETA</t>
  </si>
  <si>
    <t>75MG/650MG TBL FLM 10 I</t>
  </si>
  <si>
    <t>ATORVASTATIN</t>
  </si>
  <si>
    <t>METOPROLOL</t>
  </si>
  <si>
    <t>32225</t>
  </si>
  <si>
    <t>25MG TBL PRO 28</t>
  </si>
  <si>
    <t>NAFTIDROFURYL</t>
  </si>
  <si>
    <t>97026</t>
  </si>
  <si>
    <t>ENELBIN 100 RETARD</t>
  </si>
  <si>
    <t>100MG TBL PRO 50</t>
  </si>
  <si>
    <t>ALOPURINOL</t>
  </si>
  <si>
    <t>ALPRAZOLAM</t>
  </si>
  <si>
    <t>90957</t>
  </si>
  <si>
    <t>XANAX</t>
  </si>
  <si>
    <t>AMIODARON</t>
  </si>
  <si>
    <t>3801</t>
  </si>
  <si>
    <t>CONCOR COR</t>
  </si>
  <si>
    <t>2,5MG TBL FLM 28</t>
  </si>
  <si>
    <t>47740</t>
  </si>
  <si>
    <t>RIVOCOR</t>
  </si>
  <si>
    <t>131474</t>
  </si>
  <si>
    <t>131481</t>
  </si>
  <si>
    <t>FUROSEMID</t>
  </si>
  <si>
    <t>98219</t>
  </si>
  <si>
    <t>FURON</t>
  </si>
  <si>
    <t>KLOPIDOGREL</t>
  </si>
  <si>
    <t>KOLCHICIN</t>
  </si>
  <si>
    <t>119698</t>
  </si>
  <si>
    <t>COLCHICUM-DISPERT</t>
  </si>
  <si>
    <t>0,5MG TBL OBD 50</t>
  </si>
  <si>
    <t>155780</t>
  </si>
  <si>
    <t>GODASAL</t>
  </si>
  <si>
    <t>100MG/50MG TBL NOB 20 II</t>
  </si>
  <si>
    <t>58038</t>
  </si>
  <si>
    <t>231701</t>
  </si>
  <si>
    <t>50MG TBL PRO 30</t>
  </si>
  <si>
    <t>NADROPARIN</t>
  </si>
  <si>
    <t>OMEPRAZOL</t>
  </si>
  <si>
    <t>195345</t>
  </si>
  <si>
    <t>OMEPRAZOL FARMAX</t>
  </si>
  <si>
    <t>20MG CPS ETD 28</t>
  </si>
  <si>
    <t>232958</t>
  </si>
  <si>
    <t>20MG CPS ETD 14</t>
  </si>
  <si>
    <t>PANTOPRAZOL</t>
  </si>
  <si>
    <t>214525</t>
  </si>
  <si>
    <t>40MG TBL ENT 28 I</t>
  </si>
  <si>
    <t>214433</t>
  </si>
  <si>
    <t>20MG TBL ENT 28 I</t>
  </si>
  <si>
    <t>RIVAROXABAN</t>
  </si>
  <si>
    <t>168903</t>
  </si>
  <si>
    <t>XARELTO</t>
  </si>
  <si>
    <t>20MG TBL FLM 28 II</t>
  </si>
  <si>
    <t>ROSUVASTATIN</t>
  </si>
  <si>
    <t>148076</t>
  </si>
  <si>
    <t>ROSUCARD</t>
  </si>
  <si>
    <t>RŮZNÉ JINÉ KOMBINACE ŽELEZA</t>
  </si>
  <si>
    <t>119653</t>
  </si>
  <si>
    <t>320MG/60MG TBL RET 60</t>
  </si>
  <si>
    <t>SPIRONOLAKTON</t>
  </si>
  <si>
    <t>3550</t>
  </si>
  <si>
    <t>25MG TBL NOB 20</t>
  </si>
  <si>
    <t>SULTAMICILIN</t>
  </si>
  <si>
    <t>17149</t>
  </si>
  <si>
    <t>375MG TBL FLM 12</t>
  </si>
  <si>
    <t>TELMISARTAN</t>
  </si>
  <si>
    <t>158191</t>
  </si>
  <si>
    <t>80MG TBL NOB 30</t>
  </si>
  <si>
    <t>TIKAGRELOR</t>
  </si>
  <si>
    <t>167939</t>
  </si>
  <si>
    <t>BRILIQUE</t>
  </si>
  <si>
    <t>90MG TBL FLM 56 KAL I</t>
  </si>
  <si>
    <t>WARFARIN</t>
  </si>
  <si>
    <t>APIXABAN</t>
  </si>
  <si>
    <t>138839</t>
  </si>
  <si>
    <t>37,5MG/325MG TBL FLM 10 I</t>
  </si>
  <si>
    <t>203097</t>
  </si>
  <si>
    <t>875MG/125MG TBL FLM 21</t>
  </si>
  <si>
    <t>HYDROXYKARBAMID</t>
  </si>
  <si>
    <t>57345</t>
  </si>
  <si>
    <t>LITALIR</t>
  </si>
  <si>
    <t>500MG CPS DUR 100</t>
  </si>
  <si>
    <t>1632</t>
  </si>
  <si>
    <t>PURINOL</t>
  </si>
  <si>
    <t>86656</t>
  </si>
  <si>
    <t>1MG TBL NOB 30</t>
  </si>
  <si>
    <t>AMLODIPIN</t>
  </si>
  <si>
    <t>15378</t>
  </si>
  <si>
    <t>5MG TBL NOB 90</t>
  </si>
  <si>
    <t>2945</t>
  </si>
  <si>
    <t>5MG TBL NOB 30</t>
  </si>
  <si>
    <t>ANTIAGREGANCIA KROMĚ HEPARINU, KOMBINACE</t>
  </si>
  <si>
    <t>167508</t>
  </si>
  <si>
    <t>DUOPLAVIN</t>
  </si>
  <si>
    <t>75MG/100MG TBL FLM 28</t>
  </si>
  <si>
    <t>148309</t>
  </si>
  <si>
    <t>40MG TBL FLM 90</t>
  </si>
  <si>
    <t>204682</t>
  </si>
  <si>
    <t>TORVACARD NEO</t>
  </si>
  <si>
    <t>20MG TBL FLM 90</t>
  </si>
  <si>
    <t>204670</t>
  </si>
  <si>
    <t>204702</t>
  </si>
  <si>
    <t>204694</t>
  </si>
  <si>
    <t>BETAXOLOL</t>
  </si>
  <si>
    <t>3822</t>
  </si>
  <si>
    <t>5MG TBL FLM 28</t>
  </si>
  <si>
    <t>CEFUROXIM</t>
  </si>
  <si>
    <t>200901</t>
  </si>
  <si>
    <t>XORIMAX</t>
  </si>
  <si>
    <t>500MG TBL FLM 14</t>
  </si>
  <si>
    <t>231948</t>
  </si>
  <si>
    <t>ZINNAT</t>
  </si>
  <si>
    <t>CIPROFLOXACIN</t>
  </si>
  <si>
    <t>15658</t>
  </si>
  <si>
    <t>CIPLOX</t>
  </si>
  <si>
    <t>DABIGATRAN-ETEXILÁT</t>
  </si>
  <si>
    <t>168373</t>
  </si>
  <si>
    <t>PRADAXA</t>
  </si>
  <si>
    <t>150MG CPS DUR 60X1 I</t>
  </si>
  <si>
    <t>29328</t>
  </si>
  <si>
    <t>110MG CPS DUR 60X1 I</t>
  </si>
  <si>
    <t>DESLORATADIN</t>
  </si>
  <si>
    <t>178675</t>
  </si>
  <si>
    <t>JOVESTO</t>
  </si>
  <si>
    <t>5MG TBL FLM 90 I</t>
  </si>
  <si>
    <t>DESOGESTREL A ETHINYLESTRADIOL</t>
  </si>
  <si>
    <t>213696</t>
  </si>
  <si>
    <t>BELLVALYN</t>
  </si>
  <si>
    <t>0,15MG/0,02MG TBL FLM 3X28(21+7)</t>
  </si>
  <si>
    <t>DIGOXIN</t>
  </si>
  <si>
    <t>83318</t>
  </si>
  <si>
    <t>DIGOXIN LÉČIVA</t>
  </si>
  <si>
    <t>0,125MG TBL NOB 30</t>
  </si>
  <si>
    <t>DIKLOFENAK</t>
  </si>
  <si>
    <t>119672</t>
  </si>
  <si>
    <t>DICLOFENAC DUO PHARMASWISS</t>
  </si>
  <si>
    <t>75MG CPS RDR 30 I</t>
  </si>
  <si>
    <t>DIOSMIN, KOMBINACE</t>
  </si>
  <si>
    <t>132908</t>
  </si>
  <si>
    <t>500MG TBL FLM 120</t>
  </si>
  <si>
    <t>DRASLÍK</t>
  </si>
  <si>
    <t>88356</t>
  </si>
  <si>
    <t>0,175G/0,175G TBL NOB 100</t>
  </si>
  <si>
    <t>EZETIMIB</t>
  </si>
  <si>
    <t>188415</t>
  </si>
  <si>
    <t>HYDROCHLOROTHIAZID A KALIUM ŠETŘÍCÍ DIURETIKA</t>
  </si>
  <si>
    <t>125524</t>
  </si>
  <si>
    <t>APO-AMILZIDE</t>
  </si>
  <si>
    <t>5MG/50MG TBL NOB 100</t>
  </si>
  <si>
    <t>47476</t>
  </si>
  <si>
    <t>LORADUR</t>
  </si>
  <si>
    <t>5MG/50MG TBL NOB 50</t>
  </si>
  <si>
    <t>94804</t>
  </si>
  <si>
    <t>MODURETIC</t>
  </si>
  <si>
    <t>5MG/50MG TBL NOB 30</t>
  </si>
  <si>
    <t>HYDROKORTISON</t>
  </si>
  <si>
    <t>180825</t>
  </si>
  <si>
    <t>HYDROCORTISON 10 MG JENAPHARM</t>
  </si>
  <si>
    <t>10MG TBL NOB 20</t>
  </si>
  <si>
    <t>IBUPROFEN</t>
  </si>
  <si>
    <t>207900</t>
  </si>
  <si>
    <t>600MG TBL FLM 30</t>
  </si>
  <si>
    <t>ISOSORBID-MONONITRÁT</t>
  </si>
  <si>
    <t>164344</t>
  </si>
  <si>
    <t>100MG TBL PRO 28</t>
  </si>
  <si>
    <t>KARVEDILOL</t>
  </si>
  <si>
    <t>98922</t>
  </si>
  <si>
    <t>ATRAM</t>
  </si>
  <si>
    <t>6,25MG TBL NOB 30</t>
  </si>
  <si>
    <t>KLARITHROMYCIN</t>
  </si>
  <si>
    <t>216199</t>
  </si>
  <si>
    <t>125114</t>
  </si>
  <si>
    <t>100MG TBL NOB 60(3X20)</t>
  </si>
  <si>
    <t>203564</t>
  </si>
  <si>
    <t>207933</t>
  </si>
  <si>
    <t>LEVOCETIRIZIN</t>
  </si>
  <si>
    <t>124346</t>
  </si>
  <si>
    <t>CEZERA</t>
  </si>
  <si>
    <t>LOSARTAN</t>
  </si>
  <si>
    <t>114067</t>
  </si>
  <si>
    <t>LOZAP 50 ZENTIVA</t>
  </si>
  <si>
    <t>50MG TBL FLM 90 II</t>
  </si>
  <si>
    <t>114070</t>
  </si>
  <si>
    <t>LOZAP 100 ZENTIVA</t>
  </si>
  <si>
    <t>100MG TBL FLM 90 PVC</t>
  </si>
  <si>
    <t>MELOXIKAM</t>
  </si>
  <si>
    <t>112562</t>
  </si>
  <si>
    <t>RECOXA</t>
  </si>
  <si>
    <t>15MG TBL NOB 60</t>
  </si>
  <si>
    <t>49941</t>
  </si>
  <si>
    <t>100MG TBL PRO 100</t>
  </si>
  <si>
    <t>NIMESULID</t>
  </si>
  <si>
    <t>12895</t>
  </si>
  <si>
    <t>AULIN</t>
  </si>
  <si>
    <t>100MG POR GRA SUS 30 I</t>
  </si>
  <si>
    <t>NITRENDIPIN</t>
  </si>
  <si>
    <t>111904</t>
  </si>
  <si>
    <t>20MG TBL NOB 100</t>
  </si>
  <si>
    <t>214526</t>
  </si>
  <si>
    <t>PENTOXIFYLIN</t>
  </si>
  <si>
    <t>155873</t>
  </si>
  <si>
    <t>TRENTAL 400</t>
  </si>
  <si>
    <t>400MG TBL RET 100</t>
  </si>
  <si>
    <t>101233</t>
  </si>
  <si>
    <t>PRESTARIUM NEO FORTE</t>
  </si>
  <si>
    <t>10MG TBL FLM 90(3X30)</t>
  </si>
  <si>
    <t>229903</t>
  </si>
  <si>
    <t>PRENESSA</t>
  </si>
  <si>
    <t>4MG TBL NOB 30</t>
  </si>
  <si>
    <t>PERINDOPRIL A DIURETIKA</t>
  </si>
  <si>
    <t>122690</t>
  </si>
  <si>
    <t>PRESTARIUM NEO COMBI</t>
  </si>
  <si>
    <t>5MG/1,25MG TBL FLM 90(3X30)</t>
  </si>
  <si>
    <t>PREDNISON</t>
  </si>
  <si>
    <t>2963</t>
  </si>
  <si>
    <t>PREDNISON LÉČIVA</t>
  </si>
  <si>
    <t>20MG TBL NOB 20</t>
  </si>
  <si>
    <t>RAMIPRIL</t>
  </si>
  <si>
    <t>15866</t>
  </si>
  <si>
    <t>168904</t>
  </si>
  <si>
    <t>20MG TBL FLM 98 II</t>
  </si>
  <si>
    <t>SIMVASTATIN</t>
  </si>
  <si>
    <t>125077</t>
  </si>
  <si>
    <t>APO-SIMVA</t>
  </si>
  <si>
    <t>10MG TBL FLM 100</t>
  </si>
  <si>
    <t>SOTALOL</t>
  </si>
  <si>
    <t>49014</t>
  </si>
  <si>
    <t>SOTAHEXAL 80</t>
  </si>
  <si>
    <t>30434</t>
  </si>
  <si>
    <t>25MG TBL NOB 100</t>
  </si>
  <si>
    <t>SULFAMETHOXAZOL A TRIMETHOPRIM</t>
  </si>
  <si>
    <t>6264</t>
  </si>
  <si>
    <t>400MG/80MG TBL NOB 20</t>
  </si>
  <si>
    <t>152959</t>
  </si>
  <si>
    <t>TEZEO</t>
  </si>
  <si>
    <t>80MG TBL NOB 90</t>
  </si>
  <si>
    <t>158198</t>
  </si>
  <si>
    <t>172034</t>
  </si>
  <si>
    <t>40MG TBL NOB 28</t>
  </si>
  <si>
    <t>152957</t>
  </si>
  <si>
    <t>40MG TBL NOB 90</t>
  </si>
  <si>
    <t>TELMISARTAN A AMLODIPIN</t>
  </si>
  <si>
    <t>167859</t>
  </si>
  <si>
    <t>TWYNSTA</t>
  </si>
  <si>
    <t>80MG/10MG TBL NOB 28</t>
  </si>
  <si>
    <t>TELMISARTAN A DIURETIKA</t>
  </si>
  <si>
    <t>189664</t>
  </si>
  <si>
    <t>TELMISARTAN/HYDROCHLOROTHIAZID SANDOZ</t>
  </si>
  <si>
    <t>80MG/12,5MG TBL FLM 100</t>
  </si>
  <si>
    <t>TRIMETAZIDIN</t>
  </si>
  <si>
    <t>32917</t>
  </si>
  <si>
    <t>PREDUCTAL MR</t>
  </si>
  <si>
    <t>35MG TBL RET 60</t>
  </si>
  <si>
    <t>VERAPAMIL</t>
  </si>
  <si>
    <t>215970</t>
  </si>
  <si>
    <t>ISOPTIN</t>
  </si>
  <si>
    <t>80MG TBL FLM 50</t>
  </si>
  <si>
    <t>94113</t>
  </si>
  <si>
    <t>WARFARIN ORION</t>
  </si>
  <si>
    <t>3MG TBL NOB 100</t>
  </si>
  <si>
    <t>ZOLPIDEM</t>
  </si>
  <si>
    <t>193747</t>
  </si>
  <si>
    <t>5MG TBL FLM 168</t>
  </si>
  <si>
    <t>179327</t>
  </si>
  <si>
    <t>75MG/650MG TBL FLM 30 I</t>
  </si>
  <si>
    <t>VALSARTAN A SAKUBITRIL</t>
  </si>
  <si>
    <t>209038</t>
  </si>
  <si>
    <t>PERINDOPRIL A BISOPROLOL</t>
  </si>
  <si>
    <t>213255</t>
  </si>
  <si>
    <t>COSYREL</t>
  </si>
  <si>
    <t>5MG/5MG TBL FLM 30</t>
  </si>
  <si>
    <t>5951</t>
  </si>
  <si>
    <t>875MG/125MG TBL FLM 14</t>
  </si>
  <si>
    <t>SODNÁ SŮL LEVOTHYROXINU</t>
  </si>
  <si>
    <t>46692</t>
  </si>
  <si>
    <t>69189</t>
  </si>
  <si>
    <t>97186</t>
  </si>
  <si>
    <t>HOŘČÍK (KOMBINACE RŮZNÝCH SOLÍ)</t>
  </si>
  <si>
    <t>215978</t>
  </si>
  <si>
    <t>Jiná</t>
  </si>
  <si>
    <t>5009910</t>
  </si>
  <si>
    <t>PÁS BŘIŠNÍ VERBA 932 521 4</t>
  </si>
  <si>
    <t>OBDVOD TRUPU 105-115CM,VEL.5</t>
  </si>
  <si>
    <t>5009911</t>
  </si>
  <si>
    <t>PÁS BŘIŠNÍ VERBA 932 520 5</t>
  </si>
  <si>
    <t>OBDVOD TRUPU 95-105CM,VEL.4</t>
  </si>
  <si>
    <t>5009912</t>
  </si>
  <si>
    <t>PÁS BŘIŠNÍ VERBA 932 519 8</t>
  </si>
  <si>
    <t>OBDVOD TRUPU 85-95CM,VEL.3</t>
  </si>
  <si>
    <t>5000295</t>
  </si>
  <si>
    <t>OBINADLO ELASTICKÉ LENKIDEAL</t>
  </si>
  <si>
    <t>10CMX5M,V NATAŽENÉM STAVU,KRÁTKÝ TAH,1KS</t>
  </si>
  <si>
    <t>5000296</t>
  </si>
  <si>
    <t>12CMX5M,V NATAŽENÉM STAVU,KRÁTKÝ TAH,1KS</t>
  </si>
  <si>
    <t>93018</t>
  </si>
  <si>
    <t>20MG TBL FLM 100</t>
  </si>
  <si>
    <t>218835</t>
  </si>
  <si>
    <t>233579</t>
  </si>
  <si>
    <t>BROMAZEPAM</t>
  </si>
  <si>
    <t>88219</t>
  </si>
  <si>
    <t>LEXAURIN</t>
  </si>
  <si>
    <t>CHLORID DRASELNÝ</t>
  </si>
  <si>
    <t>200935</t>
  </si>
  <si>
    <t>1G TBL PRO 30</t>
  </si>
  <si>
    <t>KLÍŠŤOVÁ ENCEFALITIDA, INAKTIVOVANÝ CELÝ VIRUS</t>
  </si>
  <si>
    <t>215956</t>
  </si>
  <si>
    <t>FSME-IMMUN</t>
  </si>
  <si>
    <t>0,5ML INJ SUS ISP 1X0,5ML+J</t>
  </si>
  <si>
    <t>141036</t>
  </si>
  <si>
    <t>TROMBEX</t>
  </si>
  <si>
    <t>75MG TBL FLM 90</t>
  </si>
  <si>
    <t>155781</t>
  </si>
  <si>
    <t>100MG/50MG TBL NOB 50 II</t>
  </si>
  <si>
    <t>188850</t>
  </si>
  <si>
    <t>STACYL</t>
  </si>
  <si>
    <t>100MG TBL ENT 100</t>
  </si>
  <si>
    <t>LANSOPRAZOL</t>
  </si>
  <si>
    <t>17122</t>
  </si>
  <si>
    <t>LANZUL</t>
  </si>
  <si>
    <t>30MG CPS DUR 56</t>
  </si>
  <si>
    <t>LINAGLIPTIN</t>
  </si>
  <si>
    <t>168451</t>
  </si>
  <si>
    <t>TRAJENTA</t>
  </si>
  <si>
    <t>5MG TBL FLM 90X1</t>
  </si>
  <si>
    <t>114065</t>
  </si>
  <si>
    <t>50MG TBL FLM 30 II</t>
  </si>
  <si>
    <t>METFORMIN</t>
  </si>
  <si>
    <t>31536</t>
  </si>
  <si>
    <t>213484</t>
  </si>
  <si>
    <t>19000IU/ML INJ SOL ISP 10X1ML</t>
  </si>
  <si>
    <t>17187</t>
  </si>
  <si>
    <t>100MG POR GRA SUS 30</t>
  </si>
  <si>
    <t>NITROFURANTOIN</t>
  </si>
  <si>
    <t>207280</t>
  </si>
  <si>
    <t>FUROLIN</t>
  </si>
  <si>
    <t>100MG TBL NOB 30</t>
  </si>
  <si>
    <t>160373</t>
  </si>
  <si>
    <t>PANTOMYL</t>
  </si>
  <si>
    <t>40MG TBL ENT 30</t>
  </si>
  <si>
    <t>PERINDOPRIL A AMLODIPIN</t>
  </si>
  <si>
    <t>124133</t>
  </si>
  <si>
    <t>PRESTANCE</t>
  </si>
  <si>
    <t>10MG/10MG TBL NOB 90(3X30)</t>
  </si>
  <si>
    <t>56972</t>
  </si>
  <si>
    <t>1,25MG TBL NOB 20</t>
  </si>
  <si>
    <t>56983</t>
  </si>
  <si>
    <t>5MG TBL NOB 100</t>
  </si>
  <si>
    <t>225688</t>
  </si>
  <si>
    <t>320MG/60MG TBL RET 30</t>
  </si>
  <si>
    <t>94114</t>
  </si>
  <si>
    <t>PERINDOPRIL, AMLODIPIN A INDAPAMID</t>
  </si>
  <si>
    <t>190958</t>
  </si>
  <si>
    <t>TRIPLIXAM</t>
  </si>
  <si>
    <t>5MG/1,25MG/5MG TBL FLM 30</t>
  </si>
  <si>
    <t>213264</t>
  </si>
  <si>
    <t>10MG/10MG TBL FLM 30</t>
  </si>
  <si>
    <t>187425</t>
  </si>
  <si>
    <t>50MCG TBL NOB 100</t>
  </si>
  <si>
    <t>ALFUZOSIN</t>
  </si>
  <si>
    <t>235020</t>
  </si>
  <si>
    <t>ALFUZOSIN AUROVITAS</t>
  </si>
  <si>
    <t>10MG TBL PRO 90</t>
  </si>
  <si>
    <t>50316</t>
  </si>
  <si>
    <t>20MG TBL FLM 30X1</t>
  </si>
  <si>
    <t>87018</t>
  </si>
  <si>
    <t>ATORIS</t>
  </si>
  <si>
    <t>94164</t>
  </si>
  <si>
    <t>158673</t>
  </si>
  <si>
    <t>243743</t>
  </si>
  <si>
    <t>BUDESONID</t>
  </si>
  <si>
    <t>69242</t>
  </si>
  <si>
    <t>PULMICORT TURBUHALER</t>
  </si>
  <si>
    <t>200MCG INH PLV 200DÁV</t>
  </si>
  <si>
    <t>132647</t>
  </si>
  <si>
    <t>500MG TBL FLM 60</t>
  </si>
  <si>
    <t>ERDOSTEIN</t>
  </si>
  <si>
    <t>87076</t>
  </si>
  <si>
    <t>300MG CPS DUR 20</t>
  </si>
  <si>
    <t>ESCITALOPRAM</t>
  </si>
  <si>
    <t>20132</t>
  </si>
  <si>
    <t>CIPRALEX</t>
  </si>
  <si>
    <t>10MG TBL FLM 28 I</t>
  </si>
  <si>
    <t>188428</t>
  </si>
  <si>
    <t>10MG TBL NOB 100 I</t>
  </si>
  <si>
    <t>115723</t>
  </si>
  <si>
    <t>EZETIMIBE ACCORD</t>
  </si>
  <si>
    <t>10MG TBL NOB 30 II</t>
  </si>
  <si>
    <t>GABAPENTIN</t>
  </si>
  <si>
    <t>185814</t>
  </si>
  <si>
    <t>GABAPENTIN AUROBINDO</t>
  </si>
  <si>
    <t>INDAPAMID</t>
  </si>
  <si>
    <t>151949</t>
  </si>
  <si>
    <t>INDAP</t>
  </si>
  <si>
    <t>2,5MG CPS DUR 100</t>
  </si>
  <si>
    <t>JINÁ ANTIBIOTIKA PRO LOKÁLNÍ APLIKACI</t>
  </si>
  <si>
    <t>1066</t>
  </si>
  <si>
    <t>250IU/G+5,2MG/G UNG 10G</t>
  </si>
  <si>
    <t>188848</t>
  </si>
  <si>
    <t>100MG TBL ENT 60</t>
  </si>
  <si>
    <t>KYSELINA LISTOVÁ</t>
  </si>
  <si>
    <t>76064</t>
  </si>
  <si>
    <t>ACIDUM FOLICUM LÉČIVA</t>
  </si>
  <si>
    <t>10MG TBL OBD 30</t>
  </si>
  <si>
    <t>MĚKKÝ PARAFIN A TUKOVÉ PRODUKTY</t>
  </si>
  <si>
    <t>100273</t>
  </si>
  <si>
    <t>152143</t>
  </si>
  <si>
    <t>GLUCOPHAGE XR</t>
  </si>
  <si>
    <t>750MG TBL PRO 30 II</t>
  </si>
  <si>
    <t>132576</t>
  </si>
  <si>
    <t>850MG TBL FLM 120</t>
  </si>
  <si>
    <t>NEBIVOLOL</t>
  </si>
  <si>
    <t>112572</t>
  </si>
  <si>
    <t>NEBIVOLOL SANDOZ</t>
  </si>
  <si>
    <t>5MG TBL NOB 28</t>
  </si>
  <si>
    <t>OFLOXACIN</t>
  </si>
  <si>
    <t>55636</t>
  </si>
  <si>
    <t>OFLOXIN</t>
  </si>
  <si>
    <t>200MG TBL FLM 10</t>
  </si>
  <si>
    <t>25366</t>
  </si>
  <si>
    <t>20MG CPS ETD 90 I</t>
  </si>
  <si>
    <t>OXAZEPAM</t>
  </si>
  <si>
    <t>1940</t>
  </si>
  <si>
    <t>OXAZEPAM LÉČIVA</t>
  </si>
  <si>
    <t>124119</t>
  </si>
  <si>
    <t>10MG/5MG TBL NOB 90(3X30)</t>
  </si>
  <si>
    <t>187804</t>
  </si>
  <si>
    <t>TONARSSA</t>
  </si>
  <si>
    <t>8MG/5MG TBL NOB 30</t>
  </si>
  <si>
    <t>162008</t>
  </si>
  <si>
    <t>10MG/2,5MG TBL FLM 30</t>
  </si>
  <si>
    <t>PSEUDOEFEDRIN, KOMBINACE</t>
  </si>
  <si>
    <t>216104</t>
  </si>
  <si>
    <t>5MG/120MG TBL PRO 14</t>
  </si>
  <si>
    <t>56981</t>
  </si>
  <si>
    <t>224764</t>
  </si>
  <si>
    <t>RAMIPRIL ACTAVIS</t>
  </si>
  <si>
    <t>148072</t>
  </si>
  <si>
    <t>127150</t>
  </si>
  <si>
    <t>ROSUVASTATIN TEVA PHARMA</t>
  </si>
  <si>
    <t>40MG TBL FLM 100 II</t>
  </si>
  <si>
    <t>SITAGLIPTIN</t>
  </si>
  <si>
    <t>28740</t>
  </si>
  <si>
    <t>JANUVIA</t>
  </si>
  <si>
    <t>100MG TBL FLM 28</t>
  </si>
  <si>
    <t>SODNÁ SŮL METAMIZOLU</t>
  </si>
  <si>
    <t>TRAZODON</t>
  </si>
  <si>
    <t>54094</t>
  </si>
  <si>
    <t>TRITTICO AC</t>
  </si>
  <si>
    <t>75MG TBL RET 30</t>
  </si>
  <si>
    <t>FORMOTEROL A BEKLOMETASON</t>
  </si>
  <si>
    <t>184377</t>
  </si>
  <si>
    <t>COMBAIR</t>
  </si>
  <si>
    <t>100MCG/6MCG/DÁV INH SOL PSS 180DÁV</t>
  </si>
  <si>
    <t>ATORVASTATIN A EZETIMIB</t>
  </si>
  <si>
    <t>204760</t>
  </si>
  <si>
    <t>ZOLETORV</t>
  </si>
  <si>
    <t>10MG/20MG TBL FLM 100</t>
  </si>
  <si>
    <t>JINÉ KAPILÁRY STABILIZUJÍCÍ LÁTKY</t>
  </si>
  <si>
    <t>202701</t>
  </si>
  <si>
    <t>AESCIN TEVA</t>
  </si>
  <si>
    <t>20MG TBL ENT 90</t>
  </si>
  <si>
    <t>EPINEFRIN</t>
  </si>
  <si>
    <t>180471</t>
  </si>
  <si>
    <t>EPIPEN</t>
  </si>
  <si>
    <t>300MCG INJ SOL PEP 1X0,3ML</t>
  </si>
  <si>
    <t>180470</t>
  </si>
  <si>
    <t>EPIPEN JR.</t>
  </si>
  <si>
    <t>150MCG INJ SOL PEP 1X0,3ML</t>
  </si>
  <si>
    <t>ACEBUTOLOL</t>
  </si>
  <si>
    <t>80058</t>
  </si>
  <si>
    <t>SECTRAL</t>
  </si>
  <si>
    <t>107869</t>
  </si>
  <si>
    <t>APO-ALLOPURINOL</t>
  </si>
  <si>
    <t>127260</t>
  </si>
  <si>
    <t>59754</t>
  </si>
  <si>
    <t>FRONTIN</t>
  </si>
  <si>
    <t>163114</t>
  </si>
  <si>
    <t>ZOREM</t>
  </si>
  <si>
    <t>162908</t>
  </si>
  <si>
    <t>ORCAL NEO</t>
  </si>
  <si>
    <t>163111</t>
  </si>
  <si>
    <t>ANTIBIOTIKA V KOMBINACI S OSTATNÍMI LÉČIVY</t>
  </si>
  <si>
    <t>1077</t>
  </si>
  <si>
    <t>OPHTHALMO-FRAMYKOIN COMP.</t>
  </si>
  <si>
    <t>OPH UNG 5G</t>
  </si>
  <si>
    <t>93015</t>
  </si>
  <si>
    <t>93021</t>
  </si>
  <si>
    <t>40MG TBL FLM 100</t>
  </si>
  <si>
    <t>225112</t>
  </si>
  <si>
    <t>ATORVASTATIN ACTAVIS</t>
  </si>
  <si>
    <t>225092</t>
  </si>
  <si>
    <t>ATORVASTATIN A AMLODIPIN</t>
  </si>
  <si>
    <t>101172</t>
  </si>
  <si>
    <t>CADUET</t>
  </si>
  <si>
    <t>5MG/10MG TBL FLM 90</t>
  </si>
  <si>
    <t>30560</t>
  </si>
  <si>
    <t>30543</t>
  </si>
  <si>
    <t>5MG/10MG TBL FLM 30</t>
  </si>
  <si>
    <t>AZITHROMYCIN</t>
  </si>
  <si>
    <t>49909</t>
  </si>
  <si>
    <t>20MG TBL FLM 28</t>
  </si>
  <si>
    <t>176913</t>
  </si>
  <si>
    <t>5MG TBL FLM 90</t>
  </si>
  <si>
    <t>176914</t>
  </si>
  <si>
    <t>47741</t>
  </si>
  <si>
    <t>158716</t>
  </si>
  <si>
    <t>158711</t>
  </si>
  <si>
    <t>219841</t>
  </si>
  <si>
    <t>233605</t>
  </si>
  <si>
    <t>CILAZAPRIL</t>
  </si>
  <si>
    <t>241414</t>
  </si>
  <si>
    <t>INHIBACE</t>
  </si>
  <si>
    <t>CITALOPRAM</t>
  </si>
  <si>
    <t>230409</t>
  </si>
  <si>
    <t>CITALEC</t>
  </si>
  <si>
    <t>230417</t>
  </si>
  <si>
    <t>20MG TBL FLM 60</t>
  </si>
  <si>
    <t>168838</t>
  </si>
  <si>
    <t>DASSELTA</t>
  </si>
  <si>
    <t>178683</t>
  </si>
  <si>
    <t>5MG TBL FLM 50 I</t>
  </si>
  <si>
    <t>DEXAMETHASON A ANTIINFEKTIVA</t>
  </si>
  <si>
    <t>225169</t>
  </si>
  <si>
    <t>3542</t>
  </si>
  <si>
    <t>0,250MG TBL NOB 30</t>
  </si>
  <si>
    <t>125122</t>
  </si>
  <si>
    <t>100MG TBL RET 100</t>
  </si>
  <si>
    <t>75632</t>
  </si>
  <si>
    <t>14828</t>
  </si>
  <si>
    <t>FLECTOR EP RAPID</t>
  </si>
  <si>
    <t>50MG POR GRA SOL SCC 20</t>
  </si>
  <si>
    <t>14075</t>
  </si>
  <si>
    <t>201992</t>
  </si>
  <si>
    <t>225549</t>
  </si>
  <si>
    <t>500MG TBL FLM 180(2X90)</t>
  </si>
  <si>
    <t>EPLERENON</t>
  </si>
  <si>
    <t>203055</t>
  </si>
  <si>
    <t>50MG TBL FLM 30</t>
  </si>
  <si>
    <t>GLYCEROL-TRINITRÁT</t>
  </si>
  <si>
    <t>85071</t>
  </si>
  <si>
    <t>NITROMINT</t>
  </si>
  <si>
    <t>0,4MG/DÁV SPR SLG 10G I</t>
  </si>
  <si>
    <t>HYDROCHLOROTHIAZID</t>
  </si>
  <si>
    <t>168</t>
  </si>
  <si>
    <t>HYDROCHLOROTHIAZID LÉČIVA</t>
  </si>
  <si>
    <t>17189</t>
  </si>
  <si>
    <t>500MG TBL ENT 100</t>
  </si>
  <si>
    <t>CHOLEKALCIFEROL</t>
  </si>
  <si>
    <t>243240</t>
  </si>
  <si>
    <t>VIGANTOL</t>
  </si>
  <si>
    <t>0,5MG/ML POR GTT SOL 1X10ML</t>
  </si>
  <si>
    <t>120329</t>
  </si>
  <si>
    <t>INDAPAMID STADA</t>
  </si>
  <si>
    <t>1,5MG TBL PRO 100</t>
  </si>
  <si>
    <t>207961</t>
  </si>
  <si>
    <t>MONOTAB SR</t>
  </si>
  <si>
    <t>100MG TBL PRO 100(10X10)</t>
  </si>
  <si>
    <t>207940</t>
  </si>
  <si>
    <t>155782</t>
  </si>
  <si>
    <t>100MG/50MG TBL NOB 100 II</t>
  </si>
  <si>
    <t>KYSELINA URSODEOXYCHOLOVÁ</t>
  </si>
  <si>
    <t>13808</t>
  </si>
  <si>
    <t>URSOSAN</t>
  </si>
  <si>
    <t>250MG CPS DUR 100 I</t>
  </si>
  <si>
    <t>KYSELINA VALPROOVÁ</t>
  </si>
  <si>
    <t>LÉČIVA K TERAPII ONEMOCNĚNÍ JATER</t>
  </si>
  <si>
    <t>125753</t>
  </si>
  <si>
    <t>ESSENTIALE</t>
  </si>
  <si>
    <t>LERKANIDIPIN</t>
  </si>
  <si>
    <t>169629</t>
  </si>
  <si>
    <t>KAPIDIN</t>
  </si>
  <si>
    <t>10MG TBL FLM 100 II</t>
  </si>
  <si>
    <t>169660</t>
  </si>
  <si>
    <t>20MG TBL FLM 100 II</t>
  </si>
  <si>
    <t>85142</t>
  </si>
  <si>
    <t>XYZAL</t>
  </si>
  <si>
    <t>216532</t>
  </si>
  <si>
    <t>ZENARO</t>
  </si>
  <si>
    <t>5MG TBL FLM 90 IV</t>
  </si>
  <si>
    <t>216531</t>
  </si>
  <si>
    <t>5MG TBL FLM 50 IV</t>
  </si>
  <si>
    <t>LOSARTAN A DIURETIKA</t>
  </si>
  <si>
    <t>15317</t>
  </si>
  <si>
    <t>LOZAP H</t>
  </si>
  <si>
    <t>50MG/12,5MG TBL FLM 90</t>
  </si>
  <si>
    <t>23747</t>
  </si>
  <si>
    <t>500MG TBL PRO 60</t>
  </si>
  <si>
    <t>46980</t>
  </si>
  <si>
    <t>BETALOC SR</t>
  </si>
  <si>
    <t>200MG TBL PRO 100</t>
  </si>
  <si>
    <t>58042</t>
  </si>
  <si>
    <t>231687</t>
  </si>
  <si>
    <t>231689</t>
  </si>
  <si>
    <t>MOMETASON</t>
  </si>
  <si>
    <t>192205</t>
  </si>
  <si>
    <t>1MG/G UNG 1X30G</t>
  </si>
  <si>
    <t>170760</t>
  </si>
  <si>
    <t>MOMMOX</t>
  </si>
  <si>
    <t>0,05MG/DÁV NAS SPR SUS 140DÁV</t>
  </si>
  <si>
    <t>MOXONIDIN</t>
  </si>
  <si>
    <t>16916</t>
  </si>
  <si>
    <t>MOXOSTAD</t>
  </si>
  <si>
    <t>0,2MG TBL FLM 100</t>
  </si>
  <si>
    <t>215166</t>
  </si>
  <si>
    <t>CYNT 0,4</t>
  </si>
  <si>
    <t>0,4MG TBL FLM 98 I</t>
  </si>
  <si>
    <t>112579</t>
  </si>
  <si>
    <t>5MG TBL NOB 98</t>
  </si>
  <si>
    <t>215606</t>
  </si>
  <si>
    <t>OXYBUTYNIN</t>
  </si>
  <si>
    <t>225974</t>
  </si>
  <si>
    <t>UROXAL</t>
  </si>
  <si>
    <t>5MG TBL NOB 60</t>
  </si>
  <si>
    <t>47085</t>
  </si>
  <si>
    <t>PENTOMER RETARD</t>
  </si>
  <si>
    <t>120805</t>
  </si>
  <si>
    <t>APO-PERINDO</t>
  </si>
  <si>
    <t>8MG TBL NOB 30</t>
  </si>
  <si>
    <t>229905</t>
  </si>
  <si>
    <t>4MG TBL NOB 90</t>
  </si>
  <si>
    <t>124135</t>
  </si>
  <si>
    <t>10MG/10MG TBL NOB 120(4X30)</t>
  </si>
  <si>
    <t>162012</t>
  </si>
  <si>
    <t>10MG/2,5MG TBL FLM 90(3X30)</t>
  </si>
  <si>
    <t>269</t>
  </si>
  <si>
    <t>5MG TBL NOB 20</t>
  </si>
  <si>
    <t>PROPIVERIN</t>
  </si>
  <si>
    <t>231597</t>
  </si>
  <si>
    <t>MICTONORM</t>
  </si>
  <si>
    <t>15MG TBL FLM 30</t>
  </si>
  <si>
    <t>RABEPRAZOL</t>
  </si>
  <si>
    <t>157141</t>
  </si>
  <si>
    <t>ZULBEX</t>
  </si>
  <si>
    <t>20MG TBL ENT 56</t>
  </si>
  <si>
    <t>141960</t>
  </si>
  <si>
    <t>RAPOXOL</t>
  </si>
  <si>
    <t>15864</t>
  </si>
  <si>
    <t>10MG TBL NOB 30</t>
  </si>
  <si>
    <t>RAMIPRIL A AMLODIPIN</t>
  </si>
  <si>
    <t>185758</t>
  </si>
  <si>
    <t>TRITACE COMBI</t>
  </si>
  <si>
    <t>5MG/5MG CPS DUR 98</t>
  </si>
  <si>
    <t>RAMIPRIL A DIURETIKA</t>
  </si>
  <si>
    <t>115594</t>
  </si>
  <si>
    <t>MEDORAM PLUS H</t>
  </si>
  <si>
    <t>5MG/25MG TBL NOB 100</t>
  </si>
  <si>
    <t>168899</t>
  </si>
  <si>
    <t>15MG TBL FLM 98 II</t>
  </si>
  <si>
    <t>148070</t>
  </si>
  <si>
    <t>148074</t>
  </si>
  <si>
    <t>148078</t>
  </si>
  <si>
    <t>145574</t>
  </si>
  <si>
    <t>ROSUMOP</t>
  </si>
  <si>
    <t>145558</t>
  </si>
  <si>
    <t>SERTRALIN</t>
  </si>
  <si>
    <t>146917</t>
  </si>
  <si>
    <t>SILDENAFIL</t>
  </si>
  <si>
    <t>143428</t>
  </si>
  <si>
    <t>SILDENAFIL SANDOZ</t>
  </si>
  <si>
    <t>100MG TBL NOB 8 I</t>
  </si>
  <si>
    <t>160211</t>
  </si>
  <si>
    <t>SILDENAFIL ACCORD</t>
  </si>
  <si>
    <t>100MG TBL FLM 4</t>
  </si>
  <si>
    <t>182044</t>
  </si>
  <si>
    <t>KATORA</t>
  </si>
  <si>
    <t>50MG TBL MND 4</t>
  </si>
  <si>
    <t>182050</t>
  </si>
  <si>
    <t>100MG TBL MND 8</t>
  </si>
  <si>
    <t>238150</t>
  </si>
  <si>
    <t>SILYMARIN</t>
  </si>
  <si>
    <t>1147</t>
  </si>
  <si>
    <t>SILYMARIN AL 50</t>
  </si>
  <si>
    <t>50MG TBL OBD 100</t>
  </si>
  <si>
    <t>SÍRAN ŽELEZNATÝ</t>
  </si>
  <si>
    <t>14711</t>
  </si>
  <si>
    <t>TARDYFERON</t>
  </si>
  <si>
    <t>80MG TBL RET 30 I</t>
  </si>
  <si>
    <t>SOLIFENACIN</t>
  </si>
  <si>
    <t>18279</t>
  </si>
  <si>
    <t>VESICARE</t>
  </si>
  <si>
    <t>49021</t>
  </si>
  <si>
    <t>SOTAHEXAL 160</t>
  </si>
  <si>
    <t>160MG TBL NOB 100</t>
  </si>
  <si>
    <t>49020</t>
  </si>
  <si>
    <t>160MG TBL NOB 50</t>
  </si>
  <si>
    <t>57339</t>
  </si>
  <si>
    <t>SULFASALAZIN</t>
  </si>
  <si>
    <t>47712</t>
  </si>
  <si>
    <t>TAMSULOSIN</t>
  </si>
  <si>
    <t>14498</t>
  </si>
  <si>
    <t>OMNIC TOCAS</t>
  </si>
  <si>
    <t>0,4MG TBL PRO 100</t>
  </si>
  <si>
    <t>167676</t>
  </si>
  <si>
    <t>TOLURA</t>
  </si>
  <si>
    <t>80MG TBL NOB 84</t>
  </si>
  <si>
    <t>206208</t>
  </si>
  <si>
    <t>TEZEFORT</t>
  </si>
  <si>
    <t>80MG/5MG TBL NOB 90</t>
  </si>
  <si>
    <t>173562</t>
  </si>
  <si>
    <t>40MG/5MG TBL NOB 28</t>
  </si>
  <si>
    <t>193874</t>
  </si>
  <si>
    <t>TOLUCOMBI</t>
  </si>
  <si>
    <t>40MG/12,5MG TBL NOB 28X1 II</t>
  </si>
  <si>
    <t>189668</t>
  </si>
  <si>
    <t>80MG/25MG TBL FLM 30</t>
  </si>
  <si>
    <t>TRANDOLAPRIL A VERAPAMIL</t>
  </si>
  <si>
    <t>234220</t>
  </si>
  <si>
    <t>TARKA</t>
  </si>
  <si>
    <t>180MG/2MG TBL RET 98</t>
  </si>
  <si>
    <t>46444</t>
  </si>
  <si>
    <t>150MG TBL RET 60</t>
  </si>
  <si>
    <t>186665</t>
  </si>
  <si>
    <t>35MG TBL RET 180</t>
  </si>
  <si>
    <t>178689</t>
  </si>
  <si>
    <t>PROTEVASC</t>
  </si>
  <si>
    <t>35MG TBL PRO 60</t>
  </si>
  <si>
    <t>URAPIDIL</t>
  </si>
  <si>
    <t>215478</t>
  </si>
  <si>
    <t>EBRANTIL RETARD</t>
  </si>
  <si>
    <t>60MG CPS PRO 50</t>
  </si>
  <si>
    <t>215964</t>
  </si>
  <si>
    <t>ISOPTIN SR</t>
  </si>
  <si>
    <t>240MG TBL PRO 30</t>
  </si>
  <si>
    <t>233479</t>
  </si>
  <si>
    <t>240MG TBL PRO 100</t>
  </si>
  <si>
    <t>16286</t>
  </si>
  <si>
    <t>STILNOX</t>
  </si>
  <si>
    <t>198058</t>
  </si>
  <si>
    <t>SANVAL</t>
  </si>
  <si>
    <t>FENOTEROL A IPRATROPIUM-BROMID</t>
  </si>
  <si>
    <t>2679</t>
  </si>
  <si>
    <t>BERODUAL N</t>
  </si>
  <si>
    <t>21MCG/50MCG/DÁV INH SOL PSS 200DÁV</t>
  </si>
  <si>
    <t>SALMETEROL A FLUTIKASON</t>
  </si>
  <si>
    <t>45964</t>
  </si>
  <si>
    <t>50MCG/250MCG INH PLV DOS 1X60DÁV</t>
  </si>
  <si>
    <t>190975</t>
  </si>
  <si>
    <t>10MG/2,5MG/10MG TBL FLM 90(3X30)</t>
  </si>
  <si>
    <t>190970</t>
  </si>
  <si>
    <t>10MG/2,5MG/5MG TBL FLM 90(3X30)</t>
  </si>
  <si>
    <t>190960</t>
  </si>
  <si>
    <t>5MG/1,25MG/5MG TBL FLM 90(3X30)</t>
  </si>
  <si>
    <t>ORFENADRIN, KOMBINACE</t>
  </si>
  <si>
    <t>230352</t>
  </si>
  <si>
    <t>75MG/30MG INF SOL 1X250ML</t>
  </si>
  <si>
    <t>ITOPRIDUM</t>
  </si>
  <si>
    <t>166760</t>
  </si>
  <si>
    <t>50MG TBL FLM 100(10X10)</t>
  </si>
  <si>
    <t>ATORVASTATIN, AMLODIPIN A PERINDOPRIL</t>
  </si>
  <si>
    <t>205998</t>
  </si>
  <si>
    <t>LIPERTANCE</t>
  </si>
  <si>
    <t>20MG/10MG/5MG TBL FLM 30</t>
  </si>
  <si>
    <t>206001</t>
  </si>
  <si>
    <t>20MG/10MG/10MG TBL FLM 30</t>
  </si>
  <si>
    <t>205999</t>
  </si>
  <si>
    <t>20MG/10MG/5MG TBL FLM 90(3X30)</t>
  </si>
  <si>
    <t>205992</t>
  </si>
  <si>
    <t>10MG/5MG/5MG TBL FLM 30</t>
  </si>
  <si>
    <t>233474</t>
  </si>
  <si>
    <t>10MG/40MG TBL FLM 100</t>
  </si>
  <si>
    <t>233468</t>
  </si>
  <si>
    <t>179333</t>
  </si>
  <si>
    <t>75MG/650MG TBL FLM 90 I</t>
  </si>
  <si>
    <t>213258</t>
  </si>
  <si>
    <t>213261</t>
  </si>
  <si>
    <t>10MG/5MG TBL FLM 30</t>
  </si>
  <si>
    <t>MULTIENZYMOVÉ PŘÍPRAVKY (LIPASA, PROTEASA APOD.)</t>
  </si>
  <si>
    <t>187406</t>
  </si>
  <si>
    <t>PANGROL</t>
  </si>
  <si>
    <t>20000IU TBL ENT 50 II</t>
  </si>
  <si>
    <t>215172</t>
  </si>
  <si>
    <t>KREON 25 000</t>
  </si>
  <si>
    <t>25000U CPS ETD 50</t>
  </si>
  <si>
    <t>230614</t>
  </si>
  <si>
    <t>147458</t>
  </si>
  <si>
    <t>112MCG TBL NOB 100 II</t>
  </si>
  <si>
    <t>172044</t>
  </si>
  <si>
    <t>150MCG TBL NOB 100</t>
  </si>
  <si>
    <t>NATRIUM-PIKOSULFÁT, KOMBINACE</t>
  </si>
  <si>
    <t>160806</t>
  </si>
  <si>
    <t>PICOPREP</t>
  </si>
  <si>
    <t>10MG/3,5G/12G POR PLV SOL 2</t>
  </si>
  <si>
    <t>ROSUVASTATIN A EZETIMIB</t>
  </si>
  <si>
    <t>225241</t>
  </si>
  <si>
    <t>DELIPID PLUS</t>
  </si>
  <si>
    <t>20MG/10MG CPS DUR 90</t>
  </si>
  <si>
    <t>224314</t>
  </si>
  <si>
    <t>ROSUMOP COMBI</t>
  </si>
  <si>
    <t>20MG/10MG TBL NOB 30</t>
  </si>
  <si>
    <t>EDOXABAN</t>
  </si>
  <si>
    <t>210631</t>
  </si>
  <si>
    <t>LIXIANA</t>
  </si>
  <si>
    <t>60MG TBL FLM 100</t>
  </si>
  <si>
    <t>ATORVASTATIN A PERINDOPRIL</t>
  </si>
  <si>
    <t>220531</t>
  </si>
  <si>
    <t>EUVASCOR</t>
  </si>
  <si>
    <t>20MG/5MG CPS DUR 30</t>
  </si>
  <si>
    <t>*4012</t>
  </si>
  <si>
    <t>Jiný</t>
  </si>
  <si>
    <t>*2091</t>
  </si>
  <si>
    <t>231741</t>
  </si>
  <si>
    <t>5000452</t>
  </si>
  <si>
    <t>MAXIS-KOMPRESNÍ PUNČOCHY COMFORT II.KT</t>
  </si>
  <si>
    <t>LÝTKOVÁ PUNČOCHA</t>
  </si>
  <si>
    <t>12023</t>
  </si>
  <si>
    <t>119654</t>
  </si>
  <si>
    <t>320MG/60MG TBL RET 100</t>
  </si>
  <si>
    <t>195941</t>
  </si>
  <si>
    <t>SERTRALIN APOTEX</t>
  </si>
  <si>
    <t>195944</t>
  </si>
  <si>
    <t>100MG TBL FLM 100</t>
  </si>
  <si>
    <t>TOBRAMYCIN</t>
  </si>
  <si>
    <t>86264</t>
  </si>
  <si>
    <t>3MG/ML OPH GTT SOL 1X5ML</t>
  </si>
  <si>
    <t>ACETYLCYSTEIN</t>
  </si>
  <si>
    <t>ACIKLOVIR</t>
  </si>
  <si>
    <t>155938</t>
  </si>
  <si>
    <t>HERPESIN 200</t>
  </si>
  <si>
    <t>200MG TBL NOB 25</t>
  </si>
  <si>
    <t>AMBROXOL</t>
  </si>
  <si>
    <t>94920</t>
  </si>
  <si>
    <t>7,5MG/ML POR SOL 100ML</t>
  </si>
  <si>
    <t>CETIRIZIN</t>
  </si>
  <si>
    <t>66030</t>
  </si>
  <si>
    <t>97522</t>
  </si>
  <si>
    <t>500MG TBL FLM 30</t>
  </si>
  <si>
    <t>162859</t>
  </si>
  <si>
    <t>ASPIRIN PROTECT 100</t>
  </si>
  <si>
    <t>100MG TBL ENT 98</t>
  </si>
  <si>
    <t>45499</t>
  </si>
  <si>
    <t>PROPAFENON</t>
  </si>
  <si>
    <t>215906</t>
  </si>
  <si>
    <t>RYTMONORM</t>
  </si>
  <si>
    <t>150MG TBL FLM 100</t>
  </si>
  <si>
    <t>145567</t>
  </si>
  <si>
    <t>145583</t>
  </si>
  <si>
    <t>145551</t>
  </si>
  <si>
    <t>TOLPERISON</t>
  </si>
  <si>
    <t>57525</t>
  </si>
  <si>
    <t>MYDOCALM</t>
  </si>
  <si>
    <t>150MG TBL FLM 30</t>
  </si>
  <si>
    <t>215476</t>
  </si>
  <si>
    <t>30MG CPS PRO 50</t>
  </si>
  <si>
    <t>214601</t>
  </si>
  <si>
    <t>HYPNOGEN</t>
  </si>
  <si>
    <t>132871</t>
  </si>
  <si>
    <t>37,5MG/325MG TBL FLM 10</t>
  </si>
  <si>
    <t>2954</t>
  </si>
  <si>
    <t>87051</t>
  </si>
  <si>
    <t>204690</t>
  </si>
  <si>
    <t>148306</t>
  </si>
  <si>
    <t>225172</t>
  </si>
  <si>
    <t>109409</t>
  </si>
  <si>
    <t>NOLPAZA</t>
  </si>
  <si>
    <t>40MG TBL ENT 14</t>
  </si>
  <si>
    <t>101227</t>
  </si>
  <si>
    <t>124087</t>
  </si>
  <si>
    <t>5MG/5MG TBL NOB 30</t>
  </si>
  <si>
    <t>VÁPNÍK, KOMBINACE S VITAMINEM D A/NEBO JINÝMI LÉČIVY</t>
  </si>
  <si>
    <t>164888</t>
  </si>
  <si>
    <t>CALTRATE D3</t>
  </si>
  <si>
    <t>600MG/400IU TBL FLM 90</t>
  </si>
  <si>
    <t>190973</t>
  </si>
  <si>
    <t>10MG/2,5MG/10MG TBL FLM 30</t>
  </si>
  <si>
    <t>125053</t>
  </si>
  <si>
    <t>APO-AMLO</t>
  </si>
  <si>
    <t>162942</t>
  </si>
  <si>
    <t>49009</t>
  </si>
  <si>
    <t>94163</t>
  </si>
  <si>
    <t>CONCOR 10</t>
  </si>
  <si>
    <t>218834</t>
  </si>
  <si>
    <t>174339</t>
  </si>
  <si>
    <t>EPLERENON ACTAVIS</t>
  </si>
  <si>
    <t>189181</t>
  </si>
  <si>
    <t>EZEN</t>
  </si>
  <si>
    <t>FENOFIBRÁT</t>
  </si>
  <si>
    <t>207100</t>
  </si>
  <si>
    <t>LIPANTHYL 267 M</t>
  </si>
  <si>
    <t>267MG CPS DUR 90</t>
  </si>
  <si>
    <t>56812</t>
  </si>
  <si>
    <t>FURORESE 250</t>
  </si>
  <si>
    <t>250MG TBL NOB 100</t>
  </si>
  <si>
    <t>GLIKLAZID</t>
  </si>
  <si>
    <t>112659</t>
  </si>
  <si>
    <t>GLYCLADA</t>
  </si>
  <si>
    <t>30MG TBL RET 90</t>
  </si>
  <si>
    <t>149392</t>
  </si>
  <si>
    <t>CLOPIDOGREL MYLAN</t>
  </si>
  <si>
    <t>223519</t>
  </si>
  <si>
    <t>ASPIRIN PROTECT</t>
  </si>
  <si>
    <t>17121</t>
  </si>
  <si>
    <t>30MG CPS DUR 28</t>
  </si>
  <si>
    <t>66015</t>
  </si>
  <si>
    <t>207076</t>
  </si>
  <si>
    <t>122685</t>
  </si>
  <si>
    <t>5MG/1,25MG TBL FLM 30</t>
  </si>
  <si>
    <t>184452</t>
  </si>
  <si>
    <t>SORVASTA</t>
  </si>
  <si>
    <t>20MG TBL FLM 28X1</t>
  </si>
  <si>
    <t>184456</t>
  </si>
  <si>
    <t>20MG TBL FLM 84X1</t>
  </si>
  <si>
    <t>RUTOSID, KOMBINACE</t>
  </si>
  <si>
    <t>96303</t>
  </si>
  <si>
    <t>ASCORUTIN</t>
  </si>
  <si>
    <t>100MG/20MG TBL FLM 50</t>
  </si>
  <si>
    <t>167673</t>
  </si>
  <si>
    <t>80MG TBL NOB 28</t>
  </si>
  <si>
    <t>189688</t>
  </si>
  <si>
    <t>TEZEO HCT</t>
  </si>
  <si>
    <t>80MG/12,5MG TBL NOB 90</t>
  </si>
  <si>
    <t>193894</t>
  </si>
  <si>
    <t>80MG/25MG TBL NOB 28X1 II</t>
  </si>
  <si>
    <t>193888</t>
  </si>
  <si>
    <t>80MG/12,5MG TBL NOB 84X1 II</t>
  </si>
  <si>
    <t>TRANDOLAPRIL</t>
  </si>
  <si>
    <t>215917</t>
  </si>
  <si>
    <t>VALSARTAN A DIURETIKA</t>
  </si>
  <si>
    <t>134281</t>
  </si>
  <si>
    <t>VALSACOMBI</t>
  </si>
  <si>
    <t>160MG/12,5MG TBL FLM 28</t>
  </si>
  <si>
    <t>198054</t>
  </si>
  <si>
    <t>210108</t>
  </si>
  <si>
    <t>190965</t>
  </si>
  <si>
    <t>5MG/1,25MG/10MG TBL FLM 90(3X30)</t>
  </si>
  <si>
    <t>LEVODOPA A INHIBITOR DEKARBOXYLASY</t>
  </si>
  <si>
    <t>88498</t>
  </si>
  <si>
    <t>NAKOM MITE</t>
  </si>
  <si>
    <t>100MG/25MG TBL NOB 100</t>
  </si>
  <si>
    <t>157892</t>
  </si>
  <si>
    <t>SILDENAFIL MYLAN</t>
  </si>
  <si>
    <t>50MG TBL FLM 4</t>
  </si>
  <si>
    <t>167009</t>
  </si>
  <si>
    <t>SILDENAFIL TEVA</t>
  </si>
  <si>
    <t>99366</t>
  </si>
  <si>
    <t>AMOKSIKLAV 457 MG/5 ML</t>
  </si>
  <si>
    <t>400MG/5ML+57MG/5ML POR PLV SUS 70ML</t>
  </si>
  <si>
    <t>176159</t>
  </si>
  <si>
    <t>AMLODIPIN MYLAN</t>
  </si>
  <si>
    <t>18547</t>
  </si>
  <si>
    <t>230415</t>
  </si>
  <si>
    <t>DOXAZOSIN</t>
  </si>
  <si>
    <t>107794</t>
  </si>
  <si>
    <t>ZOXON</t>
  </si>
  <si>
    <t>GLIMEPIRID</t>
  </si>
  <si>
    <t>JODOVÁ TERAPIE</t>
  </si>
  <si>
    <t>61158</t>
  </si>
  <si>
    <t>JODID 100</t>
  </si>
  <si>
    <t>141034</t>
  </si>
  <si>
    <t>75MG TBL FLM 30</t>
  </si>
  <si>
    <t>119697</t>
  </si>
  <si>
    <t>0,5MG TBL OBD 20</t>
  </si>
  <si>
    <t>100101</t>
  </si>
  <si>
    <t>STADAMET</t>
  </si>
  <si>
    <t>25365</t>
  </si>
  <si>
    <t>20MG CPS ETD 28 I</t>
  </si>
  <si>
    <t>PAROXETIN</t>
  </si>
  <si>
    <t>124129</t>
  </si>
  <si>
    <t>10MG/10MG TBL NOB 30</t>
  </si>
  <si>
    <t>3377</t>
  </si>
  <si>
    <t>203954</t>
  </si>
  <si>
    <t>169727</t>
  </si>
  <si>
    <t>183064</t>
  </si>
  <si>
    <t>TELMISARTAN EGIS</t>
  </si>
  <si>
    <t>189657</t>
  </si>
  <si>
    <t>80MG/12,5MG TBL FLM 30</t>
  </si>
  <si>
    <t>215920</t>
  </si>
  <si>
    <t>4MG CPS DUR 28</t>
  </si>
  <si>
    <t>TROSPIUM</t>
  </si>
  <si>
    <t>17162</t>
  </si>
  <si>
    <t>SPASMED</t>
  </si>
  <si>
    <t>168327</t>
  </si>
  <si>
    <t>2,5MG TBL FLM 60</t>
  </si>
  <si>
    <t>228545</t>
  </si>
  <si>
    <t>ZETOVAR</t>
  </si>
  <si>
    <t>10MG/40MG TBL NOB 30</t>
  </si>
  <si>
    <t>138840</t>
  </si>
  <si>
    <t>37,5MG/325MG TBL FLM 20 I</t>
  </si>
  <si>
    <t>2592</t>
  </si>
  <si>
    <t>MILURIT</t>
  </si>
  <si>
    <t>100MG TBL NOB 50</t>
  </si>
  <si>
    <t>136505</t>
  </si>
  <si>
    <t>ALLOPURINOL APOTEX</t>
  </si>
  <si>
    <t>93016</t>
  </si>
  <si>
    <t>131488</t>
  </si>
  <si>
    <t>BUTYLSKOPOLAMINIUM</t>
  </si>
  <si>
    <t>41155</t>
  </si>
  <si>
    <t>BUSCOPAN</t>
  </si>
  <si>
    <t>10MG TBL OBD 20</t>
  </si>
  <si>
    <t>227417</t>
  </si>
  <si>
    <t>FUROSEMID XANTIS</t>
  </si>
  <si>
    <t>12026</t>
  </si>
  <si>
    <t>GLIMEPIRID SANDOZ</t>
  </si>
  <si>
    <t>JINÁ ANTIINFEKTIVA</t>
  </si>
  <si>
    <t>200863</t>
  </si>
  <si>
    <t>JODOVANÝ POVIDON</t>
  </si>
  <si>
    <t>16320</t>
  </si>
  <si>
    <t>BRAUNOVIDON</t>
  </si>
  <si>
    <t>100MG/G UNG 100G</t>
  </si>
  <si>
    <t>KYSELINA FUSIDOVÁ</t>
  </si>
  <si>
    <t>84492</t>
  </si>
  <si>
    <t>FUCIDIN</t>
  </si>
  <si>
    <t>20MG/G CRM 1X15G</t>
  </si>
  <si>
    <t>MEFENOXALON</t>
  </si>
  <si>
    <t>85656</t>
  </si>
  <si>
    <t>DORSIFLEX</t>
  </si>
  <si>
    <t>58037</t>
  </si>
  <si>
    <t>PITOFENON A ANALGETIKA</t>
  </si>
  <si>
    <t>88708</t>
  </si>
  <si>
    <t>ALGIFEN</t>
  </si>
  <si>
    <t>500MG/5,25MG/0,1MG TBL NOB 20</t>
  </si>
  <si>
    <t>TIAPRID</t>
  </si>
  <si>
    <t>48578</t>
  </si>
  <si>
    <t>85525</t>
  </si>
  <si>
    <t>AMOKSIKLAV 625 MG</t>
  </si>
  <si>
    <t>500MG/125MG TBL FLM 21</t>
  </si>
  <si>
    <t>*2998</t>
  </si>
  <si>
    <t>88217</t>
  </si>
  <si>
    <t>1,5MG TBL NOB 30</t>
  </si>
  <si>
    <t>FLUOXETIN</t>
  </si>
  <si>
    <t>32738</t>
  </si>
  <si>
    <t>FLUZAK</t>
  </si>
  <si>
    <t>20MG CPS DUR 30</t>
  </si>
  <si>
    <t>MEBENDAZOL</t>
  </si>
  <si>
    <t>122198</t>
  </si>
  <si>
    <t>100MG TBL NOB 6</t>
  </si>
  <si>
    <t>3645</t>
  </si>
  <si>
    <t>DIMEXOL</t>
  </si>
  <si>
    <t>53761</t>
  </si>
  <si>
    <t>NEBILET</t>
  </si>
  <si>
    <t>OSELTAMIVIR</t>
  </si>
  <si>
    <t>27698</t>
  </si>
  <si>
    <t>TAMIFLU</t>
  </si>
  <si>
    <t>75MG CPS DUR 10</t>
  </si>
  <si>
    <t>SÍRAN HOŘEČNATÝ</t>
  </si>
  <si>
    <t>499</t>
  </si>
  <si>
    <t>MAGNESIUM SULFURICUM BIOTIKA</t>
  </si>
  <si>
    <t>132872</t>
  </si>
  <si>
    <t>37,5MG/325MG TBL FLM 30</t>
  </si>
  <si>
    <t>KLOTRIMAZOL</t>
  </si>
  <si>
    <t>132903</t>
  </si>
  <si>
    <t>IMAZOL KRÉMPASTA</t>
  </si>
  <si>
    <t>10MG/G DRM PST 1X30G</t>
  </si>
  <si>
    <t>TRAMADOL</t>
  </si>
  <si>
    <t>133321</t>
  </si>
  <si>
    <t>TRAMADOL AUROVITAS</t>
  </si>
  <si>
    <t>50MG CPS DUR 20</t>
  </si>
  <si>
    <t>234736</t>
  </si>
  <si>
    <t>Standardní lůžková péče</t>
  </si>
  <si>
    <t>Všeobecná ambulance</t>
  </si>
  <si>
    <t>Preskripce a záchyt receptů a poukazů - orientační přehled</t>
  </si>
  <si>
    <t>Přehled plnění pozitivního listu (PL) - 
   preskripce léčivých přípravků dle objemu Kč mimo PL</t>
  </si>
  <si>
    <t>C10BA05 - ATORVASTATIN A EZETIMIB</t>
  </si>
  <si>
    <t>C10BA06 - ROSUVASTATIN A EZETIMIB</t>
  </si>
  <si>
    <t>C09DA07 - TELMISARTAN A DIURETIKA</t>
  </si>
  <si>
    <t>C01EB15 - TRIMETAZIDIN</t>
  </si>
  <si>
    <t>C09BB07 - RAMIPRIL A AMLODIPIN</t>
  </si>
  <si>
    <t>R03AK06 - SALMETEROL A FLUTIKASON</t>
  </si>
  <si>
    <t>C10AA07 - ROSUVASTATIN</t>
  </si>
  <si>
    <t>C09CA07 - TELMISARTAN</t>
  </si>
  <si>
    <t>C10BX03 - ATORVASTATIN A AMLODIPIN</t>
  </si>
  <si>
    <t>R06AX27 - DESLORATADIN</t>
  </si>
  <si>
    <t>C10AX09 - EZETIMIB</t>
  </si>
  <si>
    <t>N06AB10 - ESCITALOPRAM</t>
  </si>
  <si>
    <t>N02AJ13 - TRAMADOL A PARACETAMOL</t>
  </si>
  <si>
    <t>C07AB12 - NEBIVOLOL</t>
  </si>
  <si>
    <t>R01AD09 - MOMETASON</t>
  </si>
  <si>
    <t>C02AC05 - MOXONIDIN</t>
  </si>
  <si>
    <t>C02CA04 - DOXAZOSIN</t>
  </si>
  <si>
    <t>C09DB04 - TELMISARTAN A AMLODIPIN</t>
  </si>
  <si>
    <t>C09CA01 - LOSARTAN</t>
  </si>
  <si>
    <t>D01AC01 - KLOTRIMAZOL</t>
  </si>
  <si>
    <t>C08DA01 - VERAPAMIL</t>
  </si>
  <si>
    <t>A02BC03 - LANSOPRAZOL</t>
  </si>
  <si>
    <t>C09DA01 - LOSARTAN A DIURETIKA</t>
  </si>
  <si>
    <t>C09BA05 - RAMIPRIL A DIURETIKA</t>
  </si>
  <si>
    <t>A02BC01 - OMEPRAZOL</t>
  </si>
  <si>
    <t>C09BB04 - PERINDOPRIL A AMLODIPIN</t>
  </si>
  <si>
    <t>M01AC06 - MELOXIKAM</t>
  </si>
  <si>
    <t>N04BA02 - LEVODOPA A INHIBITOR DEKARBOXYLASY</t>
  </si>
  <si>
    <t>C08CA13 - LERKANIDIPIN</t>
  </si>
  <si>
    <t>C01BC03 - PROPAFENON</t>
  </si>
  <si>
    <t>C10AB05 - FENOFIBRÁT</t>
  </si>
  <si>
    <t>C07AB12</t>
  </si>
  <si>
    <t>A02BC01</t>
  </si>
  <si>
    <t>N02AJ13</t>
  </si>
  <si>
    <t>C08DA01</t>
  </si>
  <si>
    <t>C09CA01</t>
  </si>
  <si>
    <t>C09DA07</t>
  </si>
  <si>
    <t>C09DB04</t>
  </si>
  <si>
    <t>M01AC06</t>
  </si>
  <si>
    <t>R06AX27</t>
  </si>
  <si>
    <t>C02CA04</t>
  </si>
  <si>
    <t>C09BB04</t>
  </si>
  <si>
    <t>C09CA07</t>
  </si>
  <si>
    <t>C10BA05</t>
  </si>
  <si>
    <t>D01AC01</t>
  </si>
  <si>
    <t>A02BC03</t>
  </si>
  <si>
    <t>C10AX09</t>
  </si>
  <si>
    <t>N06AB10</t>
  </si>
  <si>
    <t>C01EB15</t>
  </si>
  <si>
    <t>C02AC05</t>
  </si>
  <si>
    <t>C08CA13</t>
  </si>
  <si>
    <t>C09BA05</t>
  </si>
  <si>
    <t>C09BB07</t>
  </si>
  <si>
    <t>C09DA01</t>
  </si>
  <si>
    <t>C10BX03</t>
  </si>
  <si>
    <t>R01AD09</t>
  </si>
  <si>
    <t>R03AK06</t>
  </si>
  <si>
    <t>C10BA06</t>
  </si>
  <si>
    <t>C01BC03</t>
  </si>
  <si>
    <t>C10AA07</t>
  </si>
  <si>
    <t>C10AB05</t>
  </si>
  <si>
    <t>N04BA02</t>
  </si>
  <si>
    <t>Přehled plnění PL - Preskripce léčivých přípravků - orientační přehled</t>
  </si>
  <si>
    <t>50115001 - kardiostimulátory (sk.Z517)</t>
  </si>
  <si>
    <t>50115003 - TEP (Z518)</t>
  </si>
  <si>
    <t>50115004 - IUTN - kovové (Z506)</t>
  </si>
  <si>
    <t>50115011 - IUTN - ostat.nákl.PZT (Z515)</t>
  </si>
  <si>
    <t>50115020 - laboratorní diagnostika-LEK (Z501)</t>
  </si>
  <si>
    <t>50115030 - ZPr. - ostatní (testy) - COVID19 (Z556)</t>
  </si>
  <si>
    <t>50115040 - laboratorní materiál (Z505)</t>
  </si>
  <si>
    <t>50115050 - obvazový materiál (Z502)</t>
  </si>
  <si>
    <t>50115060 - ZPr - ostatní (Z503)</t>
  </si>
  <si>
    <t>50115062 - ZPr - materiál hemodialýza (Z525)</t>
  </si>
  <si>
    <t>50115063 - ZPr - vaky, sety (Z528)</t>
  </si>
  <si>
    <t>50115064 - ZPr - šicí materiál (Z529)</t>
  </si>
  <si>
    <t>50115065 - ZPr - vpichovací materiál (Z530)</t>
  </si>
  <si>
    <t>50115067 - ZPr - rukavice (Z532)</t>
  </si>
  <si>
    <t>50115070 - ZPr - katetry ostatní (Z513)</t>
  </si>
  <si>
    <t>50115079 - ZPr - internzivní péče (Z542)</t>
  </si>
  <si>
    <t>50115080 - ZPr - staplery, extraktory, endoskop.mat. (Z523)</t>
  </si>
  <si>
    <t>50115089 - ZPr - katetry PICC/MIDLINE (Z554)</t>
  </si>
  <si>
    <t>50115090 - ZPr - zubolékařský materiál (Z509)</t>
  </si>
  <si>
    <t>5015</t>
  </si>
  <si>
    <t>KCHIR: lůžkové oddělení ECMO</t>
  </si>
  <si>
    <t>KCHIR: lůžkové oddělení ECMO Celkem</t>
  </si>
  <si>
    <t>50115020</t>
  </si>
  <si>
    <t>laboratorní diagnostika-LEK (Z501)</t>
  </si>
  <si>
    <t>DH759</t>
  </si>
  <si>
    <t>Bactec Lytic/ 10 Anaerobic- plastic</t>
  </si>
  <si>
    <t>DH758</t>
  </si>
  <si>
    <t>Bactec Plus Aerobic-plastic</t>
  </si>
  <si>
    <t>DG395</t>
  </si>
  <si>
    <t>Diagnostická souprava AB0 set monoklonální na 30</t>
  </si>
  <si>
    <t>DiagnostickĂˇ souprava AB0 set monoklonĂˇlnĂ­ na 30</t>
  </si>
  <si>
    <t>DG388</t>
  </si>
  <si>
    <t>JĂˇtrovĂ˝ bujon (10ml)- ĹˇroubovacĂ­ uzĂˇvÄ›r</t>
  </si>
  <si>
    <t>Játrový bujon (10ml)- šroubovací uzávěr</t>
  </si>
  <si>
    <t>50115030</t>
  </si>
  <si>
    <t>ZPr. - ostatní (testy) - COVID19 (Z556)</t>
  </si>
  <si>
    <t>ZS149</t>
  </si>
  <si>
    <t>Sada testovacĂ­ Disposable Virus Specimen Collection Tube VS202012S</t>
  </si>
  <si>
    <t>50115050</t>
  </si>
  <si>
    <t>obvazový materiál (Z502)</t>
  </si>
  <si>
    <t>ZQ421</t>
  </si>
  <si>
    <t>Houba V.A.C. Veraflo Dressing Kit vel. M pro podtlakovou terapii na kusy ULTVFL05MD/1</t>
  </si>
  <si>
    <t>ZK920</t>
  </si>
  <si>
    <t>Kanystr Info V.A.C. 500 ml pro podtlakovou terapii M8275063/1</t>
  </si>
  <si>
    <t>ZR234</t>
  </si>
  <si>
    <t>Kanystr s gelem V.A.C. Ulta ACTI 300 ml bal. á 5 ks pro podtlakovou terapii M8275058/5</t>
  </si>
  <si>
    <t>Kanystr s gelem V.A.C. Ulta ACTI 300 ml bal. Ăˇ 5 ks pro podtlakovou terapii M8275058/5</t>
  </si>
  <si>
    <t>ZI977</t>
  </si>
  <si>
    <t>Kanystr s gelem V.A.C. Ultra INFO 1000 ml pro podtlakovou terapii M8275093/1</t>
  </si>
  <si>
    <t>ZA459</t>
  </si>
  <si>
    <t>Kompresa AB 10 x 20 cm/1 ks sterilnĂ­ NT savĂˇ (1230114021) 1327114021</t>
  </si>
  <si>
    <t>Kompresa AB 10 x 20 cm/1 ks sterilní NT savá (1230114021) 1327114021</t>
  </si>
  <si>
    <t>ZC846</t>
  </si>
  <si>
    <t>Kompresa AB 15 x 25 cm/1 ks sterilnĂ­ NT savĂˇ (1230114031) 1327114031</t>
  </si>
  <si>
    <t>ZA563</t>
  </si>
  <si>
    <t>Kompresa AB 20 x 20 cm/1 ks sterilní NT savá (1230114041) 1327114041</t>
  </si>
  <si>
    <t>ZA539</t>
  </si>
  <si>
    <t>Kompresa NT 10 x 10 cm nesterilnĂ­ 06103</t>
  </si>
  <si>
    <t>Kompresa NT 10 x 10 cm nesterilní 06103</t>
  </si>
  <si>
    <t>ZA464</t>
  </si>
  <si>
    <t>Kompresa NT 10 x 10 cm/2 ks sterilnĂ­ 26520</t>
  </si>
  <si>
    <t>Kompresa NT 10 x 10 cm/2 ks sterilní 26520</t>
  </si>
  <si>
    <t>ZC845</t>
  </si>
  <si>
    <t>Kompresa NT 10 x 20 cm/5 ks sterilnĂ­ 26621</t>
  </si>
  <si>
    <t>Kompresa NT 10 x 20 cm/5 ks sterilní 26621</t>
  </si>
  <si>
    <t>ZA622</t>
  </si>
  <si>
    <t>Kompresa NT 5 x 5 cm nesterilní 06101</t>
  </si>
  <si>
    <t>ZA315</t>
  </si>
  <si>
    <t>Kompresa NT 5 x 5 cm/2 ks sterilnĂ­ 26501</t>
  </si>
  <si>
    <t>Kompresa NT 5 x 5 cm/2 ks sterilní 26501</t>
  </si>
  <si>
    <t>ZC854</t>
  </si>
  <si>
    <t>Kompresa NT 7,5 x 7,5 cm/2 ks sterilnĂ­ 26510</t>
  </si>
  <si>
    <t>Kompresa NT 7,5 x 7,5 cm/2 ks sterilní 26510</t>
  </si>
  <si>
    <t>ZA643</t>
  </si>
  <si>
    <t>Kompresa vliwasoft 10 x 20 nesterilní á 100 ks 12070</t>
  </si>
  <si>
    <t>ZK087</t>
  </si>
  <si>
    <t>KrĂ©m cavilon ochrannĂ˝ bariĂ©rovĂ˝ Ăˇ 28 g bal. Ăˇ 12 ks 3391E</t>
  </si>
  <si>
    <t>ZM325</t>
  </si>
  <si>
    <t>KrytĂ­ - gel Hyiodine na chronickĂ© rĂˇny Ăˇ 22 g HYIODINE22 - vĂ˝padek</t>
  </si>
  <si>
    <t>ZQ158</t>
  </si>
  <si>
    <t>KrytĂ­ 7D-Fix - fixace I.V.kanyl netkanĂ˝ textil a fĂłlie sterilnĂ­ 9 x 11,6 cm bal. Ăˇ 100 ks (nĂˇhrada za tegaderm) 812010</t>
  </si>
  <si>
    <t>KrytĂ­ 7D-Fix - fixace I.V.kanyl netkanĂ˝ textil a fĂłlie sterilnĂ­ 9 x 11,6 cm bal. Ăˇ 100 ks (nĂˇhrada za tegaderm) 812010 - jiĹľ se nevyrĂˇbĂ­</t>
  </si>
  <si>
    <t>ZD619</t>
  </si>
  <si>
    <t>KrytĂ­ aquacel extra (dĹ™Ă­ve hydrofibre) 10 x 10 cm Ăˇ 10 ks 420672</t>
  </si>
  <si>
    <t>ZA597</t>
  </si>
  <si>
    <t>KrytĂ­ aquacel extra 5 x  5 cm Ăˇ 10 ks (VZP169583 ) 420671</t>
  </si>
  <si>
    <t>ZL410</t>
  </si>
  <si>
    <t>KrytĂ­ gelovĂ© Hemagel 100 g A2681147</t>
  </si>
  <si>
    <t>ZK405</t>
  </si>
  <si>
    <t>KrytĂ­ hemostatickĂ© gelitaspon standard 80 x 50 mm x 10 mm bal. Ăˇ 10 ks A2107861</t>
  </si>
  <si>
    <t>ZA550</t>
  </si>
  <si>
    <t>KrytĂ­ hydrogelovĂ© nu-gel 25 g bal. Ăˇ 6 ks MNG425</t>
  </si>
  <si>
    <t>ZA544</t>
  </si>
  <si>
    <t>KrytĂ­ inadine nepĹ™ilnavĂ© 5,0 x 5,0 cm 1/10 SYS01481EE</t>
  </si>
  <si>
    <t>ZA547</t>
  </si>
  <si>
    <t>KrytĂ­ inadine nepĹ™ilnavĂ© 9,5 x 9,5 cm 1/10 SYS01512EE</t>
  </si>
  <si>
    <t>ZE396</t>
  </si>
  <si>
    <t>KrytĂ­ mastnĂ˝ tyl grassolind 7,5 x 10 cm bal. Ăˇ 10 ks 499313</t>
  </si>
  <si>
    <t>ZA486</t>
  </si>
  <si>
    <t>KrytĂ­ mastnĂ˝ tyl jelonet   5 x 5 cm Ăˇ 50 ks 7403</t>
  </si>
  <si>
    <t>ZE748</t>
  </si>
  <si>
    <t>KrytĂ­ melgisorb Ag alginĂˇtovĂ© absorpÄŤnĂ­ 10 x 10 cm bal. Ăˇ 10 ks 256105</t>
  </si>
  <si>
    <t>ZQ964</t>
  </si>
  <si>
    <t>KrytĂ­ octenilin gel na rĂˇny 250 ml 121616</t>
  </si>
  <si>
    <t>ZQ966</t>
  </si>
  <si>
    <t>KrytĂ­ octenilin roztok oplachovĂ˝ na rĂˇny 350 ml 121701</t>
  </si>
  <si>
    <t>ZK404</t>
  </si>
  <si>
    <t>KrytĂ­ prontosan roztok 350 ml 400416</t>
  </si>
  <si>
    <t>ZN816</t>
  </si>
  <si>
    <t>KrytĂ­ roztok k vĂ˝plachu a ÄŤiĹˇtÄ›nĂ­ ran ActiMaris Sensitiv 300 ml 3098093</t>
  </si>
  <si>
    <t>ZO863</t>
  </si>
  <si>
    <t>KrytĂ­ silikonovĂ© pÄ›novĂ© mepilex border flex 13,5 x 16,5 cm bal. Ăˇ 5 ks 283370</t>
  </si>
  <si>
    <t>ZD633</t>
  </si>
  <si>
    <t>KrytĂ­ silikonovĂ© pÄ›novĂ© mepilex border sacrum 18 x 18 cm bal. Ăˇ 5 ks 282000-01</t>
  </si>
  <si>
    <t>ZP973</t>
  </si>
  <si>
    <t>KrytĂ­ sorelex 10 x 10 cm s kys. hyaluronovou a octenidinem bal. Ăˇ 10 ks (150011) 3901</t>
  </si>
  <si>
    <t>ZF423</t>
  </si>
  <si>
    <t>KrytĂ­ suprasorb F 10 x 10 cm role nesterilnĂ­ foliovĂ˝ obvaz 20468</t>
  </si>
  <si>
    <t>ZA507</t>
  </si>
  <si>
    <t>KrytĂ­ tegaderm 8,5 cm x 10,5 cm bal. Ăˇ 50 ks s vĂ˝Ĺ™ezem 1635 - nĂˇhrada ZQ158</t>
  </si>
  <si>
    <t>ZK646</t>
  </si>
  <si>
    <t>KrytĂ­ tegaderm CHG 8,5 cm x 11,5 cm na CĹ˝K-antibakt. bal. Ăˇ 25 ks 1657R</t>
  </si>
  <si>
    <t>Krytí - gel Hyiodine na chronické rány á 22 g HYIODINE22 - výpadek</t>
  </si>
  <si>
    <t>Krytí 7D-Fix - fixace I.V.kanyl netkaný textil a fólie sterilní 9 x 11,6 cm bal. á 100 ks (náhrada za tegaderm) 812010</t>
  </si>
  <si>
    <t>Krytí gelové Hemagel 100 g A2681147</t>
  </si>
  <si>
    <t>ZA664</t>
  </si>
  <si>
    <t>Krytí gelové hydrokoloidní Flamigel 250 ml FLAM250</t>
  </si>
  <si>
    <t>Krytí hemostatické gelitaspon standard 80 x 50 mm x 10 mm bal. á 10 ks A2107861</t>
  </si>
  <si>
    <t>ZC574</t>
  </si>
  <si>
    <t>Krytí hydroclean advance 4 x 8 cm (tenderwet 24 active 4 x 7 cm 6092120) bal. á 10 ks 6097642</t>
  </si>
  <si>
    <t>Krytí inadine nepřilnavé 5,0 x 5,0 cm 1/10 SYS01481EE</t>
  </si>
  <si>
    <t>Krytí inadine nepřilnavé 9,5 x 9,5 cm 1/10 SYS01512EE</t>
  </si>
  <si>
    <t>ZA417</t>
  </si>
  <si>
    <t>Krytí mastný tyl lomatuell H 10 x 20, á 10 ks, 23316</t>
  </si>
  <si>
    <t>ZQ965</t>
  </si>
  <si>
    <t>Krytí octenilin gel na rány 20 ml 121602</t>
  </si>
  <si>
    <t>Krytí prontosan roztok 350 ml 400416</t>
  </si>
  <si>
    <t>Krytí sorelex 10 x 10 cm s kys. hyaluronovou a octenidinem bal. á 10 ks (150011) 3901</t>
  </si>
  <si>
    <t>ZA585</t>
  </si>
  <si>
    <t>Krytí suprasorb F 10 x 12 cm sterilní bal. á 10 ks 20462</t>
  </si>
  <si>
    <t>Krytí tegaderm CHG 8,5 cm x 11,5 cm na CŽK-antibakt. bal. á 25 ks 1657R</t>
  </si>
  <si>
    <t>ZA562</t>
  </si>
  <si>
    <t>NĂˇplast cosmopor i. v. 6 x 8 cm bal. Ăˇ 50 ks 9008054</t>
  </si>
  <si>
    <t>ZI558</t>
  </si>
  <si>
    <t>NĂˇplast curapor   7 x   5 cm 32912  (22120,  nĂˇhrada za cosmopor )</t>
  </si>
  <si>
    <t>ZI599</t>
  </si>
  <si>
    <t>NĂˇplast curapor 10 x   8 cm 32913 ( 22121,  nĂˇhrada za cosmopor )</t>
  </si>
  <si>
    <t>ZI600</t>
  </si>
  <si>
    <t>NĂˇplast curapor 10 x 15 cm 32914 ( nĂˇhrada za cosmopor )</t>
  </si>
  <si>
    <t>ZI601</t>
  </si>
  <si>
    <t>NĂˇplast curapor 10 x 20 cm 32915 ( nĂˇhrada za cosmopor )</t>
  </si>
  <si>
    <t>ZI602</t>
  </si>
  <si>
    <t>NĂˇplast curapor 10 x 34 cm 32918 ( nĂˇhrada za cosmopor )</t>
  </si>
  <si>
    <t>ZH012</t>
  </si>
  <si>
    <t>NĂˇplast micropore 2,50 cm x 9,10 m 840W-1</t>
  </si>
  <si>
    <t>ZC885</t>
  </si>
  <si>
    <t>NĂˇplast omnifix E 10 cm x 10 m 900650</t>
  </si>
  <si>
    <t>ZA540</t>
  </si>
  <si>
    <t>NĂˇplast omnifix E 15 cm x 10 m 9006513</t>
  </si>
  <si>
    <t>ZD111</t>
  </si>
  <si>
    <t>NĂˇplast omnifix E 5 cm x 10 m 9006493</t>
  </si>
  <si>
    <t>ZD104</t>
  </si>
  <si>
    <t>NĂˇplast omniplast 10,0 cm x 10,0 m 9004472 (900535)</t>
  </si>
  <si>
    <t>ZN366</t>
  </si>
  <si>
    <t>NĂˇplast poinjekÄŤnĂ­ elastickĂˇ tkanĂˇ jednotl. baleno 19 mm x 72 mm P-CURE1972ELAST</t>
  </si>
  <si>
    <t>ZL668</t>
  </si>
  <si>
    <t>NĂˇplast silikon tape 2,5 cm x 5 m bal. Ăˇ 12 ks 2770-1</t>
  </si>
  <si>
    <t>ZA318</t>
  </si>
  <si>
    <t>NĂˇplast transpore 1,25 cm x 9,14 m 1527-0</t>
  </si>
  <si>
    <t>ZF352</t>
  </si>
  <si>
    <t>NĂˇplast transpore bĂ­lĂˇ 2,50 cm x 9,14 m bal. Ăˇ 12 ks 1534-1</t>
  </si>
  <si>
    <t>Náplast cosmopor i. v. 6 x 8 cm bal. á 50 ks 9008054</t>
  </si>
  <si>
    <t>Náplast curapor   7 x   5 cm 32912  (22120,  náhrada za cosmopor )</t>
  </si>
  <si>
    <t>Náplast curapor 10 x   8 cm 32913 ( 22121,  náhrada za cosmopor )</t>
  </si>
  <si>
    <t>Náplast curapor 10 x 15 cm 32914 ( náhrada za cosmopor )</t>
  </si>
  <si>
    <t>Náplast curapor 10 x 20 cm 32915 ( náhrada za cosmopor )</t>
  </si>
  <si>
    <t>Náplast curapor 10 x 34 cm 32918 ( náhrada za cosmopor )</t>
  </si>
  <si>
    <t>Náplast omnifix E 15 cm x 10 m 9006513</t>
  </si>
  <si>
    <t>Náplast omniplast 10,0 cm x 10,0 m 9004472 (900535)</t>
  </si>
  <si>
    <t>Náplast poinjekční elastická tkaná jednotl. baleno 19 mm x 72 mm P-CURE1972ELAST</t>
  </si>
  <si>
    <t>Náplast silikon tape 2,5 cm x 5 m bal. á 12 ks 2770-1</t>
  </si>
  <si>
    <t>ZA329</t>
  </si>
  <si>
    <t>Obinadlo fixa crep   6 cm x 4 m 1323100102</t>
  </si>
  <si>
    <t>ZA331</t>
  </si>
  <si>
    <t>Obinadlo fixa crep 10 cm x 4 m 1323100104</t>
  </si>
  <si>
    <t>ZN091</t>
  </si>
  <si>
    <t>Obvaz elastickĂ˝ sĂ­ĹĄovĂ˝ CareFix Tube k zajiĹˇtÄ›nĂ­ a ochranÄ› fixace IV kanyl vel. M bal. Ăˇ 15 ks 0151 M</t>
  </si>
  <si>
    <t>ZI973</t>
  </si>
  <si>
    <t>PÄ›na malĂˇ  V.A.C M8275051/1</t>
  </si>
  <si>
    <t>ZI974</t>
  </si>
  <si>
    <t>PÄ›na stĹ™ednĂ­ V.A.C M8275052/1</t>
  </si>
  <si>
    <t>ZI976</t>
  </si>
  <si>
    <t>PÄ›na velkĂˇ white V.A.C M8275067/1</t>
  </si>
  <si>
    <t>ZI975</t>
  </si>
  <si>
    <t>Pěna velká V.A.C M8275053/1 pro podtlakovou terapii</t>
  </si>
  <si>
    <t>ZA638</t>
  </si>
  <si>
    <t>Set kardio 1 bal. á 35 ks 41026</t>
  </si>
  <si>
    <t>Set kardio 1 bal. Ăˇ 35 ks 41026</t>
  </si>
  <si>
    <t>ZD616</t>
  </si>
  <si>
    <t>Set na malĂ© zĂˇkroky sterilnĂ­ pro moÄŤovou katetrizaci+ aqua permanent 4 Mediset 4753886</t>
  </si>
  <si>
    <t>ZA599</t>
  </si>
  <si>
    <t>Steh nĂˇplasĹĄovĂ˝ Steri-strip 6 x 75 mm bal. Ăˇ 50 ks elast. E4541</t>
  </si>
  <si>
    <t>Steh náplasťový Steri-strip 6 x 75 mm bal. á 50 ks elast. E4541</t>
  </si>
  <si>
    <t>ZQ660</t>
  </si>
  <si>
    <t>SystĂ©m na uzavĂ­rĂˇnĂ­ pooperaÄŤnĂ­ch ran Prevena pro podtlakovou terapii V.A.C., vel. 20 cm PRE1055/1</t>
  </si>
  <si>
    <t>ZA615</t>
  </si>
  <si>
    <t>TampĂłn cavilon 1 ml bal. Ăˇ 25 ks 3343E</t>
  </si>
  <si>
    <t>ZA444</t>
  </si>
  <si>
    <t>Tampon nesterilnĂ­ stĂˇÄŤenĂ˝ 20 x 19 cm bez RTG nitĂ­ bal. Ăˇ 100 ks 1320300404</t>
  </si>
  <si>
    <t>Tampon nesterilní stáčený 20 x 19 cm bez RTG nití bal. á 100 ks 1320300404</t>
  </si>
  <si>
    <t>ZA593</t>
  </si>
  <si>
    <t>Tampon sterilnĂ­ stĂˇÄŤenĂ˝ 20 x 20 cm / 5 ks 28003+</t>
  </si>
  <si>
    <t>Tampon sterilní stáčený 20 x 20 cm / 5 ks 28003+</t>
  </si>
  <si>
    <t>ZQ569</t>
  </si>
  <si>
    <t>Vata buniÄŤitĂˇ dÄ›lenĂˇ cellin 2 role / 500 ks 40 x 50 mm 1230206310</t>
  </si>
  <si>
    <t>ZA446</t>
  </si>
  <si>
    <t>Vata buniÄŤitĂˇ pĹ™Ă­Ĺ™ezy 20 x 30 cm 1230200129</t>
  </si>
  <si>
    <t>Vata buničitá dělená cellin 2 role / 500 ks 40 x 50 mm 1230206310</t>
  </si>
  <si>
    <t>Vata buničitá přířezy 20 x 30 cm 1230200129</t>
  </si>
  <si>
    <t>ZA090</t>
  </si>
  <si>
    <t>Vata buničitá přířezy 37 x 57 cm 2730152</t>
  </si>
  <si>
    <t>50115060</t>
  </si>
  <si>
    <t>ZPr - ostatní (Z503)</t>
  </si>
  <si>
    <t>ZB772</t>
  </si>
  <si>
    <t>AdaptĂ©r pĹ™echodka luer 450070</t>
  </si>
  <si>
    <t>Adaptér přechodka luer 450070</t>
  </si>
  <si>
    <t>ZD650</t>
  </si>
  <si>
    <t>Aquapak - sterilnĂ­ voda 340 ml s adaptĂ©rem bal. Ăˇ 20 ks 400340</t>
  </si>
  <si>
    <t>Aquapak - sterilní voda 340 ml s adaptérem bal. á 20 ks 400340</t>
  </si>
  <si>
    <t>ZC751</t>
  </si>
  <si>
    <t>ÄŚepelka skalpelovĂˇ 11 BB511</t>
  </si>
  <si>
    <t>ZC748</t>
  </si>
  <si>
    <t>BrĂ˝le kyslĂ­kovĂ© 210 cm, Ăˇ 50 ks, 1104</t>
  </si>
  <si>
    <t>Brýle kyslíkové 210 cm, á 50 ks, 1104</t>
  </si>
  <si>
    <t>Čepelka skalpelová 11 BB511</t>
  </si>
  <si>
    <t>ZB771</t>
  </si>
  <si>
    <t>DrĹľĂˇk jehly zĂˇkladnĂ­ 450201</t>
  </si>
  <si>
    <t>ZC498</t>
  </si>
  <si>
    <t>DrĹľĂˇk moÄŤovĂ˝ch sĂˇÄŤkĹŻ UH 800800100</t>
  </si>
  <si>
    <t>Držák jehly základní 450201</t>
  </si>
  <si>
    <t>ZP287</t>
  </si>
  <si>
    <t>Držák pro tlakové převodníky TCLIP05 bal. á 5 ks</t>
  </si>
  <si>
    <t>ZA877</t>
  </si>
  <si>
    <t>Elektroda defibrilaÄŤnĂ­ Cadence Kendall bal. Ăˇ 10 ks 22770R</t>
  </si>
  <si>
    <t>ZB905</t>
  </si>
  <si>
    <t>Elektroda defibrilační CPR-D Zoll 8900-0800-01</t>
  </si>
  <si>
    <t>ZB851</t>
  </si>
  <si>
    <t>Elektroda EKG ARBO H66 bal. á 300 ks 31.1663.21</t>
  </si>
  <si>
    <t>Elektroda EKG ARBO H66 bal. Ăˇ 300 ks 31.1663.21</t>
  </si>
  <si>
    <t>ZC586</t>
  </si>
  <si>
    <t>Filtr H-V kompaktnĂ­ kombinovanĂ˝ sterilnĂ­ pĹ™Ă­mĂ˝ Ăˇ 25 ks 19401</t>
  </si>
  <si>
    <t>ZA738</t>
  </si>
  <si>
    <t>Filtr mini spike zelenĂ˝ 4550242</t>
  </si>
  <si>
    <t>Filtr mini spike zelený 4550242</t>
  </si>
  <si>
    <t>ZD801</t>
  </si>
  <si>
    <t>Fonendoskop jednostrannĂ˝ ÄŤervenĂ˝ P00176</t>
  </si>
  <si>
    <t>Fonendoskop jednostranný červený P00176</t>
  </si>
  <si>
    <t>ZN646</t>
  </si>
  <si>
    <t>Fonendoskop oboustrannĂ˝ rĹŻznĂ© barvy 710045-s</t>
  </si>
  <si>
    <t>ZQ249</t>
  </si>
  <si>
    <t>HadiÄŤka spojovacĂ­ HS 1,8 x 1800 mm LL DEPH free 2200 180 ND</t>
  </si>
  <si>
    <t>ZQ251</t>
  </si>
  <si>
    <t>HadiÄŤka spojovacĂ­ HS 1,8 x 1800 mm UNIV DEPH free 2201 180ND</t>
  </si>
  <si>
    <t>ZQ248</t>
  </si>
  <si>
    <t>HadiÄŤka spojovacĂ­ HS 1,8 x 450 mm LL DEPH free 2200 045 ND</t>
  </si>
  <si>
    <t>ZB670</t>
  </si>
  <si>
    <t>HadiÄŤka spojovacĂ­ tlakovĂˇ biocath PE/PVC, dĂ©lka 200 cm, prĹŻmÄ›r 2,5 x 4,1 mm, tlak 20 bar/300 psi, LUER LOCK male/female s rotaÄŤnĂ­ maticĂ­, bal. Ăˇ 25 k PB 3320 M</t>
  </si>
  <si>
    <t>HadiÄŤka spojovacĂ­ tlakovĂˇ biocath pr. 3,0 mm x 200 cm, bal 25 ks, PB 3320 M</t>
  </si>
  <si>
    <t>ZB340</t>
  </si>
  <si>
    <t>Hadička kyslíková bal. á 50 ks 41113</t>
  </si>
  <si>
    <t>Hadička spojovací HS 1,8 x 1800 mm LL DEPH free 2200 180 ND</t>
  </si>
  <si>
    <t>Hadička spojovací HS 1,8 x 1800 mm UNIV DEPH free 2201 180ND</t>
  </si>
  <si>
    <t>Hadička spojovací tlaková biocath pr. 3,0 mm x 200 cm, bal 25 ks, PB 3320 M</t>
  </si>
  <si>
    <t>ZL717</t>
  </si>
  <si>
    <t>Kanyla introcan safety 3 modrá 22G bal. á 50 ks 4251128-01</t>
  </si>
  <si>
    <t>Kanyla introcan safety 3 modrĂˇ 22G bal. Ăˇ 50 ks 4251128-01</t>
  </si>
  <si>
    <t>ZL718</t>
  </si>
  <si>
    <t>Kanyla introcan safety 3 rĹŻĹľovĂˇ 20G bal. Ăˇ 50 ks 4251130-01</t>
  </si>
  <si>
    <t>Kanyla introcan safety 3 růžová 20G bal. á 50 ks 4251130-01</t>
  </si>
  <si>
    <t>ZD979</t>
  </si>
  <si>
    <t>Kanyla vasofix 17G bílá safety 4269152S-01</t>
  </si>
  <si>
    <t>ZD808</t>
  </si>
  <si>
    <t>Kanyla vasofix 22G modrĂˇ safety 4269098S-01</t>
  </si>
  <si>
    <t>ZA706</t>
  </si>
  <si>
    <t>Katetr moÄŤovĂ˝ foley 18CH bal. Ăˇ 12 ks 1394-02</t>
  </si>
  <si>
    <t>ZJ310</t>
  </si>
  <si>
    <t>Katetr moÄŤovĂ˝ foley CH12 180605-000120</t>
  </si>
  <si>
    <t>ZH816</t>
  </si>
  <si>
    <t>Katetr moÄŤovĂ˝ foley CH14 180605-000140</t>
  </si>
  <si>
    <t>ZH493</t>
  </si>
  <si>
    <t>Katetr moÄŤovĂ˝ foley CH16 180605-000160</t>
  </si>
  <si>
    <t>Katetr močový foley CH12 180605-000120</t>
  </si>
  <si>
    <t>Katetr močový foley CH14 180605-000140</t>
  </si>
  <si>
    <t>Katetr močový foley CH16 180605-000160</t>
  </si>
  <si>
    <t>ZH818</t>
  </si>
  <si>
    <t>Katetr močový foley CH20 180605-000200</t>
  </si>
  <si>
    <t>ZC744</t>
  </si>
  <si>
    <t>Katetr močový tiemann CH16 s balonkem 5/10 ml bal. á 12 ks 9816-02 - dlouhodobý výpadek</t>
  </si>
  <si>
    <t>ZK884</t>
  </si>
  <si>
    <t>Kohout trojcestnĂ˝ discofix modrĂ˝ 4095111</t>
  </si>
  <si>
    <t>Kohout trojcestný discofix modrý 4095111</t>
  </si>
  <si>
    <t>ZO372</t>
  </si>
  <si>
    <t>Konektor bezjehlovĂ˝ OptiSyte JIM:JSM4001</t>
  </si>
  <si>
    <t>Konektor bezjehlový OptiSyte JIM:JSM4001</t>
  </si>
  <si>
    <t>ZG080</t>
  </si>
  <si>
    <t>Krytí tegaderm HP 6 cm x 7 cm bal. á 400 ks 9534HP</t>
  </si>
  <si>
    <t>ZP300</t>
  </si>
  <si>
    <t>Ĺ krtidlo se sponou pro dospÄ›lĂ© bez latexu modrĂ© dĂ©lka 400 mm 09820-B</t>
  </si>
  <si>
    <t>ZC994</t>
  </si>
  <si>
    <t>LĂˇhev nĂˇhradnĂ­ hi-vac 400 ml 05.000.22.802</t>
  </si>
  <si>
    <t>ZB078</t>
  </si>
  <si>
    <t>Láhev redon drenofast 600 ml-kompletní á 30 ks 28 600</t>
  </si>
  <si>
    <t>ZB445</t>
  </si>
  <si>
    <t>ManĹľeta TK k monitoru Philips jednohadiÄŤkovĂˇ M4555B</t>
  </si>
  <si>
    <t>ZB596</t>
  </si>
  <si>
    <t>MikronebulizĂ©r MicroMist 22F 41892</t>
  </si>
  <si>
    <t>ZA904</t>
  </si>
  <si>
    <t>MikronebulizĂ©r s maskou 41893</t>
  </si>
  <si>
    <t>Mikronebulizér MicroMist 22F 41892</t>
  </si>
  <si>
    <t>ZO930</t>
  </si>
  <si>
    <t>NĂˇdoba 100 ml PP 72/62 mm s pĹ™iloĹľenĂ˝m uzĂˇvÄ›rem bĂ­lĂ© vĂ­ÄŤko sterilnĂ­ na tekutĂ˝ materiĂˇl 75.562.105</t>
  </si>
  <si>
    <t>ZF159</t>
  </si>
  <si>
    <t>NĂˇdoba na kontaminovanĂ˝ odpad 1 l 15-0002</t>
  </si>
  <si>
    <t>ZE159</t>
  </si>
  <si>
    <t>NĂˇdoba na kontaminovanĂ˝ odpad 2 l 15-0003</t>
  </si>
  <si>
    <t>ZF192</t>
  </si>
  <si>
    <t>NĂˇdoba na kontaminovanĂ˝ odpad 4 l 15-0004</t>
  </si>
  <si>
    <t>ZL105</t>
  </si>
  <si>
    <t>NĂˇstavec pro odbÄ›r moÄŤe ke zkumavce vacuete 450251</t>
  </si>
  <si>
    <t>Nádoba 100 ml PP 72/62 mm s přiloženým uzávěrem bílé víčko sterilní na tekutý materiál 75.562.105</t>
  </si>
  <si>
    <t>Nádoba na kontaminovaný odpad 1 l 15-0002</t>
  </si>
  <si>
    <t>Nádoba na kontaminovaný odpad 2 l 15-0003</t>
  </si>
  <si>
    <t>Nádoba na kontaminovaný odpad 4 l 15-0004</t>
  </si>
  <si>
    <t>Nástavec pro odběr moče ke zkumavce vacuete 450251</t>
  </si>
  <si>
    <t>ZP653</t>
  </si>
  <si>
    <t>PĂˇs hrudnĂ­ BracePlus 2611 vel. S/M 301001</t>
  </si>
  <si>
    <t>ZR103</t>
  </si>
  <si>
    <t>Pás fixační  + pás (hrudník) , 60 x 25 +pás (hrudník), délka popruhů 230, zapínání- přezka 261603</t>
  </si>
  <si>
    <t>ZR106</t>
  </si>
  <si>
    <t>Pás fixační ruce 28 x 10, délka popruhů 140, zapínání- přezka 261595</t>
  </si>
  <si>
    <t>ZA647</t>
  </si>
  <si>
    <t>Pinzeta anatomická úzká 115 mm B397114910033</t>
  </si>
  <si>
    <t>ZP509</t>
  </si>
  <si>
    <t>Pinzeta UH sterilnĂ­ I0600</t>
  </si>
  <si>
    <t>Pinzeta UH sterilní I0600</t>
  </si>
  <si>
    <t>ZJ672</t>
  </si>
  <si>
    <t>Pohár na moč 250 ml UH GAMA204809</t>
  </si>
  <si>
    <t>ZL688</t>
  </si>
  <si>
    <t>ProuĹľky diagnostickĂ© Accu-Check Inform II Strip 50 EU1 Ăˇ 50 ks 05942861041</t>
  </si>
  <si>
    <t>Proužky Accu-Check Inform II Strip 50 EU1 á 50 ks 05942861041</t>
  </si>
  <si>
    <t>Proužky diagnostické Accu-Check Inform II Strip 50 EU1 á 50 ks 05942861041</t>
  </si>
  <si>
    <t>ZA691</t>
  </si>
  <si>
    <t>Rampa 3 kohouty discofix 16600C/4085434/</t>
  </si>
  <si>
    <t>ZA883</t>
  </si>
  <si>
    <t>Rourka rektĂˇlnĂ­ CH18 dĂ©lka 40 cm 19-18.100</t>
  </si>
  <si>
    <t>Rourka rektální CH18 délka 40 cm 19-18.100</t>
  </si>
  <si>
    <t>ZL689</t>
  </si>
  <si>
    <t>Roztok Accu-Check Performa Int´l Controls 1+2 level 04861736001</t>
  </si>
  <si>
    <t>Roztok Accu-Check Performa IntÂ´l Controls 1+2 level 04861736001</t>
  </si>
  <si>
    <t>ZA688</t>
  </si>
  <si>
    <t>SĂˇÄŤek moÄŤovĂ˝ s hodinovou diurĂ©zou curity 400, 2000 ml, hadiÄŤka 150 cm 8150</t>
  </si>
  <si>
    <t>ZA804</t>
  </si>
  <si>
    <t>SĂˇÄŤek moÄŤovĂ˝ s hodinovou diurĂ©zou ureofix 500 ml, 2000 ml, klasik s vĂ˝pustĂ­ a antiref. ventilem hadiÄŤka 120 cm 4417930</t>
  </si>
  <si>
    <t>ZB249</t>
  </si>
  <si>
    <t>SĂˇÄŤek moÄŤovĂ˝ s kĹ™Ă­Ĺľovou vĂ˝pustĂ­ 2000 ml s hadiÄŤkou 90 cm ZAR-TNU201601</t>
  </si>
  <si>
    <t>ZB307</t>
  </si>
  <si>
    <t>SĂˇÄŤek nĂˇhradnĂ­ 3,5 l Ureofix s posuvnou svorkou bal. Ăˇ 100 ks 4417543</t>
  </si>
  <si>
    <t>Sáček náhradní 3,5 l Ureofix s posuvnou svorkou bal. á 100 ks 4417543</t>
  </si>
  <si>
    <t>Set sterilní pro močovou katetrizaci+ aqua permanent 4 Mediset 753882</t>
  </si>
  <si>
    <t>ZR471</t>
  </si>
  <si>
    <t>Skalpel jednorĂˇzovĂ˝ prazisa sterilnĂ­ vel. ÄŤepelky 11 bal. Ăˇ 10 ks 11.000.00.511</t>
  </si>
  <si>
    <t>ZB488</t>
  </si>
  <si>
    <t>Sprej cavilon 28 ml bal. á 12 ks 3346E</t>
  </si>
  <si>
    <t>Sprej cavilon 28 ml bal. Ăˇ 12 ks 3346E</t>
  </si>
  <si>
    <t>ZR397</t>
  </si>
  <si>
    <t>StĹ™Ă­kaÄŤka injekÄŤnĂ­ 2-dĂ­lnĂˇ 10 ml L DISCARDIT LE 309110</t>
  </si>
  <si>
    <t>ZA787</t>
  </si>
  <si>
    <t>StĹ™Ă­kaÄŤka injekÄŤnĂ­ 2-dĂ­lnĂˇ 10 ml L Inject Solo 4606108V</t>
  </si>
  <si>
    <t>ZK816</t>
  </si>
  <si>
    <t>StĹ™Ă­kaÄŤka injekÄŤnĂ­ 2-dĂ­lnĂˇ 10 ml LL Inject Solo se zĂˇvitem 4606728V</t>
  </si>
  <si>
    <t>ZR395</t>
  </si>
  <si>
    <t>StĹ™Ă­kaÄŤka injekÄŤnĂ­ 2-dĂ­lnĂˇ 2 ml L DISCARDIT LC 300928</t>
  </si>
  <si>
    <t>ZA789</t>
  </si>
  <si>
    <t>StĹ™Ă­kaÄŤka injekÄŤnĂ­ 2-dĂ­lnĂˇ 2 ml L Inject Solo 4606027V  - povoleno pouze pro NOVOROZENECKĂ‰ ODD.</t>
  </si>
  <si>
    <t>StĹ™Ă­kaÄŤka injekÄŤnĂ­ 2-dĂ­lnĂˇ 2 ml L Inject Solo 4606027V - povoleno pouze PRO NOVOROZENECKĂ‰ oddÄ›lenĂ­ a KNM</t>
  </si>
  <si>
    <t>ZR398</t>
  </si>
  <si>
    <t>StĹ™Ă­kaÄŤka injekÄŤnĂ­ 2-dĂ­lnĂˇ 20 ml L DISCARDIT LE bal. Ăˇ 80 ks 300296</t>
  </si>
  <si>
    <t>ZA788</t>
  </si>
  <si>
    <t>StĹ™Ă­kaÄŤka injekÄŤnĂ­ 2-dĂ­lnĂˇ 20 ml L Inject Solo 4606205V</t>
  </si>
  <si>
    <t>ZB798</t>
  </si>
  <si>
    <t>StĹ™Ă­kaÄŤka injekÄŤnĂ­ 2-dĂ­lnĂˇ 20 ml LL Inject Solo 4606736V</t>
  </si>
  <si>
    <t>ZR396</t>
  </si>
  <si>
    <t>StĹ™Ă­kaÄŤka injekÄŤnĂ­ 2-dĂ­lnĂˇ 5 ml L DISCARDIT LE 309050</t>
  </si>
  <si>
    <t>ZA790</t>
  </si>
  <si>
    <t>StĹ™Ă­kaÄŤka injekÄŤnĂ­ 2-dĂ­lnĂˇ 5 ml L Inject Solo4606051V</t>
  </si>
  <si>
    <t>ZH168</t>
  </si>
  <si>
    <t>StĹ™Ă­kaÄŤka injekÄŤnĂ­ 3-dĂ­lnĂˇ 1 ml L tuberculin s jehlou KD-JECT III 26G x 1/2" 0,45 x 12 mm 831786</t>
  </si>
  <si>
    <t>ZA754</t>
  </si>
  <si>
    <t>StĹ™Ă­kaÄŤka injekÄŤnĂ­ 3-dĂ­lnĂˇ 10 ml LL Omnifix Solo se zĂˇvitem 4617100V</t>
  </si>
  <si>
    <t>ZB384</t>
  </si>
  <si>
    <t>StĹ™Ă­kaÄŤka injekÄŤnĂ­ 3-dĂ­lnĂˇ 20 ml LL Omnifix Solo se zĂˇvitem bal. Ăˇ 100 ks 4617207V</t>
  </si>
  <si>
    <t>ZB796</t>
  </si>
  <si>
    <t>StĹ™Ă­kaÄŤka injekÄŤnĂ­ 3-dĂ­lnĂˇ 30 ml LL Omnifix Solo bal. Ăˇ 100 ks 4617304F</t>
  </si>
  <si>
    <t>ZH491</t>
  </si>
  <si>
    <t>StĹ™Ă­kaÄŤka injekÄŤnĂ­ 3-dĂ­lnĂˇ 50 - 60 ml LL MRG00711</t>
  </si>
  <si>
    <t>ZO543</t>
  </si>
  <si>
    <t>StĹ™Ă­kaÄŤka injekÄŤnĂ­ pĹ™edplnÄ›nĂˇ 0,9% NaCl 10 ml BD PosiFlush SP EMA bal. Ăˇ 30 ks 306585</t>
  </si>
  <si>
    <t>ZQ967</t>
  </si>
  <si>
    <t>StĹ™Ă­kaÄŤka inzulĂ­novĂˇ 0,5 ml s jehlou 29 G sterilnĂ­ bal. Ăˇ 100 ks IS0529G</t>
  </si>
  <si>
    <t>ZA964</t>
  </si>
  <si>
    <t>StĹ™Ă­kaÄŤka janett 3-dĂ­lnĂˇ 60 ml sterilnĂ­ vyplachovacĂ­ 050ML3CZ-CEW (MRG564)</t>
  </si>
  <si>
    <t>Stříkačka injekční 2-dílná 10 ml L Inject Solo 4606108V</t>
  </si>
  <si>
    <t>Stříkačka injekční 2-dílná 2 ml L Inject Solo 4606027V</t>
  </si>
  <si>
    <t>Stříkačka injekční 2-dílná 20 ml L Inject Solo 4606205V</t>
  </si>
  <si>
    <t>Stříkačka injekční 2-dílná 20 ml LL Inject Solo 4606736V</t>
  </si>
  <si>
    <t>Stříkačka injekční 2-dílná 5 ml L Inject Solo4606051V</t>
  </si>
  <si>
    <t>Stříkačka injekční 3-dílná 50 - 60 ml LL MRG00711</t>
  </si>
  <si>
    <t>ZN854</t>
  </si>
  <si>
    <t>Stříkačka injekční arteriální 3 ml bez jehly s heparinem bal. á 100 ks safePICO Aspirator 956-622</t>
  </si>
  <si>
    <t>Stříkačka injekční předplněná 0,9% NaCl 10 ml BD PosiFlush SP EMA bal. á 30 ks 306585</t>
  </si>
  <si>
    <t>ZO765</t>
  </si>
  <si>
    <t>Stříkačka injekční předplněná 0,9% NaCl 10 ml Omniflush bal. á 100 ks EM3513576</t>
  </si>
  <si>
    <t>ZO766</t>
  </si>
  <si>
    <t>Stříkačka injekční předplněná 0,9% NaCl 10 ml Omniflush dezinfekčním uzávěrem SwabCap bal. á 100 ks EM3513576SC (domluvená cena s Dr. Štěpán B/B)</t>
  </si>
  <si>
    <t>Stříkačka inzulínová 0,5 ml s jehlou 29 G sterilní bal. á 100 ks IS0529G</t>
  </si>
  <si>
    <t>ZB893</t>
  </si>
  <si>
    <t>Stříkačka inzulinová omnican 0,5 ml 100j s jehlou 30 G bal. á 100 ks 9151125S - povoleno pouze pro Kožní kliniku</t>
  </si>
  <si>
    <t>ZB041</t>
  </si>
  <si>
    <t>SystĂ©m hrudnĂ­ drenĂˇĹľe atrium 1 cestnĂ˝ 3600-100</t>
  </si>
  <si>
    <t>ZG481</t>
  </si>
  <si>
    <t>SystĂ©m hrudnĂ­ drenĂˇĹľe Pleur-evac 950 ml 2 cestnĂ˝ bal. Ăˇ 12 ks A-6002-08LF</t>
  </si>
  <si>
    <t>ZB988</t>
  </si>
  <si>
    <t>SystĂ©m hrudnĂ­ drenĂˇĹľe Pleur-evac bal. Ăˇ 6 ks pro dospÄ›lĂ© A-6000-08LF</t>
  </si>
  <si>
    <t>Systém hrudní drenáže Pleur-evac bal. á 6 ks pro dospělé A-6000-08LF</t>
  </si>
  <si>
    <t>Škrtidlo se sponou pro dospělé bez latexu modré délka 400 mm 09820-B</t>
  </si>
  <si>
    <t>ZI949</t>
  </si>
  <si>
    <t>TeplomÄ›r digitĂˇlnĂ­ TOP4 s pevnĂ˝m hrotem P03283</t>
  </si>
  <si>
    <t>ZB298</t>
  </si>
  <si>
    <t>Trokar hrudnĂ­ Argyle Ch16/25 cm bal. Ăˇ 10 ks 8888561035</t>
  </si>
  <si>
    <t>ZQ486</t>
  </si>
  <si>
    <t>TyÄŤinka vatovĂˇ sterilnĂ­ 14 cm po jednotlivÄ› balenĂˇ velkĂˇ 1 bal/100 ks 4791911</t>
  </si>
  <si>
    <t>ZR290</t>
  </si>
  <si>
    <t>TyÄŤinka vatovĂˇ zvlhÄŤujĂ­cĂ­ na hygienu dutiny ĂşstnĂ­ 10 cm dlouhĂˇ bal. Ăˇ 75 ks 32.000.00.020</t>
  </si>
  <si>
    <t>ZP357</t>
  </si>
  <si>
    <t>Tyčinka vatová zvlhčující glycerín + citron bal. á 75 ks FTL-LS-15 - firma již nedodává</t>
  </si>
  <si>
    <t>ZI931</t>
  </si>
  <si>
    <t>UzĂˇvÄ›r dezinfekÄŤnĂ­ k bezjehlovĂ©mu vstupu se 70% IPA  bal. 250 ks NCF-004</t>
  </si>
  <si>
    <t>ZA812</t>
  </si>
  <si>
    <t>UzĂˇvÄ›r do katetrĹŻ 4435001</t>
  </si>
  <si>
    <t>ZO767</t>
  </si>
  <si>
    <t>Uzávěr dezinfekční SwabCap k bezjehlovému vstupu se 70% IPA bal. á 200 ks EMSCXT3</t>
  </si>
  <si>
    <t>Uzávěr do katetrů 4435001</t>
  </si>
  <si>
    <t>ZB035</t>
  </si>
  <si>
    <t>Vzduchovod ĂşstnĂ­ ÄŤ. 4 ÄŤervenĂ˝ vel. 10 jednorĂˇzovĂ˝ sterilnĂ­ bal. Ăˇ 25 ks 73.900.00.400</t>
  </si>
  <si>
    <t>ZJ098</t>
  </si>
  <si>
    <t>Vzduchovod nosní 7,0 mm bal. á 10 ks 321070  výpadek do 7/19</t>
  </si>
  <si>
    <t>ZK799</t>
  </si>
  <si>
    <t>ZĂˇtka combi ÄŤervenĂˇ 4495101</t>
  </si>
  <si>
    <t>ZK798</t>
  </si>
  <si>
    <t>ZĂˇtka combi modrĂˇ 4495152</t>
  </si>
  <si>
    <t>Zátka combi modrá 4495152</t>
  </si>
  <si>
    <t>ZP077</t>
  </si>
  <si>
    <t>Zkumavka 15 ml PP 101/16,5 mm bĂ­lĂ˝ ĹˇroubovĂ˝ uzĂˇvÄ›r sterilnĂ­ jednotlivÄ› balenĂˇ, tekutĂ˝ materiĂˇl na bakteriolog. vyĹˇetĹ™enĂ­ 10362/MO/SG/CS</t>
  </si>
  <si>
    <t>ZB756</t>
  </si>
  <si>
    <t>Zkumavka 3 ml K3 edta fialová 454086</t>
  </si>
  <si>
    <t>Zkumavka 3 ml K3 edta fialovĂˇ 454086</t>
  </si>
  <si>
    <t>ZB757</t>
  </si>
  <si>
    <t>Zkumavka 6 ml K3 edta fialová 456036</t>
  </si>
  <si>
    <t>Zkumavka 6 ml K3 edta fialovĂˇ 456036</t>
  </si>
  <si>
    <t>ZB774</t>
  </si>
  <si>
    <t>Zkumavka ÄŤervenĂˇ 5 ml gel 456071</t>
  </si>
  <si>
    <t>ZB759</t>
  </si>
  <si>
    <t>Zkumavka ÄŤervenĂˇ 8 ml gel 455071</t>
  </si>
  <si>
    <t>Zkumavka červená 5 ml gel 456071</t>
  </si>
  <si>
    <t>ZB762</t>
  </si>
  <si>
    <t>Zkumavka červená 6 ml 456092</t>
  </si>
  <si>
    <t>ZB775</t>
  </si>
  <si>
    <t>Zkumavka koagulace modrá Quick 4 ml modrá 454329</t>
  </si>
  <si>
    <t>Zkumavka koagulace modrĂˇ Quick 4 ml modrĂˇ 454329</t>
  </si>
  <si>
    <t>ZI182</t>
  </si>
  <si>
    <t>Zkumavka moÄŤovĂˇ + aplikĂˇtor s chem.stabilizĂˇtorem UriSwab ĹľlutĂˇ 802CE.A</t>
  </si>
  <si>
    <t>ZG515</t>
  </si>
  <si>
    <t>Zkumavka moÄŤovĂˇ vacuette 10,5 ml bal. Ăˇ 50 ks 455007</t>
  </si>
  <si>
    <t>Zkumavka močová + aplikátor s chem.stabilizátorem UriSwab žlutá 802CE.A</t>
  </si>
  <si>
    <t>Zkumavka močová vacuette 10,5 ml bal. á 50 ks 455007</t>
  </si>
  <si>
    <t>ZE949</t>
  </si>
  <si>
    <t>Zkumavka na moÄŤ 9,5 ml 455028</t>
  </si>
  <si>
    <t>ZI179</t>
  </si>
  <si>
    <t>Zkumavka s mediem+ flovakovanĂ˝ tampon eSwab rĹŻĹľovĂ˝ (nos,krk,vagina,koneÄŤnĂ­k,rĂˇny,fekĂˇlnĂ­ vzo) 490CE.A</t>
  </si>
  <si>
    <t>Zkumavka s mediem+ flovakovaný tampon eSwab růžový nos,krk,vagina,konečník,rány,fekální vzo) 490CE.A</t>
  </si>
  <si>
    <t>50115063</t>
  </si>
  <si>
    <t>ZPr - vaky, sety (Z528)</t>
  </si>
  <si>
    <t>Sáček močový s hodinovou diurézou ureofix 500 ml, 2000 ml, klasik s výpustí a antiref. ventilem hadička 120 cm 4417930</t>
  </si>
  <si>
    <t>ZA715</t>
  </si>
  <si>
    <t>Set infuznĂ­ intrafix primeline classic 150 cm 4062957</t>
  </si>
  <si>
    <t>Set infuzní intrafix primeline classic 150 cm 4062957</t>
  </si>
  <si>
    <t>ZB209</t>
  </si>
  <si>
    <t>Set transfĂşznĂ­ BLLP pro pĹ™etlakovou transfuzi bez vzduĹˇnĂ©ho filtru hemomed 05123</t>
  </si>
  <si>
    <t>ZB742</t>
  </si>
  <si>
    <t>Set transfĂşznĂ­ pro pĹ™etlakovou transfuzi bez vzduĹˇnĂ©ho filtru KD301N</t>
  </si>
  <si>
    <t>Set transfúzní BLLP pro přetlakovou transfuzi bez vzdušného filtru hemomed 05123</t>
  </si>
  <si>
    <t>50115065</t>
  </si>
  <si>
    <t>ZPr - vpichovací materiál (Z530)</t>
  </si>
  <si>
    <t>ZA999</t>
  </si>
  <si>
    <t>Jehla injekÄŤnĂ­ 0,5 x 16 mm oranĹľovĂˇ 4657853</t>
  </si>
  <si>
    <t>ZA835</t>
  </si>
  <si>
    <t>Jehla injekÄŤnĂ­ 0,6 x 25 mm modrĂˇ 4657667</t>
  </si>
  <si>
    <t>ZA834</t>
  </si>
  <si>
    <t>Jehla injekÄŤnĂ­ 0,7 x 40 mm ÄŤernĂˇ 4660021</t>
  </si>
  <si>
    <t>ZA833</t>
  </si>
  <si>
    <t>Jehla injekÄŤnĂ­ 0,8 x 40 mm zelenĂˇ 4657527</t>
  </si>
  <si>
    <t>ZB556</t>
  </si>
  <si>
    <t>Jehla injekÄŤnĂ­ 1,2 x 40 mm rĹŻĹľovĂˇ 4665120</t>
  </si>
  <si>
    <t>Jehla injekční 0,6 x 25 mm modrá 4657667</t>
  </si>
  <si>
    <t>Jehla injekční 0,7 x 40 mm černá 4660021</t>
  </si>
  <si>
    <t>Jehla injekční 0,8 x 40 mm zelená 4657527</t>
  </si>
  <si>
    <t>ZA832</t>
  </si>
  <si>
    <t>Jehla injekční 0,9 x 40 mm žlutá 4657519</t>
  </si>
  <si>
    <t>ZA836</t>
  </si>
  <si>
    <t>Jehla injekční 0,9 x 70 mm žlutá 4665791</t>
  </si>
  <si>
    <t>Jehla injekční 1,2 x 40 mm růžová 4665120</t>
  </si>
  <si>
    <t>ZQ720</t>
  </si>
  <si>
    <t>Jehla pro inzulínová pera Wellion MedFine plus, délka 6 mm (31G x 0,25 mm), bal. á 100 ks WELL106</t>
  </si>
  <si>
    <t>ZB768</t>
  </si>
  <si>
    <t>Jehla vakuová 216/38 mm zelená 450076</t>
  </si>
  <si>
    <t>Jehla vakuovĂˇ 216/38 mm zelenĂˇ 450076</t>
  </si>
  <si>
    <t>50115067</t>
  </si>
  <si>
    <t>ZPr - rukavice (Z532)</t>
  </si>
  <si>
    <t>ZK475</t>
  </si>
  <si>
    <t>Rukavice operaÄŤnĂ­ latex s pudrem sterilnĂ­ ansell, vasco surgical powderet vel. 7 6035526 (303504EU)</t>
  </si>
  <si>
    <t>ZK476</t>
  </si>
  <si>
    <t>Rukavice operaÄŤnĂ­ latex s pudrem sterilnĂ­ ansell, vasco surgical powderet vel. 7,5 6035534</t>
  </si>
  <si>
    <t>ZK477</t>
  </si>
  <si>
    <t>Rukavice operaÄŤnĂ­ latex s pudrem sterilnĂ­ ansell, vasco surgical powderet vel. 8 6035542 (303506EU)</t>
  </si>
  <si>
    <t>Rukavice operační latex s pudrem sterilní ansell, vasco surgical powderet vel. 7 6035526 (303504EU)</t>
  </si>
  <si>
    <t>Rukavice operační latex s pudrem sterilní ansell, vasco surgical powderet vel. 7,5 6035534</t>
  </si>
  <si>
    <t>ZP948</t>
  </si>
  <si>
    <t>Rukavice vyĹˇetĹ™ovacĂ­ nitril basic bez pudru modrĂ© L bal. Ăˇ 200 ks 44752</t>
  </si>
  <si>
    <t>ZP947</t>
  </si>
  <si>
    <t>Rukavice vyĹˇetĹ™ovacĂ­ nitril basic bez pudru modrĂ© M bal. Ăˇ 200 ks 44751</t>
  </si>
  <si>
    <t>ZP946</t>
  </si>
  <si>
    <t>Rukavice vyĹˇetĹ™ovacĂ­ nitril basic bez pudru modrĂ© S bal. Ăˇ 200 ks 44750</t>
  </si>
  <si>
    <t>ZI759</t>
  </si>
  <si>
    <t>Rukavice vyĹˇetĹ™ovacĂ­ vinyl bez pudru nesterilnĂ­ L Ăˇ 100 ks EFEKTVR04</t>
  </si>
  <si>
    <t>ZI758</t>
  </si>
  <si>
    <t>Rukavice vyĹˇetĹ™ovacĂ­ vinyl bez pudru nesterilnĂ­ M Ăˇ 100 ks EFEKTVR03</t>
  </si>
  <si>
    <t>ZI757</t>
  </si>
  <si>
    <t>Rukavice vyĹˇetĹ™ovacĂ­ vinyl bez pudru nesterilnĂ­ S Ăˇ 100 ks EFEKTVR02</t>
  </si>
  <si>
    <t>Rukavice vyšetřovací nitril basic bez pudru modré L bal. á 200 ks 44752</t>
  </si>
  <si>
    <t>Rukavice vyšetřovací nitril basic bez pudru modré M bal. á 200 ks 44751</t>
  </si>
  <si>
    <t>Rukavice vyšetřovací nitril basic bez pudru modré S bal. á 200 ks 44750</t>
  </si>
  <si>
    <t>50115070</t>
  </si>
  <si>
    <t>ZPr - katetry ostatní (Z513)</t>
  </si>
  <si>
    <t>ZC998</t>
  </si>
  <si>
    <t>Katetr CVC 1 lumen 16 GA x 30 cm CS-04400</t>
  </si>
  <si>
    <t>50115079</t>
  </si>
  <si>
    <t>ZPr - internzivní péče (Z542)</t>
  </si>
  <si>
    <t>ZB751</t>
  </si>
  <si>
    <t>Hadice PVC 8/12 á 30 m P00468</t>
  </si>
  <si>
    <t>Hadice PVC 8/12 Ăˇ 30 m P00468</t>
  </si>
  <si>
    <t>ZB171</t>
  </si>
  <si>
    <t>Maska kyslĂ­kovĂˇ bal. Ăˇ 50 ks 1041</t>
  </si>
  <si>
    <t>Maska kyslíková bal. á 50 ks 1041</t>
  </si>
  <si>
    <t>ZC366</t>
  </si>
  <si>
    <t>Převodník tlakový PX260 150 cm 1 linka bal. á 10 ks (T100209A) T100209B</t>
  </si>
  <si>
    <t>ZD671</t>
  </si>
  <si>
    <t>Převodník tlakový PX2X2 dvojitý bal. á 8 ks T005074A</t>
  </si>
  <si>
    <t>ZM232</t>
  </si>
  <si>
    <t>Kanyla ECMO femorĂˇlnĂ­ arteriĂˇlnĂ­ 15 Fr BE-PAS1515 JH104.7280</t>
  </si>
  <si>
    <t>ZM233</t>
  </si>
  <si>
    <t>Kanyla ECMO femorĂˇlnĂ­ arteriĂˇlnĂ­ 17 Fr BE-PAS1715 JH10.47281</t>
  </si>
  <si>
    <t>ZM234</t>
  </si>
  <si>
    <t>Kanyla ECMO femorĂˇlnĂ­ arteriĂˇlnĂ­ 19 Fr BE-PAS1915 JH104.7282</t>
  </si>
  <si>
    <t>ZM235</t>
  </si>
  <si>
    <t>Kanyla ECMO femorĂˇlnĂ­ venĂłznĂ­ 21 Fr BE-PVL2155 JH104.7294</t>
  </si>
  <si>
    <t>ZM236</t>
  </si>
  <si>
    <t>Kanyla ECMO femorĂˇlnĂ­ venĂłznĂ­ 23 Fr BE-PVL2355 JH10.47295</t>
  </si>
  <si>
    <t>ZM237</t>
  </si>
  <si>
    <t>Kanyla ECMO femorĂˇlnĂ­ venĂłznĂ­ 25 Fr BE-PVL2555 JH104.7296</t>
  </si>
  <si>
    <t>KG691</t>
  </si>
  <si>
    <t>set ECMO PLS dlouhodobĂ© ĹľivotnĂ­ podpory (oxygenĂˇtor,centrifugaÄŤnĂ­ pumpa,hadicovĂ˝ set, pĹ™etlakovĂ˝ vak) ( pĹŻvodnĂ­ kat. ÄŤ.701027818) 70106.8386</t>
  </si>
  <si>
    <t>KL732</t>
  </si>
  <si>
    <t>set PLS ECMO dlouhodobĂ© ĹľivotnĂ­ podpory (oxygenĂˇtor, centrifugaÄŤnĂ­ pumpa, hadicovĂ˝ set, pĹ™etlakovĂ˝ vak) certifikace 14 dnĂ­ BE PLS 2051 701050310</t>
  </si>
  <si>
    <t>set pls ecmo dlouhodobé životní podpory (oxygenátor,centrifugační pumpa,hadicový set, přetlakový vak) 701027818</t>
  </si>
  <si>
    <t>set pls emco dlouhodobĂ© ĹľivotnĂ­ podpory (oxygenĂˇtor, centrifugaÄŤnĂ­ pumpa, hadicovĂ˝ set, pĹ™etlakovĂ˝ vak) certifikace 14 dnĂ­ BE PLS 2051 701050310</t>
  </si>
  <si>
    <t>ZM239</t>
  </si>
  <si>
    <t>Set ECMO zavĂˇdÄ›cĂ­ perkutĂˇlnĂ­ arteriĂˇlnĂ­ PIK150 JH104.7385</t>
  </si>
  <si>
    <t>Set ECMO zavĂˇdÄ›cĂ­ perkutĂˇnnĂ­ arteriĂˇlnĂ­ PIK150 JH104.7385</t>
  </si>
  <si>
    <t>ZA454</t>
  </si>
  <si>
    <t>Kompresa AB 10 x 10 cm/1 ks sterilnĂ­ NT savĂˇ (1230114011) 1327114011</t>
  </si>
  <si>
    <t>Kompresa AB 10 x 10 cm/1 ks sterilní NT savá (1230114011) 1327114011</t>
  </si>
  <si>
    <t>ZA333</t>
  </si>
  <si>
    <t>KrytĂ­ aquacel Ag hydrofibre 10 x 10 cm Ăˇ 10 ks 0081082 403708</t>
  </si>
  <si>
    <t>KrytĂ­ gelovĂ© hydrokoloidnĂ­ Flamigel 250 ml FLAM250</t>
  </si>
  <si>
    <t>ZQ896</t>
  </si>
  <si>
    <t>KrytĂ­ promogran 28 cm2 tvar ĹˇestiĂşhelnĂ­ka kolagen 55% a celuloza oxidovanĂˇ 45% bal. Ăˇ 10 ks M772028_1/4</t>
  </si>
  <si>
    <t>ZR302</t>
  </si>
  <si>
    <t>KrytĂ­ silikonovĂ© pÄ›novĂ© mepilex border flex 10 x 10 cm sterilnĂ­ bal.Ăˇ 5 ks 595300</t>
  </si>
  <si>
    <t>ZR301</t>
  </si>
  <si>
    <t>KrytĂ­ silikonovĂ© pÄ›novĂ© mepilex border flex 7,5  cm sterilnĂ­ bal.Ăˇ 5 ks 595200</t>
  </si>
  <si>
    <t>ZA526</t>
  </si>
  <si>
    <t>KrytĂ­ sorbalgon 10 x 10 cm bal. Ăˇ 10 ks 999595</t>
  </si>
  <si>
    <t>ZA064</t>
  </si>
  <si>
    <t>KrytĂ­ sorbalgon 5 x  5 cm  bal. Ăˇ 10  ks 999598</t>
  </si>
  <si>
    <t>KrytĂ­ suprasorb F 10 x 12 cm sterilnĂ­ bal. Ăˇ 10 ks 20462</t>
  </si>
  <si>
    <t>ZF424</t>
  </si>
  <si>
    <t>KrytĂ­ suprasorb X 5 x 5 cm bal. Ăˇ 5 ks 20534</t>
  </si>
  <si>
    <t>Krytí aquacel extra 5 x  5 cm á 10 ks (VZP169583 ) 420671</t>
  </si>
  <si>
    <t>Krytí sorbalgon 10 x 10 cm bal. á 10 ks 999595</t>
  </si>
  <si>
    <t>Krytí sorbalgon 5 x  5 cm  bal. á 10  ks 999598</t>
  </si>
  <si>
    <t>ZA527</t>
  </si>
  <si>
    <t>Set sterilní pro malé chir.výkony Mediset bal. á 27 ks 4709673</t>
  </si>
  <si>
    <t>ZB668</t>
  </si>
  <si>
    <t>HadiÄŤka spojovacĂ­ tlakovĂˇ biocath pr. 1,0 mm x   50 cm Ăˇ 40 ks PB 3105 M</t>
  </si>
  <si>
    <t>Kanyla vasofix 22G modrá safety 4269098S-01</t>
  </si>
  <si>
    <t>ZP078</t>
  </si>
  <si>
    <t>Kontejner 25 ml PP ĹˇroubovĂ˝ sterilnĂ­ uzĂˇvÄ›r 2680/EST/SG</t>
  </si>
  <si>
    <t>Kontejner 25 ml PP šroubový sterilní uzávěr 2680/EST/SG</t>
  </si>
  <si>
    <t>StĹ™Ă­kaÄŤka injekÄŤnĂ­ 2-dĂ­lnĂˇ 5 ml L Inject Solo4606051V - nahrazuje ZR396</t>
  </si>
  <si>
    <t>ZB586</t>
  </si>
  <si>
    <t>Vzduchovod nosnĂ­ PVC 7/9 KVS 321028 (579209) vĂ˝padek do 10/19</t>
  </si>
  <si>
    <t>ZB588</t>
  </si>
  <si>
    <t>Vzduchovod nosnĂ­ PVC 8,5/11 KVS 321034 vĂ˝padek do 10/19</t>
  </si>
  <si>
    <t>ZB758</t>
  </si>
  <si>
    <t>Zkumavka 9 ml K3 edta NR 455036</t>
  </si>
  <si>
    <t>Zkumavka ÄŤervenĂˇ 6 ml 456092</t>
  </si>
  <si>
    <t>Zkumavka červená 8 ml gel 455071</t>
  </si>
  <si>
    <t>DC515</t>
  </si>
  <si>
    <t>ÄŚistĂ­cĂ­ roztok k dekontaminaci 100 ml  (HYPOCHLORID.ROZTOK,S5362)</t>
  </si>
  <si>
    <t>DC319</t>
  </si>
  <si>
    <t>AUTOCHECK TM5+/LEVEL1/S7735</t>
  </si>
  <si>
    <t>DC402</t>
  </si>
  <si>
    <t>AUTOCHECK TM5+/LEVEL2/S7745</t>
  </si>
  <si>
    <t>DC320</t>
  </si>
  <si>
    <t>AUTOCHECK TM5+/LEVEL3/S7755</t>
  </si>
  <si>
    <t>DC321</t>
  </si>
  <si>
    <t>AUTOCHECK TM5+/LEVEL4/,S7765</t>
  </si>
  <si>
    <t>DG379</t>
  </si>
  <si>
    <t>Doprava 21%</t>
  </si>
  <si>
    <t>DE022</t>
  </si>
  <si>
    <t>GlukĂłzovĂˇ membrĂˇnovĂˇ souprava</t>
  </si>
  <si>
    <t>Glukózová membránová souprava</t>
  </si>
  <si>
    <t>DF171</t>
  </si>
  <si>
    <t>KALIBRAÄŚNĂŤ ROZTOK 1  S1820 (ABL 825)</t>
  </si>
  <si>
    <t>DF166</t>
  </si>
  <si>
    <t>KALIBRAÄŚNĂŤ ROZTOK 2  S1830 (ABL 825)</t>
  </si>
  <si>
    <t>DB437</t>
  </si>
  <si>
    <t>KALIBRACNI PLYN 1(10 bar)</t>
  </si>
  <si>
    <t>DC853</t>
  </si>
  <si>
    <t>KALIBRACNI PLYN 2</t>
  </si>
  <si>
    <t>KALIBRAČNÍ ROZTOK 1  S1820 (ABL 825)</t>
  </si>
  <si>
    <t>KALIBRAČNÍ ROZTOK 2  S1830 (ABL 825)</t>
  </si>
  <si>
    <t>DD309</t>
  </si>
  <si>
    <t>LaktĂˇtovĂˇ membrĂˇnovĂˇ souprava</t>
  </si>
  <si>
    <t>Laktátová membránová souprava</t>
  </si>
  <si>
    <t>DC959</t>
  </si>
  <si>
    <t>MEMBRÁNOVÁ SOUPRAVA  Na+</t>
  </si>
  <si>
    <t>MEMBRĂNOVĂ SOUPRAVA  Na+</t>
  </si>
  <si>
    <t>DD268</t>
  </si>
  <si>
    <t>MEMBRĂNOVĂ SOUPRAVA Ca</t>
  </si>
  <si>
    <t>DD269</t>
  </si>
  <si>
    <t>MEMBRĂNOVĂ SOUPRAVA Cl</t>
  </si>
  <si>
    <t>DD267</t>
  </si>
  <si>
    <t>MEMBRĂNOVĂ SOUPRAVA K+</t>
  </si>
  <si>
    <t>DB942</t>
  </si>
  <si>
    <t>MEMBRĂNOVĂ SOUPRAVA pCO2</t>
  </si>
  <si>
    <t>DD076</t>
  </si>
  <si>
    <t>MEMBRĂNOVĂ SOUPRAVA pO2</t>
  </si>
  <si>
    <t>DD075</t>
  </si>
  <si>
    <t>MEMBRÁNOVÁ SOUPRAVA REF.</t>
  </si>
  <si>
    <t>MEMBRĂNOVĂ SOUPRAVA REF.</t>
  </si>
  <si>
    <t>DF170</t>
  </si>
  <si>
    <t>NOVĂť ÄŚISTĂŤCĂŤ ROZTOK s aditivem, S8375 (ABL 825)</t>
  </si>
  <si>
    <t>NOVÝ ČISTÍCÍ ROZTOK s aditivem, S8375 (ABL 825)</t>
  </si>
  <si>
    <t>DF445</t>
  </si>
  <si>
    <t>Odpadni nadoba D512 600 ml</t>
  </si>
  <si>
    <t>DI220</t>
  </si>
  <si>
    <t>Platelet Mapping assay ADP+AA</t>
  </si>
  <si>
    <t>DF169</t>
  </si>
  <si>
    <t>PROPLACHOVACĂŤ ROZTOK 600 ml S4980 (ABL 825)</t>
  </si>
  <si>
    <t>PROPLACHOVACÍ ROZTOK 600 ml S4980 (ABL 825)</t>
  </si>
  <si>
    <t>DA002</t>
  </si>
  <si>
    <t>PROUZKY TETRAPHAN DIA  KATALOGO</t>
  </si>
  <si>
    <t>DD354</t>
  </si>
  <si>
    <t>TEG Kaolin</t>
  </si>
  <si>
    <t>DC634</t>
  </si>
  <si>
    <t>THB KALIBRAÄŚNĂŤ ROZTOK,S7770</t>
  </si>
  <si>
    <t>THB KALIBRAČNÍ ROZTOK,S7770</t>
  </si>
  <si>
    <t>DF593</t>
  </si>
  <si>
    <t>Zkumavka bez heparinasy a 20 ks</t>
  </si>
  <si>
    <t>DF504</t>
  </si>
  <si>
    <t>Zkumavka s heparinasou a 20 ks</t>
  </si>
  <si>
    <t>50115040</t>
  </si>
  <si>
    <t>laboratorní materiál (Z505)</t>
  </si>
  <si>
    <t>ZC043</t>
  </si>
  <si>
    <t>KĂˇdinka vysokĂˇ s vĂ˝levkou 400 ml VTRB632417012400</t>
  </si>
  <si>
    <t>ZC039</t>
  </si>
  <si>
    <t>KĂˇdinka vysokĂˇ sklo 250 ml (213-1064) VTRB632417012250</t>
  </si>
  <si>
    <t>Kádinka vysoká sklo 250 ml (213-1064) VTRB632417012250</t>
  </si>
  <si>
    <t>Kompresa AB 20 x 20 cm/1 ks sterilnĂ­ NT savĂˇ (1230114041) 1327114041</t>
  </si>
  <si>
    <t>ZA561</t>
  </si>
  <si>
    <t>Kompresa AB 20 x 40 cm/1 ks sterilnĂ­ NT savĂˇ (1230114051) 1327114051</t>
  </si>
  <si>
    <t>Kompresa AB 20 x 40 cm/1 ks sterilní NT savá (1230114051) 1327114051</t>
  </si>
  <si>
    <t>ZC506</t>
  </si>
  <si>
    <t>Kompresa NT 10 x 10 cm/5 ks sterilnĂ­ 1325020275</t>
  </si>
  <si>
    <t>Kompresa NT 10 x 10 cm/5 ks sterilní 1325020275</t>
  </si>
  <si>
    <t>Kompresa NT 5 x 5 cm nesterilnĂ­ 06101</t>
  </si>
  <si>
    <t>ZA518</t>
  </si>
  <si>
    <t>Kompresa NT 7,5 x 7,5 cm nesterilnĂ­ 06102</t>
  </si>
  <si>
    <t>Kompresa NT 7,5 x 7,5 cm nesterilní 06102</t>
  </si>
  <si>
    <t>Kompresa vliwasoft 10 x 20 nesterilnĂ­ Ăˇ 100 ks 12070</t>
  </si>
  <si>
    <t>KrĂ©m cavilon ochrannĂ˝ bariĂ©rovĂ˝ Ăˇ 28 g bal. Ăˇ 12 ks 3391E - firma jiĹľ nedodĂˇvĂˇ</t>
  </si>
  <si>
    <t>Krém cavilon ochranný bariérový á 28 g bal. á 12 ks 3391E</t>
  </si>
  <si>
    <t>ZH403</t>
  </si>
  <si>
    <t>KrytĂ­ excilon 5 x 5 cm NT i.v. s nĂˇstĹ™ihem do kĹ™Ă­Ĺľe antiseptickĂ˝ bal. Ăˇ 70 ks 7089</t>
  </si>
  <si>
    <t>ZD482</t>
  </si>
  <si>
    <t>KrytĂ­ filmovĂ© transparentnĂ­ Opsite spray 240 ml bal. Ăˇ 12 ks 66004980</t>
  </si>
  <si>
    <t>ZN814</t>
  </si>
  <si>
    <t>KrytĂ­ gelovĂ© na rĂˇny ActiMaris bal. Ăˇ 20g 3097749</t>
  </si>
  <si>
    <t>ZC399</t>
  </si>
  <si>
    <t>KrytĂ­ hemostatickĂ© traumacel taf light 1,5 x 5 cm bal. Ăˇ 10 ks sĂ­ĹĄka 10295</t>
  </si>
  <si>
    <t>ZF042</t>
  </si>
  <si>
    <t>KrytĂ­ mastnĂ˝ tyl jelonet 10 x 10 cm Ăˇ 10 ks 7404</t>
  </si>
  <si>
    <t>ZA476</t>
  </si>
  <si>
    <t>KrytĂ­ mepilex border lite 10 x 10 cm bal. Ăˇ 5 ks 281300-00</t>
  </si>
  <si>
    <t>KrytĂ­ mepilex border sacrum 18 x 18 cm bal. Ăˇ 5 ks 282000-01</t>
  </si>
  <si>
    <t>ZN895</t>
  </si>
  <si>
    <t>KrytĂ­ reston nesterilnĂ­ 10,0 cm x 5,0 cm x 5 m role 1563L</t>
  </si>
  <si>
    <t>ZA317</t>
  </si>
  <si>
    <t>KrytĂ­ s mastĂ­ atrauman 5 x 5 cm bal. Ăˇ 10 ks 499510</t>
  </si>
  <si>
    <t>KrytĂ­ silikonovĂ© pÄ›novĂ© mepilex border lite 10 x 10 cm bal. Ăˇ 5 ks 281300-00</t>
  </si>
  <si>
    <t>ZD634</t>
  </si>
  <si>
    <t>KrytĂ­ silikonovĂ© pÄ›novĂ© mepilex border sacrum 23 x 23 cm bal. Ăˇ 5 ks 282400-01</t>
  </si>
  <si>
    <t>ZA503</t>
  </si>
  <si>
    <t>KrytĂ­ suprasorb F 10 x 25 cm fĂłliovĂ© sterilnĂ­ bal. Ăˇ 10 ks 20464</t>
  </si>
  <si>
    <t>ZA532</t>
  </si>
  <si>
    <t>KrytĂ­ suprasorb F 15 cm x 10 m role nesterilnĂ­ foliovĂ˝ obvaz 20469</t>
  </si>
  <si>
    <t>ZC715</t>
  </si>
  <si>
    <t>KrytĂ­ suprasorb X 5 x 5 cm antimikr.steril. bal. Ăˇ 5 ks 20540</t>
  </si>
  <si>
    <t>ZA595</t>
  </si>
  <si>
    <t>KrytĂ­ tegaderm 6,0 cm x 7,0 cm bal. Ăˇ 100 ks s vĂ˝Ĺ™ezem 1623W</t>
  </si>
  <si>
    <t>ZE483</t>
  </si>
  <si>
    <t>Krytí D-Fix - fixace I.V. kanyl transparentní semipermeabilní s výřezem na kratší straně sterilní 6 x 9 cm bal. á 100 ks (náhrada za tegaderm) 70.700.41.071 - firma již nedodává</t>
  </si>
  <si>
    <t>Krytí gelové na rány ActiMaris bal. á 20g 3097749</t>
  </si>
  <si>
    <t>Krytí hydrogelové nu-gel 25 g bal. á 6 ks MNG425</t>
  </si>
  <si>
    <t>Krytí mastný tyl jelonet   5 x 5 cm á 50 ks 7403</t>
  </si>
  <si>
    <t>Krytí mastný tyl jelonet 10 x 10 cm á 10 ks 7404</t>
  </si>
  <si>
    <t>Krytí mepilex border lite 10 x 10 cm bal. á 5 ks 281300-00</t>
  </si>
  <si>
    <t>Krytí mepilex border sacrum 18 x 18 cm bal. á 5 ks 282000-01</t>
  </si>
  <si>
    <t>Krytí mepilex border sacrum 23 x 23 cm bal. á 5 ks 282400-01</t>
  </si>
  <si>
    <t>Krytí s mastí atrauman 5 x 5 cm bal. á 10 ks 499510</t>
  </si>
  <si>
    <t>Krytí suprasorb F 10 x 10 cm role nesterilní foliový obvaz 20468</t>
  </si>
  <si>
    <t>Krytí suprasorb F 10 x 25 cm fóliové sterilní bal. á 10 ks 20464</t>
  </si>
  <si>
    <t>ZA492</t>
  </si>
  <si>
    <t>Krytí suprasorb H 10 x 10 cm hydrokoloidní standard bal. á 10 ks 20403</t>
  </si>
  <si>
    <t>ZF748</t>
  </si>
  <si>
    <t>Krytí suprasorb H 14 x 14 cm bal. á 5 ks 20430</t>
  </si>
  <si>
    <t>Krytí suprasorb X 5 x 5 cm antimikr.steril. bal. á 5 ks 20540</t>
  </si>
  <si>
    <t>ZA319</t>
  </si>
  <si>
    <t>NĂˇplast durapore 2,50 cm x 9,14 m bal. Ăˇ 12 ks 1538-1</t>
  </si>
  <si>
    <t>ZA418</t>
  </si>
  <si>
    <t>NĂˇplast metaline pod TS 8 x 9 cm 23094</t>
  </si>
  <si>
    <t>ZQ117</t>
  </si>
  <si>
    <t>NĂˇplast transparentnĂ­ Airoplast cĂ­vka 2,5 cm x 9,14 m (nĂˇhrada za transpore) P-AIRO2591</t>
  </si>
  <si>
    <t>ZK759</t>
  </si>
  <si>
    <t>NĂˇplast water resistant cosmos bal. Ăˇ 20 ks (10+10) 5351233</t>
  </si>
  <si>
    <t>ZA542</t>
  </si>
  <si>
    <t>NĂˇplast wet pruf voduvzd. 1,25 cm x 9,14 m bal. Ăˇ 24 ks K00-3063C</t>
  </si>
  <si>
    <t>Náplast durapore 2,50 cm x 9,14 m bal. á 12 ks 1538-1</t>
  </si>
  <si>
    <t>Náplast metaline pod TS 8 x 9 cm 23094</t>
  </si>
  <si>
    <t>Náplast micropore 2,50 cm x 9,10 m 840W-1</t>
  </si>
  <si>
    <t>Náplast omnifix E 10 cm x 10 m 900650</t>
  </si>
  <si>
    <t>Náplast transparentní Airoplast cívka 2,5 cm x 9,14 m (náhrada za transpore) P-AIRO2591</t>
  </si>
  <si>
    <t>Náplast transpore 1,25 cm x 9,14 m 1527-0</t>
  </si>
  <si>
    <t>Náplast transpore bílá 2,50 cm x 9,14 m bal. á 12 ks 1534-1</t>
  </si>
  <si>
    <t>Náplast water resistant cosmos bal. á 20 ks (10+10) 5351233</t>
  </si>
  <si>
    <t>Náplast wet pruf voduvzd. 1,25 cm x 9,14 m bal. á 24 ks K00-3063C</t>
  </si>
  <si>
    <t>ZF454</t>
  </si>
  <si>
    <t>Obinadlo elastickĂ© lenkideal krĂˇtkotaĹľnĂ© 12 cm x 5 m bal. Ăˇ 10 ks 19584</t>
  </si>
  <si>
    <t>Obinadlo elastické lenkideal krátkotažné 12 cm x 5 m bal. á 10 ks 19584</t>
  </si>
  <si>
    <t>PÄ›na velkĂˇ V.A.C M8275053/1 pro podtlakovou terapii</t>
  </si>
  <si>
    <t>ZA589</t>
  </si>
  <si>
    <t>Tampon sterilnĂ­ stĂˇÄŤenĂ˝ 30 x 30 cm / 5 ks karton Ăˇ 1500 ks 28007</t>
  </si>
  <si>
    <t>Tampon sterilní stáčený 30 x 30 cm / 5 ks karton á 1500 ks 28007</t>
  </si>
  <si>
    <t>ZA617</t>
  </si>
  <si>
    <t>Tampon TC-OC k oĹˇetĹ™enĂ­ dutiny ĂşstnĂ­ Ăˇ 250 ks 12240</t>
  </si>
  <si>
    <t>Tampon TC-OC k ošetření dutiny ústní á 250 ks 12240</t>
  </si>
  <si>
    <t>ZA467</t>
  </si>
  <si>
    <t>TyÄŤinka vatovĂˇ nesterilnĂ­ 15 cm bal. Ăˇ 100 ks 9679369</t>
  </si>
  <si>
    <t>ZA604</t>
  </si>
  <si>
    <t>Tyčinka vatová sterilní jednotlivě balalená bal. á 1000 ks 5100/SG/CS</t>
  </si>
  <si>
    <t>ZD151</t>
  </si>
  <si>
    <t>Ambuvak pro dospÄ›lĂ© vak 1,5 l komplet (maska, hadiÄŤka, rezervoĂˇr) 7152000</t>
  </si>
  <si>
    <t>Ambuvak pro dospělé vak 1,5 l komplet (maska, hadička, rezervoár) 7152000</t>
  </si>
  <si>
    <t>ZD212</t>
  </si>
  <si>
    <t>BrĂ˝le kyslĂ­kovĂ© pro dospÄ›lĂ© 1,8 m standard 1161000/L</t>
  </si>
  <si>
    <t>Brýle kyslíkové pro dospělé 1,8 m standard 1161000/L</t>
  </si>
  <si>
    <t>ZK976</t>
  </si>
  <si>
    <t>CĂ©vka odsĂˇvacĂ­ CH12 s pĹ™eruĹˇovaÄŤem sĂˇnĂ­, dĂ©lka 50 cm, P01171a</t>
  </si>
  <si>
    <t>ZK977</t>
  </si>
  <si>
    <t>CĂ©vka odsĂˇvacĂ­ CH14 s pĹ™eruĹˇovaÄŤem sĂˇnĂ­, dĂ©lka 50 cm, P01173a</t>
  </si>
  <si>
    <t>ZK978</t>
  </si>
  <si>
    <t>CĂ©vka odsĂˇvacĂ­ CH16 s pĹ™eruĹˇovaÄŤem sĂˇnĂ­, dĂ©lka 50 cm, P01175a</t>
  </si>
  <si>
    <t>Cévka odsávací CH12 s přerušovačem sání, délka 50 cm, P01171a</t>
  </si>
  <si>
    <t>Cévka odsávací CH14 s přerušovačem sání, délka 50 cm, P01173a</t>
  </si>
  <si>
    <t>Cévka odsávací CH16 s přerušovačem sání, délka 50 cm, P01175a</t>
  </si>
  <si>
    <t>ZF427</t>
  </si>
  <si>
    <t>Dlaha splint-fix 22 k znehybnÄ›nĂ­ zĂˇpÄ›stĂ­ a kotnĂ­ku pĹ™i kanylaci bal. Ăˇ 2 ks NKS:60-11</t>
  </si>
  <si>
    <t>Dlaha splint-fix 22 k znehybnění zápěstí a kotníku při kanylaci bal. á 2 ks NKS:60-11</t>
  </si>
  <si>
    <t>ZD271</t>
  </si>
  <si>
    <t>DrĹľĂˇk lĂˇhve flovac-plast 100 11-5121 (300 970-010-210)</t>
  </si>
  <si>
    <t>ZC129</t>
  </si>
  <si>
    <t>Elektroda defibrilaÄŤnĂ­ pro dospÄ›lĂ© EDGE s konektorem QUIK-COMBO k defibrilĂˇtorĹŻm LIFEPAK 11996-000091</t>
  </si>
  <si>
    <t>Elektroda defibrilaÄŤnĂ­ pro dospÄ›lĂ© QC 11996-000091</t>
  </si>
  <si>
    <t>Elektroda defibrilační pro dospělé QC 11996-000091</t>
  </si>
  <si>
    <t>ZB424</t>
  </si>
  <si>
    <t>Elektroda EKG H34SG 31.1946.21</t>
  </si>
  <si>
    <t>ZQ490</t>
  </si>
  <si>
    <t>Elektroda EKG pěnová pr. 48 mm pro dospělé (ES GS48) H-108003</t>
  </si>
  <si>
    <t>Filtr H-V kompaktní kombinovaný sterilní přímý á 25 ks 19401</t>
  </si>
  <si>
    <t>ZE572</t>
  </si>
  <si>
    <t>Filtr hydrofobnĂ­ k pĹ™Ă­str.multifiltrate CiCa, bal.Ăˇ 100 ks, 5015911</t>
  </si>
  <si>
    <t>ZB295</t>
  </si>
  <si>
    <t>Filtr iso-gard hepa ÄŤistĂ˝ bal. Ăˇ 20 ks 28012</t>
  </si>
  <si>
    <t>Filtr iso-gard hepa čistý bal. á 20 ks 28012</t>
  </si>
  <si>
    <t>ZB271</t>
  </si>
  <si>
    <t>Filtr perifix 0,2MY bal. Ăˇ 25 ks 4515501</t>
  </si>
  <si>
    <t>ZC777</t>
  </si>
  <si>
    <t>Filtr sacĂ­ MSF 271-022-001</t>
  </si>
  <si>
    <t>Filtr sací MSF 271-022-001</t>
  </si>
  <si>
    <t>ZC968</t>
  </si>
  <si>
    <t>Filtrate bag 5029011</t>
  </si>
  <si>
    <t>ZG138</t>
  </si>
  <si>
    <t>Fonendoskop sprague rappaport P00226</t>
  </si>
  <si>
    <t>ZQ401</t>
  </si>
  <si>
    <t>Gel lubrikaÄŤnĂ­ Optitube sĂˇÄŤek Ăˇ 5 g bal. Ăˇ 150 ks OMS1120</t>
  </si>
  <si>
    <t>ZB908</t>
  </si>
  <si>
    <t>HadiÄŤka spojovacĂ­ ĹľlutĂˇ 1 mm x 1500 mm pro svÄ›tlocitlivĂ© lĂ©ky bal. Ăˇ 20 ks 1100 1150ND</t>
  </si>
  <si>
    <t>ZB497</t>
  </si>
  <si>
    <t>HadiÄŤka spojovacĂ­ vysokotlakĂˇ combidyn 20 cm bal. Ăˇ 50 ks 5204941</t>
  </si>
  <si>
    <t>HadiÄŤka spojovacĂ­ vysokotlakĂˇ Combidyn PVC, dĂ©lka 20 cm, prĹŻmÄ›r 1,5 x 2,7 mm, tlak 8 bar, LUER male/female, ABS, ÄŤervenĂ© pruhy(arterial)  bal. Ăˇ 50 ks 5204941</t>
  </si>
  <si>
    <t>ZB531</t>
  </si>
  <si>
    <t>HadiÄŤka spojovacĂ­ vysokotlakĂˇ Combidyn, PE, dĂ©lka 200 cm, prĹŻmÄ›r 1,0 x 2,0 mm, tlak 8 bar   bal. Ăˇ 50 ks 5215035</t>
  </si>
  <si>
    <t>Hadička spojovací HS 1,8 x 450 mm LL DEPH free 2200 045 ND</t>
  </si>
  <si>
    <t>Hadička spojovací vysokotlaká combidyn 20 cm bal. á 50 ks 5204941</t>
  </si>
  <si>
    <t>Hadička spojovací žlutá 1 mm x 1500 mm pro světlocitlivé léky bal. á 20 ks 1100 1150ND</t>
  </si>
  <si>
    <t>ZJ027</t>
  </si>
  <si>
    <t>Helma castar R vel. L  CP211L/2R</t>
  </si>
  <si>
    <t>ZG001</t>
  </si>
  <si>
    <t>HusĂ­ krk expandi-flex s dvojtou otoÄŤnou spojkou Ăˇ 30 ks 22531</t>
  </si>
  <si>
    <t>Husí krk expandi-flex s dvojtou otočnou spojkou á 30 ks 22531</t>
  </si>
  <si>
    <t>ZB309</t>
  </si>
  <si>
    <t>Kanyla ET 7,5 s manĹľetou bal. Ăˇ 20 ks 100/199/075</t>
  </si>
  <si>
    <t>ZE373</t>
  </si>
  <si>
    <t>Kanyla ET 7,5 se sĂˇnĂ­m nad manĹľetou SACETT I.D. bal. Ăˇ 10 ks 100/189/075</t>
  </si>
  <si>
    <t>ZB310</t>
  </si>
  <si>
    <t>Kanyla ET 8,0 s manĹľetou bal. Ăˇ 20 ks 100/199/080</t>
  </si>
  <si>
    <t>ZF196</t>
  </si>
  <si>
    <t>Kanyla ET 8,0 se sáním nad manžetou SACETT I.D. bal. á 10 ks 100/189/080</t>
  </si>
  <si>
    <t>ZB311</t>
  </si>
  <si>
    <t>Kanyla ET 8,5 s manĹľetou bal. Ăˇ 20 ks 100/199/085</t>
  </si>
  <si>
    <t>Kanyla ET 8,5 s manžetou bal. á 20 ks 100/199/085</t>
  </si>
  <si>
    <t>ZE374</t>
  </si>
  <si>
    <t>Kanyla ET 8,5 se sĂˇnĂ­m nad manĹľetou SACETT I.D. bal. Ăˇ 10 ks 100/189/085</t>
  </si>
  <si>
    <t>Kanyla ET 8,5 se sáním nad manžetou SACETT I.D. bal. á 10 ks 100/189/085</t>
  </si>
  <si>
    <t>ZQ508</t>
  </si>
  <si>
    <t>Kanyla nosnĂ­ OptiFlow Plus k pĹ™Ă­stroji AIRVO2, velikost M, bal. Ăˇ 20 ks P06105</t>
  </si>
  <si>
    <t>Kanyla nosní OptiFlow Plus k přístroji AIRVO2, velikost M, bal. á 20 ks P06105</t>
  </si>
  <si>
    <t>ZB314</t>
  </si>
  <si>
    <t>Kanyla TS 8,0 s manĹľetou bal. Ăˇ 2 ks 100/523/080</t>
  </si>
  <si>
    <t>Kanyla TS 8,0 s manžetou bal. á 2 ks 100/523/080</t>
  </si>
  <si>
    <t>ZC982</t>
  </si>
  <si>
    <t>Kanyla TS 8,5 s manžetou bal. á 10 ks 100/860/085</t>
  </si>
  <si>
    <t>ZB263</t>
  </si>
  <si>
    <t>Kanyla TS 9,0 s manĹľetou bal. Ăˇ 2 ks 100/523/090</t>
  </si>
  <si>
    <t>ZD809</t>
  </si>
  <si>
    <t>Kanyla vasofix 20G rĹŻĹľovĂˇ safety 4269110S-01</t>
  </si>
  <si>
    <t>Kanyla vasofix 20G růžová safety 4269110S-01</t>
  </si>
  <si>
    <t>ZH817</t>
  </si>
  <si>
    <t>Katetr moÄŤovĂ˝ foley CH18 180605-000180</t>
  </si>
  <si>
    <t>ZO182</t>
  </si>
  <si>
    <t>Katetr moÄŤovĂ˝ foley pro mÄ›Ĺ™enĂ­ teploty 14 Fr 2- cestnĂ˝ silikonovĂ˝ MN-0114</t>
  </si>
  <si>
    <t>ZO181</t>
  </si>
  <si>
    <t>Katetr moÄŤovĂ˝ foley pro mÄ›Ĺ™enĂ­ teploty 16 Fr 2- cestnĂ˝ silikonovĂ˝ MN-0116</t>
  </si>
  <si>
    <t>ZE846</t>
  </si>
  <si>
    <t>Katetr volumeview-combo kit 5 F 20 cm VLV8R520</t>
  </si>
  <si>
    <t>ZF743</t>
  </si>
  <si>
    <t>Kit pro perikardiocentĂ©zu bal. Ăˇ 5 ks LMP004P8</t>
  </si>
  <si>
    <t>ZB477</t>
  </si>
  <si>
    <t>Kohout trojcestnĂ˝ lopez valve pro NG sondu nesterilnĂ­ AA-011-M9000</t>
  </si>
  <si>
    <t>ZP163</t>
  </si>
  <si>
    <t>Konektor flocare stupĹovĂ˝ pro sondu typu ENLock/sondu s kĂłnusovĂ˝m konektorem bal. Ăˇ 30 ks 589828</t>
  </si>
  <si>
    <t>Konektor flocare stupňový pro sondu typu ENLock/sondu s kónusovým konektorem bal. á 30 ks 589828</t>
  </si>
  <si>
    <t>ZJ655</t>
  </si>
  <si>
    <t>Kyveta CO2 dospÄ›lĂˇ 6870279</t>
  </si>
  <si>
    <t>ZE018</t>
  </si>
  <si>
    <t>Kyveta k hemochron bal. 45 ks JACT-LR</t>
  </si>
  <si>
    <t>ZB102</t>
  </si>
  <si>
    <t>LĂˇhev k odsĂˇvaÄŤce flovac 1l hadice 1,8 m Ăˇ 45 ks 000-036-020</t>
  </si>
  <si>
    <t>Láhev k odsávačce flovac 1l hadice 1,8 m á 45 ks 000-036-020</t>
  </si>
  <si>
    <t>Láhev náhradní hi-vac 400 ml 05.000.22.802</t>
  </si>
  <si>
    <t>ZP861</t>
  </si>
  <si>
    <t>LĹľĂ­ce laryngoskopickĂˇ  Truphatek Green lite MAC 3 jednorĂˇzovĂˇ bal. Ăˇ 20 ks 4551003</t>
  </si>
  <si>
    <t>ZP862</t>
  </si>
  <si>
    <t>LĹľĂ­ce laryngoskopickĂˇ  Truphatek Green lite MAC 4 jednorĂˇzovĂˇ bal. Ăˇ 20 ks 4551004</t>
  </si>
  <si>
    <t>ZA728</t>
  </si>
  <si>
    <t>Lopatka ĂşstnĂ­ dĹ™evÄ›nĂˇ lĂ©kaĹ™skĂˇ nesterilnĂ­ bal. Ăˇ 100 ks 1320100655</t>
  </si>
  <si>
    <t>Lžíce laryngoskopická  Truphatek Green lite MAC 4 jednorázová bal. á 20 ks 4551004</t>
  </si>
  <si>
    <t>ZD113</t>
  </si>
  <si>
    <t>ManĹľeta fixaÄŤnĂ­ Ute-Fix Ăˇ 30 ks NKS:40-06</t>
  </si>
  <si>
    <t>ZC166</t>
  </si>
  <si>
    <t>ManĹľeta pĹ™etlakovĂˇ 500 ml kompletnĂ­ (100 051-018-803) 100 ZIT-500</t>
  </si>
  <si>
    <t>ZJ264</t>
  </si>
  <si>
    <t>ManĹľeta TK k monitoru Datex dvouhadiÄŤkovĂˇ NIBP 33-47 cm dospÄ›lĂˇ velkĂˇ U1889ND, U1869ND</t>
  </si>
  <si>
    <t>Manžeta fixační Ute-Fix á 30 ks NKS:40-06</t>
  </si>
  <si>
    <t>Manžeta přetlaková 500 ml kompletní (100 051-018-803) 100 ZIT-500</t>
  </si>
  <si>
    <t>Mikronebulizér s maskou 41893</t>
  </si>
  <si>
    <t>ZM710</t>
  </si>
  <si>
    <t>NĹŻĹľky rovnĂ© chirurgickĂ© ĹˇpiÄŤatĂ© 150 mm 397113080020</t>
  </si>
  <si>
    <t>ZE849</t>
  </si>
  <si>
    <t>Nůžky rovné 145 mm AJ 024-14</t>
  </si>
  <si>
    <t>ZB648</t>
  </si>
  <si>
    <t>PĂˇska fixaÄŤnĂ­ Hand-Fix 30 bal. Ăˇ 2 ks NKS:60-65</t>
  </si>
  <si>
    <t>ZP860</t>
  </si>
  <si>
    <t>PĂˇska tracheostomickĂˇ fixaÄŤnĂ­ 52 cm bal. Ăˇ 5 ks 40-0005-044</t>
  </si>
  <si>
    <t>Páska tracheostomická fixační 52 cm bal. á 5 ks 40-0005-044</t>
  </si>
  <si>
    <t>ZC832</t>
  </si>
  <si>
    <t>Pleuracan A bal. á 10 ks 4462556</t>
  </si>
  <si>
    <t>Pleuracan A bal. Ăˇ 10 ks 4462556</t>
  </si>
  <si>
    <t>ZB302</t>
  </si>
  <si>
    <t>Rampa 3 kohouty, bal.á 20 ks, RP 3000 M</t>
  </si>
  <si>
    <t>Rampa 3 kohouty, bal.Ăˇ 20 ks, RP 3000 M</t>
  </si>
  <si>
    <t>ZB301</t>
  </si>
  <si>
    <t>Rampa 5 kohoutĹŻ bez PVC lipidorezistentnĂ­ bal. Ăˇ 20 ks RP 5000 M</t>
  </si>
  <si>
    <t>Rampa 5 kohoutů bez PVC lipidorezistentní bal. á 20 ks RP 5000 M</t>
  </si>
  <si>
    <t>ZA831</t>
  </si>
  <si>
    <t>Rourka rektĂˇlnĂ­ CH20 dĂ©lka 40 cm 19-20.100</t>
  </si>
  <si>
    <t>ZA884</t>
  </si>
  <si>
    <t>Rourka rektĂˇlnĂ­ CH22 dĂ©lka 40 cm 19-22.100</t>
  </si>
  <si>
    <t>Sáček močový s křížovou výpustí 2000 ml s hadičkou 90 cm ZAR-TNU201601</t>
  </si>
  <si>
    <t>ZO506</t>
  </si>
  <si>
    <t>Senzor k mÄ›Ĺ™enĂ­ cerebrĂˇlnĂ­ oximetrie fore-sight ELITE dual velkĂ˝ CS 01-07-2103</t>
  </si>
  <si>
    <t>ZC640</t>
  </si>
  <si>
    <t>Senzor k mÄ›Ĺ™enĂ­ hemodynamiky flotrac s hadiÄŤkou 213 cm k monitoru VIGILEO MHD8R</t>
  </si>
  <si>
    <t>Senzor k měření cerebrální oximetrie fore-sight ELITE dual velký CS 01-07-2103</t>
  </si>
  <si>
    <t>Senzor k měření hemodynamiky flotrac s hadičkou 213 cm k monitoru VIGILEO MHD8R</t>
  </si>
  <si>
    <t>ZB899</t>
  </si>
  <si>
    <t>Senzor spirologickĂ˝ bal. Ăˇ 5 ks 8403735-03</t>
  </si>
  <si>
    <t>ZP046</t>
  </si>
  <si>
    <t>Set dialyzaÄŤnĂ­ Multifiltrate PRO CiCa HD 1000 F00000463</t>
  </si>
  <si>
    <t>ZD702</t>
  </si>
  <si>
    <t>Set dialyzační Multifiltrate Ci-Ca CVVHD 1000 5039011</t>
  </si>
  <si>
    <t>Set dialyzační Multifiltrate PRO CiCa HD 1000 F00000463</t>
  </si>
  <si>
    <t>ZA967</t>
  </si>
  <si>
    <t>Set flocare pro enterĂˇlnĂ­ vĂ˝Ĺľivu 800 Pack Transition novĂ˝ pro vaky ( APA 3386175) 586512</t>
  </si>
  <si>
    <t>ZN906</t>
  </si>
  <si>
    <t>Set Flocare pro enterĂˇlnĂ­ vĂ˝Ĺľivu Infinity Pack s konektory ENFit, kompatibilnĂ­ s vaky Nutrison, pro pumpy Flocare 586514</t>
  </si>
  <si>
    <t>Set flocare pro enterální výživu 800 Pack Transition nový pro vaky ( APA 3386175) 586512</t>
  </si>
  <si>
    <t>Set Flocare pro enterální výživu Infinity Pack s konektory ENFit, kompatibilní s vaky Nutrison, pro pumpy Flocare 586514</t>
  </si>
  <si>
    <t>ZR000</t>
  </si>
  <si>
    <t>Set pro měření srdečního výdeje CO-Set pro roztok pokojové teploty model 93610, bal. á 10 ks 93610</t>
  </si>
  <si>
    <t>ZD030</t>
  </si>
  <si>
    <t>Skalpel jednorázový cutfix sterilní bal. á 10 ks 5518040</t>
  </si>
  <si>
    <t>ZK179</t>
  </si>
  <si>
    <t>Sonda ĹľaludeÄŤnĂ­ CH12 1200 mm s RTG linkou bal. Ăˇ 50 ks 412012</t>
  </si>
  <si>
    <t>ZJ695</t>
  </si>
  <si>
    <t>Sonda ĹľaludeÄŤnĂ­ CH14 1200 mm s RTG linkou bal. Ăˇ 50 ks 412014</t>
  </si>
  <si>
    <t>ZJ312</t>
  </si>
  <si>
    <t>Sonda ĹľaludeÄŤnĂ­ CH16 1200 mm s RTG linkou bal. Ăˇ 50 ks 412016</t>
  </si>
  <si>
    <t>ZJ696</t>
  </si>
  <si>
    <t>Sonda ĹľaludeÄŤnĂ­ CH18 1200 mm s RTG linkou bal. Ăˇ 30 ks 412018</t>
  </si>
  <si>
    <t>Sonda žaludeční CH14 1200 mm s RTG linkou bal. á 50 ks 412014</t>
  </si>
  <si>
    <t>Sonda žaludeční CH16 1200 mm s RTG linkou bal. á 50 ks 412016</t>
  </si>
  <si>
    <t>Sonda žaludeční CH18 1200 mm s RTG linkou bal. á 30 ks 412018</t>
  </si>
  <si>
    <t>ZE146</t>
  </si>
  <si>
    <t>Souprava nebulizaÄŤnĂ­ uzavĹ™enĂˇ In-Line-Neb Tee Kit  bal. Ăˇ 50 ks 41745</t>
  </si>
  <si>
    <t>Souprava nebulizační uzavřená In-Line-Neb Tee Kit  bal. á 50 ks 41745</t>
  </si>
  <si>
    <t>ZB543</t>
  </si>
  <si>
    <t>Souprava odbÄ›rovĂˇ tracheĂˇlnĂ­ na odbÄ›r sekretu G05206</t>
  </si>
  <si>
    <t>Souprava odběrová tracheální na odběr sekretu G05206</t>
  </si>
  <si>
    <t>ZD254</t>
  </si>
  <si>
    <t>Souprava pro rektĂˇlnĂ­ inkontinenci flexi seal FMS (moĹľno objednĂˇvat na kusy) 418000</t>
  </si>
  <si>
    <t>ZQ214</t>
  </si>
  <si>
    <t>Souprava pro rektální inkontinenci uzavřená SECCO (katétr 165 cm s nízkotlakovou manžetou 3 x 1,5 l sběrný sáček se superadsorbentem, stříkačka 45 ml) 52.000.00.100</t>
  </si>
  <si>
    <t>ZB080</t>
  </si>
  <si>
    <t>Souprava tracheostomická č. 7 100/561/070</t>
  </si>
  <si>
    <t>ZB873</t>
  </si>
  <si>
    <t>Souprava tracheostomická č. 8 100/561/080</t>
  </si>
  <si>
    <t>Souprava tracheostomickĂˇ ÄŤ. 7 100/561/070</t>
  </si>
  <si>
    <t>Souprava tracheostomickĂˇ ÄŤ. 8 100/561/080</t>
  </si>
  <si>
    <t>ZB303</t>
  </si>
  <si>
    <t>Spojka asymetrická 4 x 7 mm 60.21.00 (120 420)</t>
  </si>
  <si>
    <t>Spojka asymetrickĂˇ 4 x 7 mm 60.21.00 (120 420)</t>
  </si>
  <si>
    <t>ZB545</t>
  </si>
  <si>
    <t>Spojka asymetrickĂˇ 7,10 mm 75111</t>
  </si>
  <si>
    <t>ZA860</t>
  </si>
  <si>
    <t>Spojka dvojitá otočná čistá á 20 ks 23412</t>
  </si>
  <si>
    <t>ZB333</t>
  </si>
  <si>
    <t>Spojka paralerní na 3 vaky-par bal. á 20 ks H3051</t>
  </si>
  <si>
    <t>ZB598</t>
  </si>
  <si>
    <t>Spojka symetrická přímá 7 x 7 mm 60.23.00 (120 430)</t>
  </si>
  <si>
    <t>Spojka symetrickĂˇ pĹ™Ă­mĂˇ 7 x 7 mm 60.23.00 (120 430)</t>
  </si>
  <si>
    <t>ZD458</t>
  </si>
  <si>
    <t>Spojka vrapovaná roztaž.rovná 15F bal. á 50 ks 038-61-311</t>
  </si>
  <si>
    <t>Spojka vrapovanĂˇ roztaĹľ.rovnĂˇ 15F bal. Ăˇ 50 ks 038-61-311</t>
  </si>
  <si>
    <t>ZB666</t>
  </si>
  <si>
    <t>Spojka Y 9 x 9 x 9 mm symetrickĂˇ bal. Ăˇ 100 ks 120490</t>
  </si>
  <si>
    <t>Sprej cavilon 28 ml bal. Ăˇ 12 ks 3346E - dlouhodobĂ˝ vĂ˝padek</t>
  </si>
  <si>
    <t>StĹ™Ă­kaÄŤka injekÄŤnĂ­ 2-dĂ­lnĂˇ 10 ml L Inject Solo 4606108V - nahrazuje ZR397</t>
  </si>
  <si>
    <t>StĹ™Ă­kaÄŤka injekÄŤnĂ­ 2-dĂ­lnĂˇ 2 ml L Inject Solo 4606027V</t>
  </si>
  <si>
    <t>StĹ™Ă­kaÄŤka injekÄŤnĂ­ 2-dĂ­lnĂˇ 2 ml L Inject Solo 4606027V - nahrazuje ZR395</t>
  </si>
  <si>
    <t>StĹ™Ă­kaÄŤka injekÄŤnĂ­ 2-dĂ­lnĂˇ 20 ml L Inject Solo 4606205V - nahrazuje ZR398</t>
  </si>
  <si>
    <t>StĹ™Ă­kaÄŤka injekÄŤnĂ­ 2-dĂ­lnĂˇ 20 ml L Inject Solo 4606205V - povoleno pouze pro NOVOROZENECKĂ‰ ODD.</t>
  </si>
  <si>
    <t>ZL952</t>
  </si>
  <si>
    <t>StĹ™Ă­kaÄŤka injekÄŤnĂ­ 50 ml LL light protected bal.Ăˇ 60 ks 2022920A</t>
  </si>
  <si>
    <t>StĹ™Ă­kaÄŤka injekÄŤnĂ­ arteriĂˇlnĂ­ 3 ml bez jehly s heparinem bal. Ăˇ 100 ks safePICO Aspirator 956-622</t>
  </si>
  <si>
    <t>ZQ599</t>
  </si>
  <si>
    <t>StĹ™Ă­kaÄŤka injekÄŤnĂ­ pro enterĂˇlnĂ­ vĂ˝Ĺľivu 50/60 ml NUTRICAIR ENFIT excentrickĂˇ bal.Ăˇ 50 ks NCE50SE</t>
  </si>
  <si>
    <t>Stříkačka injekční 3-dílná 1 ml L tuberculin s jehlou KD-JECT III 26G x 1/2" 0,45 x 12 mm 831786</t>
  </si>
  <si>
    <t>Stříkačka injekční 3-dílná 30 ml LL Omnifix Solo bal. á 100 ks 4617304F</t>
  </si>
  <si>
    <t>Stříkačka injekční 50 ml LL light protected bal.á 60 ks 2022920A</t>
  </si>
  <si>
    <t>Stříkačka injekční pro enterální výživu 50/60 ml NUTRICAIR ENFIT excentrická bal.á 50 ks NCE50SE</t>
  </si>
  <si>
    <t>Stříkačka janett 3-dílná 60 ml sterilní vyplachovací 050ML3CZ-CEW (MRG564)</t>
  </si>
  <si>
    <t>ZK839</t>
  </si>
  <si>
    <t>SystĂ©m hrudnĂ­ drenĂˇĹľe Sinapi 1000 ml dlouhĂˇ trubice kontrola sĂˇnĂ­ + konekto a hadicovĂˇ svorka XL1000SC</t>
  </si>
  <si>
    <t>ZL333</t>
  </si>
  <si>
    <t>SystĂ©m odsĂˇvacĂ­ uzavĹ™enĂ˝ ET Comfortsoft CH 14 55 cm 72 hod. bal. Ăˇ 20 ks 02-011-11</t>
  </si>
  <si>
    <t>SystĂ©m odsĂˇvacĂ­ uzavĹ™enĂ˝ ET Comfortsoft CH 14 55 cm 72 hod. bal. Ăˇ 50 ks 02-011-11</t>
  </si>
  <si>
    <t>ZL176</t>
  </si>
  <si>
    <t>SystĂ©m odsĂˇvacĂ­ uzavĹ™enĂ˝ ET Comfortsoft CH 16 55 cm 72 hod. 02-011-12</t>
  </si>
  <si>
    <t>ZL332</t>
  </si>
  <si>
    <t>SystĂ©m odsĂˇvacĂ­ uzavĹ™enĂ˝ TS Comfortsoft CH 16 30 cm 72 hod., bal 25 ks, 02-011-06</t>
  </si>
  <si>
    <t>Systém hrudní drenáže Sinapi 1000 ml dlouhá trubice kontrola sání + konekto a hadicová svorka XL1000SC</t>
  </si>
  <si>
    <t>Systém odsávací uzavřený ET Comfortsoft CH 14 55 cm 72 hod. bal. á 50 ks 02-011-11</t>
  </si>
  <si>
    <t>Systém odsávací uzavřený ET Comfortsoft CH 16 55 cm 72 hod. 02-011-12</t>
  </si>
  <si>
    <t>ZL174</t>
  </si>
  <si>
    <t>Systém odsávací uzavřený TS Comfortsoft CH 14 30 cm 72 hod. bal. á 25 ks 02-011-05</t>
  </si>
  <si>
    <t>ZB107</t>
  </si>
  <si>
    <t>System vibraÄŤnĂ­ ACAPELLA 27-7000</t>
  </si>
  <si>
    <t>ZH092</t>
  </si>
  <si>
    <t>Trokar hrudnĂ­ Argyle Ch10/23 cm bal. Ăˇ 10 ks 8888561019</t>
  </si>
  <si>
    <t>ZB097</t>
  </si>
  <si>
    <t>Trokar hrudnĂ­ Argyle Ch24/40 cm bal. Ăˇ 10 ks 8888561050</t>
  </si>
  <si>
    <t>ZH091</t>
  </si>
  <si>
    <t>Trokar hrudní Argyle Ch8/23 cm bal. á 10 ks 8888560805</t>
  </si>
  <si>
    <t>Tyčinka vatová sterilní 14 cm po jednotlivě balená velká 1 bal/100 ks 4791911</t>
  </si>
  <si>
    <t>ZF442</t>
  </si>
  <si>
    <t>Vak dĂ˝chacĂ­ 2000 ml 2820</t>
  </si>
  <si>
    <t>ZB632</t>
  </si>
  <si>
    <t>Ventil expiraÄŤnĂ­ jednorĂˇzovĂ˝ Ăˇ 10 ks 8414776</t>
  </si>
  <si>
    <t>Ventil expirační jednorázový á 10 ks 8414776</t>
  </si>
  <si>
    <t>ZJ277</t>
  </si>
  <si>
    <t>Ventil jednorĂˇzovĂ˝ expiraÄŤnĂ­ V500 Ăˇ 10 ks MP01060</t>
  </si>
  <si>
    <t>Vzduchovod nosní PVC 7/9 KVS 321028 (579209)</t>
  </si>
  <si>
    <t>ZB312</t>
  </si>
  <si>
    <t>ZavadÄ›ÄŤ trach. rourek pro TR stĹ™ednĂ­ 5,0 - 8,0 mm Ăˇ 10 ks 100/120/200</t>
  </si>
  <si>
    <t>Zavaděč trach. rourek pro TR střední 5.0 - 8.0 mm á 10 ks 100/120/200</t>
  </si>
  <si>
    <t>ZB313</t>
  </si>
  <si>
    <t>Zavaděč trach. rourek pro TR velký 8.5 - 11.0 mm á 10 ks 100/120/300</t>
  </si>
  <si>
    <t>Zkumavka 15 ml PP 101/16,5 mm bílý šroubový uzávěr sterilní jednotlivě balená, tekutý materiál na bakteriolog. vyšetření 10362/MO/SG/CS</t>
  </si>
  <si>
    <t>ZB777</t>
  </si>
  <si>
    <t>Zkumavka ÄŤervenĂˇ 3,5 ml gel 454071</t>
  </si>
  <si>
    <t>Zkumavka červená 3,5 ml gel 454071</t>
  </si>
  <si>
    <t>ZB985</t>
  </si>
  <si>
    <t>Zkumavka moÄŤovĂˇ urin-monovette s pĂ­stem 10 ml sterilnĂ­ bal. Ăˇ 100 ks 10.252.020</t>
  </si>
  <si>
    <t>Zkumavka močová urin-monovette s pístem 10 ml sterilní bal. á 100 ks 10.252.020</t>
  </si>
  <si>
    <t>Zkumavka s mediem+ flovakovanĂ˝ tampon eSwab rĹŻĹľovĂ˝ nos,krk,vagina,koneÄŤnĂ­k,rĂˇny,fekĂˇlnĂ­ vzo) 490CE.A</t>
  </si>
  <si>
    <t>50115062</t>
  </si>
  <si>
    <t>ZPr - materiál hemodialýza (Z525)</t>
  </si>
  <si>
    <t>ZP147</t>
  </si>
  <si>
    <t>Roztok Citra-Lock 4%, ampule 5 ml bal. á 20 ks ZZ-24060201</t>
  </si>
  <si>
    <t>Roztok Citra-Lock 4%, ampule 5 ml bal. Ăˇ 20 ks ZZ-24060201</t>
  </si>
  <si>
    <t>ZQ621</t>
  </si>
  <si>
    <t>Set dialyzaÄŤnĂ­ OMNISET CVVHDF vÄŤetnÄ› filtru 1,6 a CiCa  k pĹ™Ă­stroji OMNI bal. Ăˇ 4 ks (7211151) 7211373</t>
  </si>
  <si>
    <t>ZE420</t>
  </si>
  <si>
    <t>Set hadicový pro aquarius hemofiltr HF19 AQUASET19</t>
  </si>
  <si>
    <t>ZS013</t>
  </si>
  <si>
    <t>Set sterilnĂ­ pro hrudnĂ­ punkci Mediset (sloĹľenĂ­ setu viz zĂˇloĹľka popis) bal. Ăˇ 36 ks 4785511</t>
  </si>
  <si>
    <t>ZE079</t>
  </si>
  <si>
    <t>Set transfĂşznĂ­ non PVC s odvzduĹˇnÄ›nĂ­m a bakteriĂˇlnĂ­m filtrem ZAR-I-TS</t>
  </si>
  <si>
    <t>Set transfúzní non PVC s odvzdušněním a bakteriálním filtrem ZAR-I-TS</t>
  </si>
  <si>
    <t>Jehla injekÄŤnĂ­ 0,9 x 40 mm ĹľlutĂˇ 4657519</t>
  </si>
  <si>
    <t>ZB769</t>
  </si>
  <si>
    <t>Jehla vakuová 206/38 mm žlutá 450077</t>
  </si>
  <si>
    <t>Jehla vakuovĂˇ 206/38 mm ĹľlutĂˇ 450077</t>
  </si>
  <si>
    <t>ZN108</t>
  </si>
  <si>
    <t>Rukavice operaÄŤnĂ­ latex bez pudru sterilnĂ­  PF ansell gammex vel. 8,0 330048080</t>
  </si>
  <si>
    <t>ZN040</t>
  </si>
  <si>
    <t>Rukavice operaÄŤnĂ­ latex bez pudru sterilnĂ­  PF ansell gammex vel. 8,5 330048085</t>
  </si>
  <si>
    <t>ZN125</t>
  </si>
  <si>
    <t>Rukavice operaÄŤnĂ­ latex bez pudru sterilnĂ­  PF ansell gammex vel.7,5 330048075</t>
  </si>
  <si>
    <t>ZP020</t>
  </si>
  <si>
    <t>Rukavice operační latex bez pudru sempermed derma PF vel. 8,0 39475</t>
  </si>
  <si>
    <t>Rukavice operační latex bez pudru sterilní  PF ansell gammex vel. 8,0 330048080</t>
  </si>
  <si>
    <t>ZP019</t>
  </si>
  <si>
    <t>Rukavice operační latex bez pudru sterilní sempermed derma PF vel. 7,5 39474</t>
  </si>
  <si>
    <t>ZP949</t>
  </si>
  <si>
    <t>Rukavice vyĹˇetĹ™ovacĂ­ nitril basic bez pudru modrĂ© XL bal. Ăˇ 170 ks 44753</t>
  </si>
  <si>
    <t>Rukavice vyšetřovací nitril basic bez pudru modré XL bal. á 170 ks 44753</t>
  </si>
  <si>
    <t>ZB536</t>
  </si>
  <si>
    <t>Katetr arteriĂˇlnĂ­ 20 G, 1,1 x 45 mm bal. Ăˇ 25 ks 682245</t>
  </si>
  <si>
    <t>ZB819</t>
  </si>
  <si>
    <t>Katetr arteriĂˇlnĂ­ set Arteriofix, pro femorĂˇlnĂ­ pĹ™Ă­stup, 20 G/160 mm, set: katetr+zavĂˇdÄ›cĂ­ vodiÄŤ+zav. punkÄŤnĂ­ jehla,  bal. Ăˇ 20 ks 5206332</t>
  </si>
  <si>
    <t>ZC637</t>
  </si>
  <si>
    <t>Katetr arteriĂˇlnĂ­ set Arteriofix, pro radiĂˇlnĂ­ pĹ™Ă­stup, 20 G/80 mm, set: katetr+zavĂˇdÄ›cĂ­ vodiÄŤ+zav. punkÄŤnĂ­ jehla,  bal. Ăˇ 20 ks  5206324</t>
  </si>
  <si>
    <t>Katetr arteriální 20 G/1,1 x 45 mm bal. á 25 ks 682245</t>
  </si>
  <si>
    <t>Katetr arteriální set Arteriofix, pro radiální přístup, 20 G/80 mm, set: katetr+zaváděcí vodič+zav. punkční jehla,  bal. á 20 ks  5206324</t>
  </si>
  <si>
    <t>ZF904</t>
  </si>
  <si>
    <t>Katetr bipolární stimul. 5FR bal. á 5 ks AI07155</t>
  </si>
  <si>
    <t>ZA191</t>
  </si>
  <si>
    <t>Katetr CVC 3 lumen 7 Fr x 21 cm bal. á 5 ks ML-00703</t>
  </si>
  <si>
    <t>Katetr CVC 3 lumen 7 Fr x 21 cm bal. Ăˇ 5 ks ML-00703</t>
  </si>
  <si>
    <t>ZO342</t>
  </si>
  <si>
    <t>Katetr CVC 4 lumen 8,5 Fr x 20 cm Arrow gard blue plus bal. á 5 ks CS-45854-E</t>
  </si>
  <si>
    <t>Katetr CVC 4 lumen 8,5 Fr x 20 cm Arrow gard blue plus bal. Ăˇ 5 ks CS-45854-E</t>
  </si>
  <si>
    <t>ZC218</t>
  </si>
  <si>
    <t>Katetr dialyzaÄŤnĂ­ 2 lumen 14,0 Fr x 15 cm AGB antibakteriĂˇlnĂ­ (katetrizaÄŤnĂ­ set) bal. Ăˇ 5 ks CS-22142-F</t>
  </si>
  <si>
    <t>Katetr dialyzaÄŤnĂ­ 2 lumen 14,0 Fr x 15 cm CS-22142-F</t>
  </si>
  <si>
    <t>ZR829</t>
  </si>
  <si>
    <t>Katetr dialyzaÄŤnĂ­ 2 lumen 14,0 Fr x 20 cm AGB antibakterĂˇlnĂ­ ( katetrizaÄŤnĂ­ set ) bal.Ăˇ 5 ks CS-25142-F</t>
  </si>
  <si>
    <t>ZR830</t>
  </si>
  <si>
    <t>Katetr dialyzaÄŤnĂ­ 2 lumen 14,0 Fr x 25 cm AGB antibakterĂˇlnĂ­ ( katetrizaÄŤnĂ­ set ) bal.Ăˇ 5 ks CS-26142-F</t>
  </si>
  <si>
    <t>Katetr dialyzační 2 lumen 14,0 Fr x 15 cm CS-22142-F</t>
  </si>
  <si>
    <t>ZC212</t>
  </si>
  <si>
    <t>Katetr term.+ sheat 7 Fr AH-05050</t>
  </si>
  <si>
    <t>ZQ182</t>
  </si>
  <si>
    <t>Set dialyzaÄŤnĂ­ Multifiltrate Ci-Ca CVVHD k pĹ™Ă­stroji Multifltrate Pro 12, multifiltrate PRO kit CiCa HDF 1000 F00005329</t>
  </si>
  <si>
    <t>Set dialyzační Multifiltrate Ci-Ca CVVHD k přístroji Multifltrate Pro 12, multifiltrate PRO kit CiCa HDF 1000 F00005329</t>
  </si>
  <si>
    <t>ZQ183</t>
  </si>
  <si>
    <t>Set dialyzační Multifiltrate pro univerzální heparinovou dialýzu k přístroji Multifltrate Pro 12 multifiltrate PRO kit HDF 1000 F00000461</t>
  </si>
  <si>
    <t>ZL249</t>
  </si>
  <si>
    <t>Hadice vrapovaná bal. á 50 m 038-01-228</t>
  </si>
  <si>
    <t>Hadice vrapovanĂˇ bal. Ăˇ 50 m 038-01-228</t>
  </si>
  <si>
    <t>ZD725</t>
  </si>
  <si>
    <t>Maska aerosolová pro dospělé 032-10-006NC</t>
  </si>
  <si>
    <t>Maska aerosolovĂˇ pro dospÄ›lĂ© 032-10-006NC</t>
  </si>
  <si>
    <t>ZD184</t>
  </si>
  <si>
    <t>Maska pro neinvazivnĂ­ ventilaci Nova Star vel. L MP01581</t>
  </si>
  <si>
    <t>ZB322</t>
  </si>
  <si>
    <t>Maska resuscitaÄŤnĂ­ nafuk. dosp. stĹ™ed bal. Ăˇ 20 ks 41281</t>
  </si>
  <si>
    <t>ZB318</t>
  </si>
  <si>
    <t>Maska resuscitaÄŤnĂ­ nafuk. dosp. velkĂˇ bal. Ăˇ 20 ks 41282</t>
  </si>
  <si>
    <t>Maska resuscitační nafuk. dosp. velká bal. á 20 ks 41282</t>
  </si>
  <si>
    <t>ZC740</t>
  </si>
  <si>
    <t>Maska tracheostomickĂˇ bal. Ăˇ 50 ks 1075</t>
  </si>
  <si>
    <t>ZN621</t>
  </si>
  <si>
    <t>Nos umÄ›lĂ˝ s portem pro odsĂˇvĂˇnĂ­ bal. Ăˇ 30 ks B0300(6000)</t>
  </si>
  <si>
    <t>Nos umělý s portem pro odsávání bal. á 30 ks B0300(6000)</t>
  </si>
  <si>
    <t>ZF295</t>
  </si>
  <si>
    <t>Okruh dĂ˝chacĂ­ anesteziologickĂ˝ 1,6 m s nĂ­zkou poddajnostĂ­ 038-01-130</t>
  </si>
  <si>
    <t>ZQ510</t>
  </si>
  <si>
    <t>Okruh dĂ˝chacĂ­ k pĹ™Ă­stroji AIRVO2 vÄŤetnÄ› komory Plus, bal. Ăˇ 20 ks P06859</t>
  </si>
  <si>
    <t>Okruh dýchací anesteziologický 1,6 m s nízkou poddajností 038-01-130</t>
  </si>
  <si>
    <t>Okruh dýchací k přístroji AIRVO2 včetně komory Plus, bal. á 20 ks P06103</t>
  </si>
  <si>
    <t>PĹ™evodnĂ­k tlakovĂ˝ PX260 150 cm 1 linka bal. Ăˇ 10 ks (T100209A) T100209B</t>
  </si>
  <si>
    <t>PĹ™evodnĂ­k tlakovĂ˝ PX260 150 cm 1 linka bal. Ăˇ 10 ks (T100209A, T100209B) PX260</t>
  </si>
  <si>
    <t>PĹ™evodnĂ­k tlakovĂ˝ PX2X2 dvojitĂ˝ bal. Ăˇ 8 ks T005074A</t>
  </si>
  <si>
    <t>50115004</t>
  </si>
  <si>
    <t>IUTN - kovové (Z506)</t>
  </si>
  <si>
    <t>ZG486</t>
  </si>
  <si>
    <t>Dlaha sternĂˇlnĂ­ uzamykatelnĂˇ 2.4 mm 460.019</t>
  </si>
  <si>
    <t>ZF684</t>
  </si>
  <si>
    <t>Dlaha sternĂˇlnĂ­ uzamykatelnĂˇ 2.4 mm 460.023</t>
  </si>
  <si>
    <t>ZI132</t>
  </si>
  <si>
    <t>Dlaha sternĂˇlnĂ­ uzamykatelnĂˇ 2.4 mm 460.045</t>
  </si>
  <si>
    <t>ZI644</t>
  </si>
  <si>
    <t>Dlaha sternĂˇlnĂ­ uzamykatelnĂˇ 2.4 mm 460.046</t>
  </si>
  <si>
    <t>ZG540</t>
  </si>
  <si>
    <t>Dlaha sternĂˇlnĂ­ uzamykatelnĂˇ 2.4 mm pro tÄ›lo sterna 460.038</t>
  </si>
  <si>
    <t>ZG541</t>
  </si>
  <si>
    <t>Dlaha sternĂˇlnĂ­ uzamykatelnĂˇ 2.4 mm pro tÄ›lo sterna 460.039</t>
  </si>
  <si>
    <t>ZA819</t>
  </si>
  <si>
    <t>Dlaha sternĂˇlnĂ­ ZipFix bal. Ăˇ 20 ks 08.501.001.20S</t>
  </si>
  <si>
    <t>Dlaha sternální uzamykatelná 2.4 mm 460.019</t>
  </si>
  <si>
    <t>Dlaha sternální uzamykatelná 2.4 mm 460.023</t>
  </si>
  <si>
    <t>Dlaha sternální uzamykatelná 2.4 mm 460.045</t>
  </si>
  <si>
    <t>Dlaha sternální uzamykatelná 2.4 mm 460.046</t>
  </si>
  <si>
    <t>Dlaha sternální uzamykatelná 2.4 mm pro tělo sterna 460.039</t>
  </si>
  <si>
    <t>Dlaha sternální ZipFix bal. á 20 ks 08.501.001.20S</t>
  </si>
  <si>
    <t>ZP704</t>
  </si>
  <si>
    <t>DrĂˇt sternĂˇlnĂ­ ocelovĂ˝ s titanovĂ˝m povrchem SERANOX TI prĹŻmÄ›r 0,7 mm dĂ©lka 0,45 m s jehlou HRK-48 bal. 4 x 0,45 bal. Ăˇ 12 MBO70146B</t>
  </si>
  <si>
    <t>ZP705</t>
  </si>
  <si>
    <t>DrĂˇt sternĂˇlnĂ­ ocelovĂ˝ s titanovĂ˝m povrchem SERANOX TI prĹŻmÄ›r 0,9 mm dĂ©lka 0,45 m s jehlou HRK-48 bal. 4 x 0,45 bal. Ăˇ 12  MB090146B</t>
  </si>
  <si>
    <t>Drát sternální ocelový s titanovým povrchem SERANOX TI průměr 0,7 mm délka 0,45 m s jehlou HRK-48 bal. 4 x 0,45 bal. á 12 MBO70146B</t>
  </si>
  <si>
    <t>Drát sternální ocelový s titanovým povrchem SERANOX TI průměr 0,9 mm délka 0,45 m s jehlou HRK-48 bal. 4 x 0,45 bal. á 12  MB090146B</t>
  </si>
  <si>
    <t>KC616</t>
  </si>
  <si>
    <t>graft aortĂˇlnĂ­ 25CAVGJ-515</t>
  </si>
  <si>
    <t>KH212</t>
  </si>
  <si>
    <t>chlopeĹ srdeÄŤnĂ­ aortĂˇlnĂ­ mechanickĂˇ REGENT SJM 17 mm, 17AGFN-756</t>
  </si>
  <si>
    <t>KC605</t>
  </si>
  <si>
    <t>chlopeĹ srdeÄŤnĂ­ aortĂˇlnĂ­ mechanickĂˇ REGENT SJM 19 mm 19AGFN-756</t>
  </si>
  <si>
    <t>KC608</t>
  </si>
  <si>
    <t>chlopeĹ srdeÄŤnĂ­ aortĂˇlnĂ­ mechanickĂˇ REGENT SJM 25 mm 25AGFN-756</t>
  </si>
  <si>
    <t>chlopeň srdeční aortální mechanická REGENT SJM 19 mm 19AGFN-756</t>
  </si>
  <si>
    <t>KC606</t>
  </si>
  <si>
    <t>chlopeň srdeční aortální mechanická REGENT SJM 21 mm, 21AGFN-756</t>
  </si>
  <si>
    <t>KC607</t>
  </si>
  <si>
    <t>chlopeň srdeční aortální mechanická REGENT SJM 23 mm 23AGFN-756</t>
  </si>
  <si>
    <t>chlopeň srdeční aortální mechanická REGENT SJM 25 mm 25AGFN-756</t>
  </si>
  <si>
    <t>KC609</t>
  </si>
  <si>
    <t>chlopeň srdeční aortální mechanická REGENT SJM 27 mm 27AGFN-756</t>
  </si>
  <si>
    <t>KC613</t>
  </si>
  <si>
    <t>chlopeň srdeční mitrální mechanická MASTERS SJM 25 mm 25MJ-501</t>
  </si>
  <si>
    <t>KC614</t>
  </si>
  <si>
    <t>chlopeň srdeční mitrální mechanická MASTERS SJM 27 mm 27MJ-501</t>
  </si>
  <si>
    <t>KC620</t>
  </si>
  <si>
    <t>chlopeň srdeční mitrální mechanická MASTERS SJM 31 mm 31MJ-501</t>
  </si>
  <si>
    <t>KI338</t>
  </si>
  <si>
    <t>krouĹľek anuloplastickĂ˝ MC3 TrikuspidĂˇlnĂ­ 32mm 4900T32</t>
  </si>
  <si>
    <t>KI339</t>
  </si>
  <si>
    <t>krouĹľek anuloplastickĂ˝ MC3 TrikuspidĂˇlnĂ­ 34mm 4900T34</t>
  </si>
  <si>
    <t>KI340</t>
  </si>
  <si>
    <t>krouĹľek anuloplastickĂ˝ MC3 TrikuspidĂˇlnĂ­ 36mm 4900T36</t>
  </si>
  <si>
    <t>KI327</t>
  </si>
  <si>
    <t>krouĹľek anuloplastickĂ˝ Physio MitrĂˇlnĂ­ 26mm 4450M26</t>
  </si>
  <si>
    <t>KI328</t>
  </si>
  <si>
    <t>krouĹľek anuloplastickĂ˝ Physio MitrĂˇlnĂ­ 28mm 4450M28</t>
  </si>
  <si>
    <t>KI329</t>
  </si>
  <si>
    <t>krouĹľek anuloplastickĂ˝ Physio MitrĂˇlnĂ­ 30mm 4450M30</t>
  </si>
  <si>
    <t>KI330</t>
  </si>
  <si>
    <t>krouĹľek anuloplastickĂ˝ Physio MitrĂˇlnĂ­ 32mm 4450M32</t>
  </si>
  <si>
    <t>KI331</t>
  </si>
  <si>
    <t>krouĹľek anuloplastickĂ˝ Physio MitrĂˇlnĂ­ 34mm 4450M34</t>
  </si>
  <si>
    <t>KI332</t>
  </si>
  <si>
    <t>krouĹľek anuloplastickĂ˝ Physio MitrĂˇlnĂ­ 36mm 4450M36</t>
  </si>
  <si>
    <t>kroužek anuloplastický MC3 Trikuspidální 32mm 4900T32</t>
  </si>
  <si>
    <t>kroužek anuloplastický MC3 Trikuspidální 34mm 4900T34</t>
  </si>
  <si>
    <t>kroužek anuloplastický MC3 Trikuspidální 36mm 4900T36</t>
  </si>
  <si>
    <t>kroužek anuloplastický Physio Mitrální 28mm 4450M28</t>
  </si>
  <si>
    <t>kroužek anuloplastický Physio Mitrální 30mm 4450M30</t>
  </si>
  <si>
    <t>kroužek anuloplastický Physio Mitrální 36mm 4450M36</t>
  </si>
  <si>
    <t>ZF685</t>
  </si>
  <si>
    <t>Ĺ roub sternĂˇlnĂ­ unilock 3,0 mm 04.501.110</t>
  </si>
  <si>
    <t>ZF686</t>
  </si>
  <si>
    <t>Ĺ roub sternĂˇlnĂ­ unilock 3,0 mm 04.501.112</t>
  </si>
  <si>
    <t>ZH558</t>
  </si>
  <si>
    <t>Ĺ roub sternĂˇlnĂ­ unilock 3,0 mm 04.501.114</t>
  </si>
  <si>
    <t>ZH559</t>
  </si>
  <si>
    <t>Ĺ roub sternĂˇlnĂ­ unilock 3,0 mm 04.501.116</t>
  </si>
  <si>
    <t>ZH560</t>
  </si>
  <si>
    <t>Ĺ roub sternĂˇlnĂ­ unilock 3,0 mm 04.501.118</t>
  </si>
  <si>
    <t>KC621</t>
  </si>
  <si>
    <t>mhv konduit SJM 23VAVGJ-515</t>
  </si>
  <si>
    <t>Šroub sternální unilock 3,0 mm 04.501.110</t>
  </si>
  <si>
    <t>Šroub sternální unilock 3,0 mm 04.501.112</t>
  </si>
  <si>
    <t>Šroub sternální unilock 3,0 mm 04.501.114</t>
  </si>
  <si>
    <t>Šroub sternální unilock 3,0 mm 04.501.116</t>
  </si>
  <si>
    <t>Šroub sternální unilock 3,0 mm 04.501.118</t>
  </si>
  <si>
    <t>50115011</t>
  </si>
  <si>
    <t>IUTN - ostat.nákl.PZT (Z515)</t>
  </si>
  <si>
    <t>ZQ341</t>
  </si>
  <si>
    <t>Náhrada kostní tkáně biosyntetická, nosič ATB Stimulan Rapid Cure 10 ml (pasta  a set k přípravě granulí) 620-010</t>
  </si>
  <si>
    <t>KF229</t>
  </si>
  <si>
    <t>protĂ©za cĂ©vnĂ­ gelweave valsalva 26 mm 30026ADP</t>
  </si>
  <si>
    <t>KF230</t>
  </si>
  <si>
    <t>protĂ©za cĂ©vnĂ­ gelweave valsalva 28 mm 30028ADP</t>
  </si>
  <si>
    <t>KF231</t>
  </si>
  <si>
    <t>protĂ©za cĂ©vnĂ­ gelweave valsalva 30 mm 30030ADP</t>
  </si>
  <si>
    <t>KF232</t>
  </si>
  <si>
    <t>protĂ©za cĂ©vnĂ­ gelweave valsalva 32 mm 30032ADP</t>
  </si>
  <si>
    <t>KJ322</t>
  </si>
  <si>
    <t>protĂ©za cĂ©vnĂ­ gelweave valsava 24 mm 730024ADP</t>
  </si>
  <si>
    <t>ZC839</t>
  </si>
  <si>
    <t>ProtĂ©za cĂ©vnĂ­ hemashield 26/15 M00202175126P0</t>
  </si>
  <si>
    <t>ZD033</t>
  </si>
  <si>
    <t>ProtĂ©za cĂ©vnĂ­ hemashield 28/15 M00202175128PO</t>
  </si>
  <si>
    <t>ZC999</t>
  </si>
  <si>
    <t>ProtĂ©za cĂ©vnĂ­ hemashield 30/15 M00202175130P0</t>
  </si>
  <si>
    <t>ZF375</t>
  </si>
  <si>
    <t>ProtĂ©za cĂ©vnĂ­ hemashield 34/15 M00202175134P0</t>
  </si>
  <si>
    <t>ZH839</t>
  </si>
  <si>
    <t>ProtĂ©za cĂ©vnĂ­ hemashield gold 8/20 IGK0008-20</t>
  </si>
  <si>
    <t>ZB226</t>
  </si>
  <si>
    <t>ProtĂ©za cĂ©vnĂ­ InterGard knitted 40 cm/ 8 mm IGK0008-40</t>
  </si>
  <si>
    <t>ZH165</t>
  </si>
  <si>
    <t>ProtĂ©za cĂ©vnĂ­ InterGard knitted 6/20 IGK0006-20</t>
  </si>
  <si>
    <t>ZC164</t>
  </si>
  <si>
    <t>ProtĂ©za cĂ©vnĂ­ InterGard woven 15 cm/ 26 mm IGW0026-15</t>
  </si>
  <si>
    <t>ZC571</t>
  </si>
  <si>
    <t>ProtĂ©za cĂ©vnĂ­ InterGard woven 15 cm/ 28 mm IGW0028-15</t>
  </si>
  <si>
    <t>protéza cévní gelweave valsalva 26 mm 30026ADP</t>
  </si>
  <si>
    <t>protéza cévní gelweave valsalva 28 mm 30028ADP</t>
  </si>
  <si>
    <t>protéza cévní gelweave valsalva 30 mm 30030ADP</t>
  </si>
  <si>
    <t>protéza cévní gelweave valsava 24 mm 730024ADP</t>
  </si>
  <si>
    <t>ZC263</t>
  </si>
  <si>
    <t>Protéza cévní hemashield 24/15 M00202175124P0</t>
  </si>
  <si>
    <t>Protéza cévní hemashield 26/15 M00202175126P0</t>
  </si>
  <si>
    <t>Protéza cévní hemashield 28/15 M00202175128PO</t>
  </si>
  <si>
    <t>Protéza cévní hemashield 30/15 M00202175130P0</t>
  </si>
  <si>
    <t>ZC155</t>
  </si>
  <si>
    <t>Protéza cévní hemashield 32/15 M00202175132P0</t>
  </si>
  <si>
    <t>Protéza cévní hemashield 34/15 M00202175134P0</t>
  </si>
  <si>
    <t>Protéza cévní hemashield gold 8/20 IGK0008-20</t>
  </si>
  <si>
    <t>ZB153</t>
  </si>
  <si>
    <t>Vosk kostnĂ­ Knochenwasch 2,5 g bal. Ăˇ 24 ks 1029754</t>
  </si>
  <si>
    <t>Vosk kostní Knochenwasch 2,5 g bal. á 24 ks 1029754</t>
  </si>
  <si>
    <t>ZI551</t>
  </si>
  <si>
    <t>ZĂˇplata kĹ™Ă­ĹľkovĂˇ 5,1 x 5,1 cm 007943</t>
  </si>
  <si>
    <t>KK917</t>
  </si>
  <si>
    <t>zĂˇplata srdeÄŤnĂ­ perikardiĂˇlnĂ­ SJM BIOCOR 9 x 14 cm C0914</t>
  </si>
  <si>
    <t>záplata srdeční perikardiální SJM BIOCOR 9 x 14 cm C0914</t>
  </si>
  <si>
    <t>ZF670</t>
  </si>
  <si>
    <t>KĂˇdinka nĂ­zkĂˇ s vĂ˝levkou skol 150 ml VTRB632417010150</t>
  </si>
  <si>
    <t>Kádinka nízká s výlevkou skol 150 ml VTRB632417010150</t>
  </si>
  <si>
    <t>ZA465</t>
  </si>
  <si>
    <t>FĂłlie inciznĂ­ raucodrape sterilnĂ­ 45 x 50 cm 25445</t>
  </si>
  <si>
    <t>ZA494</t>
  </si>
  <si>
    <t>FĂłlie inciznĂ­ rucodrape ( opraflex ) 45 x 20 cm 25443</t>
  </si>
  <si>
    <t>Fólie incizní raucodrape sterilní 45 x 50 cm 25445</t>
  </si>
  <si>
    <t>Fólie incizní rucodrape ( opraflex ) 45 x 20 cm 25443</t>
  </si>
  <si>
    <t>ZD668</t>
  </si>
  <si>
    <t>Kompresa gĂˇza 10 x 10 cm/5 ks sterilnĂ­ 1325019275</t>
  </si>
  <si>
    <t>Kompresa gáza 10 x 10 cm/5 ks sterilní 1325019275</t>
  </si>
  <si>
    <t>ZE824</t>
  </si>
  <si>
    <t>KrytĂ­ cellistyp 5 x 7 cm bal. Ăˇ 15 ks (nĂˇhrada za okcel) 2080508</t>
  </si>
  <si>
    <t>ZB049</t>
  </si>
  <si>
    <t>KrytĂ­ cellistyp 7 x 10 cm bal. Ăˇ 15 ks (nĂˇhrada za okcel) 2080511</t>
  </si>
  <si>
    <t>ZB048</t>
  </si>
  <si>
    <t>KrytĂ­ cellistyp F (fibrilar) 2,5 x 5 cm bal. Ăˇ 10 ks (nĂˇhrada za okcel) 2082025</t>
  </si>
  <si>
    <t>ZM326</t>
  </si>
  <si>
    <t>KrytĂ­ hemostatickĂ© nevstĹ™ebatelnĂ© textilnĂ­ hemopatch kit. box medium 4,5 x 4,5 cm bal. Ăˇ 3 ks 1506256</t>
  </si>
  <si>
    <t>ZI108</t>
  </si>
  <si>
    <t>KrytĂ­ hemostatickĂ© surgicel fibrilar 2,5 cm x 5 cm bal. Ăˇ 10 ks 411961</t>
  </si>
  <si>
    <t>ZN465</t>
  </si>
  <si>
    <t>KrytĂ­ rudafix transparent (nĂˇhrada za hypaifix ) 10 cm x 10 m ZAR-NOB074110</t>
  </si>
  <si>
    <t>Krytí cellistyp 5 x 7 cm bal. á 15 ks (náhrada za okcel) 2080508</t>
  </si>
  <si>
    <t>Krytí cellistyp 7 x 10 cm bal. á 15 ks (náhrada za okcel) 2080511</t>
  </si>
  <si>
    <t>Krytí cellistyp F (fibrilar) 2,5 x 5 cm bal. á 10 ks (náhrada za okcel) 2082025</t>
  </si>
  <si>
    <t>Krytí hemostatické nevstřebatelné textilní hemopatch kit. box medium 4,5 x 4,5 cm bal. á 3 ks 1506256</t>
  </si>
  <si>
    <t>ZA798</t>
  </si>
  <si>
    <t>Krytí hemostatické traumacel P 2g ks bal. á 5 ks zásyp 10120</t>
  </si>
  <si>
    <t>Krytí rudafix transparent (náhrada za hypaifix ) 10 cm x 10 m ZAR-NOB074110</t>
  </si>
  <si>
    <t>ZP802</t>
  </si>
  <si>
    <t>Krytí tegaderm i.v. advaced pro katetry Aiic.v.Cs P.I.C.C 8,5 cm x 11,5 cm bal. á 50 ks 1685</t>
  </si>
  <si>
    <t>ZA337</t>
  </si>
  <si>
    <t>Náplast softpore 1,25 cm x 9,15 m bal. á 24 ks 1320103111</t>
  </si>
  <si>
    <t>ZN477</t>
  </si>
  <si>
    <t>Obinadlo elastickĂ© universal 12 cm x 5 m 1323100314</t>
  </si>
  <si>
    <t>Obinadlo elastické universal 12 cm x 5 m 1323100314</t>
  </si>
  <si>
    <t>ZF080</t>
  </si>
  <si>
    <t>RouĹˇka bĹ™iĹˇnĂ­ 17 nitĂ­ s krouĹľkem na tkanici 12 x 47 cm bal. Ăˇ 50 ks 1230100311</t>
  </si>
  <si>
    <t>Rouška břišní 17 nití s kroužkem na tkanici 12 x 47 cm bal. á 50 ks 1230100311</t>
  </si>
  <si>
    <t>ZQ744</t>
  </si>
  <si>
    <t>Rouška břišní s RTG kontrastem a tkanicí 100% bavlna 4 vrstvy nepředepraný 12 x 47 cm / 5 ks karton á 150 ks 37705</t>
  </si>
  <si>
    <t>ZC985</t>
  </si>
  <si>
    <t>Rouška břišní sterilní RTG nití 45 x 45 cm / 5 ks karton á 500 ks 37750+</t>
  </si>
  <si>
    <t>ZA577</t>
  </si>
  <si>
    <t>Set rouĹˇkovacĂ­ Certofix pro CVC bal Ăˇ 10 ks 291832</t>
  </si>
  <si>
    <t>Set rouškovací Certofix pro CVC bal á 10 ks 291832</t>
  </si>
  <si>
    <t>ZQ114</t>
  </si>
  <si>
    <t>Steh nĂˇplasĹĄovĂ˝ pevnĂ˝ Pharmastrip 4 mm x 76mm 1 obĂˇlka Ăˇ 8 stehĹŻ bal. Ăˇ 100 obĂˇlek (nĂˇhrada za steri-strip) P-PHST476</t>
  </si>
  <si>
    <t>Steh náplasťový pevný Pharmastrip 4 mm x 76mm 1 obálka á 8 stehů bal. á 100 obálek (náhrada za steri-strip) P-PHST476</t>
  </si>
  <si>
    <t>Systém na uzavírání pooperačních ran Prevena pro podtlakovou terapii V.A.C., vel. 20 cm PRE1055/1</t>
  </si>
  <si>
    <t>ZA502</t>
  </si>
  <si>
    <t>Tampon nesterilnĂ­ stĂˇÄŤenĂ˝ 30 x 60 cm 1320300406</t>
  </si>
  <si>
    <t>Tampon nesterilní stáčený 30 x 60 cm 1320300406</t>
  </si>
  <si>
    <t>ZR134</t>
  </si>
  <si>
    <t>Tampon s RTG kontrastem a tkanicĂ­, 100% bÄ›lenĂˇ bavlnÄ›nĂˇ gĂˇza 17 cm2, 8 vrstev, proĹˇĂ­vanĂ˝, pĹ™edepranĂ˝, sterilnĂ­, 12 x 47 cm, bal. Ăˇ 5  ks 0478</t>
  </si>
  <si>
    <t>Tampon s RTG kontrastem a tkanicí, 100% bělená bavlněná gáza 17 cm2, 8 vrstev, prošívaný, předepraný, sterilní, 12 x 47 cm, bal. á 5  ks 0478</t>
  </si>
  <si>
    <t>ZB542</t>
  </si>
  <si>
    <t>AdaptĂ©r m/m bal. Ăˇ 100 ks 5206642</t>
  </si>
  <si>
    <t>Adaptér m/m bal. á 100 ks 5206642</t>
  </si>
  <si>
    <t>ZL624</t>
  </si>
  <si>
    <t>AplikĂˇtor klipĹŻ HORIZON open M modrĂ˝ zahnutĂ˝ 200 mm 237081</t>
  </si>
  <si>
    <t>ZR963</t>
  </si>
  <si>
    <t>ÄŚepelka k Ĺ™ezaÄŤce hadic Geister - Spare Blades extra wide 25-0036.EK</t>
  </si>
  <si>
    <t>ZC752</t>
  </si>
  <si>
    <t>ÄŚepelka skalpelovĂˇ 15 BB515</t>
  </si>
  <si>
    <t>ZC754</t>
  </si>
  <si>
    <t>ÄŚepelka skalpelovĂˇ 21 BB521</t>
  </si>
  <si>
    <t>ZR476</t>
  </si>
  <si>
    <t>Cytosorb adsorbĂ©r 300 kit Cyto CVVHD (adsorber 150ml/24 hod, plnĂ­cĂ­ set s odpadnĂ­m vakem, adapter) F00007129</t>
  </si>
  <si>
    <t>ZR477</t>
  </si>
  <si>
    <t>Cytosorb adsorbĂ©r 300 TMD000171</t>
  </si>
  <si>
    <t>ZR478</t>
  </si>
  <si>
    <t>Cytosorb CPB/ECMO Priming set (plnĂ­cĂ­ set pro CPB/ECMO) bal.Ăˇ 6 ks CS00000051</t>
  </si>
  <si>
    <t>Čepelka skalpelová 15 BB515</t>
  </si>
  <si>
    <t>Čepelka skalpelová 21 BB521</t>
  </si>
  <si>
    <t>ZI655</t>
  </si>
  <si>
    <t>DifuzĂ©r plynovĂ˝ pro mimotÄ›lnĂ­ obÄ›h P8020/00</t>
  </si>
  <si>
    <t>Difuzér plynový pro mimotělní oběh P8020/00</t>
  </si>
  <si>
    <t>ZA204</t>
  </si>
  <si>
    <t>DrĂˇt zavĂˇdÄ›cĂ­ Ăˇ 25 ks AW-04432</t>
  </si>
  <si>
    <t>KB699</t>
  </si>
  <si>
    <t>drĂ©n - set epicistostomickĂ˝ EPI set 15ch AJ7115</t>
  </si>
  <si>
    <t>ZA759</t>
  </si>
  <si>
    <t>DrĂ©n redon CH10 50 cm U2111000</t>
  </si>
  <si>
    <t>ZA761</t>
  </si>
  <si>
    <t>DrĂ©n redon CH12 50 cm U2111200</t>
  </si>
  <si>
    <t>ZA758</t>
  </si>
  <si>
    <t>DrĂ©n redon CH14 50 cm U2111400</t>
  </si>
  <si>
    <t>ZA757</t>
  </si>
  <si>
    <t>DrĂ©n redon CH16 50 cm U2111600</t>
  </si>
  <si>
    <t>ZG073</t>
  </si>
  <si>
    <t>Drainobag 150 ml 8 Fr bal. á 30 ks 5523850</t>
  </si>
  <si>
    <t>ZE251</t>
  </si>
  <si>
    <t>Drainobag 40 K6 5524008</t>
  </si>
  <si>
    <t>Drát zaváděcí á 25 ks AW-04432</t>
  </si>
  <si>
    <t>Drén redon CH10 50 cm U2111000</t>
  </si>
  <si>
    <t>Drén redon CH12 50 cm U2111200</t>
  </si>
  <si>
    <t>Drén redon CH14 50 cm U2111400</t>
  </si>
  <si>
    <t>Drén redon CH16 50 cm U2111600</t>
  </si>
  <si>
    <t>ZB852</t>
  </si>
  <si>
    <t>Elektroda defibrilaÄŤnĂ­ pro dospÄ›lĂ© adhezivnĂ­  bal. Ăˇ 10 ks 130 x 100 mm 2059145-010</t>
  </si>
  <si>
    <t>Elektroda defibrilační pro dospělé adhezivní  bal. á 10 ks 130 x 100 mm 2059145-010</t>
  </si>
  <si>
    <t>ZB457</t>
  </si>
  <si>
    <t>Elektroda koagulaÄŤnĂ­ Ăˇ 12 ks 0014A</t>
  </si>
  <si>
    <t>Elektroda koagulační á 12 ks 0014A</t>
  </si>
  <si>
    <t>ZG916</t>
  </si>
  <si>
    <t>Elektroda neutrĂˇlnĂ­ bipolĂˇrnĂ­ pro dospÄ›lĂ© Ăˇ 100 ks 2510</t>
  </si>
  <si>
    <t>ZA932</t>
  </si>
  <si>
    <t>Elektroda neutrĂˇlnĂ­ ke koagulaci bal. Ăˇ 50 ks E7509</t>
  </si>
  <si>
    <t>Elektroda neutrální ke koagulaci bal. á 50 ks E7509</t>
  </si>
  <si>
    <t>ZC494</t>
  </si>
  <si>
    <t>Elektroda nožová s kuličkou E1550</t>
  </si>
  <si>
    <t>ZB844</t>
  </si>
  <si>
    <t>Esmarch - pryĹľovĂ© obinadlo 60 x 1250 KVS 06125</t>
  </si>
  <si>
    <t>ZD945</t>
  </si>
  <si>
    <t>Filtr antibakteriĂˇlnĂ­ a virovĂ˝ 1344000S</t>
  </si>
  <si>
    <t>Filtr antibakteriální a virový 1344000S</t>
  </si>
  <si>
    <t>ZA689</t>
  </si>
  <si>
    <t>HadiÄŤka spojovacĂ­ tlakovĂˇ biocath PE/PVC, dĂ©lka 150 cm, prĹŻmÄ›r 1 x 2,5 mm, tlak 40 bar/580 psi, LUER LOCK male/female s rotaÄŤnĂ­ maticĂ­,  bal.Ăˇ 40 ks,  PB 3115 M</t>
  </si>
  <si>
    <t>HadiÄŤka spojovacĂ­ tlakovĂˇ biocath PE/PVC, dĂ©lka 50 cm, prĹŻmÄ›r 1 x 2,5 mm, tlak 40 bar/580 psi, LUER LOCK male/female s rotaÄŤnĂ­ maticĂ­, bal. Ăˇ 40 ks PB 3105 M</t>
  </si>
  <si>
    <t>HadiÄŤka spojovacĂ­ tlakovĂˇ biocath pr. 1,0 mm x 150 cm, bal.Ăˇ 40 ks,  PB 3115 M</t>
  </si>
  <si>
    <t>ZL514</t>
  </si>
  <si>
    <t>Hadička spojovací k měření tlaku bal. á 20 ks (st.k.č. S2589 701065874) JH10.65874</t>
  </si>
  <si>
    <t>Hadička spojovací tlaková biocath pr. 1,0 mm x   50 cm á 40 ks PB 3105 M</t>
  </si>
  <si>
    <t>Hadička spojovací tlaková biocath pr. 1,0 mm x 150 cm, bal.á 40 ks,  PB 3115 M</t>
  </si>
  <si>
    <t>Hadička spojovací vysokotlaká combidyn 200 cm bal. á 50 ks 5215035</t>
  </si>
  <si>
    <t>ZG129</t>
  </si>
  <si>
    <t>Hlavice biomedicus M422204A - zakázková výroba</t>
  </si>
  <si>
    <t>ZF158</t>
  </si>
  <si>
    <t>Hlavice průboj. aort. 4 mm, á 5 ks, FB184R</t>
  </si>
  <si>
    <t>ZP455</t>
  </si>
  <si>
    <t>Jehelec MAYO-HEGAR tvrdokovĂ˝ 200 mm B397132910099</t>
  </si>
  <si>
    <t>ZR858</t>
  </si>
  <si>
    <t>Kanyla arteriĂˇlnĂ­ Optiflow LivaNova  vel. 24Fr/8 mm, efektivnĂ­ dĂ©lka 25cm,  zahnutĂˇ ĹˇpiÄŤka, vyztuĹľeno drĂˇtem, bal. Ăˇ 10 ks A282-80B</t>
  </si>
  <si>
    <t>ZR857</t>
  </si>
  <si>
    <t>Kanyla arteriĂˇlnĂ­ Optiflow LivaNova vel. 21Fr/7 mm, efektivnĂ­ dĂ©lka 24cm, zahnutĂˇ ĹˇpiÄŤka, vyztuĹľeno drĂˇtem, bal. Ăˇ 10 ks A282-70B</t>
  </si>
  <si>
    <t>ZM839</t>
  </si>
  <si>
    <t>Kanyla do safĂ©ny Free flow bal. Ăˇ 20 ks 30022</t>
  </si>
  <si>
    <t>Kanyla do safény Free flow bal. á 20 ks 30022</t>
  </si>
  <si>
    <t>Kanyla ECMO femorální arteriální 15 Fr BE-PAS1515 JH104.7280</t>
  </si>
  <si>
    <t>Kanyla ECMO femorální arteriální 17 Fr BE-PAS1715 JH10.47281</t>
  </si>
  <si>
    <t>Kanyla ECMO femorální arteriální 19 Fr BE-PAS1915 JH104.7282</t>
  </si>
  <si>
    <t>Kanyla ECMO femorální venózní 21 Fr BE-PVL2155 JH104.7294</t>
  </si>
  <si>
    <t>Kanyla ECMO femorální venózní 23 Fr BE-PVL2355 JH10.47295</t>
  </si>
  <si>
    <t>Kanyla ECMO femorální venózní 25 Fr BE-PVL2555 JH104.7296</t>
  </si>
  <si>
    <t>ZB418</t>
  </si>
  <si>
    <t>Kanyla endobronchiĂˇlnĂ­ 35FG 198-35L</t>
  </si>
  <si>
    <t>ZB539</t>
  </si>
  <si>
    <t>Kanyla endobronchiĂˇlnĂ­ 37FG 198-37L</t>
  </si>
  <si>
    <t>ZB540</t>
  </si>
  <si>
    <t>Kanyla endobronchiĂˇlnĂ­ 39FG 198-39L</t>
  </si>
  <si>
    <t>ZF480</t>
  </si>
  <si>
    <t>Kanyla endobronchiĂˇlnĂ­ intubaÄŤnĂ­ VivaSight 35F DL DLVT35L</t>
  </si>
  <si>
    <t>ZF483</t>
  </si>
  <si>
    <t>Kanyla endobronchiĂˇlnĂ­ intubaÄŤnĂ­ VivaSight 37F DL DLVT37L</t>
  </si>
  <si>
    <t>ZF486</t>
  </si>
  <si>
    <t>Kanyla endobronchiĂˇlnĂ­ intubaÄŤnĂ­ VivaSight 39F DL DLVT39L</t>
  </si>
  <si>
    <t>ZD261</t>
  </si>
  <si>
    <t>Kanyla ET 7,0 s manĹľetou bal. Ăˇ 20 ks 100/199/070</t>
  </si>
  <si>
    <t>Kanyla ET 7,0 s manžetou bal. á 20 ks 100/199/070</t>
  </si>
  <si>
    <t>Kanyla ET 7,5 s manžetou bal. á 20 ks 100/199/075</t>
  </si>
  <si>
    <t>ZM316</t>
  </si>
  <si>
    <t>Kanyla femorĂˇlnĂ­ arteriĂˇlnĂ­ 16 FR se zavadÄ›ÄŤem OPTI16</t>
  </si>
  <si>
    <t>ZM317</t>
  </si>
  <si>
    <t>Kanyla femorĂˇlnĂ­ arteriĂˇlnĂ­ 18 FR se zavadÄ›ÄŤem OPTI18</t>
  </si>
  <si>
    <t>ZQ325</t>
  </si>
  <si>
    <t>Kanyla femorĂˇlnĂ­ arteriĂˇlnĂ­ 20 FR se zavadÄ›ÄŤem OPTI20</t>
  </si>
  <si>
    <t>ZQ326</t>
  </si>
  <si>
    <t>Kanyla femorĂˇlnĂ­ arteriĂˇlnĂ­ 22 FR se zavadÄ›ÄŤem OPTI22</t>
  </si>
  <si>
    <t>Kanyla femorální arteriální 16 FR se zavaděčem OPTI16</t>
  </si>
  <si>
    <t>Kanyla femorální arteriální 18 FR se zavaděčem OPTI18</t>
  </si>
  <si>
    <t>Kanyla femorální arteriální 20 FR se zavaděčem OPTI20</t>
  </si>
  <si>
    <t>Kanyla femorální arteriální 22 FR se zavaděčem OPTI22</t>
  </si>
  <si>
    <t>ZB365</t>
  </si>
  <si>
    <t>Kanyla k oxygenĂˇtoru aortĂˇlnĂ­ glide 21Fr Ăˇ 10 ks EZC21TA</t>
  </si>
  <si>
    <t>ZB493</t>
  </si>
  <si>
    <t>Kanyla k oxygenĂˇtoru aortĂˇlnĂ­ glide 24Fr Ăˇ 10 ks EZC24TA</t>
  </si>
  <si>
    <t>Kanyla k oxygenátoru aortální glide 21Fr á 10 ks EZC21TA</t>
  </si>
  <si>
    <t>Kanyla k oxygenátoru aortální glide 24Fr á 10 ks EZC24TA</t>
  </si>
  <si>
    <t>ZN385</t>
  </si>
  <si>
    <t>Kanyla koronĂˇrnĂ­ pĹ™Ă­mĂˇ prĹŻmÄ›r 2,1 mm balon velikost 4 mm CP-21004</t>
  </si>
  <si>
    <t>ZN386</t>
  </si>
  <si>
    <t>Kanyla koronĂˇrnĂ­ pĹ™Ă­mĂˇ prĹŻmÄ›r 2,1 mm balon velikost 5 mm CP-21005</t>
  </si>
  <si>
    <t>Kanyla koronární přímá průměr 2,1 mm balon velikost 4 mm CP-21004</t>
  </si>
  <si>
    <t>Kanyla koronární přímá průměr 2,1 mm balon velikost 5 mm CP-21005</t>
  </si>
  <si>
    <t>ZN387</t>
  </si>
  <si>
    <t>Kanyla koronární přímá průměr 3,0 mm balon velikost 6 mm CP-21006</t>
  </si>
  <si>
    <t>ZM697</t>
  </si>
  <si>
    <t>Kanyla perfuznĂ­ cvent - standart aortic root 7 Fr/14 cm  bal. Ăˇ 20 ks 20014</t>
  </si>
  <si>
    <t>ZQ212</t>
  </si>
  <si>
    <t>Kanyla perfuznĂ­ DLP arteriĂˇlnĂ­ 24 Fr bal Ăˇ 20 ks 70424</t>
  </si>
  <si>
    <t>ZP974</t>
  </si>
  <si>
    <t>Kanyla perfuznĂ­ koronĂˇrnĂ­ kardioplegickĂˇ 20Fr se zavadÄ›ÄŤem Left vent cateter bal. Ăˇ 20 ks 12002</t>
  </si>
  <si>
    <t>Kanyla perfuzní cvent - standart aortic root 7 Fr/14 cm  bal. á 20 ks 20014</t>
  </si>
  <si>
    <t>ZN197</t>
  </si>
  <si>
    <t>Kanyla perfuzní DLP ke kardioplegii bal. á 10 ks 14000</t>
  </si>
  <si>
    <t>Kanyla perfuzní koronární kardioplegická 20Fr se zavaděčem Left vent cateter bal. á 20 ks 12002</t>
  </si>
  <si>
    <t>ZA257</t>
  </si>
  <si>
    <t>Kanyla retrogrĂˇdnĂ­ kardioplegickĂˇ balĂłn hladkĂ˝ bez zvrĂˇsnÄ›nĂ­ bal. Ăˇ 10 ks RC2014MIBB</t>
  </si>
  <si>
    <t>Kanyla retrográdní kardioplegická balón hladký bez zvrásnění bal. á 10 ks RC2014MIBB</t>
  </si>
  <si>
    <t>Kanyla tracheoskopická VivaSight 35F DL DLVT35L</t>
  </si>
  <si>
    <t>Kanyla tracheoskopická VivaSight 37F DL DLVT37L</t>
  </si>
  <si>
    <t>Kanyla tracheoskopická VivaSight 39F DL DLVT39L</t>
  </si>
  <si>
    <t>Kanyla tracheoskopickĂˇ VivaSight 35F DL DLVT35L</t>
  </si>
  <si>
    <t>Kanyla tracheoskopickĂˇ VivaSight 37F DL DLVT37L</t>
  </si>
  <si>
    <t>Kanyla tracheoskopickĂˇ VivaSight 39F DL DLVT39L</t>
  </si>
  <si>
    <t>ZF018</t>
  </si>
  <si>
    <t>Kanyla vasofix 16G ĹˇedĂˇ safety 4269179S-01</t>
  </si>
  <si>
    <t>Kanyla vasofix 16G šedá safety 4269179S-01</t>
  </si>
  <si>
    <t>Kanyla vasofix 17G bĂ­lĂˇ safety 4269152S-01</t>
  </si>
  <si>
    <t>ZD980</t>
  </si>
  <si>
    <t>Kanyla vasofix 18G zelená safety 4269136S-01</t>
  </si>
  <si>
    <t>Kanyla vasofix 18G zelenĂˇ safety 4269136S-01</t>
  </si>
  <si>
    <t>ZB074</t>
  </si>
  <si>
    <t>Kanyla venĂłznĂ­ dvoustupĹovĂˇ 29/29/29Fr VAVD Ăˇ 10 ks TF292902A</t>
  </si>
  <si>
    <t>ZA764</t>
  </si>
  <si>
    <t>Kanyla venĂłznĂ­ dvoustupĹovĂˇ 32/40Fr Ăˇ 10 ks TR3240OA</t>
  </si>
  <si>
    <t>ZB380</t>
  </si>
  <si>
    <t>Kanyla venĂłznĂ­ dvoustupĹovĂˇ 33/43Fr Ăˇ 10 ks TF3343OA</t>
  </si>
  <si>
    <t>ZA255</t>
  </si>
  <si>
    <t>Kanyla venĂłznĂ­ dvoustupĹovĂˇ 36/46Fr Ăˇ 10 ks TF3646OA</t>
  </si>
  <si>
    <t>ZN699</t>
  </si>
  <si>
    <t>Kanyla venĂłznĂ­ femorĂˇlnĂ­ 18F 55 cm 3/8 VFEM018</t>
  </si>
  <si>
    <t>ZE556</t>
  </si>
  <si>
    <t>Kanyla venĂłznĂ­ femorĂˇlnĂ­ 20Fr VFEM020</t>
  </si>
  <si>
    <t>ZE555</t>
  </si>
  <si>
    <t>Kanyla venĂłznĂ­ femorĂˇlnĂ­ 22Fr VFEM022</t>
  </si>
  <si>
    <t>ZE554</t>
  </si>
  <si>
    <t>Kanyla venĂłznĂ­ femorĂˇlnĂ­ 24Fr VFEM024</t>
  </si>
  <si>
    <t>ZP599</t>
  </si>
  <si>
    <t>Kanyla venĂłznĂ­ perfuznĂ­ jednostupĹovĂˇ ohebnĂˇ DLP 22Fr bal. Ăˇ 10 ks 68122</t>
  </si>
  <si>
    <t>ZP600</t>
  </si>
  <si>
    <t>Kanyla venĂłznĂ­ perfuznĂ­ jednostupĹovĂˇ ohebnĂˇ DLP 24Fr bal. Ăˇ 10 ks 68124</t>
  </si>
  <si>
    <t>ZP601</t>
  </si>
  <si>
    <t>Kanyla venĂłznĂ­ perfuznĂ­ jednostupĹovĂˇ ohebnĂˇ DLP 26Fr bal. Ăˇ 10 ks 68126</t>
  </si>
  <si>
    <t>ZP602</t>
  </si>
  <si>
    <t>Kanyla venĂłznĂ­ perfuznĂ­ jednostupĹovĂˇ ohebnĂˇ DLP 28Fr bal. Ăˇ 10 ks 68128</t>
  </si>
  <si>
    <t>ZP603</t>
  </si>
  <si>
    <t>Kanyla venĂłznĂ­ perfuznĂ­ jednostupĹovĂˇ ohebnĂˇ DLP 30Fr bal. Ăˇ 10 ks 68130</t>
  </si>
  <si>
    <t>ZP604</t>
  </si>
  <si>
    <t>Kanyla venĂłznĂ­ perfuznĂ­ jednostupĹovĂˇ ohebnĂˇ DLP 32Fr bal. Ăˇ 10 ks 68132</t>
  </si>
  <si>
    <t>Kanyla venózní dvoustupňová 29/29/29Fr VAVD á 10 ks TF292902A</t>
  </si>
  <si>
    <t>Kanyla venózní dvoustupňová 32/40Fr á 10 ks TR3240OA</t>
  </si>
  <si>
    <t>Kanyla venózní dvoustupňová 33/43Fr á 10 ks TF3343OA</t>
  </si>
  <si>
    <t>Kanyla venózní dvoustupňová 36/46Fr á 10 ks TF3646OA</t>
  </si>
  <si>
    <t>Kanyla venózní femorální 18F 55 cm 3/8 VFEM018</t>
  </si>
  <si>
    <t>Kanyla venózní femorální 22Fr VFEM022</t>
  </si>
  <si>
    <t>Kanyla venózní perfuzní jednostupňová ohebná DLP 22Fr bal. á 10 ks 68122</t>
  </si>
  <si>
    <t>Kanyla venózní perfuzní jednostupňová ohebná DLP 24Fr bal. á 10 ks 68124</t>
  </si>
  <si>
    <t>Kanyla venózní perfuzní jednostupňová ohebná DLP 26Fr bal. á 10 ks 68126</t>
  </si>
  <si>
    <t>Kanyla venózní perfuzní jednostupňová ohebná DLP 28Fr bal. á 10 ks 68128</t>
  </si>
  <si>
    <t>ZA161</t>
  </si>
  <si>
    <t>Katetr CVC vysokoprĹŻtokovĂ˝ bal. Ăˇ 10 ks CI09800</t>
  </si>
  <si>
    <t>Katetr CVC vysokoprůtokový bal. á 10 ks CI09800</t>
  </si>
  <si>
    <t>ZA709</t>
  </si>
  <si>
    <t>Katetr moÄŤovĂ˝ foley 22CH bal. Ăˇ 12 ks 1575-02</t>
  </si>
  <si>
    <t>ZG134</t>
  </si>
  <si>
    <t>Katetr moÄŤovĂ˝ nelaton pro mÄ›Ĺ™enĂ­ teploty CH14 bal. Ăˇ 5 ks 179360-000140</t>
  </si>
  <si>
    <t>ZC947</t>
  </si>
  <si>
    <t>Katetr moÄŤovĂ˝ tiemann 12Ch s balonkem bal. Ăˇ 12 ks K02-9812-02</t>
  </si>
  <si>
    <t>Katetr močový foley 22CH bal. á 12 ks 1575-02</t>
  </si>
  <si>
    <t>Katetr močový nelaton pro měření teploty CH14 bal. á 5 ks 179360-000140</t>
  </si>
  <si>
    <t>ZA160</t>
  </si>
  <si>
    <t>Katetr multi lumen 9 Fr/10 cm SI-21142</t>
  </si>
  <si>
    <t>ZG480</t>
  </si>
  <si>
    <t>Kauter F7234/1 pĂˇlenĂ­ do protĂ©z Ăˇ 10 ks F7234/1</t>
  </si>
  <si>
    <t>Kauter F7234/1 pálení do protéz á 10 ks F7234/1</t>
  </si>
  <si>
    <t>KJ678</t>
  </si>
  <si>
    <t>KleĹˇtÄ› ablaÄŤnĂ­ bipolĂˇrnĂ­ Cardioblate - Gemini 4926</t>
  </si>
  <si>
    <t>Kleště ablační bipolární Cardioblate - Gemini 4926</t>
  </si>
  <si>
    <t>ZE089</t>
  </si>
  <si>
    <t>Kleště na svorky manipler AZ 783102</t>
  </si>
  <si>
    <t>ZE648</t>
  </si>
  <si>
    <t>Klip HORIZON M modrĂ˝ 30 x 6 bal. Ăˇ 180 ks 2200</t>
  </si>
  <si>
    <t>Klip HORIZON M modrý 30 x 6 bal. á 180 ks 2200</t>
  </si>
  <si>
    <t>ZD920</t>
  </si>
  <si>
    <t>Klip HORIZON S-WIDE ÄŤervenĂ˝  30 x 6 bal. Ăˇ 180 ks 1201</t>
  </si>
  <si>
    <t>Klip HORIZON S-WIDE červený  30 x 6 bal. á 180 ks 1201</t>
  </si>
  <si>
    <t>ZB164</t>
  </si>
  <si>
    <t>Kyveta k hemochron ACT+  bal. 45 ks JACT+</t>
  </si>
  <si>
    <t>Ĺ krtidlo Esmarch - pryĹľovĂ© obinadlo 60 x 1250 KVS 06125</t>
  </si>
  <si>
    <t>ZB103</t>
  </si>
  <si>
    <t>LĂˇhev k odsĂˇvaÄŤce flovac 2l hadice 1,8 m 000-036-021</t>
  </si>
  <si>
    <t>ZB553</t>
  </si>
  <si>
    <t>LĂˇhev redon hi-vac 400 ml-kompletnĂ­ 05.000.22.803</t>
  </si>
  <si>
    <t>Láhev k odsávačce flovac 2l hadice 1,8 m 000-036-021</t>
  </si>
  <si>
    <t>Láhev redon hi-vac 400 ml-kompletní 05.000.22.803</t>
  </si>
  <si>
    <t>ZI123</t>
  </si>
  <si>
    <t>Lepidlo tkĂˇĹovĂ© 10 ml BioGlue BG3510-5-G</t>
  </si>
  <si>
    <t>ZM333</t>
  </si>
  <si>
    <t>Lepidlo tkĂˇĹovĂ© 4 ml coseal premix 934074</t>
  </si>
  <si>
    <t>ZI016</t>
  </si>
  <si>
    <t>Lepidlo tkĂˇĹovĂ© 5 ml BioGlue BG3515-5-G</t>
  </si>
  <si>
    <t>Lepidlo tkáňové 10 ml BioGlue BG3510-5-G</t>
  </si>
  <si>
    <t>Lepidlo tkáňové 4 ml coseal premix 934074</t>
  </si>
  <si>
    <t>Lepidlo tkáňové 5 ml BioGlue BG3515-5-G</t>
  </si>
  <si>
    <t>ZN403</t>
  </si>
  <si>
    <t>List pilovĂ˝ ke sternĂˇlnĂ­ pile HALL 50 5059-532</t>
  </si>
  <si>
    <t>List pilový ke sternální pile HALL 50 5059-532</t>
  </si>
  <si>
    <t>ZF668</t>
  </si>
  <si>
    <t>ManĹľeta pĹ™etlakovĂˇ 500 ml classic P01268</t>
  </si>
  <si>
    <t>Manžeta přetlaková 500 ml classic P01268</t>
  </si>
  <si>
    <t>ZB296</t>
  </si>
  <si>
    <t>Mikroskalpel Stab Blade/Tip 22,5° Straig bal. á 6 ks 72-2202</t>
  </si>
  <si>
    <t>Mikroskalpel Stab Blade/Tip 22,5Â° Straig bal. Ăˇ 6 ks 72-2202</t>
  </si>
  <si>
    <t>ZB956</t>
  </si>
  <si>
    <t>NĂˇdoba na histologickĂ˝ mat. s pufrovanĂ˝m formalĂ­nem HISTOFOR 125 ml bal. Ăˇ 35 ks BFS-125</t>
  </si>
  <si>
    <t>ZH809</t>
  </si>
  <si>
    <t>NĂˇdoba na histologickĂ˝ mat. s pufrovanĂ˝m formalĂ­nem HISTOFOR 40 ml bal. Ăˇ 100 ks BFS-40</t>
  </si>
  <si>
    <t>ZK679</t>
  </si>
  <si>
    <t>NĂˇdoba na kontaminovanĂ˝ odpad SC 60 l jednoduchĂ© vĂ­ko,zĂˇmek 2021800411502(I005430006)</t>
  </si>
  <si>
    <t>Nádoba na histologický mat. s pufrovaným formalínem HISTOFOR 125 ml bal. á 35 ks BFS-125</t>
  </si>
  <si>
    <t>Nádoba na kontaminovaný odpad SC 60 l jednoduché víko,zámek 2021800411502(I005430006)</t>
  </si>
  <si>
    <t>ZG845</t>
  </si>
  <si>
    <t>Návlek na kameru endoskopu ster. 12 x 244 cm bal. á 20 ks 705820</t>
  </si>
  <si>
    <t>ZO265</t>
  </si>
  <si>
    <t>Nůžky Metzenbaum zahnuté primusline super cut 180 mm TK8353-18-B</t>
  </si>
  <si>
    <t>ZQ877</t>
  </si>
  <si>
    <t>Nůžky Metzenbaum-Fino, tupé, tvrdokovové, zahnuté, délka 20 cm B35232</t>
  </si>
  <si>
    <t>KH587</t>
  </si>
  <si>
    <t>ofuk Blow mister 22150</t>
  </si>
  <si>
    <t>ZQ440</t>
  </si>
  <si>
    <t>OxygenĂˇtor RocSafe minisystĂ©m mimotÄ›lnĂ­ho obÄ›hu FX15 Model CX-CZ131X</t>
  </si>
  <si>
    <t>KI947</t>
  </si>
  <si>
    <t>oxygenĂˇtor terumo Capiox vÄŤetnÄ› hadicovĂ©ho setu CX-CZ091X</t>
  </si>
  <si>
    <t>KL454</t>
  </si>
  <si>
    <t>oxygenĂˇtor terumo Capiox vÄŤetnÄ› hadicovĂ©ho setu CX-CZ139X</t>
  </si>
  <si>
    <t>ZG007</t>
  </si>
  <si>
    <t>Oxygenátor membránový Hilite 7000 LT</t>
  </si>
  <si>
    <t>ZQ956</t>
  </si>
  <si>
    <t>Oxygenátor set hemofiltrační krevní koncentrátor bal. á 10 ks CX-FHC11</t>
  </si>
  <si>
    <t>oxygenátor terumo Capiox včetně hadicového setu CX-CZ091X</t>
  </si>
  <si>
    <t>ZB357</t>
  </si>
  <si>
    <t>PĂˇsek adapter coronary perfusion typ Y bal. 20 ks 10004</t>
  </si>
  <si>
    <t>ZP551</t>
  </si>
  <si>
    <t>PĂˇska retrakÄŤnĂ­ silikonovĂˇ ÄŤervenĂˇ (surgical loop) 750 mm x 2,5 mm bal. Ăˇ 24 ks B1095510</t>
  </si>
  <si>
    <t>ZN550</t>
  </si>
  <si>
    <t>PĂˇska retrakÄŤnĂ­ silikonovĂˇ modrĂˇ (surgical loop) 750 mm x 2,5 mm bal. Ăˇ 24 ks B1095528</t>
  </si>
  <si>
    <t>Pásek adapter coronary perfusion typ Y bal. 20 ks 10004</t>
  </si>
  <si>
    <t>Páska retrakční silikonová červená (surgical loop) 750 mm x 2,5 mm bal. á 24 ks B1095510</t>
  </si>
  <si>
    <t>Páska retrakční silikonová modrá (surgical loop) 750 mm x 2,5 mm bal. á 24 ks B1095528</t>
  </si>
  <si>
    <t>ZQ142</t>
  </si>
  <si>
    <t>PeĂˇn svorka na cĂ©vy zahnutĂˇ 160 mm TK-BC 061-16</t>
  </si>
  <si>
    <t>ZO984</t>
  </si>
  <si>
    <t>PeĂˇn svorka rovnĂˇ mosqito 125 mm PL817-140/U</t>
  </si>
  <si>
    <t>ZM550</t>
  </si>
  <si>
    <t>PeĂˇn zahnutĂ˝ mosqito 125 mm B397115910082</t>
  </si>
  <si>
    <t>ZB952</t>
  </si>
  <si>
    <t>Plegie cĂ­lenĂˇ Ăˇ 20 ks (MEDPROGRESS) 30010</t>
  </si>
  <si>
    <t>ZB324</t>
  </si>
  <si>
    <t>Plegie cĂ­lenĂˇ Ăˇ 20 ks (MEDPROGRESS) 30012</t>
  </si>
  <si>
    <t>Plegie cílená á 20 ks (MEDPROGRESS) 30010</t>
  </si>
  <si>
    <t>Plegie cílená á 20 ks (MEDPROGRESS) 30012</t>
  </si>
  <si>
    <t>ZB009</t>
  </si>
  <si>
    <t>Plyn kalibrační A k CDI  506 TY 79 R 344</t>
  </si>
  <si>
    <t>ZA945</t>
  </si>
  <si>
    <t>Plyn kalibrační B k CDI 507 TY 27 S 008</t>
  </si>
  <si>
    <t>ZB297</t>
  </si>
  <si>
    <t>PodloĹľka cortex 20 12 x 160 mm bal. Ăˇ 2 ks ZP-103-0116 (pĹŻv.k.ÄŤ.103011664252)</t>
  </si>
  <si>
    <t>ZD295</t>
  </si>
  <si>
    <t>Podložka cortex 1 120 x 80 mm(2) + 60 x 40 mm(4) bal. á 6 ks 101-0000</t>
  </si>
  <si>
    <t>Podložka cortex 20 12 x 160 mm bal. á 2 ks ZP-103-0116 (pův.k.č.103011664252)</t>
  </si>
  <si>
    <t>ZM096</t>
  </si>
  <si>
    <t>PoduĹˇka adhezivnĂ­ samolepĂ­cĂ­ na ÄŤiĹˇtÄ›nĂ­ koncovek nĂˇstrojĹŻ bal. Ăˇ 100 ks sterilnĂ­ AL-40</t>
  </si>
  <si>
    <t>Poduška adhezivní samolepící na čištění koncovek nástrojů bal. á 100 ks sterilní AL-40</t>
  </si>
  <si>
    <t>KH586</t>
  </si>
  <si>
    <t>polohovač Starfish EVO HP3000</t>
  </si>
  <si>
    <t>ZH760</t>
  </si>
  <si>
    <t>Popisovač na kůži sterilní, chirurgický, BLAYCO RQ-01, 13 cm, s jedním hrotem, gen. violeť + PVC pravítko 15 cm TCH02</t>
  </si>
  <si>
    <t>ZC940</t>
  </si>
  <si>
    <t>Pumpa centrifugĂˇlnĂ­ ECMO SC-050-300-000</t>
  </si>
  <si>
    <t>Pumpa centrifugĂˇlnĂ­ SC-050-300-000</t>
  </si>
  <si>
    <t>Pumpa centrifugĂˇlnĂ­ STOECKERT SPIN SC-050-300-000</t>
  </si>
  <si>
    <t>Pumpa centrifugální 050-300-000</t>
  </si>
  <si>
    <t>Pumpa centrifugální SC-050-300-000</t>
  </si>
  <si>
    <t>ZM305</t>
  </si>
  <si>
    <t>Punch aortĂˇlnĂ­ jednorĂˇzovĂ˝ 15 cm dĂ©lka 3,6 mm bal. Ăˇ 6 ks DP- 36K</t>
  </si>
  <si>
    <t>Punch aortální jednorázový 15 cm délka 3,6 mm bal. á 6 ks DP- 36K</t>
  </si>
  <si>
    <t>ZN401</t>
  </si>
  <si>
    <t>Punch aortální jednorázový 15 cm délka 4,0 mm bal. á 6 ks DP- 40K</t>
  </si>
  <si>
    <t>KI498</t>
  </si>
  <si>
    <t>retractor Inserts 28707 Ăˇ 10 ks</t>
  </si>
  <si>
    <t>ZG263</t>
  </si>
  <si>
    <t>RukojeĹĄ aktivnĂ­ elektrody resterizovatelnĂˇ 4,6 m kabel bal. Ăˇ 10 ks E2100</t>
  </si>
  <si>
    <t>ZG002</t>
  </si>
  <si>
    <t>SĂˇnĂ­ perikardiĂˇlnĂ­ SU 29602</t>
  </si>
  <si>
    <t>ZB240</t>
  </si>
  <si>
    <t>SĂˇnĂ­ perikardiĂˇlnĂ­-dlp pericardial jumps 12010</t>
  </si>
  <si>
    <t>ZN855</t>
  </si>
  <si>
    <t>Sada pĹ™ipojovacĂ­ch hadic k mimotÄ›lnĂ­mu obÄ›hu - set vavd bal. Ăˇ 25 ks MEH7 4298-0</t>
  </si>
  <si>
    <t>Sada připojovacích hadic k mimotělnímu oběhu - set vavd bal. á 25 ks MEH7 4298-0</t>
  </si>
  <si>
    <t>KC602</t>
  </si>
  <si>
    <t>Sada stabilizaÄŤnĂ­ acrobat k operacĂ­m na bijĂ­cĂ­m sdci (mimotÄ›lnĂ­ obÄ›h) axius blower/mister  Ăˇ 5 ks CB-1000</t>
  </si>
  <si>
    <t>KC599</t>
  </si>
  <si>
    <t>Sada stabilizaÄŤnĂ­ acrobat k operacĂ­m na bijĂ­cĂ­m srdci (mimotÄ›lnĂ­ obÄ›h) SUV OM-9000S stabilizĂˇtor</t>
  </si>
  <si>
    <t>KC600</t>
  </si>
  <si>
    <t>Sada stabilizaÄŤnĂ­ acrobat k operacĂ­m na bijĂ­cĂ­m srdci (mimotÄ›lnĂ­ obÄ›h) SUV sada XP-5000 polohovaÄŤ</t>
  </si>
  <si>
    <t>Sada stabilizaÄŤnĂ­ Starfish EVO HP3000</t>
  </si>
  <si>
    <t>Sada stabilizační acrobat k operacím na bijícím sdci (mimotělní oběh) axius blower/mister  á 5 ks CB-1000</t>
  </si>
  <si>
    <t>Sada stabilizační acrobat k operacím na bijícím srdci (mimotělní oběh) SUV OM-9000S stabilizátor</t>
  </si>
  <si>
    <t>Sada stabilizační acrobat k operacím na bijícím srdci (mimotělní oběh) SUV sada XP-5000 polohovač</t>
  </si>
  <si>
    <t>Sada stabilizační Starfish EVO HP3000</t>
  </si>
  <si>
    <t>Sání perikardiální SU 29602</t>
  </si>
  <si>
    <t>Sání perikardiální-dlp pericardial jumps 12010</t>
  </si>
  <si>
    <t>ZB532</t>
  </si>
  <si>
    <t>Senzor level 95133 bal. á 100 ks SC-23-27-41</t>
  </si>
  <si>
    <t>Senzor level 95133 bal. Ăˇ 100 ks SC-23-27-41</t>
  </si>
  <si>
    <t>KG695</t>
  </si>
  <si>
    <t>set hadicovĂ˝ pro mimotÄ›lnĂ­ obÄ›h pro kardioplegii LGTMEH32780</t>
  </si>
  <si>
    <t>set hadicový pro mimotělní oběh pro kardioplegii LGTMEH32780</t>
  </si>
  <si>
    <t>ZS223</t>
  </si>
  <si>
    <t>Set HLS ECMO CARDIOHELP BE-HLS 7050  Advanced 7.0, pro krĂˇtkodobou srdeÄŤnĂ­ podporu 70104.7753</t>
  </si>
  <si>
    <t>KI533</t>
  </si>
  <si>
    <t>Set perfuznĂ­ kardioplegickĂ˝ 4:1 s vĂ˝mÄ›nĂ­kem tepla  M423002B</t>
  </si>
  <si>
    <t>Set perfuznĂ­ kardioplegickĂ˝ Myotherm XP( M423002A)  M423002B</t>
  </si>
  <si>
    <t>Set perfuzní kardioplegický Myotherm XP( M423002A)  M423002B</t>
  </si>
  <si>
    <t>ZQ879</t>
  </si>
  <si>
    <t>Set pro regionĂˇlnĂ­ anestezii Perifix Proset  1, bal. Ăˇ 10 setĹŻ 4453751</t>
  </si>
  <si>
    <t>Set pro regionální anestezii Perifix Proset  1, bal. á 10 setů 4453751</t>
  </si>
  <si>
    <t>ZC596</t>
  </si>
  <si>
    <t>Sonda do koronĂˇrnĂ­ch tepen 1,00 mm bal. Ăˇ 5 ks 007603</t>
  </si>
  <si>
    <t>ZF561</t>
  </si>
  <si>
    <t>Sonda do koronĂˇrnĂ­ch tepen 1,50 mm 45 cm bal. Ăˇ 5 ks 7604</t>
  </si>
  <si>
    <t>Sonda do koronárních tepen 1,00 mm 007603</t>
  </si>
  <si>
    <t>Sonda do koronárních tepen 1,50 mm 45 cm 7604</t>
  </si>
  <si>
    <t>ZS225</t>
  </si>
  <si>
    <t>Sonda koronĂˇrnĂ­ HQD2FMC Handle Style  k peroperaÄŤnĂ­mu prĹŻtokomÄ›ru Transonic, prĹŻm. 2mm, pro prĹŻtokomÄ›r 1.8 mm - 3.0 mm, resterilizovatelnĂˇ HQD2FMC</t>
  </si>
  <si>
    <t>KL554</t>
  </si>
  <si>
    <t>sonda kryoablaÄŤnĂ­ Cardioblade CryoFflex 10 S ke generĂˇtoru CryoFlex Panel 65CS1  60SF3</t>
  </si>
  <si>
    <t>KL359</t>
  </si>
  <si>
    <t>Sonda kryoablační Cardioblade CryoFflex 10 ke generátoru CryoFlex Panel 65CS1 60SF2-005</t>
  </si>
  <si>
    <t>KH443</t>
  </si>
  <si>
    <t>Sonda kryoablační Cardioblade CryoFflex 60 CM1 ke generátoru CryoFlex Panel 65CS1 60CM1-005</t>
  </si>
  <si>
    <t>ZJ536</t>
  </si>
  <si>
    <t>Spojka 1/2 - 1/2 bal. Ăˇ 25 ks MEGK1H5500</t>
  </si>
  <si>
    <t>ZJ746</t>
  </si>
  <si>
    <t>Spojka 3/8 - 1/4 bal. á 25 ks MEGK1H4300</t>
  </si>
  <si>
    <t>ZM723</t>
  </si>
  <si>
    <t>Spojka 3/8 - 3/8 - 3/8 bal. Ăˇ 25 ks MEYK1H4440</t>
  </si>
  <si>
    <t>ZM727</t>
  </si>
  <si>
    <t>Spojka 3/8 - 3/8 s luerem bal. á 25 ks MEGK3H4400</t>
  </si>
  <si>
    <t>Spojka 3/8 - 3/8 s luerem bal. Ăˇ 25 ks MEGK3H4400</t>
  </si>
  <si>
    <t>ZB323</t>
  </si>
  <si>
    <t>Spojka Dideco D652 RAC. 1/4+L.L. SC-05250</t>
  </si>
  <si>
    <t>ZM600</t>
  </si>
  <si>
    <t>Spojka flovac ĹľlutĂˇ 000-036-102</t>
  </si>
  <si>
    <t>Spojka flovac žlutá 000-036-102</t>
  </si>
  <si>
    <t>ZE538</t>
  </si>
  <si>
    <t>Spojka Megkof 1/4-1/4 3300</t>
  </si>
  <si>
    <t>KH172</t>
  </si>
  <si>
    <t>spojka Retroguard 3/8 x 3/8 718828200002</t>
  </si>
  <si>
    <t>ZJ573</t>
  </si>
  <si>
    <t>Spojka symetrická 7,7 mm 75103</t>
  </si>
  <si>
    <t>Spojka symetrickĂˇ 7,7 mm 75103</t>
  </si>
  <si>
    <t>ZL515</t>
  </si>
  <si>
    <t>Spojka Y 1/2-3/8-3/8 á 25 ks MEYK1H5440</t>
  </si>
  <si>
    <t>Spojka Y 1/2-3/8-3/8 Ăˇ 25 ks MEYK1H5440</t>
  </si>
  <si>
    <t>ZF090</t>
  </si>
  <si>
    <t>Stapler koĹľnĂ­ 35 svorek Ăˇ 6 ks 783100</t>
  </si>
  <si>
    <t>Stapler kožní 35 svorek á 6 ks 783100</t>
  </si>
  <si>
    <t>ZF186</t>
  </si>
  <si>
    <t>StĹ™Ă­kaÄŤka janett 2-dĂ­lnĂˇ 150 ml vyplachovacĂ­ balenĂˇ 08151</t>
  </si>
  <si>
    <t>Stříkačka janett 2-dílná 150 ml vyplachovací balená 08151</t>
  </si>
  <si>
    <t>ZD492</t>
  </si>
  <si>
    <t>Svěrka držáku flovac-plast 100 11-5122 (230-500)</t>
  </si>
  <si>
    <t>ZJ388</t>
  </si>
  <si>
    <t>Svorka na cĂ©vy zahnutĂˇ Halsted - mosquito micro 120 mm KL2211</t>
  </si>
  <si>
    <t>ZE718</t>
  </si>
  <si>
    <t>Svorka na hadice Klema 200 mm MD454R</t>
  </si>
  <si>
    <t>ZP462</t>
  </si>
  <si>
    <t>Svorka preparační Kelly GEMINI zahnutá 230mm BJ104R</t>
  </si>
  <si>
    <t>ZB932</t>
  </si>
  <si>
    <t>SystĂ©m cpap valve aproximate 85006 X5 bal. Ăˇ 5 ks 125-20</t>
  </si>
  <si>
    <t>SystĂ©m tkĂˇĹovĂ˝ stabilizaÄŤnĂ­ acrobat k operacĂ­m na bijĂ­cĂ­m sdci (mimotÄ›lnĂ­ obÄ›h) axius blower/mister  Ăˇ 5 ks CB-1000</t>
  </si>
  <si>
    <t>SystĂ©m tkĂˇĹovĂ˝ stabilizaÄŤnĂ­ acrobat k operacĂ­m na bijĂ­cĂ­m srdci (mimotÄ›lnĂ­ obÄ›h) SUV sada XP-5000 polohovaÄŤ</t>
  </si>
  <si>
    <t>ZR537</t>
  </si>
  <si>
    <t>SystĂ©m tkĂˇĹovĂ˝ stabilizaÄŤnĂ­ Octopus Evolution  AS  Tissue Stabilizer TS2000</t>
  </si>
  <si>
    <t>KH584</t>
  </si>
  <si>
    <t>systĂ©m tkĂˇĹovĂ˝ stabilizaÄŤnĂ­ Octopus Evolution  AS  Tissue Stabilizer TS2500</t>
  </si>
  <si>
    <t>Systém cpap valve aproximate 85006 X5 bal. á 5 ks 125-20</t>
  </si>
  <si>
    <t>systém tkáňový stabilizační Octopus Evolution  AS  Tissue Stabilizer TS2500</t>
  </si>
  <si>
    <t>ZB964</t>
  </si>
  <si>
    <t>VĂ˝plĹ pro chir. svorky 86 mm, pĂˇr ÄŤ.6 DSAFE86</t>
  </si>
  <si>
    <t>ZD405</t>
  </si>
  <si>
    <t>VĂ˝plĹ pro chir. svorky typ JAW pĂˇr ÄŤ.6 DSAFE61</t>
  </si>
  <si>
    <t>ZB450</t>
  </si>
  <si>
    <t>Vak na transfuzi bal. á 40 ks (TGR0592) PS111EA</t>
  </si>
  <si>
    <t>Vak na transfuzi bal. Ăˇ 40 ks (TGR0592) PS111EA</t>
  </si>
  <si>
    <t>ZR497</t>
  </si>
  <si>
    <t>Videolaryngoskop Airtraq  Avant - startovacĂ­ balĂ­ÄŤek ( dokovacĂ­ stanice, optika, wifi kamera, 10 lĹľic ve velikosti Regular ( pro ETK 7-8,5) a 10 lĹľic ve velikosti Small ( pro ETK 6-7,5) PRO:A-910</t>
  </si>
  <si>
    <t>vloĹľka na zachycenĂ­ stehĹŻ retractor Inserts OCTOBASE 28707 Ăˇ 10 ks</t>
  </si>
  <si>
    <t>Výplň pro chir. svorky 86 mm, pár č.6 DSAFE86</t>
  </si>
  <si>
    <t>Výplň pro chir. svorky typ JAW pár č.6 DSAFE61</t>
  </si>
  <si>
    <t>ZR959</t>
  </si>
  <si>
    <t>ZavadÄ›ÄŤ elektrofyziolog. katetrĹŻ perkutĂˇnnĂ­ Fast-cath  6Fr 12 cm 406103</t>
  </si>
  <si>
    <t>ZE582</t>
  </si>
  <si>
    <t>Zavaděč perkutánní set 6Fr bal. á 10 ks IK-09600</t>
  </si>
  <si>
    <t>Zavaděč trach. rourek pro TR střední 5,0 - 8,0 mm á 10 ks 100/120/200</t>
  </si>
  <si>
    <t>ZJ278</t>
  </si>
  <si>
    <t>Zkumavka PP 10 ml sterilní bal. á 200 ks FLME21150</t>
  </si>
  <si>
    <t>ZA244</t>
  </si>
  <si>
    <t>OxygenĂˇtor set hemofiltraÄŤnĂ­ krevnĂ­ koncentrĂˇtor incl. BC 140 plus bal. Ăˇ 10 ks P-0400 JH10.05142</t>
  </si>
  <si>
    <t>Oxygenátor set hemofiltrační krevní koncentrátor incl. BC 140 plus bal. á 10 ks P-0400 JH10.05142</t>
  </si>
  <si>
    <t>ZK340</t>
  </si>
  <si>
    <t>Set collection TX cardio 04266</t>
  </si>
  <si>
    <t>Set ECMO zaváděcí perkutální arteriální PIK150 JH104.7385</t>
  </si>
  <si>
    <t>ZK337</t>
  </si>
  <si>
    <t>Set procedure TX175 04256</t>
  </si>
  <si>
    <t>ZN522</t>
  </si>
  <si>
    <t>Set rouĹˇkovacĂ­ kardio ICHS 97069730</t>
  </si>
  <si>
    <t>ZN523</t>
  </si>
  <si>
    <t>Set rouĹˇkovacĂ­ revize + chlopeĹ 97069729</t>
  </si>
  <si>
    <t>Set rouškovací kardio ICHS 97069730</t>
  </si>
  <si>
    <t>Set rouškovací revize + chlopeň 97069729</t>
  </si>
  <si>
    <t>ZK338</t>
  </si>
  <si>
    <t>Set sequestration X 04015</t>
  </si>
  <si>
    <t>ZE557</t>
  </si>
  <si>
    <t>Set zavĂˇdÄ›cĂ­ perkutĂˇlnĂ­ arteriĂˇlnĂ­ fem-flex Ăˇ 5 ks PIKA</t>
  </si>
  <si>
    <t>ZE558</t>
  </si>
  <si>
    <t>Set zavĂˇdÄ›cĂ­ perkutĂˇlnĂ­ venĂłznĂ­ fem-flex Ăˇ 5 ks PIKV</t>
  </si>
  <si>
    <t>Set zavĂˇdÄ›cĂ­ perkutĂˇnnĂ­ arteriĂˇnnĂ­ fem-flex Ăˇ 5 ks PIKA</t>
  </si>
  <si>
    <t>Set zavĂˇdÄ›cĂ­ perkutĂˇnnĂ­ venĂłznĂ­ fem-flex Ăˇ 5 ks PIKV</t>
  </si>
  <si>
    <t>Set zaváděcí perkutální arteriální fem-flex á 5 ks PIKA</t>
  </si>
  <si>
    <t>Set zaváděcí perkutální venózní fem-flex á 5 ks PIKV</t>
  </si>
  <si>
    <t>ZA870</t>
  </si>
  <si>
    <t>Souprava odsĂˇvacĂ­ zahnutĂˇ Yankauer bez kontroly vakua bal. Ăˇ 100 ks 34092182, 184</t>
  </si>
  <si>
    <t>Souprava odsávací zahnutá Yankauer bez kontroly vakua bal. á 100 ks 34092182, 184</t>
  </si>
  <si>
    <t>50115064</t>
  </si>
  <si>
    <t>ZPr - šicí materiál (Z529)</t>
  </si>
  <si>
    <t>ZI869</t>
  </si>
  <si>
    <t>Ĺ itĂ­ cardioflon 2/0 bal. Ăˇ 24 ks 91R30A</t>
  </si>
  <si>
    <t>ZI468</t>
  </si>
  <si>
    <t>Ĺ itĂ­ cardioflon 3/0 bal. Ăˇ 24 ks 19R20A</t>
  </si>
  <si>
    <t>ZA911</t>
  </si>
  <si>
    <t>Ĺ itĂ­ dafilon modrĂ˝ 2/0 (3) bal. Ăˇ 36 ks C0932477</t>
  </si>
  <si>
    <t>ZH235</t>
  </si>
  <si>
    <t>Ĺ itĂ­ dafilon modrĂ˝ 2/0 (3) bal. Ăˇ 36 ks C0934801</t>
  </si>
  <si>
    <t>ZD222</t>
  </si>
  <si>
    <t>Ĺ itĂ­ dafilon modrĂ˝ 3/0 (2) bal. Ăˇ 36 ks C0932469</t>
  </si>
  <si>
    <t>ZB033</t>
  </si>
  <si>
    <t>Ĺ itĂ­ dafilon modrĂ˝ 3/0 (2) bal. Ăˇ 36 ks C0935468</t>
  </si>
  <si>
    <t>ZP807</t>
  </si>
  <si>
    <t>Ĺ itĂ­ gore-tex CV-6/ UPS velikost 5-0, dvojitĂˇ jehla 13 mm, 1/2 kruhu, dĂ©lka 76 cm  bal. Ăˇ 12 ks N-6M12A</t>
  </si>
  <si>
    <t>ZE343</t>
  </si>
  <si>
    <t>Ĺ itĂ­ gore-tex suture Ăˇ 12 ks N-3202A</t>
  </si>
  <si>
    <t>ZI467</t>
  </si>
  <si>
    <t>Ĺ itĂ­ monoplus fialovĂ˝ 1 (4) bal. Ăˇ 24 ks B0024091</t>
  </si>
  <si>
    <t>ZR942</t>
  </si>
  <si>
    <t>Ĺ itĂ­ novosyn fialovĂ˝ 3 (2) bal. Ăˇ 36 ks C0068241</t>
  </si>
  <si>
    <t>ZK717</t>
  </si>
  <si>
    <t>Ĺ itĂ­ optime 0 bal. Ăˇ 24 ks 18R35A</t>
  </si>
  <si>
    <t>ZJ183</t>
  </si>
  <si>
    <t>Ĺ itĂ­ optime 0 koĹľnĂ­ bal. Ăˇ 36 ks 18S35F</t>
  </si>
  <si>
    <t>ZJ660</t>
  </si>
  <si>
    <t>Ĺ itĂ­ optime 2/0 bal. Ăˇ 36 ks 18S30S</t>
  </si>
  <si>
    <t>ZJ181</t>
  </si>
  <si>
    <t>Ĺ itĂ­ optime 2/0 koĹľnĂ­ bal. Ăˇ 36 ks 18S30K</t>
  </si>
  <si>
    <t>ZK452</t>
  </si>
  <si>
    <t>Ĺ itĂ­ optime 3/0 bal. Ăˇ 36 ks 18S20K</t>
  </si>
  <si>
    <t>ZJ662</t>
  </si>
  <si>
    <t>Ĺ itĂ­ optime 3/0 bal. Ăˇ 36 ks 18S20M</t>
  </si>
  <si>
    <t>ZJ661</t>
  </si>
  <si>
    <t>Ĺ itĂ­ optime 3/0 bal. Ăˇ 36 ks 18S20N</t>
  </si>
  <si>
    <t>ZH325</t>
  </si>
  <si>
    <t>Ĺ itĂ­ polytresse 0 bal. Ăˇ 24 ks 91R35A</t>
  </si>
  <si>
    <t>ZE694</t>
  </si>
  <si>
    <t>Ĺ itĂ­ polytresse 2 vlĂˇkno 250 cm bal. Ăˇ 24 ks 91R50A</t>
  </si>
  <si>
    <t>Ĺ itĂ­ polytresse 2/0 bal. Ăˇ 24 ks 91R30A</t>
  </si>
  <si>
    <t>ZM718</t>
  </si>
  <si>
    <t>Ĺ itĂ­ premicron Z/B 2/0 (3) bal. Ăˇ 6 ks M0027756</t>
  </si>
  <si>
    <t>ZM719</t>
  </si>
  <si>
    <t>Ĺ itĂ­ premicron Z/B 2/0 (3) bal. Ăˇ 6 x 4 ks M0027921</t>
  </si>
  <si>
    <t>ZB150</t>
  </si>
  <si>
    <t>Ĺ itĂ­ premicron Z/B 2/0 bal. Ăˇ 24 ks B0027711</t>
  </si>
  <si>
    <t>ZB149</t>
  </si>
  <si>
    <t>Ĺ itĂ­ premicron Z/B 2/0 bal. Ăˇ 24 ks B0027720</t>
  </si>
  <si>
    <t>ZB609</t>
  </si>
  <si>
    <t>Ĺ itĂ­ premicron zelenĂ˝ 2/0 (3) bal. Ăˇ 36 ks C0026026</t>
  </si>
  <si>
    <t>ZB608</t>
  </si>
  <si>
    <t>Ĺ itĂ­ premicron zelenĂ˝ 2/0 (3) bal. Ăˇ 36 ks C0026057</t>
  </si>
  <si>
    <t>ZB144</t>
  </si>
  <si>
    <t>Ĺ itĂ­ premicron zelenĂ˝ 2/0 (3) bal. Ăˇ 36 ks C0026816</t>
  </si>
  <si>
    <t>ZB700</t>
  </si>
  <si>
    <t>Ĺ itĂ­ premicron zelenĂ˝ 2/0 (3) bal. Ăˇ 36 ks C0026906</t>
  </si>
  <si>
    <t>ZB610</t>
  </si>
  <si>
    <t>Ĺ itĂ­ premicron zelenĂ˝ 3/0 (2) bal. Ăˇ 36 ks C0026005</t>
  </si>
  <si>
    <t>ZB145</t>
  </si>
  <si>
    <t>Ĺ itĂ­ premicron zelenĂ˝ 3/0 (2) bal. Ăˇ 36 ks C0026815</t>
  </si>
  <si>
    <t>ZB981</t>
  </si>
  <si>
    <t>Ĺ itĂ­ premicron zelenĂ˝ 3/0 (2) bal. Ăˇ 36 ks C0026905</t>
  </si>
  <si>
    <t>ZI870</t>
  </si>
  <si>
    <t>Ĺ itĂ­ premicron zelenĂ˝ 5/0 bal. Ăˇ 36 ks C0026843</t>
  </si>
  <si>
    <t>ZB146</t>
  </si>
  <si>
    <t>Ĺ itĂ­ premicron zelenĂ˝ 5/0 bal. Ăˇ 36 ks C0026903</t>
  </si>
  <si>
    <t>ZQ194</t>
  </si>
  <si>
    <t>Ĺ itĂ­ premicron zelenĂ˝/ bĂ­lĂ˝ 2/0  8 x 90 cm 2 x HR26 bal. Ăˇ 6 ks M0027713</t>
  </si>
  <si>
    <t>ZB282</t>
  </si>
  <si>
    <t>Ĺ itĂ­ prolene bl 2-0 bal. Ăˇ 12 ks W8843</t>
  </si>
  <si>
    <t>ZB280</t>
  </si>
  <si>
    <t>Ĺ itĂ­ prolene bl 2-0 bal. Ăˇ 12 ks W8937</t>
  </si>
  <si>
    <t>ZB617</t>
  </si>
  <si>
    <t>Ĺ itĂ­ prolene bl 4-0 bal. Ăˇ 12 ks W8761</t>
  </si>
  <si>
    <t>ZB718</t>
  </si>
  <si>
    <t>Ĺ itĂ­ prolene bl 4-0 bal. Ăˇ 12 ks W8840</t>
  </si>
  <si>
    <t>ZM716</t>
  </si>
  <si>
    <t>Ĺ itĂ­ prolene bl 4-0 s 20j VISI Black bal. Ăˇ 12 ks W8340</t>
  </si>
  <si>
    <t>ZM717</t>
  </si>
  <si>
    <t>Ĺ itĂ­ prolene bl 4-0 s 26j VISI Black bal. Ăˇ 12 ks W8355</t>
  </si>
  <si>
    <t>ZA249</t>
  </si>
  <si>
    <t>Ĺ itĂ­ prolene bl 5-0 bal. Ăˇ 12 ks W8556</t>
  </si>
  <si>
    <t>ZF429</t>
  </si>
  <si>
    <t>Ĺ itĂ­ prolene bl 5-0 bal. Ăˇ 12 ks W8710</t>
  </si>
  <si>
    <t>ZA853</t>
  </si>
  <si>
    <t>Ĺ itĂ­ prolene bl 5-0 bal. Ăˇ 12 ks W8830</t>
  </si>
  <si>
    <t>ZH802</t>
  </si>
  <si>
    <t>Ĺ itĂ­ prolene bl 5-0 bal. Ăˇ 36 ks 8580H</t>
  </si>
  <si>
    <t>ZH803</t>
  </si>
  <si>
    <t>Ĺ itĂ­ prolene bl 6-0 bal. Ăˇ 12 ks W8597</t>
  </si>
  <si>
    <t>ZA866</t>
  </si>
  <si>
    <t>Ĺ itĂ­ prolene bl 6-0 bal. Ăˇ 12 ks W8802</t>
  </si>
  <si>
    <t>ZB285</t>
  </si>
  <si>
    <t>Ĺ itĂ­ prolene bl 6-0 bal. Ăˇ 12 ks W8814</t>
  </si>
  <si>
    <t>ZB279</t>
  </si>
  <si>
    <t>Ĺ itĂ­ prolene bl 6-0 bal. Ăˇ 12 ks W8815</t>
  </si>
  <si>
    <t>ZB593</t>
  </si>
  <si>
    <t>Ĺ itĂ­ prolene bl 6-0 bal. Ăˇ 36 ks 8711H</t>
  </si>
  <si>
    <t>ZD149</t>
  </si>
  <si>
    <t>Ĺ itĂ­ prolene bl 7-0 bal. Ăˇ 12 ks W8702</t>
  </si>
  <si>
    <t>ZB537</t>
  </si>
  <si>
    <t>Ĺ itĂ­ prolene bl 7-0 bal. Ăˇ 36 ks EH8020H</t>
  </si>
  <si>
    <t>ZB287</t>
  </si>
  <si>
    <t>Ĺ itĂ­ prolene bl 8-0 bal. Ăˇ 12 ks W2777</t>
  </si>
  <si>
    <t>ZP940</t>
  </si>
  <si>
    <t>Ĺ itĂ­ Prolene Hemo Blu 4-0 90 cm 2 x SH-1 HS bal. Ăˇ 36 ks HS6855H</t>
  </si>
  <si>
    <t>ZQ874</t>
  </si>
  <si>
    <t>Ĺ itĂ­ Prolene Hemo Blu 4-0 90 cm 2 x SH-2 HS bal. Ăˇ 36 ks HS6861H</t>
  </si>
  <si>
    <t>ZP941</t>
  </si>
  <si>
    <t>Ĺ itĂ­ Prolene Hemo Blu 5-0 75 cm RB-1 HS bal. Ăˇ 36 ks HS6856H</t>
  </si>
  <si>
    <t>ZP938</t>
  </si>
  <si>
    <t>Ĺ itĂ­ seracor 2/0 2x HR-17, 8 x 75 cm bal. Ăˇ 6 ks HN1A</t>
  </si>
  <si>
    <t>ZP939</t>
  </si>
  <si>
    <t>Ĺ itĂ­ seracor 2/0 2x HR-17, 8 x 90 cm bal. Ăˇ 6 ks HN1Q</t>
  </si>
  <si>
    <t>ZA262</t>
  </si>
  <si>
    <t>Ĺ itĂ­ steel 5 - drĂˇt ocelovĂ˝ bal. Ăˇ 12 ks W995</t>
  </si>
  <si>
    <t>ZB866</t>
  </si>
  <si>
    <t>Ĺ itĂ­ steel 7 - drĂˇt ocelovĂ˝ bal. Ăˇ 12 ks M624G</t>
  </si>
  <si>
    <t>ZB165</t>
  </si>
  <si>
    <t>Ĺ itĂ­ steelex elec elektroda 3/0 (2) Ăˇ 36 ks C0992070</t>
  </si>
  <si>
    <t>Šití cardioflon 2/0 bal. á 24 ks 91R30A</t>
  </si>
  <si>
    <t>Šití cardioflon 3/0 bal. á 24 ks 19R20A</t>
  </si>
  <si>
    <t>Šití dafilon modrý 2/0 (3) bal. á 36 ks C0932477</t>
  </si>
  <si>
    <t>Šití dafilon modrý 3/0 (2) bal. á 36 ks C0932469</t>
  </si>
  <si>
    <t>Šití dafilon modrý 3/0 (2) bal. á 36 ks C0935468</t>
  </si>
  <si>
    <t>Šití gore-tex suture á 12 ks N-3202A</t>
  </si>
  <si>
    <t>Šití monoplus fialový 1 (4) bal. á 24 ks B0024091</t>
  </si>
  <si>
    <t>Šití optime 0 kožní bal. á 36 ks 18S35F</t>
  </si>
  <si>
    <t>ZJ325</t>
  </si>
  <si>
    <t>Šití optime 2/0 bal. á 36 ks 18G30H</t>
  </si>
  <si>
    <t>Šití optime 2/0 bal. á 36 ks 18S30S</t>
  </si>
  <si>
    <t>Šití optime 3/0 bal. á 36 ks 18S20K</t>
  </si>
  <si>
    <t>Šití optime 3/0 bal. á 36 ks 18S20M</t>
  </si>
  <si>
    <t>Šití optime 3/0 bal. á 36 ks 18S20N</t>
  </si>
  <si>
    <t>Šití polytresse 0 bal. á 24 ks 91R35A</t>
  </si>
  <si>
    <t>Šití polytresse 2 vlákno 250 cm bal. á 24 ks 91R50A</t>
  </si>
  <si>
    <t>ZI466</t>
  </si>
  <si>
    <t>Šití premicron bal. á 36 ks + podložka teflonová 6 x 3 mm C0027995</t>
  </si>
  <si>
    <t>Šití premicron Z/B 2/0 (3) bal. á 6 ks M0027756</t>
  </si>
  <si>
    <t>Šití premicron Z/B 2/0 bal. á 24 ks B0027711</t>
  </si>
  <si>
    <t>Šití premicron Z/B 2/0 bal. á 24 ks B0027720</t>
  </si>
  <si>
    <t>Šití premicron zelený 2/0 (3) bal. á 36 ks C0026026</t>
  </si>
  <si>
    <t>Šití premicron zelený 2/0 (3) bal. á 36 ks C0026057</t>
  </si>
  <si>
    <t>Šití premicron zelený 2/0 (3) bal. á 36 ks C0026906</t>
  </si>
  <si>
    <t>Šití premicron zelený 3/0 (2) bal. á 36 ks C0026005</t>
  </si>
  <si>
    <t>Šití premicron zelený 3/0 (2) bal. á 36 ks C0026815</t>
  </si>
  <si>
    <t>ZQ193</t>
  </si>
  <si>
    <t>Šití premicron zelený/ bílý 2/0  8 x 75 cm 2 x HR17 bal. á 6 ks M0027775</t>
  </si>
  <si>
    <t>Šití premicron zelený/ bílý 2/0  8 x 90 cm 2 x HR26 bal. á 6 ks M0027713</t>
  </si>
  <si>
    <t>Šití prolene bl 2-0 bal. á 12 ks W8937</t>
  </si>
  <si>
    <t>Šití prolene bl 4-0 bal. á 12 ks W8761</t>
  </si>
  <si>
    <t>ZB717</t>
  </si>
  <si>
    <t>Šití prolene bl 4-0 bal. á 12 ks W8845</t>
  </si>
  <si>
    <t>Šití prolene bl 4-0 s 20j VISI Black bal. á 12 ks W8340</t>
  </si>
  <si>
    <t>Šití prolene bl 4-0 s 26j VISI Black bal. á 12 ks W8355</t>
  </si>
  <si>
    <t>Šití prolene bl 5-0 bal. á 12 ks W8556</t>
  </si>
  <si>
    <t>Šití prolene bl 5-0 bal. á 12 ks W8710</t>
  </si>
  <si>
    <t>Šití prolene bl 5-0 bal. á 12 ks W8830</t>
  </si>
  <si>
    <t>Šití prolene bl 5-0 bal. á 36 ks 8580H</t>
  </si>
  <si>
    <t>Šití prolene bl 6-0 bal. á 12 ks W8597</t>
  </si>
  <si>
    <t>Šití prolene bl 6-0 bal. á 12 ks W8814</t>
  </si>
  <si>
    <t>Šití prolene bl 6-0 bal. á 36 ks 8711H</t>
  </si>
  <si>
    <t>Šití prolene bl 7-0 bal. á 36 ks EH8020H</t>
  </si>
  <si>
    <t>Šití prolene bl 8-0 bal. á 12 ks W2777</t>
  </si>
  <si>
    <t>ZB909</t>
  </si>
  <si>
    <t>Šití prolene bl 8-0 bal. á 12 ks W8703</t>
  </si>
  <si>
    <t>Šití Prolene Hemo Blu 4-0 90 cm 2 x SH-1 HS bal. á 36 ks HS6855H</t>
  </si>
  <si>
    <t>Šití Prolene Hemo Blu 4-0 90 cm 2 x SH-2 HS bal. á 36 ks HS6861H</t>
  </si>
  <si>
    <t>Šití Prolene Hemo Blu 5-0 75 cm RB-1 HS bal. á 36 ks HS6856H</t>
  </si>
  <si>
    <t>ZA959</t>
  </si>
  <si>
    <t>Šití safil fialový 3/0 (2) bal. á 36 ks C1048241</t>
  </si>
  <si>
    <t>Šití seracor 2/0 2x HR-17, 8 x 90 cm bal. á 6 ks HN1Q</t>
  </si>
  <si>
    <t>Šití steel 7 - drát ocelový bal. á 12 ks M624G</t>
  </si>
  <si>
    <t>Šití steelex elec elektroda 3/0 (2) á 36 ks C0992070</t>
  </si>
  <si>
    <t>ZB490</t>
  </si>
  <si>
    <t>Jehla chirurgická 0,6 x 22 Pb6</t>
  </si>
  <si>
    <t>ZB168</t>
  </si>
  <si>
    <t>Jehla chirurgická 0,9 x 36 B10</t>
  </si>
  <si>
    <t>ZB996</t>
  </si>
  <si>
    <t>Jehla chirurgická 0,9 x 40 B9</t>
  </si>
  <si>
    <t>ZB169</t>
  </si>
  <si>
    <t>Jehla chirurgickĂˇ 0,6 x 36 Pb3</t>
  </si>
  <si>
    <t>ZB480</t>
  </si>
  <si>
    <t>Jehla chirurgickĂˇ 0,7 x 28 G10</t>
  </si>
  <si>
    <t>ZB478</t>
  </si>
  <si>
    <t>Jehla chirurgickĂˇ 0,8 x 32 B11</t>
  </si>
  <si>
    <t>Jehla chirurgickĂˇ 0,9 x 36 B10</t>
  </si>
  <si>
    <t>Jehla chirurgickĂˇ 0,9 x 40 B9</t>
  </si>
  <si>
    <t>ZM695</t>
  </si>
  <si>
    <t>Jehla chirurgickĂˇ 0,9 x 40 E2</t>
  </si>
  <si>
    <t>ZB133</t>
  </si>
  <si>
    <t>Jehla chirurgickĂˇ 0,9 x 40 G9</t>
  </si>
  <si>
    <t>ZB460</t>
  </si>
  <si>
    <t>Jehla chirurgickĂˇ 1,0 x 45 G8</t>
  </si>
  <si>
    <t>ZB206</t>
  </si>
  <si>
    <t>Jehla chirurgickĂˇ 1,2 x 55 G6</t>
  </si>
  <si>
    <t>ZB198</t>
  </si>
  <si>
    <t>Jehla chirurgickĂˇ 1,3 x 70 G3</t>
  </si>
  <si>
    <t>ZA360</t>
  </si>
  <si>
    <t>Jehla sterican 0,5 x 25 mm oranĹľovĂˇ 9186158</t>
  </si>
  <si>
    <t>Jehla sterican 0,5 x 25 mm oranžová 9186158</t>
  </si>
  <si>
    <t>ZQ555</t>
  </si>
  <si>
    <t>Jehla Ultraplex 360, 22G, 0,70 x 80 mm bal. á 25 ks 4892608-01</t>
  </si>
  <si>
    <t>ZJ719</t>
  </si>
  <si>
    <t>Rukavice operaÄŤnĂ­ latex bez pudru chlorovanĂ© sterilnĂ­ ansell gammex PF sensitive  vel. 6,0 bal. Ăˇ 50 pĂˇrĹŻ 330051060</t>
  </si>
  <si>
    <t>ZJ718</t>
  </si>
  <si>
    <t>Rukavice operaÄŤnĂ­ latex bez pudru chlorovanĂ© sterilnĂ­ ansell gammex PF sensitive vel. 6,5 bal. Ăˇ 50 pĂˇrĹŻ 330051065</t>
  </si>
  <si>
    <t>ZK683</t>
  </si>
  <si>
    <t>Rukavice operaÄŤnĂ­ latex bez pudru chlorovanĂ© sterilnĂ­ ansell gammex PF sensitive vel. 7,0 bal. Ăˇ 50 pĂˇrĹŻ 330051070</t>
  </si>
  <si>
    <t>ZF431</t>
  </si>
  <si>
    <t>Rukavice operaÄŤnĂ­ latex bez pudru chlorovanĂ© sterilnĂ­ ansell gammex PF sensitive vel. 7,5 bal. Ăˇ 50 pĂˇrĹŻ 330051075</t>
  </si>
  <si>
    <t>ZF432</t>
  </si>
  <si>
    <t>Rukavice operaÄŤnĂ­ latex bez pudru chlorovanĂ© sterilnĂ­ ansell gammex PF sensitive vel. 8,0 bal. Ăˇ 50 pĂˇrĹŻ 330051080</t>
  </si>
  <si>
    <t>ZN130</t>
  </si>
  <si>
    <t>Rukavice operaÄŤnĂ­ latex bez pudru sterilnĂ­  PF ansell gammex vel. 6,0 330048060</t>
  </si>
  <si>
    <t>ZN041</t>
  </si>
  <si>
    <t>Rukavice operaÄŤnĂ­ latex bez pudru sterilnĂ­  PF ansell gammex vel. 6,5 330048065</t>
  </si>
  <si>
    <t>ZN126</t>
  </si>
  <si>
    <t>Rukavice operaÄŤnĂ­ latex bez pudru sterilnĂ­  PF ansell gammex vel. 7,0 330048070</t>
  </si>
  <si>
    <t>Rukavice operační latex bez pudru chlorované sterilní ansell gammex PF sensitive  vel. 6,0 bal. á 50 párů 330051060</t>
  </si>
  <si>
    <t>Rukavice operační latex bez pudru chlorované sterilní ansell gammex PF sensitive vel. 6,5 bal. á 50 párů 330051065</t>
  </si>
  <si>
    <t>Rukavice operační latex bez pudru chlorované sterilní ansell gammex PF sensitive vel. 7,0 bal. á 50 párů 330051070</t>
  </si>
  <si>
    <t>Rukavice operační latex bez pudru chlorované sterilní ansell gammex PF sensitive vel. 7,5 bal. á 50 párů 330051075</t>
  </si>
  <si>
    <t>Rukavice operační latex bez pudru chlorované sterilní ansell gammex PF sensitive vel. 8,0 bal. á 50 párů 330051080</t>
  </si>
  <si>
    <t>Rukavice operační latex bez pudru sterilní  PF ansell gammex vel. 6,0 330048060</t>
  </si>
  <si>
    <t>Rukavice operační latex bez pudru sterilní  PF ansell gammex vel. 6,5 330048065</t>
  </si>
  <si>
    <t>Rukavice operační latex bez pudru sterilní  PF ansell gammex vel. 7,0 330048070</t>
  </si>
  <si>
    <t>Rukavice operační latex bez pudru sterilní  PF ansell gammex vel. 8,5 330048085</t>
  </si>
  <si>
    <t>Rukavice operační latex bez pudru sterilní  PF ansell gammex vel.7,5 330048075</t>
  </si>
  <si>
    <t>KK011</t>
  </si>
  <si>
    <t>absorbér Cytosorb 1500-0100-11</t>
  </si>
  <si>
    <t>KK013</t>
  </si>
  <si>
    <t>absorbér Cytosorb 1500-1100-11</t>
  </si>
  <si>
    <t>KK008</t>
  </si>
  <si>
    <t>absorbér Cytosorb 300 ml 30-0021</t>
  </si>
  <si>
    <t>Cytosorb adsorbĂ©r 1500-0100-11</t>
  </si>
  <si>
    <t>KK009</t>
  </si>
  <si>
    <t>Cytosorb adsorbĂ©r 1500-0300-11</t>
  </si>
  <si>
    <t>Cytosorb adsorbĂ©r 1500-1100-11</t>
  </si>
  <si>
    <t>Cytosorb adsorbĂ©r 300 ml 30-0021</t>
  </si>
  <si>
    <t>Katetr arteriĂˇlnĂ­ 20 G/1,1 x 45 mm bal. Ăˇ 25 ks 682245</t>
  </si>
  <si>
    <t>ZC627</t>
  </si>
  <si>
    <t>Katetr balĂłnkovĂ˝ kontrapulzaÄŤnĂ­ intraaortĂˇlnĂ­ 40CC/8,0Fr s optickĂ˝m senzorem IAB-05840-LWS</t>
  </si>
  <si>
    <t>ZA199</t>
  </si>
  <si>
    <t>Katetr CVC 3 lumen 7 Fr x 16 cm bal. á 5 ks NM-22703</t>
  </si>
  <si>
    <t>Katetr CVC 3 lumen 7 Fr x 16 cm bal. Ăˇ 5 ks NM-22703</t>
  </si>
  <si>
    <t>ZC615</t>
  </si>
  <si>
    <t>Katetr CVC 3 lumen 7 Fr x 20 cm certofix trio V720 s antimikr.úpravou bal. á 10 ks 4163214P-07</t>
  </si>
  <si>
    <t>ZC630</t>
  </si>
  <si>
    <t>Katetr CVC 3 lumen 8,5 Fr x 16 cm bal. á 5 ks NM-12853</t>
  </si>
  <si>
    <t>Katetr CVC 3 lumen 8,5 Fr x 16 cm bal. Ăˇ 5 ks NM-12853</t>
  </si>
  <si>
    <t>ZA232</t>
  </si>
  <si>
    <t>Katetr fogarty okluznĂ­ 80 cm, 14F 62080814F</t>
  </si>
  <si>
    <t>Katetr fogarty okluzní 80 cm, 14F 62080814F</t>
  </si>
  <si>
    <t>ZH963</t>
  </si>
  <si>
    <t>Katetr fogarty okluzní 80 cm, 22F 62080822F</t>
  </si>
  <si>
    <t>ZM841</t>
  </si>
  <si>
    <t>Katetr hrudnĂ­ bez trokaru 20/6,6 bal. Ăˇ 25 ks 21020</t>
  </si>
  <si>
    <t>ZM842</t>
  </si>
  <si>
    <t>Katetr hrudnĂ­ bez trokaru 24/8,0 bal. Ăˇ 25 ks 21024</t>
  </si>
  <si>
    <t>ZM843</t>
  </si>
  <si>
    <t>Katetr hrudnĂ­ bez trokaru 28/9,3 bal. Ăˇ 25 ks 21028</t>
  </si>
  <si>
    <t>ZM844</t>
  </si>
  <si>
    <t>Katetr hrudnĂ­ bez trokaru 30/10,0 bal. Ăˇ 25 ks 21030</t>
  </si>
  <si>
    <t>ZM845</t>
  </si>
  <si>
    <t>Katetr hrudnĂ­ bez trokaru 32/10,6 bal. Ăˇ 25 ks 21032</t>
  </si>
  <si>
    <t>Katetr hrudní bez trokaru 28/9,3 bal. á 25 ks 21028</t>
  </si>
  <si>
    <t>Katetr hrudní bez trokaru 30/10,0 bal. á 25 ks 21030</t>
  </si>
  <si>
    <t>ZR958</t>
  </si>
  <si>
    <t>Katetr pro doÄŤasnou stimulaci Pacel FD 110 cm  5Fr, rovnĂˇ s balonkem 401761</t>
  </si>
  <si>
    <t>ZB485</t>
  </si>
  <si>
    <t>Katetr radioablaÄŤnĂ­ AT-OLL2</t>
  </si>
  <si>
    <t>Katetr radioablační AT-OLL2</t>
  </si>
  <si>
    <t>KD600</t>
  </si>
  <si>
    <t>katetr tiemann Ch  8 MPI:120008</t>
  </si>
  <si>
    <t>KD601</t>
  </si>
  <si>
    <t>katetr tiemann CH10 MPI:120010</t>
  </si>
  <si>
    <t>KD602</t>
  </si>
  <si>
    <t>katetr tiemann Ch12 MPI:120012</t>
  </si>
  <si>
    <t>KD603</t>
  </si>
  <si>
    <t>katetr tiemann Ch14/40 MPI:120014</t>
  </si>
  <si>
    <t>KD604</t>
  </si>
  <si>
    <t>katetr tiemann Ch16/40 MPI:120016</t>
  </si>
  <si>
    <t>KD605</t>
  </si>
  <si>
    <t>katetr tiemann Ch18/40 MPI:120018</t>
  </si>
  <si>
    <t>ZA211</t>
  </si>
  <si>
    <t>ObÄ›h mimotÄ›lnĂ­ Shunt sensor k monitoru krevnĂ­ch plynĹŻ CDI (ÄŤidlo pro CDI500) 510H</t>
  </si>
  <si>
    <t>oběh mimotělní Shunt sensor k monitoru krevních plynů CDI (čidlo pro CDI500) 510H</t>
  </si>
  <si>
    <t>KG690</t>
  </si>
  <si>
    <t>set pro endoskopickĂ˝ odbÄ›r ĹľilnĂ­ho ĹˇtÄ›pu vasoview hemopro pro by-pass ous C-VH-3000-W</t>
  </si>
  <si>
    <t>set pro endoskopický odběr žilního štěpu vasoview hemopro pro by-pass ous C-VH-3000-W</t>
  </si>
  <si>
    <t>ZE312</t>
  </si>
  <si>
    <t>Shunt intrakoronĂˇrnĂ­ 1,25 mm Ăˇ 5 ks (MEDPROGRESS) 31125</t>
  </si>
  <si>
    <t>ZB325</t>
  </si>
  <si>
    <t>Shunt intrakoronĂˇrnĂ­ 1,50 mm Ăˇ 5 ks (MEDPROGRESS) 31150</t>
  </si>
  <si>
    <t>ZB583</t>
  </si>
  <si>
    <t>Shunt intrakoronĂˇrnĂ­ 1,75 mm Ăˇ 5 ks (MEDPROGRESS) 31175</t>
  </si>
  <si>
    <t>Shunt intrakoronární 1,25 mm á 5 ks (MEDPROGRESS) 31125</t>
  </si>
  <si>
    <t>Shunt intrakoronární 1,50 mm á 5 ks (MEDPROGRESS) 31150</t>
  </si>
  <si>
    <t>KJ878</t>
  </si>
  <si>
    <t>stentgraft aortĂˇlnĂ­ hrudnĂ­ Thoraflex vÄŤ. 4 cĂ©vnĂ­ch protĂ©z na aortĂˇlnĂ­m oblouku 100 mm x pr. 28 mm, protĂ©za pr. 26 mm THP2628x100</t>
  </si>
  <si>
    <t>stentgraft aortální hrudní Thoraflex vč. 4 cévních protéz na aortálním oblouku 100 mm x pr. 28 mm, protéza pr. 26 mm THP2628x100</t>
  </si>
  <si>
    <t>ZE715</t>
  </si>
  <si>
    <t>Hadice silikon 1 x 1,8 mm á 25 m MPI:880001</t>
  </si>
  <si>
    <t>ZC728</t>
  </si>
  <si>
    <t>Hadice silikon 1,5 x 3 m á 25 m 34.000.00.101</t>
  </si>
  <si>
    <t>Hadice silikon 1,5 x 3 m Ăˇ 25 m 34.000.00.101</t>
  </si>
  <si>
    <t>ZN394</t>
  </si>
  <si>
    <t>Maska ambu transparentnĂ­ silikonovĂˇ pro dospÄ›lĂ© ÄŤ. 5 100 000-317-000</t>
  </si>
  <si>
    <t>ZN395</t>
  </si>
  <si>
    <t>Maska ambu transparentnĂ­ silikonovĂˇ pro dospÄ›lĂ©/dÄ›ti ÄŤ. 3/4 100 000-312-000</t>
  </si>
  <si>
    <t>ZB232</t>
  </si>
  <si>
    <t>Maska anesteziologickĂˇ ÄŤ.4 EcoMask ( s prouĹľky ) 7094 (7294000)</t>
  </si>
  <si>
    <t>ZK714</t>
  </si>
  <si>
    <t>Maska supraglotickĂˇ ÄŤ. 3,0 8203000</t>
  </si>
  <si>
    <t>ZB398</t>
  </si>
  <si>
    <t>Maska supraglotickĂˇ ÄŤ. 4,0 8204000</t>
  </si>
  <si>
    <t>ZA992</t>
  </si>
  <si>
    <t>Maska supraglotickĂˇ ÄŤ. 5,0 8205000</t>
  </si>
  <si>
    <t>ZB916</t>
  </si>
  <si>
    <t>Okruh dĂ˝chacĂ­ anesteziologickĂ˝ univerzĂˇlnĂ­ 1,6 m 2900</t>
  </si>
  <si>
    <t>ZH789</t>
  </si>
  <si>
    <t>Okruh dýchací anesteziologický 22 mm Compact II 2 l vak 2154000</t>
  </si>
  <si>
    <t>Okruh dýchací anesteziologický univerzální 1,6 m 2900</t>
  </si>
  <si>
    <t>50115080</t>
  </si>
  <si>
    <t>ZPr - staplery, extraktory, endoskop.mat. (Z523)</t>
  </si>
  <si>
    <t>KD034</t>
  </si>
  <si>
    <t>basx kit cholecystekt á 5 ks RLA004A</t>
  </si>
  <si>
    <t>ZF132</t>
  </si>
  <si>
    <t>Disektor jednorĂˇzovĂ˝ maryland D5/310 mm bal. Ăˇ 10 ks PO891SU</t>
  </si>
  <si>
    <t>KI724</t>
  </si>
  <si>
    <t>nĹŻĹľky k harmonickĂ©mu skalpelu koagulaÄŤnĂ­ FOCUS 9 cm HAR 9F</t>
  </si>
  <si>
    <t>ZG020</t>
  </si>
  <si>
    <t>NĹŻĹľky laparoskopickĂ© zahnutĂ© doleva, jednorĂˇzovĂ© shaft metzenbaum 5/310 mm  bal. Ăˇ 10 ks PO888</t>
  </si>
  <si>
    <t>ZR334</t>
  </si>
  <si>
    <t>Optika KARL STORZ HOPKINS, Ăşhel pohledu 0Â° prĹŻmÄ›r 10 mm dĂ©lka 31 cm autoklĂˇvovatelnĂˇ 26003AA</t>
  </si>
  <si>
    <t>ZC239</t>
  </si>
  <si>
    <t>RukojeĹĄ laparoskopickĂˇ bez zĂˇmku PO958R</t>
  </si>
  <si>
    <t>KL434</t>
  </si>
  <si>
    <t>trokar separaÄŤnĂ­ bez bĹ™itu BASX prĹŻm.11 mm dĂ©lka 100 mm bal Ăˇ 6 ks TB11LT</t>
  </si>
  <si>
    <t>trokar separační bez břitu BASX prům.11 mm délka 100 mm bal á 6 ks TB11LT</t>
  </si>
  <si>
    <t>KL435</t>
  </si>
  <si>
    <t>trokar separační bez břitu BASX prům.5 mm délka 100 mm bal. á 6 ks TB5LT</t>
  </si>
  <si>
    <t>50115090</t>
  </si>
  <si>
    <t>ZPr - zubolékařský materiál (Z509)</t>
  </si>
  <si>
    <t>ZC783</t>
  </si>
  <si>
    <t>Vana dezinfekÄŤnĂ­ 3 l 9800600</t>
  </si>
  <si>
    <t>ZR390</t>
  </si>
  <si>
    <t>Fixace k CVC a PICC kateru Main Lock 1 3,1 x 7 cm NKS:90-60-81</t>
  </si>
  <si>
    <t>ZQ990</t>
  </si>
  <si>
    <t>Fixace k CVC a PICC kateru Main Lock 2 4 x 9 cm NKS:90-60-82</t>
  </si>
  <si>
    <t>ZS170</t>
  </si>
  <si>
    <t>Fixace k CVC a PICC, TIDI Grip-Lok, vhodnĂ© pro PU a silikon, univerzĂˇlnĂ­, uĹľĹˇĂ­, dĂ©lka 25,4 mm, sterilnĂ­, bal. Ăˇ 100 ks 3300MWA</t>
  </si>
  <si>
    <t>ZO128</t>
  </si>
  <si>
    <t>KrytĂ­ roztok k vĂ˝plachu a ÄŤiĹˇtÄ›nĂ­ ran ActiMaris Sensitiv 1000 ml 3098119</t>
  </si>
  <si>
    <t>ZL669</t>
  </si>
  <si>
    <t>KrytĂ­ tegaderm diamond 10,0 cm x 12,0 cm bal. Ăˇ 50 ks 1686</t>
  </si>
  <si>
    <t>KrytĂ­ tegaderm i.v. advaced pro katetry Aiic.v.Cs P.I.C.C 8,5 cm x 11,5 cm bal. Ăˇ 50 ks 1685</t>
  </si>
  <si>
    <t>Krytí excilon 5 x 5 cm NT i.v. s nástřihem do kříže antiseptický bal. á 70 ks 7089</t>
  </si>
  <si>
    <t>Krytí tegaderm diamond 10,0 cm x 12,0 cm bal. á 50 ks 1686</t>
  </si>
  <si>
    <t>ZR966</t>
  </si>
  <si>
    <t>TunelizĂˇtor pro 5Fr Pro-Line MRACC5STUNSL</t>
  </si>
  <si>
    <t>ZK474</t>
  </si>
  <si>
    <t>Rukavice operaÄŤnĂ­ latex s pudrem sterilnĂ­ ansell, vasco surgical powderet vel. 6,5 6035518 (303503)</t>
  </si>
  <si>
    <t>Rukavice operační latex s pudrem sterilní ansell, vasco surgical powderet vel. 6,5 6035518 (303503)</t>
  </si>
  <si>
    <t>Rukavice operační latex s pudrem sterilní ansell, vasco surgical powderet vel. 8 6035542 (303506EU)</t>
  </si>
  <si>
    <t>50115089</t>
  </si>
  <si>
    <t>ZPr - katetry PICC/MIDLINE (Z554)</t>
  </si>
  <si>
    <t>ZM985</t>
  </si>
  <si>
    <t>Fixace k CVC a PICC atraumatická GripLock bal. á 100 ks 3601CVC</t>
  </si>
  <si>
    <t>Fixace k CVC a PICC atraumatickĂˇ GripLock bal. Ăˇ 100 ks 3601CVC</t>
  </si>
  <si>
    <t>ZR968</t>
  </si>
  <si>
    <t>Katetr CVC 1 lumen 18G X 8cm, POWERGLIDE PRO MIDLINE BASIC TRAY (jehla zavadÄ›ÄŤe s pasiv. bezpeÄŤnost. mechanismem, vodicĂ­ drĂˇt, jednolumen. RTG kontrastnĂ­ katĂ©tr) bal. Ăˇ 20 ks 6F118080</t>
  </si>
  <si>
    <t>ZR967</t>
  </si>
  <si>
    <t>Katetr CVC 1 lumen 20G X 8cm, POWERGLIDE PRO MIDLINE BASIC TRAY (jehla zavadÄ›ÄŤe s pasiv. bezpeÄŤnost. mechanismem, vodicĂ­ drĂˇt, jednolumen. RTG kontrastnĂ­ katĂ©tr) bal. Ăˇ 20 ks 6F120080</t>
  </si>
  <si>
    <t>ZR964</t>
  </si>
  <si>
    <t>Katetr CVC 1 lumen 22G X 8cm, POWERGLIDE PRO MIDLINE BASIC TRAY (jehla zavadÄ›ÄŤe s pasiv. bezpeÄŤnost. mechanismem, vodicĂ­ drĂˇt, jednolumen. RTG kontrastnĂ­ katĂ©tr) bal. Ăˇ 20 ks 6F122080</t>
  </si>
  <si>
    <t>ZP291</t>
  </si>
  <si>
    <t>Katetr CVC 1 lumen 4 Fr x 20 cm midline Arrow set bal. Ăˇ 5 ks EU-02041-ML</t>
  </si>
  <si>
    <t>Katetr CVC 1 lumen 4 Fr x 20 cm midline PICC Arrow set bal. á 5 ks EU-02041-ML</t>
  </si>
  <si>
    <t>ZO846</t>
  </si>
  <si>
    <t>Katetr CVC 1 lumen 4 Fr x 40 cm PICC ARROW Interventional Radiology set tlakovĂ˝ EU-24041-IR</t>
  </si>
  <si>
    <t>Katetr CVC 1 lumen 4 Fr x 40 cm PICC ARROW Interventional Radiology set tlakový EU-24041-IR</t>
  </si>
  <si>
    <t>ZQ863</t>
  </si>
  <si>
    <t>Katetr CVC 1 lumen 4 Fr x 50 cm PICC  Plan1Health vysokotlakĂ˝ set 201.60.10.14</t>
  </si>
  <si>
    <t>Katetr CVC 1 lumen 4 Fr x 50 cm PICC  Plan1Health vysokotlaký set 201.60.10.14</t>
  </si>
  <si>
    <t>ZQ179</t>
  </si>
  <si>
    <t>Katetr CVC 1 lumen 4 Fr x 50 cm PICC ARROW Interventional Radiology set tlakovĂ˝ EU-25041-IR</t>
  </si>
  <si>
    <t>Katetr CVC 1 lumen 4 Fr x 50 cm PICC ARROW Interventional Radiology set tlakový EU-25041-IR</t>
  </si>
  <si>
    <t>ZP292</t>
  </si>
  <si>
    <t>Katetr CVC 1 lumen 4 Fr x 50 cm PICC POWERPICC SOLO moĹľnost vysokotlakĂ©ho CT zĂˇkladnĂ­ set (mikro zavĂˇdÄ›cĂ­ pĹ™Ă­sluĹˇenstvĂ­) 6194118</t>
  </si>
  <si>
    <t>ZM983</t>
  </si>
  <si>
    <t>Katetr CVC 1 lumen 4 Fr x 55 cm PICC možnost vysokotlakého CT bal. á 5 ks MRCTP41024</t>
  </si>
  <si>
    <t>ZP293</t>
  </si>
  <si>
    <t>Katetr CVC 1 lumen 5 Fr x 50 cm PICC POWERPICC SOLO možnost vysokotlakého CT základní set (mikro zaváděcí příslušenství) 6195118</t>
  </si>
  <si>
    <t>ZQ864</t>
  </si>
  <si>
    <t>Katetr CVC 2 lumen 5 Fr x 50 cm PICC  Plan1Health vysokotlakĂ˝ set 201.60.10.25</t>
  </si>
  <si>
    <t>Katetr CVC 2 lumen 5 Fr x 50 cm PICC  Plan1Health vysokotlaký set 201.60.10.25</t>
  </si>
  <si>
    <t>ZP958</t>
  </si>
  <si>
    <t>Katetr CVC 2 lumen 5 Fr x 50 cm PICC POWERPICC SOLO 3CG moĹľnost vysokotlakĂ©ho CT Full tray set (mikro zavĂˇdÄ›cĂ­ pĹ™Ă­sluĹˇenstvĂ­ a rouĹˇkovĂˇnĂ­, sytlet 3CG) 2295108</t>
  </si>
  <si>
    <t>ZP296</t>
  </si>
  <si>
    <t>Katetr CVC 2 lumen 5 Fr x 50 cm PICC POWERPICC SOLO moĹľnost vysokotlakĂ©ho CT Full tray set ( mikro zavĂˇdÄ›cĂ­ pĹ™Ă­sluĹˇenstvĂ­ a rouĹˇkovĂˇnĂ­) 6295108</t>
  </si>
  <si>
    <t>ZP969</t>
  </si>
  <si>
    <t>Katetr CVC 2 lumen 5 FR x 55 cm PICC MEDCOMP moĹľnost vysokotlakĂ©ho CT 5 ml/s s tkĂˇĹovĂ˝m lepidlem fixacĂ­ SECURACATH a katerizaÄŤnĂ­m setem MRCTP52024SGR</t>
  </si>
  <si>
    <t>Katetr CVC 2 lumen 5 FR x 55 cm PICC MEDCOMP možnost vysokotlakého CT 5 ml/s s tkáňovým lepidlem fixací SECURACATH a katerizačním setem MRCTP52024SGR</t>
  </si>
  <si>
    <t>ZO026</t>
  </si>
  <si>
    <t>Katetr CVC 2 lumen 5 Fr x 55 cm PICC MSB set. EU-25552-HPMSB</t>
  </si>
  <si>
    <t>ZP959</t>
  </si>
  <si>
    <t>Katetr CVC 3 lumen 6 Fr x 50 cm PICC POWERPICC SOLO 3CG moĹľnost vysokotlakĂ©ho CT Full tray set (mikro zavĂˇdÄ›cĂ­ pĹ™Ă­sluĹˇenstvĂ­ a rouĹˇkovĂˇnĂ­, sytlet 3CG) 2396108</t>
  </si>
  <si>
    <t>ZK434</t>
  </si>
  <si>
    <t>Katetr CVC PICC bal. á 5 ks EU-25552-HP</t>
  </si>
  <si>
    <t>ZP970</t>
  </si>
  <si>
    <t>KrytĂ­ tegaderm PICC/CVC fixaÄŤnĂ­ prostĹ™edek+ tegaderm CHG s chlorhexidin glukonĂˇtem 1877R-2100</t>
  </si>
  <si>
    <t>Krytí tegaderm PICC/CVC fixační prostředek+ tegaderm CHG s chlorhexidin glukonátem 1877R-2100</t>
  </si>
  <si>
    <t>ZR965</t>
  </si>
  <si>
    <t>Set Pro-PICC CT vysokotlakĂ˝, kompletnĂ­ SGR (katetr Pro -PICC CT vysokotlak.  se zavĂˇÄŹ. sadou 1lumen 3F, Securacath, tkĂˇĹovĂ© lepidlo a rouĹˇkovacĂ­ set) MR17033105</t>
  </si>
  <si>
    <t>Set Pro-PICC CT vysokotlakĂ˝, kompletnĂ­ SGR (katetr Pro -PICC CT vysokotlak. se zavĂˇÄŹ. sadou 1lumen 4F, Securacath, tkĂˇĹovĂ© lepidlo a rouĹˇkovacĂ­ set) MRCTP41024</t>
  </si>
  <si>
    <t>ZQ367</t>
  </si>
  <si>
    <t>Set rouĹˇkovacĂ­ PICC Combiset CĹ˝K s celotÄ›lovou rouĹˇkou (HARTMANN) bal. Ăˇ 5 ks 2375031</t>
  </si>
  <si>
    <t>Set rouĹˇkovacĂ­ PICC Combiset CĹ˝K s celotÄ›lovou rouĹˇkou Mediset (HARTMANN) bal. Ăˇ 5 ks 2375031</t>
  </si>
  <si>
    <t>Set rouškovací PICC Combiset CŽK s celotělovou rouškou (HARTMANN) bal. á 5 ks 2375031</t>
  </si>
  <si>
    <t>53</t>
  </si>
  <si>
    <t>LFRO: Oddělení lékařské fyziky a radiační ochrany</t>
  </si>
  <si>
    <t>5398</t>
  </si>
  <si>
    <t>LFRO: odd. lékařské fyziky a rad. ochrany</t>
  </si>
  <si>
    <t>ZA443</t>
  </si>
  <si>
    <t>Ĺ Ăˇtek trojcĂ­pĂ˝ NT 136 x 96 x 96 cm 20002</t>
  </si>
  <si>
    <t>ZB404</t>
  </si>
  <si>
    <t>NĂˇplast cosmos 8 cm x 1 m 5403353</t>
  </si>
  <si>
    <t>ZA450</t>
  </si>
  <si>
    <t>NĂˇplast omniplast 1,25 cm x 9,1 m bal. Ăˇ 24 ks 9004520</t>
  </si>
  <si>
    <t>ZL995</t>
  </si>
  <si>
    <t>Obinadlo hyrofilnĂ­ sterilnĂ­  6 cm x 5 m  004310190</t>
  </si>
  <si>
    <t>ZL996</t>
  </si>
  <si>
    <t>Obinadlo hyrofilnĂ­ sterilnĂ­  8 cm x 5 m  004310182</t>
  </si>
  <si>
    <t>ZL997</t>
  </si>
  <si>
    <t>Obinadlo hyrofilnĂ­ sterilnĂ­ 10 cm x 5 m  004310174</t>
  </si>
  <si>
    <t>ZL789</t>
  </si>
  <si>
    <t>Obvaz sterilnĂ­ hotovĂ˝ ÄŤ. 2 A4091360</t>
  </si>
  <si>
    <t>ZL790</t>
  </si>
  <si>
    <t>Obvaz sterilnĂ­ hotovĂ˝ ÄŤ. 3 A4101144</t>
  </si>
  <si>
    <t>ZM000</t>
  </si>
  <si>
    <t>Vata obvazovĂˇ sklĂˇdanĂˇ 50 g 1102323</t>
  </si>
  <si>
    <t>Spotřeba zdravotnického materiálu - orientační přehled</t>
  </si>
  <si>
    <t>2 VŠ NLZP</t>
  </si>
  <si>
    <t>3 NLZP</t>
  </si>
  <si>
    <t>4 THP</t>
  </si>
  <si>
    <t>1 Celkem</t>
  </si>
  <si>
    <t>2 Celkem</t>
  </si>
  <si>
    <t>3 Celkem</t>
  </si>
  <si>
    <t>4 Celkem</t>
  </si>
  <si>
    <t>5 Celkem</t>
  </si>
  <si>
    <t>ON Data</t>
  </si>
  <si>
    <t>lékaři pod odborným dozorem</t>
  </si>
  <si>
    <t>lékaři pod odborným dohledem</t>
  </si>
  <si>
    <t>lékaři specialisté</t>
  </si>
  <si>
    <t>odborní pracovníci v lab. metodách</t>
  </si>
  <si>
    <t>všeobecné sestry bez dohl.</t>
  </si>
  <si>
    <t>všeobecné sestry bez dohl., spec.</t>
  </si>
  <si>
    <t>všeobecné sestry VŠ</t>
  </si>
  <si>
    <t>zdravotničtí záchranáři</t>
  </si>
  <si>
    <t>praktické sestry</t>
  </si>
  <si>
    <t>ošetřovatelé</t>
  </si>
  <si>
    <t>sanitáři</t>
  </si>
  <si>
    <t>THP</t>
  </si>
  <si>
    <t>Specializovaná ambulantní péče</t>
  </si>
  <si>
    <t>107 - Pracoviště kardiologie</t>
  </si>
  <si>
    <t>505 - Pracoviště kardiochirurgie</t>
  </si>
  <si>
    <t>708 - Pracoviště anesteziologicko - resuscitační</t>
  </si>
  <si>
    <t>Zdravotní výkony vykázané na pracovišti v rámci ambulantní péče *</t>
  </si>
  <si>
    <t>beze jména</t>
  </si>
  <si>
    <t>se jménem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</si>
  <si>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</si>
  <si>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</si>
  <si>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Čechová Ivana</t>
  </si>
  <si>
    <t>Daniš Lukáš</t>
  </si>
  <si>
    <t>Fluger Ivo</t>
  </si>
  <si>
    <t>Vindiš David</t>
  </si>
  <si>
    <t>Zdravotní výkony vykázané na pracovišti v rámci ambulantní péče dle lékařů *</t>
  </si>
  <si>
    <t>06</t>
  </si>
  <si>
    <t>107</t>
  </si>
  <si>
    <t>V</t>
  </si>
  <si>
    <t>09117</t>
  </si>
  <si>
    <t>ODBĚR KRVE ZE ŽÍLY U DÍTĚTĚ DO 10 LET</t>
  </si>
  <si>
    <t>09511</t>
  </si>
  <si>
    <t>MINIMÁLNÍ KONTAKT LÉKAŘE S PACIENTEM</t>
  </si>
  <si>
    <t>17021</t>
  </si>
  <si>
    <t>KOMPLEXNÍ VYŠETŘENÍ KARDIOLOGEM</t>
  </si>
  <si>
    <t>17111</t>
  </si>
  <si>
    <t>EKG VYŠETŘENÍ SPECIALISTOU</t>
  </si>
  <si>
    <t>17240</t>
  </si>
  <si>
    <t>HOLTEROVSKÉ VYŠETŘENÍ</t>
  </si>
  <si>
    <t>17260</t>
  </si>
  <si>
    <t>ZÁKLADNÍ ECHOKARDIOGRAFICKÉ VYŠETŘENÍ</t>
  </si>
  <si>
    <t>17261</t>
  </si>
  <si>
    <t>SPECIALIZOVANÉ ECHOKARDIOGRAFICKÉ VYŠETŘENÍ</t>
  </si>
  <si>
    <t>17266</t>
  </si>
  <si>
    <t>SPECIALIZOVANÁ ZÁTĚŽOVÁ ECHOKARDIOGRAFIE FARMAKOLO</t>
  </si>
  <si>
    <t>17271</t>
  </si>
  <si>
    <t>VYSOCE SPECIALIZOVANÉ ECHOKARDIOGRAFICKÉ VYŠETŘENÍ</t>
  </si>
  <si>
    <t>17520</t>
  </si>
  <si>
    <t>KARDIOVERSE ELEKTRICKÁ (NIKOLIV PŘI RESUSCITACI)</t>
  </si>
  <si>
    <t>89517</t>
  </si>
  <si>
    <t>UZ DUPLEXNÍ VYŠETŘENÍ DVOU A VÍCE CÉV, T. J. MORFO</t>
  </si>
  <si>
    <t>09543</t>
  </si>
  <si>
    <t>Signalni kod</t>
  </si>
  <si>
    <t>09119</t>
  </si>
  <si>
    <t xml:space="preserve">ODBĚR KRVE ZE ŽÍLY U DOSPĚLÉHO NEBO DÍTĚTE NAD 10 </t>
  </si>
  <si>
    <t>09233</t>
  </si>
  <si>
    <t>INJEKČNÍ OKRSKOVÁ ANESTÉZIE</t>
  </si>
  <si>
    <t>17264</t>
  </si>
  <si>
    <t>ZAVEDENÍ JÍCNOVÉ ECHOKARDIOGRAFICKÉ SONDY</t>
  </si>
  <si>
    <t>17022</t>
  </si>
  <si>
    <t>CÍLENÉ VYŠETŘENÍ KARDIOLOGEM</t>
  </si>
  <si>
    <t>09523</t>
  </si>
  <si>
    <t>EDUKAČNÍ POHOVOR LÉKAŘE S NEMOCNÝM ČI RODINOU</t>
  </si>
  <si>
    <t>17023</t>
  </si>
  <si>
    <t>KONTROLNÍ VYŠETŘENÍ KARDIOLOGEM</t>
  </si>
  <si>
    <t>09115</t>
  </si>
  <si>
    <t>ODBĚR BIOLOGICKÉHO MATERIÁLU JINÉHO NEŽ KREV NA KV</t>
  </si>
  <si>
    <t>17263</t>
  </si>
  <si>
    <t>SPECIALIZOVANÁ KONTRASTNÍ ECHOKARDIOGRAFIE</t>
  </si>
  <si>
    <t>3</t>
  </si>
  <si>
    <t>0141579</t>
  </si>
  <si>
    <t>KATETR CENTRÁLNÍ VENÓZNÍ PERIFERNÍ POWERPICC, POWE</t>
  </si>
  <si>
    <t>0141578</t>
  </si>
  <si>
    <t>0047202</t>
  </si>
  <si>
    <t>KATETR CENTRÁLNÍ VENÓZNI PICC ARROW PRESSURE INJEC</t>
  </si>
  <si>
    <t>0194227</t>
  </si>
  <si>
    <t>KATÉTR CENTRÁLNÍ VENÓZNÍ - HEALTHPICC</t>
  </si>
  <si>
    <t>0194619</t>
  </si>
  <si>
    <t>KATÉTR CVC - STŘEDNĚDOBÝ - MIDLINE</t>
  </si>
  <si>
    <t>09241</t>
  </si>
  <si>
    <t>OŠETŘENÍ A PŘEVAZ RÁNY, KOŽNÍCH A PODKOŽNÍCH AFEKC</t>
  </si>
  <si>
    <t>11140</t>
  </si>
  <si>
    <t xml:space="preserve">ZAVEDENÍ PERIFERNĚ ZAVEDENÉHO CENTRÁLNÍHO KATETRU </t>
  </si>
  <si>
    <t>505</t>
  </si>
  <si>
    <t>09237</t>
  </si>
  <si>
    <t>OŠETŘENÍ A PŘEVAZ RÁNY VČETNĚ OŠETŘENÍ KOŽNÍCH A P</t>
  </si>
  <si>
    <t>55023</t>
  </si>
  <si>
    <t>KONTROLNÍ VYŠETŘENÍ KARDIOCHIRURGEM</t>
  </si>
  <si>
    <t>57243</t>
  </si>
  <si>
    <t>HRUDNÍ PUNKCE</t>
  </si>
  <si>
    <t>09215</t>
  </si>
  <si>
    <t>INJEKCE I. M., S. C., I. D.</t>
  </si>
  <si>
    <t>09239</t>
  </si>
  <si>
    <t>SUTURA RÁNY A PODKOŽÍ DO 5 CM</t>
  </si>
  <si>
    <t>51811</t>
  </si>
  <si>
    <t>INCIZE A DRENÁŽ ABSCESU NEBO HEMATOMU</t>
  </si>
  <si>
    <t>55021</t>
  </si>
  <si>
    <t>KOMPLEXNÍ VYŠETŘENÍ KARDIOCHIRURGEM</t>
  </si>
  <si>
    <t>55022</t>
  </si>
  <si>
    <t>CÍLENÉ VYŠETŘENÍ KARDIOCHIRURGEM</t>
  </si>
  <si>
    <t>708</t>
  </si>
  <si>
    <t>0193644</t>
  </si>
  <si>
    <t>KATÉTR CENTRÁLNÍ IMPLANTABILNÍ DLOUHODOBÝ PICC</t>
  </si>
  <si>
    <t>0193218</t>
  </si>
  <si>
    <t>78850</t>
  </si>
  <si>
    <t>IMPLANTACE PORTU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</si>
  <si>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</si>
  <si>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lékařů</t>
  </si>
  <si>
    <t>01 - 1IK: I. Interní klinika - kardiologická</t>
  </si>
  <si>
    <t>02 - 2IK-GER: II. Interní klinika gastroenter. a geria.</t>
  </si>
  <si>
    <t>03 - 3IK: III. Interní klinika-nefrol.revm.a endokrin.</t>
  </si>
  <si>
    <t>04 - 1CHIR: I. Chirurgická klinika</t>
  </si>
  <si>
    <t>05 - 2CHIR: II. Chirurgická klinika</t>
  </si>
  <si>
    <t>06 - NCHIR: Neurochirurgická klinika</t>
  </si>
  <si>
    <t>07 - KARIM: Klinika anesteziologie,resuscit. a int.med.</t>
  </si>
  <si>
    <t>08 - PORGYN: Porodnicko-gynekologická klinika</t>
  </si>
  <si>
    <t>10 - DK: Dětská klinika</t>
  </si>
  <si>
    <t>11 - ORT: Ortopedická klinika</t>
  </si>
  <si>
    <t>12 - UROL: Urologická klinika</t>
  </si>
  <si>
    <t>13 - ORL: Klinika otorinolaryngolog. a chir.hlav.a krku</t>
  </si>
  <si>
    <t>16 - PLIC: Klinika plicních nemocí a tuber.</t>
  </si>
  <si>
    <t>17 - NEUR: Neurologická klinika</t>
  </si>
  <si>
    <t>20 - KOZNI: Klinika chorob kožních a pohl.</t>
  </si>
  <si>
    <t>21 - ONK: Onkologická klinika</t>
  </si>
  <si>
    <t>25 - UCOCH: Klinika ústní,čelistní a obl. chir.</t>
  </si>
  <si>
    <t>26 - RHC: Oddělení rehabilitace</t>
  </si>
  <si>
    <t>30 - GER: Oddělení geriatrie</t>
  </si>
  <si>
    <t>31 - TRAU: Traumatologická klinika</t>
  </si>
  <si>
    <t>32 - HOK: Hemato-onkologická klinika</t>
  </si>
  <si>
    <t>59 - IPCHO: Oddělení int. péče chirurg. oborů</t>
  </si>
  <si>
    <t>01</t>
  </si>
  <si>
    <t>0094019</t>
  </si>
  <si>
    <t>KATETR IMPLANTABILNÍ PRO-PICC</t>
  </si>
  <si>
    <t>0141580</t>
  </si>
  <si>
    <t>02</t>
  </si>
  <si>
    <t>0194228</t>
  </si>
  <si>
    <t>0151478</t>
  </si>
  <si>
    <t>SADA PRO OPERACI DLE LONGA VČ. STAPLERU</t>
  </si>
  <si>
    <t>03</t>
  </si>
  <si>
    <t>04</t>
  </si>
  <si>
    <t>05</t>
  </si>
  <si>
    <t>5T5</t>
  </si>
  <si>
    <t>78890</t>
  </si>
  <si>
    <t xml:space="preserve">SIGNÁLNÍ VÝKON INDIKACE ODBĚRU ORGÁNU NEBO ORGÁNŮ </t>
  </si>
  <si>
    <t>07</t>
  </si>
  <si>
    <t>08</t>
  </si>
  <si>
    <t>10</t>
  </si>
  <si>
    <t>11</t>
  </si>
  <si>
    <t>12</t>
  </si>
  <si>
    <t>13</t>
  </si>
  <si>
    <t>16</t>
  </si>
  <si>
    <t>17</t>
  </si>
  <si>
    <t>20</t>
  </si>
  <si>
    <t>21</t>
  </si>
  <si>
    <t>09225</t>
  </si>
  <si>
    <t>KANYLACE CENTRÁLNÍ ŽÍLY ZA KONTROLY CELKOVÉHO STAV</t>
  </si>
  <si>
    <t>25</t>
  </si>
  <si>
    <t>26</t>
  </si>
  <si>
    <t>30</t>
  </si>
  <si>
    <t>31</t>
  </si>
  <si>
    <t>32</t>
  </si>
  <si>
    <t>17233</t>
  </si>
  <si>
    <t>DOČASNÁ SRDEČNÍ STIMULACE</t>
  </si>
  <si>
    <t>17244</t>
  </si>
  <si>
    <t>24-HODINOVÉ TELEMETRICKÉ SLEDOVÁNÍ MIMO JIP</t>
  </si>
  <si>
    <t>17273</t>
  </si>
  <si>
    <t>VYSOCE SPECIALIZOVANÁ KONTRASTNÍ ECHOKARDIOGRAFIE</t>
  </si>
  <si>
    <t>17303</t>
  </si>
  <si>
    <t>PRAVOSTRANNÁ KATETRIZACE SRDEČNÍ MIMO KATETRIZAČNÍ</t>
  </si>
  <si>
    <t>5F1</t>
  </si>
  <si>
    <t>51343</t>
  </si>
  <si>
    <t>LOKÁLNÍ EXCIZE JATER NEBO OŠETŘENÍ MALÉ TRHLINY JA</t>
  </si>
  <si>
    <t>51392</t>
  </si>
  <si>
    <t>RELAPAROTOMIE PRO POOPERAČNÍ KRVÁCENÍ, PERITONITID</t>
  </si>
  <si>
    <t>51623</t>
  </si>
  <si>
    <t>POUŽITÍ ULTRAZVUKOVÉHO SKALPELU</t>
  </si>
  <si>
    <t>07546</t>
  </si>
  <si>
    <t>(DRG) OTEVŘENÝ PŘÍSTUP</t>
  </si>
  <si>
    <t>07531</t>
  </si>
  <si>
    <t>(DRG) ARTERIOGRAFIE PEROPERAČNÍ</t>
  </si>
  <si>
    <t>07550</t>
  </si>
  <si>
    <t>(DRG) ENDOVASKULÁRNÍ PŘÍSTUP PERKUTÁNNÍ NEBO S?PRE</t>
  </si>
  <si>
    <t>07416</t>
  </si>
  <si>
    <t>(DRG) JINÉ REKONSTRUKCE V OBLASTI STEHNA</t>
  </si>
  <si>
    <t>07410</t>
  </si>
  <si>
    <t>(DRG) BYPASS FEMORO - PROFUNDÁLNÍ PROTETICKÝ</t>
  </si>
  <si>
    <t>07417</t>
  </si>
  <si>
    <t>(DRG) ENDARTERECTOMIE A. FEMORALIS A JEJÍCH VĚTVÍ</t>
  </si>
  <si>
    <t>07571</t>
  </si>
  <si>
    <t>(DRG) POOPERAČNÍ REVIZE PRO KRVÁCENÍ, INFEKCI NEBO</t>
  </si>
  <si>
    <t>07197</t>
  </si>
  <si>
    <t>(DRG) ZAVEDENÍ STENTU ČI STENTGRAFTU DO DESCENDENT</t>
  </si>
  <si>
    <t>07543</t>
  </si>
  <si>
    <t>(DRG) PRIMOOPERACE</t>
  </si>
  <si>
    <t>54810</t>
  </si>
  <si>
    <t>PEROPERAČNÍ ANGIOGRAFIE</t>
  </si>
  <si>
    <t>54190</t>
  </si>
  <si>
    <t>OSTATNÍ REKONSTRUKCE TEPEN A BY-PASSY</t>
  </si>
  <si>
    <t>07562</t>
  </si>
  <si>
    <t>(DRG) PLÁNOVANÁ OPERACE KVCH</t>
  </si>
  <si>
    <t>57111</t>
  </si>
  <si>
    <t>TORAKOSKOPIE KLASICKÁ DIAGNOSTICKÁ</t>
  </si>
  <si>
    <t>54320</t>
  </si>
  <si>
    <t xml:space="preserve">ENDARTEREKTOMIE KAROTICKÁ A OSTATNÍCH PERIFERNÍCH </t>
  </si>
  <si>
    <t>07552</t>
  </si>
  <si>
    <t>(DRG) OPERAČNÍ VÝKON BEZ MIMOTĚLNÍHO OBĚHU</t>
  </si>
  <si>
    <t>07563</t>
  </si>
  <si>
    <t>(DRG) URGENTNÍ OPERACE KVCH</t>
  </si>
  <si>
    <t>07544</t>
  </si>
  <si>
    <t>(DRG) PRVNÍ REOPERACE</t>
  </si>
  <si>
    <t>51517</t>
  </si>
  <si>
    <t>OPERACE KÝLY S POUŽITÍM ŠTĚPU ČI IMPLANTÁTU, OPERA</t>
  </si>
  <si>
    <t>54510</t>
  </si>
  <si>
    <t>PEROPERAČNÍ TRANSLUMINÁLNÍ ANGIOPLASTIKA</t>
  </si>
  <si>
    <t>54340</t>
  </si>
  <si>
    <t>TEPENNÁ EMBOLEKTOMIE, TROMBEKTOMIE</t>
  </si>
  <si>
    <t>57235</t>
  </si>
  <si>
    <t>TORAKOTOMIE PROSTÁ NEBO S BIOPSIÍ, EVAKUACÍ HEMATO</t>
  </si>
  <si>
    <t>07418</t>
  </si>
  <si>
    <t>(DRG) TROMBECTOMIE  A. FEMORALIS A JEJÍCH VĚTVÍ</t>
  </si>
  <si>
    <t>54130</t>
  </si>
  <si>
    <t>ANEURYSMA BŘIŠNÍ AORTY NEBO PÁNEVNÍ TEPNY INFRAREN</t>
  </si>
  <si>
    <t>07199</t>
  </si>
  <si>
    <t>(DRG) ZAVEDENÍ STENTGRAFTU DO DESCENDENTNÍ AORTY S</t>
  </si>
  <si>
    <t>07428</t>
  </si>
  <si>
    <t>(DRG) REVIZE V OBLASTI STEHNA PRO  KRVÁCENÍ</t>
  </si>
  <si>
    <t>07161</t>
  </si>
  <si>
    <t>(DRG) STENTING DESCENDENTNÍ AORTY PRO AKUTNÍ DISEK</t>
  </si>
  <si>
    <t>5F3</t>
  </si>
  <si>
    <t>51819</t>
  </si>
  <si>
    <t>OŠETŘENÍ A OBVAZ ROZSÁHLÉ RÁNY V CELKOVÉ ANESTEZII</t>
  </si>
  <si>
    <t>09567</t>
  </si>
  <si>
    <t>ZÁKROK NA LEVÉ STRANĚ</t>
  </si>
  <si>
    <t>51850</t>
  </si>
  <si>
    <t>PŘEVAZ RÁNY METODOU NPWT ZALOŽENÉ NA KONTROLOVANÉM</t>
  </si>
  <si>
    <t>5F5</t>
  </si>
  <si>
    <t>1</t>
  </si>
  <si>
    <t>0003708</t>
  </si>
  <si>
    <t>0006480</t>
  </si>
  <si>
    <t>0011592</t>
  </si>
  <si>
    <t>METRONIDAZOL B. BRAUN</t>
  </si>
  <si>
    <t>0011706</t>
  </si>
  <si>
    <t>0016600</t>
  </si>
  <si>
    <t>0017039</t>
  </si>
  <si>
    <t>VISIPAQUE</t>
  </si>
  <si>
    <t>0026127</t>
  </si>
  <si>
    <t>0058092</t>
  </si>
  <si>
    <t>0062464</t>
  </si>
  <si>
    <t>0062465</t>
  </si>
  <si>
    <t>0064831</t>
  </si>
  <si>
    <t>0066020</t>
  </si>
  <si>
    <t>0066137</t>
  </si>
  <si>
    <t>0072972</t>
  </si>
  <si>
    <t>AMOKSIKLAV 1,2 G</t>
  </si>
  <si>
    <t>0083417</t>
  </si>
  <si>
    <t>MERONEM</t>
  </si>
  <si>
    <t>0093626</t>
  </si>
  <si>
    <t>ULTRAVIST 370</t>
  </si>
  <si>
    <t>0094155</t>
  </si>
  <si>
    <t>ABAKTAL</t>
  </si>
  <si>
    <t>0096414</t>
  </si>
  <si>
    <t>GENTAMICIN LEK</t>
  </si>
  <si>
    <t>0121240</t>
  </si>
  <si>
    <t>0137499</t>
  </si>
  <si>
    <t>0138455</t>
  </si>
  <si>
    <t>ALBUNORM 20%</t>
  </si>
  <si>
    <t>0151458</t>
  </si>
  <si>
    <t>CEFUROXIM KABI</t>
  </si>
  <si>
    <t>0156259</t>
  </si>
  <si>
    <t>VANCOMYCIN KABI</t>
  </si>
  <si>
    <t>0162180</t>
  </si>
  <si>
    <t>CIPROFLOXACIN KABI</t>
  </si>
  <si>
    <t>0162187</t>
  </si>
  <si>
    <t>0164401</t>
  </si>
  <si>
    <t>0166269</t>
  </si>
  <si>
    <t>0129056</t>
  </si>
  <si>
    <t>0164407</t>
  </si>
  <si>
    <t>0129057</t>
  </si>
  <si>
    <t>0136083</t>
  </si>
  <si>
    <t>AMPICILLIN/SULBACTAM IBI</t>
  </si>
  <si>
    <t>0201030</t>
  </si>
  <si>
    <t>0092359</t>
  </si>
  <si>
    <t>PROSTAPHLIN</t>
  </si>
  <si>
    <t>0113453</t>
  </si>
  <si>
    <t>PIPERACILLIN/TAZOBACTAM KABI</t>
  </si>
  <si>
    <t>0129834</t>
  </si>
  <si>
    <t>0129836</t>
  </si>
  <si>
    <t>0182977</t>
  </si>
  <si>
    <t>CEFTRIAXON MEDOPHARM</t>
  </si>
  <si>
    <t>0166265</t>
  </si>
  <si>
    <t>0183926</t>
  </si>
  <si>
    <t>AZEPO</t>
  </si>
  <si>
    <t>0113424</t>
  </si>
  <si>
    <t>PIPERACILLIN/TAZOBACTAM IBIGEN</t>
  </si>
  <si>
    <t>0141263</t>
  </si>
  <si>
    <t>PIPERACILLIN/TAZOBACTAM MYLAN</t>
  </si>
  <si>
    <t>0183817</t>
  </si>
  <si>
    <t>ARCHIFAR</t>
  </si>
  <si>
    <t>0201961</t>
  </si>
  <si>
    <t>0201967</t>
  </si>
  <si>
    <t>VULMIZOLIN</t>
  </si>
  <si>
    <t>0194241</t>
  </si>
  <si>
    <t>NOVOSEVEN</t>
  </si>
  <si>
    <t>0173172</t>
  </si>
  <si>
    <t>ANTITHROMBIN III BAXALTA</t>
  </si>
  <si>
    <t>0201974</t>
  </si>
  <si>
    <t>PENICILIN G 1,0 DRASELNÁ SOĹ BIOTIKA</t>
  </si>
  <si>
    <t>0212531</t>
  </si>
  <si>
    <t>0158152</t>
  </si>
  <si>
    <t>0173750</t>
  </si>
  <si>
    <t>0137484</t>
  </si>
  <si>
    <t>ANBINEX</t>
  </si>
  <si>
    <t>2</t>
  </si>
  <si>
    <t>0007955</t>
  </si>
  <si>
    <t>Erytrocyty deleukotizované</t>
  </si>
  <si>
    <t>0107959</t>
  </si>
  <si>
    <t>Trombocyty z aferézy deleukotizované</t>
  </si>
  <si>
    <t>0207921</t>
  </si>
  <si>
    <t>Plazma čerstvá zmrazená</t>
  </si>
  <si>
    <t>0026096</t>
  </si>
  <si>
    <t>ROURKA ENDOBRONCHIÁLNÍ DOUBLE LUMEN LEVÝ BRONCHUS</t>
  </si>
  <si>
    <t>0030647</t>
  </si>
  <si>
    <t>SÍŤKA KÝLNÍ EXTRAPER. SURGIPRO MESH NEVSTŘEBATELNÁ</t>
  </si>
  <si>
    <t>0043082</t>
  </si>
  <si>
    <t>CHLOPEŇ SRDEČNÍ BIOL. AORTÁLNÍ BOVINNÍ CARPENTIER-</t>
  </si>
  <si>
    <t>0043168</t>
  </si>
  <si>
    <t>CHLOPEŇ SRDEČNÍ BIOL. MITRÁLNÍ PRASEČÍ EPIC</t>
  </si>
  <si>
    <t>0046245</t>
  </si>
  <si>
    <t>BIO-PUMP BPX-80,BP50</t>
  </si>
  <si>
    <t>0046625</t>
  </si>
  <si>
    <t>OXYGENÁTOR MEMBRÁNOVÝ HILITE 7000 RHEO</t>
  </si>
  <si>
    <t>0046646</t>
  </si>
  <si>
    <t>OXYGENÁTOR-REZERVOÁR TVRDÝ HILITE MVC RHEOPARIN</t>
  </si>
  <si>
    <t>0046647</t>
  </si>
  <si>
    <t>OXYGENÁTOR-SET HADICOVÝ STANDARDNÍ</t>
  </si>
  <si>
    <t>0046648</t>
  </si>
  <si>
    <t>OBĚH MIMOTĚLNÍ - OXYGENÁTOR-SET HADICOVÝ STANDARDN</t>
  </si>
  <si>
    <t>0046655</t>
  </si>
  <si>
    <t>OXYGENÁTOR-KANYLA AORTÁLNÍ DO KOŘENE AORTY</t>
  </si>
  <si>
    <t>0046657</t>
  </si>
  <si>
    <t>OXYGENÁTOR-KANYLA ODVZDUŠŇOVACÍ/ ODLEHČOVACÍ</t>
  </si>
  <si>
    <t>0046662</t>
  </si>
  <si>
    <t>OXYGENÁTOR-KANYLA ODSÁVACÍ ME S 95 XX</t>
  </si>
  <si>
    <t>0047646</t>
  </si>
  <si>
    <t>SYSTÉM ANULOPLASTICKÝ 4900</t>
  </si>
  <si>
    <t>0047759</t>
  </si>
  <si>
    <t>OXYGENÁTOR-KANYLA ŽILNÍ</t>
  </si>
  <si>
    <t>0047783</t>
  </si>
  <si>
    <t>PODPORA MECHANICKÁ SRDEČNÍ - BIO-PUMPA STOECKERT S</t>
  </si>
  <si>
    <t>0048601</t>
  </si>
  <si>
    <t xml:space="preserve">OBĚH MIMOTĚLNÍ - OXYGENÁTOR SADA - HEPARIN.KANYLA </t>
  </si>
  <si>
    <t>0049026</t>
  </si>
  <si>
    <t>SET K PUNKCI PERIKARDU</t>
  </si>
  <si>
    <t>0049191</t>
  </si>
  <si>
    <t>KATETR CENTRÁLNÍ VENÓZNÍ ARROW GARD BLUE</t>
  </si>
  <si>
    <t>0049302</t>
  </si>
  <si>
    <t>KANYLA KARDIOPLEGICKÁ,RETROGRÁDNÍ, RSH-MR14S-L</t>
  </si>
  <si>
    <t>0049333</t>
  </si>
  <si>
    <t>SET PRO ENDOSKOPICKÝ ODBĚR ŠTĚPU PRO BY-PASS - VAS</t>
  </si>
  <si>
    <t>0049486</t>
  </si>
  <si>
    <t>PUMPA INFUZNÍ - INFUSOR, 2C1008KP</t>
  </si>
  <si>
    <t>0050875</t>
  </si>
  <si>
    <t>ZAVADĚČ KE KATETRŮM  504614Z-617Z</t>
  </si>
  <si>
    <t>0051889</t>
  </si>
  <si>
    <t>CHLOPEŇ SRDEČNÍ MECHANICKÁ SJM,SÉR.MASTERS</t>
  </si>
  <si>
    <t>0051947</t>
  </si>
  <si>
    <t>ZÁPLATA SRDEČNÍ PERIKARDIÁLNÍ SJM BIOCOR, B40-10X6</t>
  </si>
  <si>
    <t>0052279</t>
  </si>
  <si>
    <t>CHLOPEŇ SRDEČNÍ MECHANICKÁ SJM REGENT</t>
  </si>
  <si>
    <t>0053039</t>
  </si>
  <si>
    <t>ELEKTRODA STIMULAČNÍ DOČASNÁ TC</t>
  </si>
  <si>
    <t>0053197</t>
  </si>
  <si>
    <t>SENSOR K MĚŘENÍ EXTRAKORP.PARC.TLAKU KYSLÍKU</t>
  </si>
  <si>
    <t>0053772</t>
  </si>
  <si>
    <t>STAPLER LINEÁRNÍ S NOŽEM - TCT10; TLC10 (S PZT 005</t>
  </si>
  <si>
    <t>0053801</t>
  </si>
  <si>
    <t>ECMO - OXYGENÁTOR (PMP MEMBÁNA) - PLS SET - 14 DNÍ</t>
  </si>
  <si>
    <t>0056268</t>
  </si>
  <si>
    <t>KROUŽEK ANULOPLASTICKÝ 4450</t>
  </si>
  <si>
    <t>0057985</t>
  </si>
  <si>
    <t>OXYGENÁTOR-SADA HEMOFILTRAČNÍ-KREVNÍ KONCENTRÁTOR</t>
  </si>
  <si>
    <t>0058109</t>
  </si>
  <si>
    <t>SADA STABILIZAČNÍ ULTIMA/AXIUS OM-2001SD..OM7100SD</t>
  </si>
  <si>
    <t>0058110</t>
  </si>
  <si>
    <t>SADA STABIL.AXIUS XO-2001SD..XO3-7100SD OM-6XXXS,D</t>
  </si>
  <si>
    <t>0058112</t>
  </si>
  <si>
    <t>SADA STABILIZAČNÍ MIDCAB CMS-161..CMS-171</t>
  </si>
  <si>
    <t>0059424</t>
  </si>
  <si>
    <t xml:space="preserve">KATETR TERMODILUČNÍ 744HF75 746HF8 (ZMĚŘENÍ TLAKU </t>
  </si>
  <si>
    <t>0059538</t>
  </si>
  <si>
    <t>OXYGENÁTOR-SADA:KANYLA DVOUSTUPŇOVÁ VENÓZNÍ RMI</t>
  </si>
  <si>
    <t>0059541</t>
  </si>
  <si>
    <t>OXYGENÁTOR-SADA:KANYLA AORTÁLNÍ RMI</t>
  </si>
  <si>
    <t>0059542</t>
  </si>
  <si>
    <t>OBĚH MIMOTĚLNÍ - OXYGENÁTOR SADA - KANYLA FEMOR.AR</t>
  </si>
  <si>
    <t>0059543</t>
  </si>
  <si>
    <t>OXYGENÁTOR-SADA:KANYLA FEMOR.ARTER./VENÓZNÍ RMI</t>
  </si>
  <si>
    <t>0059632</t>
  </si>
  <si>
    <t>MATERIÁL KOVOVÝ ŠICÍ STEH PRO STERNUM OCELOVÝ DRÁT</t>
  </si>
  <si>
    <t>0081997</t>
  </si>
  <si>
    <t>NPWT-V.A.C. ATS SBĚRNÁ NÁDOBA S GELEM</t>
  </si>
  <si>
    <t>0082000</t>
  </si>
  <si>
    <t>NPWT-V.A.C. GRANUFOAM (PU PĚNA) VELIKOST M</t>
  </si>
  <si>
    <t>0082001</t>
  </si>
  <si>
    <t>NPWT-V.A.C. GRANUFOAM (PU PĚNA) VELIKOST L</t>
  </si>
  <si>
    <t>0082488</t>
  </si>
  <si>
    <t>SET AUTOTRANSFUZNÍ</t>
  </si>
  <si>
    <t>0082490</t>
  </si>
  <si>
    <t>SET AUTOTRANSFUZNÍ - SBĚR</t>
  </si>
  <si>
    <t>0083068</t>
  </si>
  <si>
    <t>DLAHA STERNÁLNÍ TITAN</t>
  </si>
  <si>
    <t>0083070</t>
  </si>
  <si>
    <t>0092262</t>
  </si>
  <si>
    <t>KATETR CENTRÁLNÍ VENÓZNÍ KIT</t>
  </si>
  <si>
    <t>0094029</t>
  </si>
  <si>
    <t xml:space="preserve">ELEKTRODA STIMULAČNÍ EPIKARDIÁLNÍ MYOPORE; PRO KS </t>
  </si>
  <si>
    <t>0094544</t>
  </si>
  <si>
    <t>OXYGENÁTOR SADA, KANYLA JEDNOSTUPŇOVÁ VENÓZNÍ RMI</t>
  </si>
  <si>
    <t>0108130</t>
  </si>
  <si>
    <t>DLAHA ROVNÁ STERNÁLNÍ TITAN</t>
  </si>
  <si>
    <t>0108767</t>
  </si>
  <si>
    <t>0108768</t>
  </si>
  <si>
    <t>ŠROUB SAMOVRTNÝ STERNÁLNÍ TITAN</t>
  </si>
  <si>
    <t>0112062</t>
  </si>
  <si>
    <t>CERKLÁŽ - SYSTÉM MODULÁRNÍ CERKLÁŽE PRO STERNUM (M</t>
  </si>
  <si>
    <t>0161533</t>
  </si>
  <si>
    <t>CHLOPEŇ SRDEČNÍ BIOL. AORTÁLNÍ Z BOVINNÍHO PERIKAR</t>
  </si>
  <si>
    <t>0043156</t>
  </si>
  <si>
    <t xml:space="preserve">CHLOPEŇ SRDEČNÍ BIOL. AORTÁLNÍ BOVINNÍ MAGNA EASE </t>
  </si>
  <si>
    <t>0094715</t>
  </si>
  <si>
    <t>KATETR ABLAČNÍ (KARDIOCHIR) - CARDIOABLATE GEMINI</t>
  </si>
  <si>
    <t>0048337</t>
  </si>
  <si>
    <t>LEPIDLO BIOLOGICKÉ BIOGLUE</t>
  </si>
  <si>
    <t>0092972</t>
  </si>
  <si>
    <t>CHLOPEŇ AORTÁLNÍ - KONDUIT CHLOPENNÍ SJM, VAVGJ-51</t>
  </si>
  <si>
    <t>0051227</t>
  </si>
  <si>
    <t>KATETR ABLAČNÍ (KARDIOCHIR) - ATRICURE; BIPOLÁRNÍ</t>
  </si>
  <si>
    <t>0047498</t>
  </si>
  <si>
    <t>PROTÉZA CÉVNÍ TKANÁ TUBULÁRNÍ 175XXXP</t>
  </si>
  <si>
    <t>0048338</t>
  </si>
  <si>
    <t>0057221</t>
  </si>
  <si>
    <t>KATETR TERMODIL.DIAG.AH-XXXXX..AH-XXXXX,X,XX</t>
  </si>
  <si>
    <t>0058516</t>
  </si>
  <si>
    <t>PROTÉZA CÉVNÍ</t>
  </si>
  <si>
    <t>0081986</t>
  </si>
  <si>
    <t>NPWT-RENASYS G PŘEVAZOVÝ SET MALÝ S</t>
  </si>
  <si>
    <t>0081995</t>
  </si>
  <si>
    <t>NPWT-RENASYS EZ SBĚRNÁ NÁDOBA VELKÁ</t>
  </si>
  <si>
    <t>0054443</t>
  </si>
  <si>
    <t>OBĚH MIMOTĚLNÍ - OXYGENÁTOR-SADA PŘÍSLUŠENSTVÍ,ECM</t>
  </si>
  <si>
    <t>0169484</t>
  </si>
  <si>
    <t>LEPIDLO TKÁŇOVÉ COSEAL SURGICAL SEALANT</t>
  </si>
  <si>
    <t>0046926</t>
  </si>
  <si>
    <t>PROTÉZA CÉVNÍ GELWEAVE VALSALVA 15/2,15/3CM</t>
  </si>
  <si>
    <t>0056318</t>
  </si>
  <si>
    <t>CHLOPEŇ SRDEČNÍ MECHANICKÁ AORTÁLNÍ</t>
  </si>
  <si>
    <t>0194002</t>
  </si>
  <si>
    <t>KARDIOSTIMULÁTOR BIVENTRIKULÁRNÍ ETRINSA 8 HF-T KO</t>
  </si>
  <si>
    <t>0192448</t>
  </si>
  <si>
    <t>SONDA ABLAČNÍ (KARDIOCHIR) - CRYOFLEX</t>
  </si>
  <si>
    <t>0114682</t>
  </si>
  <si>
    <t xml:space="preserve">SET PRO TRANSFEM.IMPLANTACI BIOL.AORTÁLNÍ CHLOPNĚ </t>
  </si>
  <si>
    <t>0141854</t>
  </si>
  <si>
    <t>OXYGENÁTOR CAPIOX,PŘÍSLUŠENSTVÍ</t>
  </si>
  <si>
    <t>0194403</t>
  </si>
  <si>
    <t>KARDIOSTIMULÁTOR DVOUDUTINOVÝ ENITRA 8 DR-T KOMPLE</t>
  </si>
  <si>
    <t>0194405</t>
  </si>
  <si>
    <t>KARDIOSTIMULÁTOR BIVENTRIKULÁRNÍ ENITRA 8 HF-T, HF</t>
  </si>
  <si>
    <t>0043155</t>
  </si>
  <si>
    <t>0192489</t>
  </si>
  <si>
    <t xml:space="preserve">SONDA ABLAČNÍ (KARDIOCHIR) - CARDIOBLADE CRYOFLEX </t>
  </si>
  <si>
    <t>0192459</t>
  </si>
  <si>
    <t>PROTÉZA CÉVNÍ FLOWLINE BIPORE HEPARIN - EPTFE VASC</t>
  </si>
  <si>
    <t>0050252</t>
  </si>
  <si>
    <t>SET AUTOTRANSFÚZNÍ-VAK REINFUZNÍ</t>
  </si>
  <si>
    <t>0192449</t>
  </si>
  <si>
    <t>SET ZAVÁDĚCÍ ADELANTE SIGMA S PŘÍSLUŠENSTVÍM 4-12F</t>
  </si>
  <si>
    <t>0049491</t>
  </si>
  <si>
    <t>KATETR BALÓNKOVÝ PTCA - FRONTRUNNER; 90CM, 140CM</t>
  </si>
  <si>
    <t>0049986</t>
  </si>
  <si>
    <t>ELEKTRODA STIMULAČNÍ NA FIXACI STEHU ENPATH</t>
  </si>
  <si>
    <t>0052490</t>
  </si>
  <si>
    <t>JEHLA HUBER - PORTÁLNÍ</t>
  </si>
  <si>
    <t>09227</t>
  </si>
  <si>
    <t>I. V. APLIKACE KRVE NEBO KREVNÍCH DERIVÁTŮ</t>
  </si>
  <si>
    <t>57233</t>
  </si>
  <si>
    <t>HRUDNÍ DRENÁŽ</t>
  </si>
  <si>
    <t>71717</t>
  </si>
  <si>
    <t>TRACHEOTOMIE</t>
  </si>
  <si>
    <t>89429</t>
  </si>
  <si>
    <t>SELEKTIVNÍ KORONAROGRAFIE OBOU VĚNČITÝCH TEPEN</t>
  </si>
  <si>
    <t>00880</t>
  </si>
  <si>
    <t>ROZLIŠENÍ VYKÁZANÉ HOSPITALIZACE JAKO: = NOVÁ HOSP</t>
  </si>
  <si>
    <t>00881</t>
  </si>
  <si>
    <t>ROZLIŠENÍ VYKÁZANÉ HOSPITALIZACE JAKO: = POKRAČOVÁ</t>
  </si>
  <si>
    <t>07545</t>
  </si>
  <si>
    <t>(DRG) DRUHÁ A DALŠÍ REOPERACE</t>
  </si>
  <si>
    <t>07561</t>
  </si>
  <si>
    <t>(DRG) REKUPERACE KRVE</t>
  </si>
  <si>
    <t>07086</t>
  </si>
  <si>
    <t>(DRG) UZÁVĚR DEFEKTU SEPTA SÍNÍ NEBO FORAMEN OVALE</t>
  </si>
  <si>
    <t>07001</t>
  </si>
  <si>
    <t xml:space="preserve">(DRG) AORTOKORONÁRNÍ BYPASS VÍCENÁSOBNÝ (2 A VÍCE </t>
  </si>
  <si>
    <t>07041</t>
  </si>
  <si>
    <t>(DRG) NÁHRADA MITRÁLNÍ CHLOPNĚ MECHANICKOU PROTÉZO</t>
  </si>
  <si>
    <t>07095</t>
  </si>
  <si>
    <t>(DRG) CHIRURGICKÁ ABLACE SÍŇOVÉ ARYTMIE S POMOCÍ R</t>
  </si>
  <si>
    <t>07565</t>
  </si>
  <si>
    <t>(DRG) KATASTROFICKÁ OPERACE KVCH</t>
  </si>
  <si>
    <t>07232</t>
  </si>
  <si>
    <t>(DRG) CHIRURGICKÁ IMPLANTACE TRVALÝCH EPIKARDIÁLNÍ</t>
  </si>
  <si>
    <t>07560</t>
  </si>
  <si>
    <t>(DRG) KREVNÍ KARDIOPLEGIE JAKO SOUČÁST JINÉHO KARD</t>
  </si>
  <si>
    <t>07000</t>
  </si>
  <si>
    <t>(DRG) AORTOKORONÁRNÍ BYPASS JEDNONÁSOBNÝ</t>
  </si>
  <si>
    <t>07087</t>
  </si>
  <si>
    <t>(DRG) UZÁVĚR DEFEKTU SEPTA SÍNÍ ZÁPLATOU Z AUTOLOG</t>
  </si>
  <si>
    <t>07042</t>
  </si>
  <si>
    <t>(DRG) NÁHRADA MITRÁLNÍ CHLOPNĚ BIOLOGICKOU PROTÉZO</t>
  </si>
  <si>
    <t>07002</t>
  </si>
  <si>
    <t>(DRG) AORTOKORONÁRNÍ BYPASS VÍCENÁSOBNÝ - (2 A VÍC</t>
  </si>
  <si>
    <t>07547</t>
  </si>
  <si>
    <t>(DRG) MINITORAKOTOMIE NEBO MINILAPAROTOMIE</t>
  </si>
  <si>
    <t>07097</t>
  </si>
  <si>
    <t>(DRG) RESEKCE NÁDORU SÍNÍ NEBO MEZISÍŇOVÉ PŘEPÁŽKY</t>
  </si>
  <si>
    <t>07017</t>
  </si>
  <si>
    <t xml:space="preserve">(DRG) NÁHRADA KOŘENE AORTY A PŘÍPADNĚ ASCENDENTNÍ </t>
  </si>
  <si>
    <t>07026</t>
  </si>
  <si>
    <t>(DRG) NÁHRADA AORTÁLNÍ CHLOPNĚ A KOŘENE AORTY A PŘ</t>
  </si>
  <si>
    <t>07156</t>
  </si>
  <si>
    <t>(DRG) NÁHRADA ASCENDENTNÍ AORTY PROTÉZOU PRO AKUTN</t>
  </si>
  <si>
    <t>07267</t>
  </si>
  <si>
    <t>(DRG) ODSTRANĚNÍ KRÁTKO AŽ STŘEDNĚDOBÉ PODPORY SRD</t>
  </si>
  <si>
    <t>07256</t>
  </si>
  <si>
    <t>(DRG) ZAVEDENÍ IABK v souvislosti kardiochirurgick</t>
  </si>
  <si>
    <t>07036</t>
  </si>
  <si>
    <t>(DRG) JINÝ ZÁKROK NA AORTÁLNÍ CHLOPNI</t>
  </si>
  <si>
    <t>07241</t>
  </si>
  <si>
    <t>(DRG) CHIRURGICKÁ DRENÁŽ PERIKARDU CESTOU STERNOTO</t>
  </si>
  <si>
    <t>07557</t>
  </si>
  <si>
    <t>(DRG) HLUBOKÁ HYPOTERMIE A CIRKULAČNÍ ZÁSTAVA JAKO</t>
  </si>
  <si>
    <t>07277</t>
  </si>
  <si>
    <t>(DRG) APLIKACE NEBO VÝMĚNA DPWT DO MEDIASTINA</t>
  </si>
  <si>
    <t>07126</t>
  </si>
  <si>
    <t>(DRG) OPERACE PRO PORANĚNÍ PRAVÉ KOMORY SRDEČNÍ</t>
  </si>
  <si>
    <t>07061</t>
  </si>
  <si>
    <t>(DRG) EMBOLECTOMIE Z A. PULMONALIS</t>
  </si>
  <si>
    <t>07140</t>
  </si>
  <si>
    <t>(DRG) UZÁVĚR DEFEKTU SEPTA KOMOR (VROZENÉHO NEBO Z</t>
  </si>
  <si>
    <t>07257</t>
  </si>
  <si>
    <t>(DRG) ZAVEDENÍ ECMO, CENTRÁLNÍ KANYLACE</t>
  </si>
  <si>
    <t>07110</t>
  </si>
  <si>
    <t>(DRG) PLASTIKA HORNÍ NEBO DOLNÍ DUTÉ ŽÍLY</t>
  </si>
  <si>
    <t>54990</t>
  </si>
  <si>
    <t>ODBĚR ŽILNÍHO ŠTĚPU</t>
  </si>
  <si>
    <t>00602</t>
  </si>
  <si>
    <t>OD TYPU 02 - PRO NEMOCNICE TYPU 3, (KATEGORIE 6)</t>
  </si>
  <si>
    <t>99999</t>
  </si>
  <si>
    <t>Nespecifikovany vykon</t>
  </si>
  <si>
    <t>55230</t>
  </si>
  <si>
    <t>KOMBINOVANÝ CHIRURGICKÝ VÝKON NA SRDCI A HRUDNÍ AO</t>
  </si>
  <si>
    <t>55265</t>
  </si>
  <si>
    <t>ENDOSKOPICKÝ ODBĚR ŽILNÍHO ŠTĚPU (V. SAPHENA MAGNA</t>
  </si>
  <si>
    <t>57251</t>
  </si>
  <si>
    <t>KLÍNOVITÁ RESEKCE PLIC NEBO ENUKLEACE TUMORU</t>
  </si>
  <si>
    <t>51825</t>
  </si>
  <si>
    <t>SEKUNDÁRNÍ SUTURA RÁNY</t>
  </si>
  <si>
    <t>07564</t>
  </si>
  <si>
    <t>(DRG) EMERGENTNÍ OPERACE KVCH</t>
  </si>
  <si>
    <t>55220</t>
  </si>
  <si>
    <t>JEDNODUCHÝ VÝKON NA SRDCI - PRIMOOPERACE</t>
  </si>
  <si>
    <t>00698</t>
  </si>
  <si>
    <t>OD TYPU 98 - PRO NEMOCNICE TYPU 3, (KATEGORIE 6) -</t>
  </si>
  <si>
    <t>07284</t>
  </si>
  <si>
    <t>(DRG) ENDARTERECTOMIE A. CAROTIS INTERNA PŘÍMÁ S P</t>
  </si>
  <si>
    <t>55260</t>
  </si>
  <si>
    <t>KREVNÍ KARDIOPLEGIE</t>
  </si>
  <si>
    <t>07019</t>
  </si>
  <si>
    <t>(DRG) NÁHRADA AORTÁLNÍ CHLOPNĚ STENTOVANOU BIOLOGI</t>
  </si>
  <si>
    <t>55250</t>
  </si>
  <si>
    <t>STERNOTOMIE, TORAKOTOMIE</t>
  </si>
  <si>
    <t>07274</t>
  </si>
  <si>
    <t>(DRG) POOPERAČNÍ REVIZE PRO ZÁNĚT NEBO PORUCHU HOJ</t>
  </si>
  <si>
    <t>55210</t>
  </si>
  <si>
    <t>VÝKONY NA ZAVŘENÉM SRDCI</t>
  </si>
  <si>
    <t>07273</t>
  </si>
  <si>
    <t>(DRG) POOPERAČNÍ REVIZE PRO KRVÁCENÍ NEBO TAMPONÁD</t>
  </si>
  <si>
    <t>07553</t>
  </si>
  <si>
    <t>(DRG) OPERAČNÍ VÝKON S MIMOTĚLNÍM OBĚHEM, CENTRÁLN</t>
  </si>
  <si>
    <t>07094</t>
  </si>
  <si>
    <t>(DRG) CHIRURGICKÁ ABLACE SÍŇOVÉ ARYTMIE S POMOCÍ K</t>
  </si>
  <si>
    <t>76481</t>
  </si>
  <si>
    <t>NEFREKTOMIE TORAKOABDOMINÁLNÍ RADIKÁLNÍ NEBO NEFRO</t>
  </si>
  <si>
    <t>07559</t>
  </si>
  <si>
    <t>(DRG) KRYSTALOIDNÍ KARDIOPLEGIE JAKO SOUČÁST JINÉH</t>
  </si>
  <si>
    <t>07258</t>
  </si>
  <si>
    <t>(DRG) ZAVEDENÍ ECMO, PERIFERNÍ KANYLACE</t>
  </si>
  <si>
    <t>07018</t>
  </si>
  <si>
    <t>(DRG) NÁHRADA AORTÁLNÍ CHLOPNĚ MECHANICKOU PROTÉZO</t>
  </si>
  <si>
    <t>07003</t>
  </si>
  <si>
    <t>(DRG) AORTOKORONÁRNÍ BYPASS VÍCENÁSOBNÝ - PLNĚ TEP</t>
  </si>
  <si>
    <t>07233</t>
  </si>
  <si>
    <t>07514</t>
  </si>
  <si>
    <t>(DRG) ODBĚR A PŘÍPRAVA ŽILNÍHO ŠTĚPU Z POVRCHOVÝCH</t>
  </si>
  <si>
    <t>07548</t>
  </si>
  <si>
    <t>(DRG) LAPAROSKOPICKÝ NEBO TORAKOSKOPICKÝ PŘÍSTUP</t>
  </si>
  <si>
    <t>07515</t>
  </si>
  <si>
    <t>07554</t>
  </si>
  <si>
    <t>(DRG) OPERAČNÍ VÝKON S MIMOTĚLNÍM OBĚHEM, PERIFERN</t>
  </si>
  <si>
    <t>07164</t>
  </si>
  <si>
    <t>(DRG) NÁHRADA ASCENDENTNÍ AORTY PROTÉZOU</t>
  </si>
  <si>
    <t>55221</t>
  </si>
  <si>
    <t>JEDNODUCHÝ VÝKON NA SRDCI - REOPERACE</t>
  </si>
  <si>
    <t>07234</t>
  </si>
  <si>
    <t xml:space="preserve">(DRG) CHIRURGICKÁ IMPLANTACE NEBO VÝMĚNA TRVALÉHO </t>
  </si>
  <si>
    <t>07048</t>
  </si>
  <si>
    <t xml:space="preserve">(DRG) PLASTIKA TRIKUSPIDÁLNÍ CHLOPNĚ S IMPLANTACÍ </t>
  </si>
  <si>
    <t>55231</t>
  </si>
  <si>
    <t>07024</t>
  </si>
  <si>
    <t>07157</t>
  </si>
  <si>
    <t>(DRG) NÁHRADA ASCENDENTNÍ AORTY A OBLOUKU PROTÉZOU</t>
  </si>
  <si>
    <t>07013</t>
  </si>
  <si>
    <t>(DRG) PLASTIKA LÍSTKŮ AORTÁLNÍ CHLOPNĚ</t>
  </si>
  <si>
    <t>07098</t>
  </si>
  <si>
    <t>07558</t>
  </si>
  <si>
    <t>(DRG) HLUBOKÁ HYPOTERMIE A CIRKULAČNÍ ZÁSTAVA S AN</t>
  </si>
  <si>
    <t>07038</t>
  </si>
  <si>
    <t>(DRG) PLASTIKA MITRÁLNÍ CHLOPNĚ S IMPLANTACÍ PRSTE</t>
  </si>
  <si>
    <t>07039</t>
  </si>
  <si>
    <t>07119</t>
  </si>
  <si>
    <t>(DRG) OPERACE PRO POINFARKTOVOU RUPTURU (VČETNĚ HR</t>
  </si>
  <si>
    <t>07572</t>
  </si>
  <si>
    <t>(DRG) DRUHÁ A DALŠÍ POOPERAČNÍ REVIZE PRO KRVÁCENÍ</t>
  </si>
  <si>
    <t>07283</t>
  </si>
  <si>
    <t>(DRG) PARCIÁLNÍ NEBO KOMPLETNÍ ODSTRANĚNÍ STERNA A</t>
  </si>
  <si>
    <t>07282</t>
  </si>
  <si>
    <t>(DRG) OSTEOSYNTÉZA STERNA DLAHAMI KOMBINOVANÁ S PŘ</t>
  </si>
  <si>
    <t>07158</t>
  </si>
  <si>
    <t>(DRG) NÁHRADA ASCENDENTNÍ AORTY, OBLOUKU AORTY PRO</t>
  </si>
  <si>
    <t>07046</t>
  </si>
  <si>
    <t>(DRG) JINÝ ZÁKROK NA MITRÁLNÍ CHLOPNI</t>
  </si>
  <si>
    <t>07278</t>
  </si>
  <si>
    <t>(DRG) SUTURA KŮŽE A PODKOŽÍ RÁNY PO STERNOTOMII</t>
  </si>
  <si>
    <t>07014</t>
  </si>
  <si>
    <t xml:space="preserve">(DRG) ANNULOPLASTIKA AORTÁLNÍ CHLOPNĚ BEZ POUŽITÍ </t>
  </si>
  <si>
    <t>07281</t>
  </si>
  <si>
    <t xml:space="preserve">(DRG) OSTEOSYNTÉZA STERNA DLAHAMI JAKO SAMOSTATNÝ </t>
  </si>
  <si>
    <t>07178</t>
  </si>
  <si>
    <t>(DRG) NÁHRADA OBLOUKU AORTY PROTÉZOU - ČÁSTEČNÁ (H</t>
  </si>
  <si>
    <t>07271</t>
  </si>
  <si>
    <t>(DRG) STERNOTOMIE JAKO SAMOSTATNÝ VÝKON JINÝ NEŽ P</t>
  </si>
  <si>
    <t>07037</t>
  </si>
  <si>
    <t>(DRG) PLASTIKA MITRÁLNÍ CHLOPNĚ BEZ IMPLANTACE PRS</t>
  </si>
  <si>
    <t>07265</t>
  </si>
  <si>
    <t>(DRG) CHIRURGICKÁ ÚPRAVA KANYL PRO ECMO</t>
  </si>
  <si>
    <t>07147</t>
  </si>
  <si>
    <t>(DRG) RESEKCE HYPERTROFICKÉHO SEPTA KOMOR</t>
  </si>
  <si>
    <t>07169</t>
  </si>
  <si>
    <t>(DRG) OPERACE PRO PORANĚNÍ ASCENDENTNÍ AORTY</t>
  </si>
  <si>
    <t>07166</t>
  </si>
  <si>
    <t>(DRG) PLASTIKA ASCENDENTNÍ AORTY ZÁPLATOU</t>
  </si>
  <si>
    <t>55227</t>
  </si>
  <si>
    <t>IMPLANTACE ECMO (EXTRAKORPORÁLNÍ MEMBRÁNOVÁ OXYGEN</t>
  </si>
  <si>
    <t>07236</t>
  </si>
  <si>
    <t>(DRG) CHIRURGICKÁ EXTRAKCE INTRAKARDIÁLNÍCH ELEKTR</t>
  </si>
  <si>
    <t>07240</t>
  </si>
  <si>
    <t>(DRG) CHRIRUGICKÁ DRENÁŽ PERIKARDU SUBXYPHOIDEÁLNĚ</t>
  </si>
  <si>
    <t>07047</t>
  </si>
  <si>
    <t>(DRG) PLASTIKA TRIKUSPIDÁLNÍ CHLOPNĚ BEZ IMPLANTAC</t>
  </si>
  <si>
    <t>07040</t>
  </si>
  <si>
    <t>07566</t>
  </si>
  <si>
    <t>(DRG) CHIRURGICKÁ REDUKCE JEDNÉ NEBO OBOU SRDEČNÍC</t>
  </si>
  <si>
    <t>07142</t>
  </si>
  <si>
    <t>90959</t>
  </si>
  <si>
    <t>(DRG) ÚPRAVA ŽILNÍHO NEBO TEPENNÉHO ALOŠTĚPU</t>
  </si>
  <si>
    <t>07167</t>
  </si>
  <si>
    <t>(DRG) PLASTIKA ASCENDENTNÍ AORTY BEZ POUŽITÍ ZÁPLA</t>
  </si>
  <si>
    <t>90890</t>
  </si>
  <si>
    <t>(DRG) PUNKCE TRACHEY SE ZAVEDENÍM KANYLY</t>
  </si>
  <si>
    <t>07235</t>
  </si>
  <si>
    <t>07168</t>
  </si>
  <si>
    <t>(DRG) BANDÁŽ ASCENDENTNÍ AORTY</t>
  </si>
  <si>
    <t>07012</t>
  </si>
  <si>
    <t>(DRG) DEKALCIFIKACE LÍSTKŮ AORTÁLNÍ CHLOPNĚ</t>
  </si>
  <si>
    <t>07117</t>
  </si>
  <si>
    <t>(DRG) OPERACE PRO PORANĚNÍ LEVÉ KOMORY SRDEČNÍ</t>
  </si>
  <si>
    <t>07242</t>
  </si>
  <si>
    <t>(DRG) PERIKARDEKTOMIE PARCIÁLNÍ PRO KONSTRIKCI NEB</t>
  </si>
  <si>
    <t>09564</t>
  </si>
  <si>
    <t xml:space="preserve">PÉČE SPOJENÁ S PŘEVZETÍM PACIENTA OD ZDRAVOTNICKÉ </t>
  </si>
  <si>
    <t>55300</t>
  </si>
  <si>
    <t>MINIINVAZIVNÍ VIDEOASISTOVANÁ OPERACE NA SRDEČNÍCH</t>
  </si>
  <si>
    <t>07112</t>
  </si>
  <si>
    <t xml:space="preserve">(DRG) RESEKCE VÝDUTĚ LEVÉ KOMORY SRDEČNÍ S PŘÍMOU </t>
  </si>
  <si>
    <t>07118</t>
  </si>
  <si>
    <t>(DRG) UZÁVĚR POINFARKTOVÉHO DEFEKTU MEZIKOMOROVÉ P</t>
  </si>
  <si>
    <t>55255</t>
  </si>
  <si>
    <t>KONTRAPULZACE</t>
  </si>
  <si>
    <t>07052</t>
  </si>
  <si>
    <t>(DRG) NÁHRADA TRIKUSPIDÁLNÍ CHLOPNĚ BIOLOGICKOU PR</t>
  </si>
  <si>
    <t>0005113</t>
  </si>
  <si>
    <t>TARGOCID</t>
  </si>
  <si>
    <t>0008807</t>
  </si>
  <si>
    <t>DALACIN C</t>
  </si>
  <si>
    <t>0026902</t>
  </si>
  <si>
    <t>VFEND</t>
  </si>
  <si>
    <t>0075634</t>
  </si>
  <si>
    <t>PROTHROMPLEX TOTAL NF</t>
  </si>
  <si>
    <t>0092290</t>
  </si>
  <si>
    <t>EDICIN</t>
  </si>
  <si>
    <t>0097910</t>
  </si>
  <si>
    <t>HUMAN ALBUMIN GRIFOLS 20%</t>
  </si>
  <si>
    <t>0104051</t>
  </si>
  <si>
    <t>HUMAN ALBUMIN 200 G/L BAXTER</t>
  </si>
  <si>
    <t>0500720</t>
  </si>
  <si>
    <t>MYCAMINE</t>
  </si>
  <si>
    <t>0134595</t>
  </si>
  <si>
    <t>0149384</t>
  </si>
  <si>
    <t>0156835</t>
  </si>
  <si>
    <t>MEROPENEM KABI</t>
  </si>
  <si>
    <t>0192558</t>
  </si>
  <si>
    <t>ANTITHROMBIN III NF BAXTER</t>
  </si>
  <si>
    <t>0202911</t>
  </si>
  <si>
    <t>DILIZOLEN</t>
  </si>
  <si>
    <t>0029449</t>
  </si>
  <si>
    <t>0195147</t>
  </si>
  <si>
    <t>0183812</t>
  </si>
  <si>
    <t>0216183</t>
  </si>
  <si>
    <t>0172511</t>
  </si>
  <si>
    <t>HUMAN ALBUMIN BAXALTA</t>
  </si>
  <si>
    <t>0205966</t>
  </si>
  <si>
    <t>0185482</t>
  </si>
  <si>
    <t>0097907</t>
  </si>
  <si>
    <t>HUMAN ALBUMIN GRIFOLS 5%</t>
  </si>
  <si>
    <t>0230686</t>
  </si>
  <si>
    <t>0194240</t>
  </si>
  <si>
    <t>0235812</t>
  </si>
  <si>
    <t>0241308</t>
  </si>
  <si>
    <t>0026139</t>
  </si>
  <si>
    <t>KANYLA TRACHEOSTOMICKÁ VOCALAID S NÍZKOTLAKOU MANŽ</t>
  </si>
  <si>
    <t>0030617</t>
  </si>
  <si>
    <t>STAPLER KOŽNÍ ROYAL - 35W</t>
  </si>
  <si>
    <t>0037139</t>
  </si>
  <si>
    <t>PROTÉZA GORE-TEX CÉVNÍ - PRUŽNÁ TENKOSTĚNNÁ</t>
  </si>
  <si>
    <t>0056289</t>
  </si>
  <si>
    <t>KATETR BALÓNKOVÝ FOGARTY EMBOLEKTOMICKÝ - 120803F</t>
  </si>
  <si>
    <t>0056292</t>
  </si>
  <si>
    <t>KATETR BALÓNKOVÝ FOGARTY EMBOLEKTOMICKÝ - 120805F</t>
  </si>
  <si>
    <t>0056293</t>
  </si>
  <si>
    <t>KATETR BALÓNKOVÝ FOGARTY EMBOLEKTOMICKÝ - 120806F</t>
  </si>
  <si>
    <t>0057243</t>
  </si>
  <si>
    <t>KATETR BALÓNKOVÝ INTRAARTER.KONTRAPULZAČNÍ</t>
  </si>
  <si>
    <t>0013054</t>
  </si>
  <si>
    <t>STAPLER KOŽNÍ, 35 NEREZ.OCEL. NÁPLNÍ PMW35,PMR35</t>
  </si>
  <si>
    <t>0082142</t>
  </si>
  <si>
    <t>NPWT-RENASYS F PŘEVAZOVÝ SET STŘEDNÍ M</t>
  </si>
  <si>
    <t>0069507</t>
  </si>
  <si>
    <t>KANYLA TRACHEOSTOMICKÁ SOUPRAVA PERKUTÁNNÍ</t>
  </si>
  <si>
    <t>0151983</t>
  </si>
  <si>
    <t>STENTGRAFT AORTÁLNÍ HRUDNÍ - THORAFLEX HYBRID; PLE</t>
  </si>
  <si>
    <t>00651</t>
  </si>
  <si>
    <t>OD TYPU 51 - PRO NEMOCNICE TYPU 3, (KATEGORIE 6) -</t>
  </si>
  <si>
    <t>00655</t>
  </si>
  <si>
    <t>OD TYPU 55 - PRO NEMOCNICE TYPU 3, (KATEGORIE 6) -</t>
  </si>
  <si>
    <t>78813</t>
  </si>
  <si>
    <t>CVVH - KONTINUÁLNÍ VENOVENÓZNÍ HEMOFILTRACE</t>
  </si>
  <si>
    <t>90901</t>
  </si>
  <si>
    <t>(DRG) DOBA TRVÁNÍ UMĚLÉ PLICNÍ VENTILACE DO 24 HOD</t>
  </si>
  <si>
    <t>90902</t>
  </si>
  <si>
    <t xml:space="preserve">(DRG) DOBA TRVÁNÍ UMĚLÉ PLICNÍ VENTILACE VÍCE NEŽ </t>
  </si>
  <si>
    <t>99981</t>
  </si>
  <si>
    <t xml:space="preserve">(VZP) PACIENT HOSPITALIZOVANÝ V LŮŽKOVÉM ZAŘÍZENÍ </t>
  </si>
  <si>
    <t>90903</t>
  </si>
  <si>
    <t>00658</t>
  </si>
  <si>
    <t>OD TYPU 58 - PRO NEMOCNICE TYPU 3, (KATEGORIE 6) -</t>
  </si>
  <si>
    <t>00653</t>
  </si>
  <si>
    <t>OD TYPU 53 - PRO NEMOCNICE TYPU 3, (KATEGORIE 6) -</t>
  </si>
  <si>
    <t>00657</t>
  </si>
  <si>
    <t>OD TYPU 57 - PRO NEMOCNICE TYPU 3, (KATEGORIE 6) -</t>
  </si>
  <si>
    <t>90904</t>
  </si>
  <si>
    <t>00652</t>
  </si>
  <si>
    <t>OD TYPU 52 - PRO NEMOCNICE TYPU 3, (KATEGORIE 6) -</t>
  </si>
  <si>
    <t>90905</t>
  </si>
  <si>
    <t>61169</t>
  </si>
  <si>
    <t>TRANSPOZICE MUSKULÁRNÍHO LALOKU</t>
  </si>
  <si>
    <t>91926</t>
  </si>
  <si>
    <t>(DRG) APLIKACE PŘETLAKU DO DÝCHACÍCH CEST</t>
  </si>
  <si>
    <t>78022</t>
  </si>
  <si>
    <t>CÍLENÉ VYŠETŘENÍ ANESTEZIOLOGEM</t>
  </si>
  <si>
    <t>78023</t>
  </si>
  <si>
    <t>KONTROLNÍ VYŠETŘENÍ ANESTEZIOLOGEM</t>
  </si>
  <si>
    <t>78114</t>
  </si>
  <si>
    <t>ANESTÉZIE S TRACHEÁLNÍ INTUBACÍ NEBO S LARYNGEÁLNÍ</t>
  </si>
  <si>
    <t>78812</t>
  </si>
  <si>
    <t>ISOVOLEMICKÁ HEMODILUCE</t>
  </si>
  <si>
    <t>78121</t>
  </si>
  <si>
    <t>KAPNOMETRIE PŘI ANESTEZII Á 20 MINUT</t>
  </si>
  <si>
    <t>78140</t>
  </si>
  <si>
    <t>ANESTÉZIE U PACIENTA S ASA 3E A VÍCE Á 20 MINUT, P</t>
  </si>
  <si>
    <t>78111</t>
  </si>
  <si>
    <t>ANESTÉZIE INTRAVENOZNÍ Á 20 MIN.</t>
  </si>
  <si>
    <t>78820</t>
  </si>
  <si>
    <t>ZAJIŠTĚNÍ DÝCHACÍCH CEST PŘI ANESTEZII</t>
  </si>
  <si>
    <t>78810</t>
  </si>
  <si>
    <t>ZAVEDENÁ HYPOTENZE</t>
  </si>
  <si>
    <t>78116</t>
  </si>
  <si>
    <t>ANESTÉZIE S ŘÍZENOU VENTILACÍ Á 20 MIN.</t>
  </si>
  <si>
    <t>78117</t>
  </si>
  <si>
    <t>78816</t>
  </si>
  <si>
    <t>REKUPERACE KRVE</t>
  </si>
  <si>
    <t>78310</t>
  </si>
  <si>
    <t xml:space="preserve">NEODKLADNÁ KARDIOPULMONÁLNÍ RESUSCITACE ROZŠÍŘENÁ </t>
  </si>
  <si>
    <t>78320</t>
  </si>
  <si>
    <t>91961</t>
  </si>
  <si>
    <t>(DRG) KOMPLEXNÍ ECHOKARDIOGRAFICKÉ VYŠETŘENÍ V INT</t>
  </si>
  <si>
    <t>91962</t>
  </si>
  <si>
    <t>(DRG) KONTROLNÍ ECHOKARDIOGRAFICKÉ VYŠETŘENÍ V INT</t>
  </si>
  <si>
    <t>59</t>
  </si>
  <si>
    <t>Zdravotní výkony vykázané na pracovišti pro pacienty hospitalizované ve FNOL - orientační přehled</t>
  </si>
  <si>
    <t>00053</t>
  </si>
  <si>
    <t>A</t>
  </si>
  <si>
    <t xml:space="preserve">DLOUHODOBÁ MECHANICKÁ VENTILACE &gt; 96 HODIN (5-10 DNÍ) S MCC                                         </t>
  </si>
  <si>
    <t>00100</t>
  </si>
  <si>
    <t xml:space="preserve">DLOUHODOBÁ MECHANICKÁ VENTILACE &gt; 504 HODIN (22-42 DNÍ) S EKO                                       </t>
  </si>
  <si>
    <t>00123</t>
  </si>
  <si>
    <t xml:space="preserve">DLOUHODOBÁ MECHANICKÁ VENTILACE &gt; 240 HODIN (11-21 DNÍ) S EKO                                       </t>
  </si>
  <si>
    <t>00133</t>
  </si>
  <si>
    <t xml:space="preserve">DLOUHODOBÁ MECHANICKÁ VENTILACE &gt; 96 HODIN (5-10 DNÍ) S EKONO                                       </t>
  </si>
  <si>
    <t>04012</t>
  </si>
  <si>
    <t xml:space="preserve">VELKÉ HRUDNÍ VÝKONY S CC                                                                            </t>
  </si>
  <si>
    <t>04373</t>
  </si>
  <si>
    <t xml:space="preserve">CHRONICKÁ OBSTRUKTIVNÍ PLICNÍ NEMOC S MCC                                                           </t>
  </si>
  <si>
    <t>04411</t>
  </si>
  <si>
    <t xml:space="preserve">PŘÍZNAKY, SYMPTOMY A JINÉ DIAGNÓZY DÝCHACÍHO SYSTÉMU BEZ CC                                         </t>
  </si>
  <si>
    <t>04412</t>
  </si>
  <si>
    <t xml:space="preserve">PŘÍZNAKY, SYMPTOMY A JINÉ DIAGNÓZY DÝCHACÍHO SYSTÉMU S CC                                           </t>
  </si>
  <si>
    <t>05000</t>
  </si>
  <si>
    <t xml:space="preserve">ÚMRTÍ DO 5 DNÍ OD PŘÍJMU PŘI HLAVNÍ DIAGNÓZE OBĚHOVÉHO SYSTÉM                                       </t>
  </si>
  <si>
    <t>05011</t>
  </si>
  <si>
    <t xml:space="preserve">SRDEČNÍ DEFIBRILÁTOR A IMPLANTÁT PRO PODPORU FUNKCE SRDCE BEZ                                       </t>
  </si>
  <si>
    <t>05012</t>
  </si>
  <si>
    <t xml:space="preserve">SRDEČNÍ DEFIBRILÁTOR A IMPLANTÁT PRO PODPORU FUNKCE SRDCE S C                                       </t>
  </si>
  <si>
    <t>05013</t>
  </si>
  <si>
    <t xml:space="preserve">SRDEČNÍ DEFIBRILÁTOR A IMPLANTÁT PRO PODPORU FUNKCE SRDCE S M                                       </t>
  </si>
  <si>
    <t>05021</t>
  </si>
  <si>
    <t xml:space="preserve">VÝKONY NA SRDEČNÍ CHLOPNI SE SRDEČNÍ KATETRIZACÍ BEZ CC                                             </t>
  </si>
  <si>
    <t>05022</t>
  </si>
  <si>
    <t xml:space="preserve">VÝKONY NA SRDEČNÍ CHLOPNI SE SRDEČNÍ KATETRIZACÍ S CC                                               </t>
  </si>
  <si>
    <t>05023</t>
  </si>
  <si>
    <t xml:space="preserve">VÝKONY NA SRDEČNÍ CHLOPNI SE SRDEČNÍ KATETRIZACÍ S MCC                                              </t>
  </si>
  <si>
    <t>05041</t>
  </si>
  <si>
    <t xml:space="preserve">VÝKONY NA SRDEČNÍ CHLOPNI BEZ SRDEČNÍ KATETRIZACE BEZ CC                                            </t>
  </si>
  <si>
    <t>05042</t>
  </si>
  <si>
    <t xml:space="preserve">VÝKONY NA SRDEČNÍ CHLOPNI BEZ SRDEČNÍ KATETRIZACE S CC                                              </t>
  </si>
  <si>
    <t>05043</t>
  </si>
  <si>
    <t xml:space="preserve">VÝKONY NA SRDEČNÍ CHLOPNI BEZ SRDEČNÍ KATETRIZACE S MCC                                             </t>
  </si>
  <si>
    <t>05051</t>
  </si>
  <si>
    <t xml:space="preserve">KORONÁRNÍ BYPASS SE SRDEČNÍ KATETRIZACÍ BEZ CC                                                      </t>
  </si>
  <si>
    <t>05052</t>
  </si>
  <si>
    <t xml:space="preserve">KORONÁRNÍ BYPASS SE SRDEČNÍ KATETRIZACÍ S CC                                                        </t>
  </si>
  <si>
    <t>05053</t>
  </si>
  <si>
    <t xml:space="preserve">KORONÁRNÍ BYPASS SE SRDEČNÍ KATETRIZACÍ S MCC                                                       </t>
  </si>
  <si>
    <t>05061</t>
  </si>
  <si>
    <t xml:space="preserve">KORONÁRNÍ BYPASS BEZ SRDEČNÍ KATETRIZACE BEZ CC                                                     </t>
  </si>
  <si>
    <t>05062</t>
  </si>
  <si>
    <t xml:space="preserve">KORONÁRNÍ BYPASS BEZ SRDEČNÍ KATETRIZACE S CC                                                       </t>
  </si>
  <si>
    <t>05063</t>
  </si>
  <si>
    <t xml:space="preserve">KORONÁRNÍ BYPASS BEZ SRDEČNÍ KATETRIZACE S MCC                                                      </t>
  </si>
  <si>
    <t>05091</t>
  </si>
  <si>
    <t xml:space="preserve">VELKÉ ABDOMINÁLNÍ VASKULÁRNÍ VÝKONY BEZ CC                                                          </t>
  </si>
  <si>
    <t>05092</t>
  </si>
  <si>
    <t xml:space="preserve">VELKÉ ABDOMINÁLNÍ VASKULÁRNÍ VÝKONY S CC                                                            </t>
  </si>
  <si>
    <t>05093</t>
  </si>
  <si>
    <t xml:space="preserve">VELKÉ ABDOMINÁLNÍ VASKULÁRNÍ VÝKONY S MCC                                                           </t>
  </si>
  <si>
    <t>05103</t>
  </si>
  <si>
    <t xml:space="preserve">JINÉ PERKUTÁNNÍ KARDIOVASKULÁRNÍ VÝKONY PŘI AKUTNÍM INFARKTU                                        </t>
  </si>
  <si>
    <t>05111</t>
  </si>
  <si>
    <t xml:space="preserve">IMPLANTACE TRVALÉHO KARDIOSTIMULÁTORU BEZ AKUTNÍHO INFARKTU M                                       </t>
  </si>
  <si>
    <t>05121</t>
  </si>
  <si>
    <t xml:space="preserve">VELKÉ HRUDNÍ VASKULÁRNÍ VÝKONY BEZ CC                                                               </t>
  </si>
  <si>
    <t>05122</t>
  </si>
  <si>
    <t xml:space="preserve">VELKÉ HRUDNÍ VASKULÁRNÍ VÝKONY S CC                                                                 </t>
  </si>
  <si>
    <t>05123</t>
  </si>
  <si>
    <t xml:space="preserve">VELKÉ HRUDNÍ VASKULÁRNÍ VÝKONY S MCC                                                                </t>
  </si>
  <si>
    <t>05221</t>
  </si>
  <si>
    <t xml:space="preserve">PERKUTÁNNÍ KORONÁRNÍ ANGIOPLASTIKA, &gt;=3 POTAHOVANÉ STENTY PŘI                                       </t>
  </si>
  <si>
    <t>05223</t>
  </si>
  <si>
    <t>05271</t>
  </si>
  <si>
    <t xml:space="preserve">PERKUTÁNNÍ KORONÁRNÍ ANGIOPLASTIKA, &lt;=2 POTAHOVANÉ STENTY BEZ                                       </t>
  </si>
  <si>
    <t>05301</t>
  </si>
  <si>
    <t xml:space="preserve">SRDEČNÍ KATETRIZACE PŘI AKUTNÍM INFARKTU MYOKARDU BEZ CC                                            </t>
  </si>
  <si>
    <t>05311</t>
  </si>
  <si>
    <t xml:space="preserve">SRDEČNÍ KATETRIZACE PŘI ISCHEMICKÉ CHOROBĚ SRDEČNÍ BEZ CC                                           </t>
  </si>
  <si>
    <t>05312</t>
  </si>
  <si>
    <t xml:space="preserve">SRDEČNÍ KATETRIZACE PŘI ISCHEMICKÉ CHOROBĚ SRDEČNÍ S CC                                             </t>
  </si>
  <si>
    <t>05321</t>
  </si>
  <si>
    <t xml:space="preserve">SRDEČNÍ KATETRIZACE PŘI JINÝCH PORUCHÁCH OBĚHOVÉHO SYSTÉMU BE                                       </t>
  </si>
  <si>
    <t>05322</t>
  </si>
  <si>
    <t xml:space="preserve">SRDEČNÍ KATETRIZACE PŘI JINÝCH PORUCHÁCH OBĚHOVÉHO SYSTÉMU S                                        </t>
  </si>
  <si>
    <t>05323</t>
  </si>
  <si>
    <t>05343</t>
  </si>
  <si>
    <t xml:space="preserve">AKUTNÍ A SUBAKUTNÍ ENDOKARDITIDA S MCC                                                              </t>
  </si>
  <si>
    <t>05353</t>
  </si>
  <si>
    <t xml:space="preserve">SRDEČNÍ SELHÁNÍ S MCC                                                                               </t>
  </si>
  <si>
    <t>05381</t>
  </si>
  <si>
    <t xml:space="preserve">PERIFERNÍ A JINÉ VASKULÁRNÍ PORUCHY BEZ CC                                                          </t>
  </si>
  <si>
    <t>05382</t>
  </si>
  <si>
    <t xml:space="preserve">PERIFERNÍ A JINÉ VASKULÁRNÍ PORUCHY S CC                                                            </t>
  </si>
  <si>
    <t>05383</t>
  </si>
  <si>
    <t xml:space="preserve">PERIFERNÍ A JINÉ VASKULÁRNÍ PORUCHY S MCC                                                           </t>
  </si>
  <si>
    <t>05391</t>
  </si>
  <si>
    <t xml:space="preserve">ATEROSKLERÓZA BEZ CC                                                                                </t>
  </si>
  <si>
    <t>05392</t>
  </si>
  <si>
    <t xml:space="preserve">ATEROSKLERÓZA S CC                                                                                  </t>
  </si>
  <si>
    <t>05411</t>
  </si>
  <si>
    <t xml:space="preserve">VROZENÉ SRDEČNÍ A CHLOPENNÍ PORUCHY BEZ CC                                                          </t>
  </si>
  <si>
    <t>05412</t>
  </si>
  <si>
    <t xml:space="preserve">VROZENÉ SRDEČNÍ A CHLOPENNÍ PORUCHY S CC                                                            </t>
  </si>
  <si>
    <t>05421</t>
  </si>
  <si>
    <t xml:space="preserve">SRDEČNÍ ARYTMIE A PORUCHY VEDENÍ BEZ CC                                                             </t>
  </si>
  <si>
    <t>05422</t>
  </si>
  <si>
    <t xml:space="preserve">SRDEČNÍ ARYTMIE A PORUCHY VEDENÍ S CC                                                               </t>
  </si>
  <si>
    <t>05461</t>
  </si>
  <si>
    <t xml:space="preserve">SELHÁNÍ, REAKCE A KOMPLIKACE SRDEČNÍHO ČI VASKULÁRNÍHO PŘÍSTR                                       </t>
  </si>
  <si>
    <t>05472</t>
  </si>
  <si>
    <t xml:space="preserve">JINÉ PORUCHY OBĚHOVÉHO SYSTÉMU S CC                                                                 </t>
  </si>
  <si>
    <t>05501</t>
  </si>
  <si>
    <t xml:space="preserve">ANGIOPLASTIKA NEBO ZAVEDENÍ STENTU DO PERIFERNÍ CÉVY BEZ CC                                         </t>
  </si>
  <si>
    <t>06081</t>
  </si>
  <si>
    <t xml:space="preserve">LAPAROTOMICKÉ VÝKONY PŘI TŘÍSELNÉ, STEHENNÍ, UMBILIKÁLNÍ NEBO                                       </t>
  </si>
  <si>
    <t>08161</t>
  </si>
  <si>
    <t xml:space="preserve">VÝKONY NA MĚKKÉ TKÁNI BEZ CC                                                                        </t>
  </si>
  <si>
    <t>08162</t>
  </si>
  <si>
    <t xml:space="preserve">VÝKONY NA MĚKKÉ TKÁNI S CC                                                                          </t>
  </si>
  <si>
    <t>08321</t>
  </si>
  <si>
    <t xml:space="preserve">ZLOMENINA NEBO DISLOKACE, KROMĚ STEHENNÍ KOSTI A PÁNVE BEZ CC                                       </t>
  </si>
  <si>
    <t>11301</t>
  </si>
  <si>
    <t xml:space="preserve">MALIGNÍ ONEMOCNĚNÍ LEDVIN A MOČOVÝCH CEST A LEDVINOVÉ SELHÁNÍ                                       </t>
  </si>
  <si>
    <t>17313</t>
  </si>
  <si>
    <t xml:space="preserve">LYMFOM A NEAKUTNÍ LEUKÉMIE S MCC                                                                    </t>
  </si>
  <si>
    <t>18021</t>
  </si>
  <si>
    <t xml:space="preserve">VÝKONY PRO POOPERAČNÍ A POÚRAZOVÉ INFEKCE BEZ CC                                                    </t>
  </si>
  <si>
    <t>18022</t>
  </si>
  <si>
    <t xml:space="preserve">VÝKONY PRO POOPERAČNÍ A POÚRAZOVÉ INFEKCE S CC                                                      </t>
  </si>
  <si>
    <t>18023</t>
  </si>
  <si>
    <t xml:space="preserve">VÝKONY PRO POOPERAČNÍ A POÚRAZOVÉ INFEKCE S MCC                                                     </t>
  </si>
  <si>
    <t>18322</t>
  </si>
  <si>
    <t xml:space="preserve">HOREČKA NEZNÁMÉHO PŮVODU S CC                                                                       </t>
  </si>
  <si>
    <t>21021</t>
  </si>
  <si>
    <t xml:space="preserve">JINÉ VÝKONY PŘI ÚRAZECH A KOMPLIKACÍCH BEZ CC                                                       </t>
  </si>
  <si>
    <t>21332</t>
  </si>
  <si>
    <t xml:space="preserve">KOMPLIKACE PŘI LÉČENÍ S CC                                                                          </t>
  </si>
  <si>
    <t>Porovnání jednotlivých IR DRG skupin</t>
  </si>
  <si>
    <t>22 - KNM: Klinika nukleární medicíny</t>
  </si>
  <si>
    <t>33 - OKB: Oddělení klinické biochemie</t>
  </si>
  <si>
    <t>34 - RTG: Radiologická klinika</t>
  </si>
  <si>
    <t>35 - TO: Transfuzní oddělení</t>
  </si>
  <si>
    <t>37 - PATOL: Ústav patologie</t>
  </si>
  <si>
    <t>40 - MIKRO: Ústav mikrobiologie</t>
  </si>
  <si>
    <t>41 - IMUNO: Ústav imunologie</t>
  </si>
  <si>
    <t>44 - LEM: LEM</t>
  </si>
  <si>
    <t>22</t>
  </si>
  <si>
    <t>407</t>
  </si>
  <si>
    <t>0002018</t>
  </si>
  <si>
    <t>99mTc-makrosalb inj.</t>
  </si>
  <si>
    <t>0002027</t>
  </si>
  <si>
    <t>99mTc-MIBI inj.</t>
  </si>
  <si>
    <t>0002087</t>
  </si>
  <si>
    <t>18F-FDG</t>
  </si>
  <si>
    <t>47269</t>
  </si>
  <si>
    <t>TOMOGRAFICKÁ SCINTIGRAFIE - SPECT</t>
  </si>
  <si>
    <t>47273</t>
  </si>
  <si>
    <t>KVANTIFIKACE DYNAMICKÝCH A TOMOGRAFICKÝCH SCINTIGR</t>
  </si>
  <si>
    <t>47355</t>
  </si>
  <si>
    <t>HYBRIDNÍ VÝPOČETNÍ A POZITRONOVÁ EMISNÍ TOMOGRAFIE</t>
  </si>
  <si>
    <t>47257</t>
  </si>
  <si>
    <t>SCINTIGRAFIE PLIC PERFÚZNÍ</t>
  </si>
  <si>
    <t>816</t>
  </si>
  <si>
    <t>94947</t>
  </si>
  <si>
    <t>(VZP) FAKTOR II 20210G&gt;A</t>
  </si>
  <si>
    <t>94946</t>
  </si>
  <si>
    <t>(VZP) DEF. FAKTORU V (LEIDEN)</t>
  </si>
  <si>
    <t>94954</t>
  </si>
  <si>
    <t>(VZP) INHIBITOR AKTIVÁTORU PLAZMINOGENU (PAI-1)</t>
  </si>
  <si>
    <t>818</t>
  </si>
  <si>
    <t>91427</t>
  </si>
  <si>
    <t>IZOLACE MONONUKLEÁRŮ Z PERIFERNÍ KRVE GRADIENTOVOU</t>
  </si>
  <si>
    <t>91431</t>
  </si>
  <si>
    <t>ZVLÁŠTĚ NÁROČNÉ IZOLACE BUNĚK GRADIENTOVOU CENTRIF</t>
  </si>
  <si>
    <t>96157</t>
  </si>
  <si>
    <t>STANOVENÍ HEPARINOVÝCH JEDNOTEK ANTI XA</t>
  </si>
  <si>
    <t>96167</t>
  </si>
  <si>
    <t>KREVNÍ OBRAZ S PĚTI POPULAČNÍM DIFERENCIÁLNÍM POČT</t>
  </si>
  <si>
    <t>96191</t>
  </si>
  <si>
    <t>FAKTOR VIII - STANOVENÍ AKTIVITY</t>
  </si>
  <si>
    <t>96197</t>
  </si>
  <si>
    <t>FAKTOR XI - STANOVENÍ AKTIVITY</t>
  </si>
  <si>
    <t>96247</t>
  </si>
  <si>
    <t>AGREGACE TROMBOCYTŮ INDUKOVANÁ BĚŽNÝMI INDUKTORY -</t>
  </si>
  <si>
    <t>96321</t>
  </si>
  <si>
    <t>POČET TROMBOCYTŮ MIKROSKOPICKY</t>
  </si>
  <si>
    <t>96617</t>
  </si>
  <si>
    <t>TROMBINOVÝ ČAS</t>
  </si>
  <si>
    <t>96621</t>
  </si>
  <si>
    <t>AKTIVOVANÝ PARTIALNÍ TROMBOPLASTINOVÝ TEST (APTT)</t>
  </si>
  <si>
    <t>96711</t>
  </si>
  <si>
    <t>PANOPTICKÉ OBARVENÍ NÁTĚRU PERIFERNÍ KRVE NEBO ASP</t>
  </si>
  <si>
    <t>96857</t>
  </si>
  <si>
    <t>STANOVENÍ POČTU RETIKULOCYTŮ NA AUTOMATICKÉM ANALY</t>
  </si>
  <si>
    <t>96881</t>
  </si>
  <si>
    <t>AGREGAČNÍ TEST NA HEPARINEM INDUKOVANOU TROMBOCYTO</t>
  </si>
  <si>
    <t>91439</t>
  </si>
  <si>
    <t>IMUNOFENOTYPIZACE BUNĚČNÝCH SUBPOPULACÍ DLE POVRCH</t>
  </si>
  <si>
    <t>96315</t>
  </si>
  <si>
    <t>ANALÝZA KREVNÍHO NÁTĚRU PANOPTICKY OBARVENÉHO. IND</t>
  </si>
  <si>
    <t>96265</t>
  </si>
  <si>
    <t>PROTEIN S - VOLNÝ</t>
  </si>
  <si>
    <t>96813</t>
  </si>
  <si>
    <t>ANTITROMBIN III, CHROMOGENNÍ METODOU (SÉRIE)</t>
  </si>
  <si>
    <t>96515</t>
  </si>
  <si>
    <t>FIBRIN DEGRADAČNÍ PRODUKTY KVANTITATIVNĚ</t>
  </si>
  <si>
    <t>96113</t>
  </si>
  <si>
    <t>PLAZMINOGEN - AKTIVITA</t>
  </si>
  <si>
    <t>96325</t>
  </si>
  <si>
    <t>FIBRINOGEN (SÉRIE)</t>
  </si>
  <si>
    <t>96613</t>
  </si>
  <si>
    <t>VYŠETŘENÍ NÁTĚRU NA SCHIZOCYTY</t>
  </si>
  <si>
    <t>96193</t>
  </si>
  <si>
    <t>FAKTOR IX - STANOVENÍ AKTIVITY</t>
  </si>
  <si>
    <t>96863</t>
  </si>
  <si>
    <t>STANOVENÍ POČTU ERYTROBLASTŮ NA AUTOMATICKÉM ANALY</t>
  </si>
  <si>
    <t>96185</t>
  </si>
  <si>
    <t>FAKTOR II. - STANOVENÍ AKTIVITY</t>
  </si>
  <si>
    <t>96199</t>
  </si>
  <si>
    <t>PROTEIN C - FUNKČNÍ AKTIVITA</t>
  </si>
  <si>
    <t>96215</t>
  </si>
  <si>
    <t>APC REZISTENCE</t>
  </si>
  <si>
    <t>96879</t>
  </si>
  <si>
    <t>DRVVT - SCREENING LA</t>
  </si>
  <si>
    <t>96249</t>
  </si>
  <si>
    <t>AGREGACE TROMBOCYTŮ INDUKOVANÁ OSTATNÍMI INDUKTORY</t>
  </si>
  <si>
    <t>96143</t>
  </si>
  <si>
    <t>T - PA AG</t>
  </si>
  <si>
    <t>96149</t>
  </si>
  <si>
    <t>PAI  ANTIGEN</t>
  </si>
  <si>
    <t>96877</t>
  </si>
  <si>
    <t>DRVVT - KOREKCE</t>
  </si>
  <si>
    <t>33</t>
  </si>
  <si>
    <t>801</t>
  </si>
  <si>
    <t>81111</t>
  </si>
  <si>
    <t>A L T  STATIM</t>
  </si>
  <si>
    <t>81117</t>
  </si>
  <si>
    <t>AMYLASA (SÉRUM, MOČ) STATIM</t>
  </si>
  <si>
    <t>81121</t>
  </si>
  <si>
    <t>BILIRUBIN CELKOVÝ STATIM</t>
  </si>
  <si>
    <t>81137</t>
  </si>
  <si>
    <t>UREA STATIM</t>
  </si>
  <si>
    <t>81147</t>
  </si>
  <si>
    <t>FOSFATÁZA ALKALICKÁ STATIM</t>
  </si>
  <si>
    <t>81157</t>
  </si>
  <si>
    <t>CHLORIDY STATIM</t>
  </si>
  <si>
    <t>81161</t>
  </si>
  <si>
    <t>AMYLÁZA PANKREATICKÁ STATIM</t>
  </si>
  <si>
    <t>81171</t>
  </si>
  <si>
    <t>KYSELINA MLÉČNÁ (LAKTÁT) STATIM</t>
  </si>
  <si>
    <t>81227</t>
  </si>
  <si>
    <t>PROSTATICKÝ SPECIFICKÝ ANTIGEN (PSA) - VOLNÝ</t>
  </si>
  <si>
    <t>81231</t>
  </si>
  <si>
    <t>METHEMOGLOBIN - KVANTITATIVNÍ STANOVENÍ</t>
  </si>
  <si>
    <t>81237</t>
  </si>
  <si>
    <t>TROPONIN - T NEBO I ELISA</t>
  </si>
  <si>
    <t>81397</t>
  </si>
  <si>
    <t>ELEKTROFORÉZA PROTEINŮ (SÉRUM)</t>
  </si>
  <si>
    <t>81427</t>
  </si>
  <si>
    <t>FOSFOR ANORGANICKÝ</t>
  </si>
  <si>
    <t>81451</t>
  </si>
  <si>
    <t>HEMOGLOBIN VOLNÝ V PLAZMĚ</t>
  </si>
  <si>
    <t>81481</t>
  </si>
  <si>
    <t>AMYLÁZA PANKREATICKÁ</t>
  </si>
  <si>
    <t>81527</t>
  </si>
  <si>
    <t>CHOLESTEROL LDL</t>
  </si>
  <si>
    <t>81641</t>
  </si>
  <si>
    <t>ŽELEZO CELKOVÉ</t>
  </si>
  <si>
    <t>81707</t>
  </si>
  <si>
    <t>CHORIOGONADOTROPIN V SÉRU - VOLNÁ \BETA - PODJEDNO</t>
  </si>
  <si>
    <t>81717</t>
  </si>
  <si>
    <t>STANOVENÍ KONCENTRACE PROTEINU S-100B (S-100BB, S-</t>
  </si>
  <si>
    <t>81721</t>
  </si>
  <si>
    <t>IMUNOTURBIDIMETRICKÉ A/NEBO IMUNONEFELOMETRICKÉ ST</t>
  </si>
  <si>
    <t>81731</t>
  </si>
  <si>
    <t>STANOVENÍ NATRIURETICKÝCH PEPTIDŮ V SÉRU A V PLAZM</t>
  </si>
  <si>
    <t>81747</t>
  </si>
  <si>
    <t xml:space="preserve">VYŠETŘENÍ TANDEMOVOU HMOTNOSTNÍ SPEKTROMETRIÍ PRO </t>
  </si>
  <si>
    <t>91137</t>
  </si>
  <si>
    <t>STANOVENÍ TRANSFERINU</t>
  </si>
  <si>
    <t>91167</t>
  </si>
  <si>
    <t>STANOVENÍ LEHKÝCH ŘETĚZCU KAPPA</t>
  </si>
  <si>
    <t>91397</t>
  </si>
  <si>
    <t>ELEKTROFORESA S NÁSLEDNOU IMUNOFIXACÍ (KOMPLEX - I</t>
  </si>
  <si>
    <t>91481</t>
  </si>
  <si>
    <t>STANOVENÍ KONCENTRACE PROCALCITONINU</t>
  </si>
  <si>
    <t>93131</t>
  </si>
  <si>
    <t>KORTISOL</t>
  </si>
  <si>
    <t>93151</t>
  </si>
  <si>
    <t>FERRITIN</t>
  </si>
  <si>
    <t>93187</t>
  </si>
  <si>
    <t>TYROXIN CELKOVÝ (TT4)</t>
  </si>
  <si>
    <t>93217</t>
  </si>
  <si>
    <t>AUTOPROTILÁTKY PROTI MIKROSOMÁLNÍMU ANTIGENU</t>
  </si>
  <si>
    <t>93231</t>
  </si>
  <si>
    <t>TYREOGLOBULIN AUTOPROTILÁTKY</t>
  </si>
  <si>
    <t>81119</t>
  </si>
  <si>
    <t>AMONIAK STATIM</t>
  </si>
  <si>
    <t>81135</t>
  </si>
  <si>
    <t>SODÍK STATIM</t>
  </si>
  <si>
    <t>81473</t>
  </si>
  <si>
    <t>CHOLESTEROL HDL</t>
  </si>
  <si>
    <t>81563</t>
  </si>
  <si>
    <t>OSMOLALITA (SÉRUM, MOČ)</t>
  </si>
  <si>
    <t>93189</t>
  </si>
  <si>
    <t>TYROXIN VOLNÝ (FT4)</t>
  </si>
  <si>
    <t>81585</t>
  </si>
  <si>
    <t>ACIDOBAZICKÁ ROVNOVÁHA</t>
  </si>
  <si>
    <t>93245</t>
  </si>
  <si>
    <t>TRIJODTYRONIN VOLNÝ (FT3)</t>
  </si>
  <si>
    <t>91153</t>
  </si>
  <si>
    <t>STANOVENÍ  C - REAKTIVNÍHO PROTEINU</t>
  </si>
  <si>
    <t>81145</t>
  </si>
  <si>
    <t>DRASLÍK STATIM</t>
  </si>
  <si>
    <t>81153</t>
  </si>
  <si>
    <t>GAMA-GLUTAMYLTRANSFERÁZA (GMT) STATIM</t>
  </si>
  <si>
    <t>81113</t>
  </si>
  <si>
    <t>A S T  STATIM</t>
  </si>
  <si>
    <t>93225</t>
  </si>
  <si>
    <t>PROSTATICKÝ SPECIFICKÝ ANTIGEN (PSA)</t>
  </si>
  <si>
    <t>81383</t>
  </si>
  <si>
    <t>LAKTÁTDEHYDROGENÁZA (L D)</t>
  </si>
  <si>
    <t>81169</t>
  </si>
  <si>
    <t>KREATININ STATIM</t>
  </si>
  <si>
    <t>81143</t>
  </si>
  <si>
    <t>LAKTÁTDEHYDROGENÁZA STATIM</t>
  </si>
  <si>
    <t>81495</t>
  </si>
  <si>
    <t>KREATINKINÁZA (CK)</t>
  </si>
  <si>
    <t>81449</t>
  </si>
  <si>
    <t>GLYKOVANÝ HEMOGLOBIN</t>
  </si>
  <si>
    <t>81149</t>
  </si>
  <si>
    <t>FOSFOR ANORGANICKÝ STATIM</t>
  </si>
  <si>
    <t>81173</t>
  </si>
  <si>
    <t>LIPÁZA STATIM</t>
  </si>
  <si>
    <t>93195</t>
  </si>
  <si>
    <t>TYREOTROPIN (TSH)</t>
  </si>
  <si>
    <t>93213</t>
  </si>
  <si>
    <t>VITAMIN B12</t>
  </si>
  <si>
    <t>81329</t>
  </si>
  <si>
    <t>ALBUMIN (SÉRUM)</t>
  </si>
  <si>
    <t>81115</t>
  </si>
  <si>
    <t>ALBUMIN SÉRUM (STATIM)</t>
  </si>
  <si>
    <t>93115</t>
  </si>
  <si>
    <t>FOLÁTY</t>
  </si>
  <si>
    <t>81345</t>
  </si>
  <si>
    <t>AMYLÁZA</t>
  </si>
  <si>
    <t>81155</t>
  </si>
  <si>
    <t>GLUKÓZA KVANTITATIVNÍ STANOVENÍ STATIM</t>
  </si>
  <si>
    <t>93235</t>
  </si>
  <si>
    <t>AUTOPROTILÁTKY PROTI RECEPTORŮM (hTSH)</t>
  </si>
  <si>
    <t>81249</t>
  </si>
  <si>
    <t>CEA (MEIA)</t>
  </si>
  <si>
    <t>81703</t>
  </si>
  <si>
    <t>CYSTATIN C</t>
  </si>
  <si>
    <t>81139</t>
  </si>
  <si>
    <t>VÁPNÍK CELKOVÝ STATIM</t>
  </si>
  <si>
    <t>91143</t>
  </si>
  <si>
    <t>STANOVENÍ PREALBUMINU</t>
  </si>
  <si>
    <t>81363</t>
  </si>
  <si>
    <t>BILIRUBIN KONJUGOVANÝ</t>
  </si>
  <si>
    <t>81625</t>
  </si>
  <si>
    <t>VÁPNÍK CELKOVÝ</t>
  </si>
  <si>
    <t>81465</t>
  </si>
  <si>
    <t>HOŘČÍK</t>
  </si>
  <si>
    <t>93215</t>
  </si>
  <si>
    <t>ALFA - 1 - FETOPROTEIN (AFP)</t>
  </si>
  <si>
    <t>81533</t>
  </si>
  <si>
    <t>LIPÁZA</t>
  </si>
  <si>
    <t>93199</t>
  </si>
  <si>
    <t>TYREOGLOBULIN (TG)</t>
  </si>
  <si>
    <t>81629</t>
  </si>
  <si>
    <t>VAZEBNÁ KAPACITA ŽELEZA</t>
  </si>
  <si>
    <t>93263</t>
  </si>
  <si>
    <t>KARBOHYDRÁT-DEFICIENTNÍ TRANSFERIN (CDT)</t>
  </si>
  <si>
    <t>81369</t>
  </si>
  <si>
    <t>BÍLKOVINA KVANTITATIVNĚ (MOČ, MOZKOM. MOK, VÝPOTEK</t>
  </si>
  <si>
    <t>81125</t>
  </si>
  <si>
    <t>BÍLKOVINY CELKOVÉ (SÉRUM) STATIM</t>
  </si>
  <si>
    <t>81235</t>
  </si>
  <si>
    <t>TUMORMARKERY CA 19-9, CA 15-3, CA 72-4, CA 125</t>
  </si>
  <si>
    <t>91145</t>
  </si>
  <si>
    <t>STANOVENÍ HAPTOGLOBINU</t>
  </si>
  <si>
    <t>81675</t>
  </si>
  <si>
    <t>MIKROALBUMINURIE</t>
  </si>
  <si>
    <t>81123</t>
  </si>
  <si>
    <t>BILIRUBIN KONJUGOVANÝ STATIM</t>
  </si>
  <si>
    <t>93185</t>
  </si>
  <si>
    <t>TRIJODTYRONIN CELKOVÝ (TT3)</t>
  </si>
  <si>
    <t>93265</t>
  </si>
  <si>
    <t>CYFRA 21-1 (NÁDOROVÝ ANTIGEN, CYTOKERATIN FRAGMENT</t>
  </si>
  <si>
    <t>93135</t>
  </si>
  <si>
    <t>MYOGLOBIN V SÉRII</t>
  </si>
  <si>
    <t>81165</t>
  </si>
  <si>
    <t>KREATINKINÁZA (CK) STATIM</t>
  </si>
  <si>
    <t>81233</t>
  </si>
  <si>
    <t>KARBONYLHEMOGLOBIN KVANTITATIVNĚ</t>
  </si>
  <si>
    <t>91169</t>
  </si>
  <si>
    <t>STANOVENÍ LEHKÝCH ŘETĚZCŮ LAMBDA</t>
  </si>
  <si>
    <t>93139</t>
  </si>
  <si>
    <t>ADRENOKORTIKOTROPIN (ACTH)</t>
  </si>
  <si>
    <t>91151</t>
  </si>
  <si>
    <t>STANOVENÍ OROSOMUKOIDU</t>
  </si>
  <si>
    <t>81773</t>
  </si>
  <si>
    <t>KREATINKINÁZA IZOENZYMY CK-MB MASS</t>
  </si>
  <si>
    <t>81775</t>
  </si>
  <si>
    <t>KVANTITATIVNÍ ANALÝZA MOCE</t>
  </si>
  <si>
    <t>81739</t>
  </si>
  <si>
    <t>STANOVENÍ PLACENTÁRNÍHO RŮSTOVÉHO FAKTORU (PIGF) V</t>
  </si>
  <si>
    <t>81741</t>
  </si>
  <si>
    <t>STANOVENÍ KONCENTRACE SOLUBILNÍHO FAKTORU PODOBNÉH</t>
  </si>
  <si>
    <t>81753</t>
  </si>
  <si>
    <t>VYŠETŘENÍ AKTIVITY BIOTINIDÁZY V RÁMCI NOVOROZENEC</t>
  </si>
  <si>
    <t>813</t>
  </si>
  <si>
    <t>91197</t>
  </si>
  <si>
    <t>STANOVENÍ CYTOKINU ELISA</t>
  </si>
  <si>
    <t>34</t>
  </si>
  <si>
    <t>809</t>
  </si>
  <si>
    <t>0003132</t>
  </si>
  <si>
    <t>GADOVIST</t>
  </si>
  <si>
    <t>0042433</t>
  </si>
  <si>
    <t>0095609</t>
  </si>
  <si>
    <t>MICROPAQUE CT</t>
  </si>
  <si>
    <t>0151208</t>
  </si>
  <si>
    <t>0224707</t>
  </si>
  <si>
    <t>0224716</t>
  </si>
  <si>
    <t>0224696</t>
  </si>
  <si>
    <t>ULTRAVIST 300</t>
  </si>
  <si>
    <t>0038462</t>
  </si>
  <si>
    <t>DRÁT VODÍCÍ GUIDE WIRE M</t>
  </si>
  <si>
    <t>0038482</t>
  </si>
  <si>
    <t>0038503</t>
  </si>
  <si>
    <t>SOUPRAVA ZAVÁDĚCÍ INTRODUCER</t>
  </si>
  <si>
    <t>0048668</t>
  </si>
  <si>
    <t>DRÁT VODÍCÍ NITINOL</t>
  </si>
  <si>
    <t>0049439</t>
  </si>
  <si>
    <t>STENTGRAFT AORTÁLNÍ HRUDNÍ - ZENITH TX2 ZTEG-2P; T</t>
  </si>
  <si>
    <t>0052704</t>
  </si>
  <si>
    <t>KATETR DRENÁŽNÍ</t>
  </si>
  <si>
    <t>0053563</t>
  </si>
  <si>
    <t>KATETR DIAGNOSTICKÝ TEMPO4F,5F</t>
  </si>
  <si>
    <t>0053643</t>
  </si>
  <si>
    <t>KATETR BALÓNKOVÝ PTA - QUADRIMATRIX/MARS</t>
  </si>
  <si>
    <t>0054358</t>
  </si>
  <si>
    <t>KATETR DIAGNOSTICKÝ SUPER TORQUE 5F,6F 533525-686</t>
  </si>
  <si>
    <t>0054472</t>
  </si>
  <si>
    <t>KATETR BALÓNKOVÝ OKLUZNÍ PRO ZENITH</t>
  </si>
  <si>
    <t>0056361</t>
  </si>
  <si>
    <t>ZAVADĚČ FLEXOR BALKIN RADIOOPÁKNÍ ZNAČKA</t>
  </si>
  <si>
    <t>0056365</t>
  </si>
  <si>
    <t>ZAVADĚČ MIKROPUNKČNÍ, NITINOLOVÝ VODIČ</t>
  </si>
  <si>
    <t>0057823</t>
  </si>
  <si>
    <t>KATETR ANGIOGRAFICKÝ TORCON,PRŮMĚR 4.1 AŽ 7 FRENCH</t>
  </si>
  <si>
    <t>0058463</t>
  </si>
  <si>
    <t>VODIČ DRÁTĚNÝ LUNDERQUIST EXTRA STIFF</t>
  </si>
  <si>
    <t>0059345</t>
  </si>
  <si>
    <t>INDEFLÁTOR - ZAŘÍZENÍ INSUFLAČNÍ - INFLATION DEVIC</t>
  </si>
  <si>
    <t>0092128</t>
  </si>
  <si>
    <t>SOUPRAVA ZAVÁDĚCÍ DESTINATION - 45CM</t>
  </si>
  <si>
    <t>0092559</t>
  </si>
  <si>
    <t>SADA AG - SYSTÉM PRO UZAVÍRÁNÍ CÉV - FEMORÁLNÍ - S</t>
  </si>
  <si>
    <t>0092932</t>
  </si>
  <si>
    <t>SADA DRENÁŽNÍ S FIXAČNÍ SADOU DRAIN-LOK</t>
  </si>
  <si>
    <t>0152522</t>
  </si>
  <si>
    <t>STENT PERIFERNÍ VASKULÁRNÍ - RADIX2; BALONEXPANDIB</t>
  </si>
  <si>
    <t>0152785</t>
  </si>
  <si>
    <t>STENTGRAFT AORTÁLNÍ HRUDNÍ - ZENITH TX2 DISSECTION</t>
  </si>
  <si>
    <t>0152216</t>
  </si>
  <si>
    <t>STENTGRAFT AORTÁLNÍ HRUDNÍ - ZENITH ALPHA - TĚLO P</t>
  </si>
  <si>
    <t>0054480</t>
  </si>
  <si>
    <t xml:space="preserve">STENTGRAFT AORTÁLNÍ HRUDNÍ - ZENITH PRO TDA; TĚLO </t>
  </si>
  <si>
    <t>89113</t>
  </si>
  <si>
    <t>RTG LEBKY, CÍLENÉ SNÍMKY</t>
  </si>
  <si>
    <t>89123</t>
  </si>
  <si>
    <t>RTG PÁNVE NEBO KYČELNÍHO KLOUBU</t>
  </si>
  <si>
    <t>89127</t>
  </si>
  <si>
    <t>RTG KOSTÍ A KLOUBŮ KONČETIN</t>
  </si>
  <si>
    <t>89129</t>
  </si>
  <si>
    <t>RTG ŽEBER A STERNA</t>
  </si>
  <si>
    <t>89143</t>
  </si>
  <si>
    <t>RTG BŘICHA</t>
  </si>
  <si>
    <t>89323</t>
  </si>
  <si>
    <t>TERAPEUTICKÁ EMBOLIZACE V CÉVNÍM ŘEČIŠTI</t>
  </si>
  <si>
    <t>89327</t>
  </si>
  <si>
    <t>KONTROLNÍ NÁSTŘIK DRENÁŽNÍHO KATÉTRU</t>
  </si>
  <si>
    <t>89409</t>
  </si>
  <si>
    <t>ZAVEDENÍ STENTGRAFTU DO NEKORONÁRNÍHO TEPENNÉHO NE</t>
  </si>
  <si>
    <t>89417</t>
  </si>
  <si>
    <t xml:space="preserve">PŘEHLEDNÁ ČI SELEKTIVNÍ ANGIOGRAFIE NAVAZUJÍCÍ NA </t>
  </si>
  <si>
    <t>89423</t>
  </si>
  <si>
    <t>PERKUTÁNNÍ TRANSLUMINÁLNÍ ANGIOPLASTIKA</t>
  </si>
  <si>
    <t>89617</t>
  </si>
  <si>
    <t>CT VYŠETŘENÍ KTERÉHOKOLIV ORGÁNU NEBO OBLASTI S AP</t>
  </si>
  <si>
    <t>89619</t>
  </si>
  <si>
    <t>CT VYŠETŘENÍ TĚLA S PODÁNÍM K. L. PER OS, EVENT. P</t>
  </si>
  <si>
    <t>89713</t>
  </si>
  <si>
    <t>MR ZOBRAZENÍ HLAVY, KONČETIN, KLOUBU, JEDNOHO ÚSEK</t>
  </si>
  <si>
    <t>89723</t>
  </si>
  <si>
    <t>MR ANGIOGRAFIE</t>
  </si>
  <si>
    <t>89131</t>
  </si>
  <si>
    <t>RTG HRUDNÍKU</t>
  </si>
  <si>
    <t>89615</t>
  </si>
  <si>
    <t>CT VYŠETŘENÍ S VĚTŠÍM POČTEM SKENŮ (NAD 30), BEZ P</t>
  </si>
  <si>
    <t>89725</t>
  </si>
  <si>
    <t>OPAKOVANÉ ČI DOPLŇUJÍCÍ VYŠETŘENÍ MR</t>
  </si>
  <si>
    <t>89331</t>
  </si>
  <si>
    <t>ZAVEDENÍ STENTU DO TEPENNÉHO ČI ŽILNÍHO ŘEČIŠTĚ</t>
  </si>
  <si>
    <t>89111</t>
  </si>
  <si>
    <t>RTG PRSTŮ A ZÁPRSTNÍCH KŮSTEK RUKY NEBO NOHY</t>
  </si>
  <si>
    <t>89125</t>
  </si>
  <si>
    <t>RTG RAMENNÍHO KLOUBU</t>
  </si>
  <si>
    <t>89201</t>
  </si>
  <si>
    <t>SKIASKOPIE NA OPERAČNÍM ČI ZÁKROKOVÉM SÁLE MOBILNÍ</t>
  </si>
  <si>
    <t>89115</t>
  </si>
  <si>
    <t>RTG LEBKY, PŘEHLEDNÉ SNÍMKY</t>
  </si>
  <si>
    <t>89611</t>
  </si>
  <si>
    <t>CT VYŠETŘENÍ HLAVY NEBO TĚLA NATIVNÍ A KONTRASTNÍ</t>
  </si>
  <si>
    <t>89415</t>
  </si>
  <si>
    <t>89411</t>
  </si>
  <si>
    <t>PŘEHLEDNÁ  ČI SELEKTIVNÍ ANGIOGRAFIE</t>
  </si>
  <si>
    <t>89325</t>
  </si>
  <si>
    <t>PERKUTÁNNÍ DRENÁŽ ABSCESU, CYSTY EV. JINÉ DUTINY R</t>
  </si>
  <si>
    <t>35</t>
  </si>
  <si>
    <t>222</t>
  </si>
  <si>
    <t>22119</t>
  </si>
  <si>
    <t>VYŠETŘENÍ KOMPATIBILITY TRANSFÚZNÍHO PŘÍPRAVKU OBS</t>
  </si>
  <si>
    <t>22120</t>
  </si>
  <si>
    <t>22129</t>
  </si>
  <si>
    <t xml:space="preserve">VYŠETŘENÍ JEDNOHO ERYTROCYTÁRNÍHO ANTIGENU (KROMĚ </t>
  </si>
  <si>
    <t>22134</t>
  </si>
  <si>
    <t>UPŘESNĚNÍ TYPU SENZIBILIZACE ERYTROCYTŮ</t>
  </si>
  <si>
    <t>22135</t>
  </si>
  <si>
    <t>PŘÍMÝ ANTIGLOBULINOVÝ TEST - KVANTITATIVNÍ VYŠETŘE</t>
  </si>
  <si>
    <t>22214</t>
  </si>
  <si>
    <t>SCREENING ANTIERYTROCYTÁRNÍCH PROTILÁTEK - V SÉRII</t>
  </si>
  <si>
    <t>22219</t>
  </si>
  <si>
    <t>22325</t>
  </si>
  <si>
    <t>ABSORPCE PROTILÁTEK PROTI ERYTROCYTUM PŘI URČOVÁNÍ</t>
  </si>
  <si>
    <t>22339</t>
  </si>
  <si>
    <t>TITRACE ANTIERYTROCYTÁRNÍCH PROTILÁTEK</t>
  </si>
  <si>
    <t>22355</t>
  </si>
  <si>
    <t>KONZULTACE ODBORNÉHO TRANSFÚZIOLOGA - IMUNOHEMATOL</t>
  </si>
  <si>
    <t>82077</t>
  </si>
  <si>
    <t>STANOVENÍ PROTILÁTEK CELKOVÝCH I IGM PROTI ANTIGEN</t>
  </si>
  <si>
    <t>22111</t>
  </si>
  <si>
    <t>VYŠETŘENÍ KREVNÍ SKUPINY ABO RH (D) - STATIM</t>
  </si>
  <si>
    <t>22221</t>
  </si>
  <si>
    <t>DOPLNĚNÍ SCREENINGU ANTIERYTROCYTÁRNÍCH PROTILÁTEK</t>
  </si>
  <si>
    <t>22223</t>
  </si>
  <si>
    <t>22212</t>
  </si>
  <si>
    <t>SCREENING ANTIERYTROCYTÁRNÍCH PROTILÁTEK - STATIM,</t>
  </si>
  <si>
    <t>82079</t>
  </si>
  <si>
    <t>STANOVENÍ PROTILÁTEK PROTI ANTIGENŮM VIRŮ (KROMĚ H</t>
  </si>
  <si>
    <t>22112</t>
  </si>
  <si>
    <t>VYŠETŘENÍ KREVNÍ SKUPINY ABO, RH (D) V SÉRII</t>
  </si>
  <si>
    <t>22117</t>
  </si>
  <si>
    <t>22131</t>
  </si>
  <si>
    <t>VYŠETŘENÍ CHLADOVÝCH AGLUTININŮ</t>
  </si>
  <si>
    <t>22347</t>
  </si>
  <si>
    <t>IDENTIFIKACE ANTIERYTROCYTÁRNÍCH PROTILÁTEK - SLOU</t>
  </si>
  <si>
    <t>22133</t>
  </si>
  <si>
    <t>PŘÍMÝ ANTIGLOBULINOVÝ TEST</t>
  </si>
  <si>
    <t>22357</t>
  </si>
  <si>
    <t>KONZULTACE DISKREPANTNÍHO A DIAGNOSTICKY OBTÍŽNÉHO</t>
  </si>
  <si>
    <t>22341</t>
  </si>
  <si>
    <t>IDENTIFIKACE ANTIERYTROCYTÁRNÍCH PROTILÁTEK - ZKUM</t>
  </si>
  <si>
    <t>37</t>
  </si>
  <si>
    <t>807</t>
  </si>
  <si>
    <t>87127</t>
  </si>
  <si>
    <t>JEDNODUCHÝ BIOPTICKÝ VZOREK: MAKROSKOPICKÉ POSOUZE</t>
  </si>
  <si>
    <t>87131</t>
  </si>
  <si>
    <t>BIOPTICKÝ MATERIÁL S ČÁSTEČNÉ NEBO RADIKÁLNÍ EKTOM</t>
  </si>
  <si>
    <t>87213</t>
  </si>
  <si>
    <t>PEROPERAČNÍ BIOPSIE (TECHNICKÁ KOMPONENTA ZA KAŽDÝ</t>
  </si>
  <si>
    <t>87217</t>
  </si>
  <si>
    <t>PROKRAJOVÁNÍ BLOKU (POLOSÉRIOVÉ ŘEZY) S 1-3 PREPAR</t>
  </si>
  <si>
    <t>87223</t>
  </si>
  <si>
    <t>SPECIELNÍ BARVENÍ JEDNODUCHÉ (KAŽDÝ PREPARÁT Z PAR</t>
  </si>
  <si>
    <t>87231</t>
  </si>
  <si>
    <t>IMUNOHISTOCHEMIE (ZA KAŽDÝ MARKER Z 1 BLOKU)</t>
  </si>
  <si>
    <t>87413</t>
  </si>
  <si>
    <t>CYTOLOGICKÉ OTISKY A STĚRY -  ZA 1-3 PREPARÁTY</t>
  </si>
  <si>
    <t>87433</t>
  </si>
  <si>
    <t>STANDARDNÍ CYTOLOGICKÉ BARVENÍ,  ZA 1-3 PREPARÁTY</t>
  </si>
  <si>
    <t>87517</t>
  </si>
  <si>
    <t>STANOVENÍ BIOPTICKÉ DIAGNÓZY II. STUPNĚ OBTÍŽNOSTI</t>
  </si>
  <si>
    <t>87523</t>
  </si>
  <si>
    <t>STANOVENÍ BIOPTICKÉ DIAGNÓZY III. STUPNĚ OBTÍŽNOST</t>
  </si>
  <si>
    <t>87613</t>
  </si>
  <si>
    <t>TECHNICKO ADMINISTRATIVNÍ KOMPONENTA BIOPSIE (STAN</t>
  </si>
  <si>
    <t>87235</t>
  </si>
  <si>
    <t>VYŠETŘENÍ PREPARÁTU SPECIELNĚ BARVENÉHO NA MIKROOR</t>
  </si>
  <si>
    <t>87525</t>
  </si>
  <si>
    <t>STANOVENÍ CYTOLOGICKÉ DIAGNÓZY III. STUPNĚ OBTÍŽNO</t>
  </si>
  <si>
    <t>87225</t>
  </si>
  <si>
    <t>SPECIELNI BARVENÍ SLOŽITÉ (ZA KAŽDÝ PREPARÁT ZE ZM</t>
  </si>
  <si>
    <t>87129</t>
  </si>
  <si>
    <t>VÍCEČETNÉ MALÉ BIOPTICKÉ VZORKY: MAKROSKOPICKÉ POS</t>
  </si>
  <si>
    <t>94115</t>
  </si>
  <si>
    <t>IN SITU HYBRIDIZACE LIDSKÉ DNA SE ZNAČENOU SONDOU</t>
  </si>
  <si>
    <t>87215</t>
  </si>
  <si>
    <t>DALŠÍ BLOK SE STANDARTNÍM PREPARÁTEM (OD 3. BIOPTI</t>
  </si>
  <si>
    <t>87219</t>
  </si>
  <si>
    <t>ODVÁPNĚNÍ, ZMĚKČOVÁNÍ MATERIÁLU (ZA KAŽDÉ ZAPOČATÉ</t>
  </si>
  <si>
    <t>87411</t>
  </si>
  <si>
    <t>PEROPERAČNÍ CYTOLOGIE (TECHNICKÁ KOMPONENTA ZA KAŽ</t>
  </si>
  <si>
    <t>87611</t>
  </si>
  <si>
    <t>TECHNICKÁ KOMPONENTA MIKROSKOPICKÉHO VYŠETŘENÍ PIT</t>
  </si>
  <si>
    <t>40</t>
  </si>
  <si>
    <t>802</t>
  </si>
  <si>
    <t>82001</t>
  </si>
  <si>
    <t>KONZULTACE K MIKROBIOLOGICKÉMU, PARAZITOLOGICKÉMU,</t>
  </si>
  <si>
    <t>82041</t>
  </si>
  <si>
    <t>AMPLIFIKACE EXTRAHUMÁNNÍHO GENOMU METODOU POLYMERÁ</t>
  </si>
  <si>
    <t>82057</t>
  </si>
  <si>
    <t>IDENTIFIKACE KMENE ORIENTAČNÍ JEDNODUCHÝM TESTEM</t>
  </si>
  <si>
    <t>82097</t>
  </si>
  <si>
    <t>STANOVENÍ PROTILÁTEK PROTI EBV A DALŠÍM VIRŮM (CMV</t>
  </si>
  <si>
    <t>82111</t>
  </si>
  <si>
    <t>PRŮKAZ PROTILÁTEK NEPŘÍMOU HEMAGLUTINACÍ NA NOSIČÍ</t>
  </si>
  <si>
    <t>82117</t>
  </si>
  <si>
    <t>PRŮKAZ ANTIGENU VIRU (MIMO VIRY HEPATITID), BAKTER</t>
  </si>
  <si>
    <t>82131</t>
  </si>
  <si>
    <t>IDENTIFIKACE BAKTERIÁLNÍHO KMENE V KULTUŘE (POMNOŽ</t>
  </si>
  <si>
    <t>82211</t>
  </si>
  <si>
    <t>KULTIVAČNÍ VYŠETŘENÍ NA MYKOBAKTERIA</t>
  </si>
  <si>
    <t>82221</t>
  </si>
  <si>
    <t>KULTIVAČNÍ VYŠETŘENÍ NA MYKOBAKTERIA RYCHLOU KULTI</t>
  </si>
  <si>
    <t>82231</t>
  </si>
  <si>
    <t>KULTIVAČNÍ VYŠETŘENÍ MYKOPLASMAT A L-FOREM BAKTÉRI</t>
  </si>
  <si>
    <t>98117</t>
  </si>
  <si>
    <t>CÍLENÁ IDENTIFIKACE CANDIDA ALBICANS</t>
  </si>
  <si>
    <t>82065</t>
  </si>
  <si>
    <t>STANOVENÍ CITLIVOSTI NA ATB KVANTITATIVNÍ METODOU</t>
  </si>
  <si>
    <t>82003</t>
  </si>
  <si>
    <t>TELEFONICKÁ KONZULTACE K MIKROBIOLOGICKÉMU, PARAZI</t>
  </si>
  <si>
    <t>82025</t>
  </si>
  <si>
    <t>KULTIVAČNÍ VYŠETŘENÍ NA GO</t>
  </si>
  <si>
    <t>82069</t>
  </si>
  <si>
    <t>STANOVENÍ PRODUKCE BETA-LAKTAMÁZY</t>
  </si>
  <si>
    <t>82063</t>
  </si>
  <si>
    <t>STANOVENÍ CITLIVOSTI NA ATB KVALITATIVNÍ METODOU</t>
  </si>
  <si>
    <t>98119</t>
  </si>
  <si>
    <t>IDENTIFIKACE VLÁKNITÝCH HUB</t>
  </si>
  <si>
    <t>91483</t>
  </si>
  <si>
    <t>STANOVENÍ ANTIGENU HELICOBACTER PYLORI VE STOLICI</t>
  </si>
  <si>
    <t>82083</t>
  </si>
  <si>
    <t>PRŮKAZ BAKTERIÁLNÍHO TOXINU NEBO ANTIGENU</t>
  </si>
  <si>
    <t>82233</t>
  </si>
  <si>
    <t>IDENTIFIKACE MYKOPLASMAT</t>
  </si>
  <si>
    <t>82149</t>
  </si>
  <si>
    <t>SEROTYPIZACE STŘEVNÍCH A JINÝCH PATOGENŮ</t>
  </si>
  <si>
    <t>82033</t>
  </si>
  <si>
    <t>KONTROLA STERILITY KLINICKÉHO VZORKU</t>
  </si>
  <si>
    <t>82034</t>
  </si>
  <si>
    <t>IZOLACE DNA PRO VYŠETŘENÍ EXTRAHUMÁNNÍHO GENOMU</t>
  </si>
  <si>
    <t>82040</t>
  </si>
  <si>
    <t>IZOLACE RNA A TRANSKRIPCE PRO VYŠETŘENÍ EXTRAHUMÁN</t>
  </si>
  <si>
    <t>82060</t>
  </si>
  <si>
    <t>ANALÝZA HMOTOVÉHO SPEKTRA</t>
  </si>
  <si>
    <t>82066</t>
  </si>
  <si>
    <t>STANOVENÍ CITLIVOSTI NA ATB E-TESTEM</t>
  </si>
  <si>
    <t>41</t>
  </si>
  <si>
    <t>82241</t>
  </si>
  <si>
    <t>DETEKCE IN VITRO STIMULACE T LYMFOCYTŮ SPECIFICKÝM</t>
  </si>
  <si>
    <t>86413</t>
  </si>
  <si>
    <t>SCREENING PROTILÁTEK NA PANELU 30TI DÁRCŮ</t>
  </si>
  <si>
    <t>91131</t>
  </si>
  <si>
    <t>STANOVENÍ IgA</t>
  </si>
  <si>
    <t>91171</t>
  </si>
  <si>
    <t>STANOVENÍ IgG ELISA</t>
  </si>
  <si>
    <t>91261</t>
  </si>
  <si>
    <t>STANOVENÍ ANTI ENA Ab ELISA</t>
  </si>
  <si>
    <t>91285</t>
  </si>
  <si>
    <t>STANOVENÍ REVMATOIDNÍHO FAKTORU IgM ELISA</t>
  </si>
  <si>
    <t>91287</t>
  </si>
  <si>
    <t>STANOVENÍ REVMATOIDNÍHO FAKTORU IgG ELISA</t>
  </si>
  <si>
    <t>91317</t>
  </si>
  <si>
    <t>PRŮKAZ ANTINUKLEÁRNÍCH PROTILÁTEK IF</t>
  </si>
  <si>
    <t>91567</t>
  </si>
  <si>
    <t>IMUNOANALYTICKÉ STANOVENÍ AUTOPROTILÁTEK</t>
  </si>
  <si>
    <t>91323</t>
  </si>
  <si>
    <t>PRŮKAZ ANCA IF</t>
  </si>
  <si>
    <t>91355</t>
  </si>
  <si>
    <t>STANOVENÍ CIK METODOU PEG-IKEM</t>
  </si>
  <si>
    <t>22321</t>
  </si>
  <si>
    <t>URČENÍ SPECIFITY TROMBOCYTÁRNÍ PROTILÁTKY</t>
  </si>
  <si>
    <t>91255</t>
  </si>
  <si>
    <t>STANOVENÍ ANTI ss-DNA Ab ELISA</t>
  </si>
  <si>
    <t>91253</t>
  </si>
  <si>
    <t>STANOVENÍ ANTI ds-DNA Ab ELISA</t>
  </si>
  <si>
    <t>91289</t>
  </si>
  <si>
    <t>STANOVENÍ REVMATOIDNÍHO FAKTORU IgA ELISA</t>
  </si>
  <si>
    <t>22217</t>
  </si>
  <si>
    <t xml:space="preserve">SCREENINGOVÉ VYŠETŘENÍ TROMBOCYTÁRNÍCH PROTILÁTEK </t>
  </si>
  <si>
    <t>86415</t>
  </si>
  <si>
    <t>SCREENING PROTILÁTEK NA PANELU 100 DÁRCŮ POMOCÍ DT</t>
  </si>
  <si>
    <t>91583</t>
  </si>
  <si>
    <t>STANOVENÍ PROTILÁTEK PROTI HLA ANTIGENŮM XMAP TECH</t>
  </si>
  <si>
    <t>91584</t>
  </si>
  <si>
    <t>STANOVENÍ SPECIFITY ANTI-HLA PROTILÁTEK XMAP TECHN</t>
  </si>
  <si>
    <t>44</t>
  </si>
  <si>
    <t>82036</t>
  </si>
  <si>
    <t>AMPLIFIKACE EXTRAHUMÁNNÍHO GENOMU METODOU MULTIPLE</t>
  </si>
  <si>
    <t>Zdravotní výkony (vybraných odborností) vyžádané pro pacienty hospitalizované na vlastním pracovišti - orientační přehled</t>
  </si>
  <si>
    <t>Ošetřovací den</t>
  </si>
  <si>
    <t>TISS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</si>
</sst>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5">
    <numFmt numFmtId="44" formatCode="_(&quot;Kč&quot;* #,##0.00_);_(&quot;Kč&quot;* \(#,##0.00\);_(&quot;Kč&quot;* &quot;-&quot;??_);_(@_)"/>
    <numFmt numFmtId="164" formatCode="#\ ###\ ###\ ##0"/>
    <numFmt numFmtId="165" formatCode="#\ ###\ ##0.0"/>
    <numFmt numFmtId="166" formatCode="#,##0.0"/>
    <numFmt numFmtId="167" formatCode="0.0%"/>
    <numFmt numFmtId="168" formatCode="0.0"/>
    <numFmt numFmtId="169" formatCode="#,##0,"/>
    <numFmt numFmtId="170" formatCode="#\ ##0"/>
    <numFmt numFmtId="171" formatCode="0.000"/>
    <numFmt numFmtId="172" formatCode="#.##0"/>
    <numFmt numFmtId="173" formatCode="#,##0;\-#,##0;"/>
    <numFmt numFmtId="174" formatCode="General;\-General;"/>
    <numFmt numFmtId="175" formatCode="#,##0%;\-#,##0%;"/>
    <numFmt numFmtId="176" formatCode="#,##0.0;\-#,##0.0;"/>
    <numFmt numFmtId="177" formatCode="#,##0.000"/>
  </numFmts>
  <fonts count="72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b/>
      <sz val="10"/>
      <color indexed="10"/>
      <name val="Calibri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u/>
      <sz val="10"/>
      <color rgb="FFFF0000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sz val="14"/>
      <name val="Arial"/>
      <family val="2"/>
      <charset val="238"/>
    </font>
    <font>
      <sz val="10"/>
      <name val="Arial CE"/>
      <family val="2"/>
      <charset val="238"/>
    </font>
    <font>
      <sz val="14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9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sz val="10"/>
      <color rgb="FF0000FF"/>
      <name val="Calibri"/>
      <family val="2"/>
      <charset val="238"/>
    </font>
    <font>
      <b/>
      <sz val="10"/>
      <color rgb="FFFF0000"/>
      <name val="Calibri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60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auto="1"/>
      </right>
      <top style="medium">
        <color theme="1"/>
      </top>
      <bottom style="medium">
        <color indexed="64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indexed="64"/>
      </left>
      <right style="medium">
        <color theme="1"/>
      </right>
      <top/>
      <bottom style="thin">
        <color indexed="64"/>
      </bottom>
      <diagonal/>
    </border>
    <border>
      <left/>
      <right/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thin">
        <color rgb="FFE4E4E4"/>
      </top>
      <bottom style="thin">
        <color rgb="FFE4E4E4"/>
      </bottom>
      <diagonal/>
    </border>
    <border>
      <left style="thin">
        <color auto="1"/>
      </left>
      <right style="thin">
        <color rgb="FFE4E4E4"/>
      </right>
      <top style="thin">
        <color rgb="FFE4E4E4"/>
      </top>
      <bottom style="thin">
        <color rgb="FFE4E4E4"/>
      </bottom>
      <diagonal/>
    </border>
    <border>
      <left style="thin">
        <color rgb="FFE4E4E4"/>
      </left>
      <right style="thin">
        <color rgb="FFE4E4E4"/>
      </right>
      <top style="thin">
        <color rgb="FFE4E4E4"/>
      </top>
      <bottom style="thin">
        <color rgb="FFE4E4E4"/>
      </bottom>
      <diagonal/>
    </border>
    <border>
      <left style="thin">
        <color rgb="FFE4E4E4"/>
      </left>
      <right/>
      <top style="thin">
        <color rgb="FFE4E4E4"/>
      </top>
      <bottom style="thin">
        <color rgb="FFE4E4E4"/>
      </bottom>
      <diagonal/>
    </border>
    <border>
      <left style="thin">
        <color rgb="FFE4E4E4"/>
      </left>
      <right style="thin">
        <color auto="1"/>
      </right>
      <top style="thin">
        <color rgb="FFE4E4E4"/>
      </top>
      <bottom style="thin">
        <color rgb="FFE4E4E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theme="1"/>
      </right>
      <top style="thin">
        <color indexed="64"/>
      </top>
      <bottom/>
      <diagonal/>
    </border>
  </borders>
  <cellStyleXfs count="99">
    <xf numFmtId="0" fontId="0" fillId="0" borderId="0"/>
    <xf numFmtId="0" fontId="27" fillId="0" borderId="0" applyNumberForma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26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23" fillId="0" borderId="0"/>
    <xf numFmtId="0" fontId="12" fillId="0" borderId="0"/>
    <xf numFmtId="0" fontId="13" fillId="0" borderId="0"/>
    <xf numFmtId="0" fontId="4" fillId="0" borderId="0"/>
    <xf numFmtId="0" fontId="12" fillId="0" borderId="0"/>
    <xf numFmtId="0" fontId="12" fillId="0" borderId="0"/>
    <xf numFmtId="0" fontId="4" fillId="0" borderId="0"/>
    <xf numFmtId="0" fontId="14" fillId="0" borderId="0"/>
    <xf numFmtId="0" fontId="12" fillId="0" borderId="0"/>
    <xf numFmtId="0" fontId="4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2" fillId="0" borderId="0"/>
    <xf numFmtId="0" fontId="24" fillId="0" borderId="0"/>
    <xf numFmtId="0" fontId="25" fillId="0" borderId="0"/>
    <xf numFmtId="0" fontId="28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6" fillId="0" borderId="0"/>
    <xf numFmtId="0" fontId="26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6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26" fillId="0" borderId="0"/>
  </cellStyleXfs>
  <cellXfs count="998">
    <xf numFmtId="0" fontId="0" fillId="0" borderId="0" xfId="0"/>
    <xf numFmtId="0" fontId="29" fillId="2" borderId="20" xfId="81" applyFont="1" applyFill="1" applyBorder="1"/>
    <xf numFmtId="0" fontId="30" fillId="2" borderId="21" xfId="81" applyFont="1" applyFill="1" applyBorder="1"/>
    <xf numFmtId="3" fontId="30" fillId="2" borderId="22" xfId="81" applyNumberFormat="1" applyFont="1" applyFill="1" applyBorder="1"/>
    <xf numFmtId="0" fontId="30" fillId="4" borderId="21" xfId="81" applyFont="1" applyFill="1" applyBorder="1"/>
    <xf numFmtId="3" fontId="31" fillId="0" borderId="10" xfId="26" applyNumberFormat="1" applyFont="1" applyFill="1" applyBorder="1" applyAlignment="1">
      <alignment horizontal="center"/>
    </xf>
    <xf numFmtId="3" fontId="31" fillId="0" borderId="12" xfId="26" applyNumberFormat="1" applyFont="1" applyFill="1" applyBorder="1" applyAlignment="1">
      <alignment horizontal="center"/>
    </xf>
    <xf numFmtId="3" fontId="31" fillId="0" borderId="27" xfId="26" applyNumberFormat="1" applyFont="1" applyFill="1" applyBorder="1" applyAlignment="1">
      <alignment horizontal="center"/>
    </xf>
    <xf numFmtId="3" fontId="31" fillId="0" borderId="28" xfId="26" applyNumberFormat="1" applyFont="1" applyFill="1" applyBorder="1" applyAlignment="1">
      <alignment horizontal="center"/>
    </xf>
    <xf numFmtId="3" fontId="30" fillId="4" borderId="22" xfId="81" applyNumberFormat="1" applyFont="1" applyFill="1" applyBorder="1"/>
    <xf numFmtId="171" fontId="30" fillId="3" borderId="22" xfId="81" applyNumberFormat="1" applyFont="1" applyFill="1" applyBorder="1"/>
    <xf numFmtId="0" fontId="31" fillId="5" borderId="0" xfId="74" applyFont="1" applyFill="1"/>
    <xf numFmtId="0" fontId="34" fillId="5" borderId="0" xfId="74" applyFont="1" applyFill="1"/>
    <xf numFmtId="3" fontId="29" fillId="5" borderId="27" xfId="81" applyNumberFormat="1" applyFont="1" applyFill="1" applyBorder="1"/>
    <xf numFmtId="3" fontId="29" fillId="5" borderId="10" xfId="81" applyNumberFormat="1" applyFont="1" applyFill="1" applyBorder="1"/>
    <xf numFmtId="3" fontId="29" fillId="5" borderId="14" xfId="81" applyNumberFormat="1" applyFont="1" applyFill="1" applyBorder="1"/>
    <xf numFmtId="0" fontId="29" fillId="5" borderId="0" xfId="81" applyFont="1" applyFill="1"/>
    <xf numFmtId="10" fontId="29" fillId="5" borderId="0" xfId="81" applyNumberFormat="1" applyFont="1" applyFill="1"/>
    <xf numFmtId="0" fontId="39" fillId="2" borderId="36" xfId="0" applyFont="1" applyFill="1" applyBorder="1" applyAlignment="1">
      <alignment vertical="top"/>
    </xf>
    <xf numFmtId="0" fontId="39" fillId="2" borderId="37" xfId="0" applyFont="1" applyFill="1" applyBorder="1" applyAlignment="1">
      <alignment vertical="top"/>
    </xf>
    <xf numFmtId="0" fontId="36" fillId="2" borderId="37" xfId="0" applyFont="1" applyFill="1" applyBorder="1" applyAlignment="1">
      <alignment vertical="top"/>
    </xf>
    <xf numFmtId="0" fontId="40" fillId="2" borderId="37" xfId="0" applyFont="1" applyFill="1" applyBorder="1" applyAlignment="1">
      <alignment vertical="top"/>
    </xf>
    <xf numFmtId="0" fontId="38" fillId="2" borderId="37" xfId="0" applyFont="1" applyFill="1" applyBorder="1" applyAlignment="1">
      <alignment vertical="top"/>
    </xf>
    <xf numFmtId="0" fontId="36" fillId="2" borderId="38" xfId="0" applyFont="1" applyFill="1" applyBorder="1" applyAlignment="1">
      <alignment vertical="top"/>
    </xf>
    <xf numFmtId="0" fontId="39" fillId="2" borderId="10" xfId="0" applyFont="1" applyFill="1" applyBorder="1" applyAlignment="1">
      <alignment horizontal="center" vertical="center"/>
    </xf>
    <xf numFmtId="0" fontId="39" fillId="2" borderId="24" xfId="0" applyFont="1" applyFill="1" applyBorder="1" applyAlignment="1">
      <alignment horizontal="center" vertical="center"/>
    </xf>
    <xf numFmtId="0" fontId="39" fillId="2" borderId="26" xfId="0" applyFont="1" applyFill="1" applyBorder="1" applyAlignment="1">
      <alignment horizontal="center" vertical="center"/>
    </xf>
    <xf numFmtId="0" fontId="39" fillId="2" borderId="25" xfId="0" applyFont="1" applyFill="1" applyBorder="1" applyAlignment="1">
      <alignment horizontal="center" vertical="center"/>
    </xf>
    <xf numFmtId="0" fontId="40" fillId="2" borderId="24" xfId="0" applyFont="1" applyFill="1" applyBorder="1" applyAlignment="1">
      <alignment horizontal="center" vertical="center" wrapText="1"/>
    </xf>
    <xf numFmtId="0" fontId="40" fillId="2" borderId="26" xfId="0" applyFont="1" applyFill="1" applyBorder="1" applyAlignment="1">
      <alignment horizontal="center" vertical="center" wrapText="1"/>
    </xf>
    <xf numFmtId="0" fontId="38" fillId="2" borderId="26" xfId="0" applyFont="1" applyFill="1" applyBorder="1" applyAlignment="1">
      <alignment horizontal="center" vertical="center" wrapText="1"/>
    </xf>
    <xf numFmtId="3" fontId="29" fillId="5" borderId="5" xfId="81" applyNumberFormat="1" applyFont="1" applyFill="1" applyBorder="1"/>
    <xf numFmtId="3" fontId="29" fillId="5" borderId="32" xfId="81" applyNumberFormat="1" applyFont="1" applyFill="1" applyBorder="1"/>
    <xf numFmtId="3" fontId="29" fillId="5" borderId="28" xfId="81" applyNumberFormat="1" applyFont="1" applyFill="1" applyBorder="1"/>
    <xf numFmtId="3" fontId="29" fillId="5" borderId="11" xfId="81" applyNumberFormat="1" applyFont="1" applyFill="1" applyBorder="1"/>
    <xf numFmtId="3" fontId="29" fillId="5" borderId="12" xfId="81" applyNumberFormat="1" applyFont="1" applyFill="1" applyBorder="1"/>
    <xf numFmtId="3" fontId="29" fillId="5" borderId="15" xfId="81" applyNumberFormat="1" applyFont="1" applyFill="1" applyBorder="1"/>
    <xf numFmtId="3" fontId="29" fillId="5" borderId="16" xfId="81" applyNumberFormat="1" applyFont="1" applyFill="1" applyBorder="1"/>
    <xf numFmtId="3" fontId="30" fillId="2" borderId="30" xfId="81" applyNumberFormat="1" applyFont="1" applyFill="1" applyBorder="1"/>
    <xf numFmtId="3" fontId="30" fillId="2" borderId="23" xfId="81" applyNumberFormat="1" applyFont="1" applyFill="1" applyBorder="1"/>
    <xf numFmtId="3" fontId="30" fillId="4" borderId="30" xfId="81" applyNumberFormat="1" applyFont="1" applyFill="1" applyBorder="1"/>
    <xf numFmtId="3" fontId="30" fillId="4" borderId="23" xfId="81" applyNumberFormat="1" applyFont="1" applyFill="1" applyBorder="1"/>
    <xf numFmtId="171" fontId="30" fillId="3" borderId="30" xfId="81" applyNumberFormat="1" applyFont="1" applyFill="1" applyBorder="1"/>
    <xf numFmtId="171" fontId="30" fillId="3" borderId="23" xfId="81" applyNumberFormat="1" applyFont="1" applyFill="1" applyBorder="1"/>
    <xf numFmtId="0" fontId="33" fillId="2" borderId="28" xfId="81" applyFont="1" applyFill="1" applyBorder="1" applyAlignment="1">
      <alignment horizontal="center"/>
    </xf>
    <xf numFmtId="0" fontId="41" fillId="0" borderId="2" xfId="0" applyFont="1" applyFill="1" applyBorder="1"/>
    <xf numFmtId="0" fontId="41" fillId="0" borderId="3" xfId="0" applyFont="1" applyFill="1" applyBorder="1"/>
    <xf numFmtId="3" fontId="30" fillId="0" borderId="30" xfId="78" applyNumberFormat="1" applyFont="1" applyFill="1" applyBorder="1" applyAlignment="1">
      <alignment horizontal="right"/>
    </xf>
    <xf numFmtId="9" fontId="30" fillId="0" borderId="30" xfId="78" applyNumberFormat="1" applyFont="1" applyFill="1" applyBorder="1" applyAlignment="1">
      <alignment horizontal="right"/>
    </xf>
    <xf numFmtId="3" fontId="30" fillId="0" borderId="23" xfId="78" applyNumberFormat="1" applyFont="1" applyFill="1" applyBorder="1" applyAlignment="1">
      <alignment horizontal="right"/>
    </xf>
    <xf numFmtId="0" fontId="34" fillId="0" borderId="47" xfId="0" applyFont="1" applyFill="1" applyBorder="1" applyAlignment="1"/>
    <xf numFmtId="0" fontId="43" fillId="0" borderId="0" xfId="0" applyFont="1" applyFill="1" applyBorder="1" applyAlignment="1"/>
    <xf numFmtId="3" fontId="35" fillId="0" borderId="8" xfId="0" applyNumberFormat="1" applyFont="1" applyFill="1" applyBorder="1" applyAlignment="1">
      <alignment horizontal="right" vertical="top"/>
    </xf>
    <xf numFmtId="3" fontId="35" fillId="0" borderId="6" xfId="0" applyNumberFormat="1" applyFont="1" applyFill="1" applyBorder="1" applyAlignment="1">
      <alignment horizontal="right" vertical="top"/>
    </xf>
    <xf numFmtId="3" fontId="36" fillId="0" borderId="6" xfId="0" applyNumberFormat="1" applyFont="1" applyFill="1" applyBorder="1" applyAlignment="1">
      <alignment horizontal="right" vertical="top"/>
    </xf>
    <xf numFmtId="3" fontId="35" fillId="0" borderId="13" xfId="0" applyNumberFormat="1" applyFont="1" applyFill="1" applyBorder="1" applyAlignment="1">
      <alignment horizontal="right" vertical="top"/>
    </xf>
    <xf numFmtId="3" fontId="35" fillId="0" borderId="11" xfId="0" applyNumberFormat="1" applyFont="1" applyFill="1" applyBorder="1" applyAlignment="1">
      <alignment horizontal="right" vertical="top"/>
    </xf>
    <xf numFmtId="3" fontId="36" fillId="0" borderId="11" xfId="0" applyNumberFormat="1" applyFont="1" applyFill="1" applyBorder="1" applyAlignment="1">
      <alignment horizontal="right" vertical="top"/>
    </xf>
    <xf numFmtId="3" fontId="37" fillId="0" borderId="13" xfId="0" applyNumberFormat="1" applyFont="1" applyFill="1" applyBorder="1" applyAlignment="1">
      <alignment horizontal="right" vertical="top"/>
    </xf>
    <xf numFmtId="3" fontId="37" fillId="0" borderId="11" xfId="0" applyNumberFormat="1" applyFont="1" applyFill="1" applyBorder="1" applyAlignment="1">
      <alignment horizontal="right" vertical="top"/>
    </xf>
    <xf numFmtId="3" fontId="38" fillId="0" borderId="11" xfId="0" applyNumberFormat="1" applyFont="1" applyFill="1" applyBorder="1" applyAlignment="1">
      <alignment horizontal="right" vertical="top"/>
    </xf>
    <xf numFmtId="3" fontId="35" fillId="0" borderId="35" xfId="0" applyNumberFormat="1" applyFont="1" applyFill="1" applyBorder="1" applyAlignment="1">
      <alignment horizontal="right" vertical="top"/>
    </xf>
    <xf numFmtId="3" fontId="35" fillId="0" borderId="26" xfId="0" applyNumberFormat="1" applyFont="1" applyFill="1" applyBorder="1" applyAlignment="1">
      <alignment horizontal="right" vertical="top"/>
    </xf>
    <xf numFmtId="3" fontId="36" fillId="0" borderId="26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7" xfId="82" applyFont="1" applyFill="1" applyBorder="1" applyAlignment="1"/>
    <xf numFmtId="0" fontId="31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5" xfId="79" applyNumberFormat="1" applyFont="1" applyFill="1" applyBorder="1"/>
    <xf numFmtId="9" fontId="3" fillId="0" borderId="45" xfId="79" applyNumberFormat="1" applyFont="1" applyFill="1" applyBorder="1"/>
    <xf numFmtId="9" fontId="3" fillId="0" borderId="46" xfId="79" applyNumberFormat="1" applyFont="1" applyFill="1" applyBorder="1"/>
    <xf numFmtId="0" fontId="3" fillId="0" borderId="40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41" xfId="79" applyFont="1" applyFill="1" applyBorder="1"/>
    <xf numFmtId="0" fontId="3" fillId="0" borderId="42" xfId="79" applyFont="1" applyFill="1" applyBorder="1"/>
    <xf numFmtId="164" fontId="3" fillId="0" borderId="76" xfId="53" applyNumberFormat="1" applyFont="1" applyFill="1" applyBorder="1"/>
    <xf numFmtId="9" fontId="3" fillId="0" borderId="76" xfId="53" applyNumberFormat="1" applyFont="1" applyFill="1" applyBorder="1"/>
    <xf numFmtId="3" fontId="31" fillId="0" borderId="0" xfId="26" applyNumberFormat="1" applyFont="1" applyFill="1" applyBorder="1"/>
    <xf numFmtId="0" fontId="31" fillId="0" borderId="0" xfId="26" applyFont="1" applyFill="1"/>
    <xf numFmtId="0" fontId="31" fillId="0" borderId="55" xfId="26" applyFont="1" applyFill="1" applyBorder="1" applyAlignment="1"/>
    <xf numFmtId="3" fontId="32" fillId="0" borderId="0" xfId="26" applyNumberFormat="1" applyFont="1" applyFill="1" applyBorder="1" applyAlignment="1">
      <alignment horizontal="center" vertical="center"/>
    </xf>
    <xf numFmtId="170" fontId="31" fillId="0" borderId="27" xfId="26" applyNumberFormat="1" applyFont="1" applyFill="1" applyBorder="1"/>
    <xf numFmtId="9" fontId="31" fillId="0" borderId="28" xfId="26" applyNumberFormat="1" applyFont="1" applyFill="1" applyBorder="1"/>
    <xf numFmtId="170" fontId="31" fillId="0" borderId="52" xfId="26" applyNumberFormat="1" applyFont="1" applyFill="1" applyBorder="1"/>
    <xf numFmtId="170" fontId="31" fillId="0" borderId="10" xfId="26" applyNumberFormat="1" applyFont="1" applyFill="1" applyBorder="1"/>
    <xf numFmtId="9" fontId="31" fillId="0" borderId="12" xfId="26" applyNumberFormat="1" applyFont="1" applyFill="1" applyBorder="1"/>
    <xf numFmtId="170" fontId="31" fillId="0" borderId="39" xfId="26" applyNumberFormat="1" applyFont="1" applyFill="1" applyBorder="1"/>
    <xf numFmtId="170" fontId="31" fillId="0" borderId="24" xfId="26" applyNumberFormat="1" applyFont="1" applyFill="1" applyBorder="1"/>
    <xf numFmtId="9" fontId="31" fillId="0" borderId="25" xfId="26" applyNumberFormat="1" applyFont="1" applyFill="1" applyBorder="1"/>
    <xf numFmtId="170" fontId="31" fillId="0" borderId="54" xfId="26" applyNumberFormat="1" applyFont="1" applyFill="1" applyBorder="1"/>
    <xf numFmtId="0" fontId="5" fillId="0" borderId="0" xfId="26" applyFont="1" applyFill="1"/>
    <xf numFmtId="0" fontId="3" fillId="0" borderId="0" xfId="26" applyFont="1" applyFill="1" applyAlignment="1">
      <alignment horizontal="left" vertical="top"/>
    </xf>
    <xf numFmtId="0" fontId="5" fillId="0" borderId="0" xfId="26" applyFont="1" applyFill="1" applyAlignment="1">
      <alignment horizontal="left" vertical="top"/>
    </xf>
    <xf numFmtId="49" fontId="3" fillId="0" borderId="0" xfId="26" applyNumberFormat="1" applyFont="1" applyFill="1" applyAlignment="1">
      <alignment horizontal="center"/>
    </xf>
    <xf numFmtId="3" fontId="5" fillId="0" borderId="0" xfId="26" applyNumberFormat="1" applyFont="1" applyFill="1"/>
    <xf numFmtId="166" fontId="5" fillId="0" borderId="0" xfId="26" applyNumberFormat="1" applyFont="1" applyFill="1"/>
    <xf numFmtId="168" fontId="5" fillId="0" borderId="0" xfId="26" applyNumberFormat="1" applyFont="1" applyFill="1" applyAlignment="1">
      <alignment horizontal="right"/>
    </xf>
    <xf numFmtId="9" fontId="5" fillId="0" borderId="0" xfId="26" applyNumberFormat="1" applyFont="1" applyFill="1"/>
    <xf numFmtId="0" fontId="34" fillId="0" borderId="33" xfId="0" applyFont="1" applyFill="1" applyBorder="1" applyAlignment="1"/>
    <xf numFmtId="0" fontId="34" fillId="0" borderId="34" xfId="0" applyFont="1" applyFill="1" applyBorder="1" applyAlignment="1"/>
    <xf numFmtId="0" fontId="34" fillId="0" borderId="68" xfId="0" applyFont="1" applyFill="1" applyBorder="1" applyAlignment="1"/>
    <xf numFmtId="0" fontId="30" fillId="2" borderId="29" xfId="78" applyFont="1" applyFill="1" applyBorder="1" applyAlignment="1">
      <alignment horizontal="right"/>
    </xf>
    <xf numFmtId="3" fontId="30" fillId="2" borderId="67" xfId="78" applyNumberFormat="1" applyFont="1" applyFill="1" applyBorder="1"/>
    <xf numFmtId="0" fontId="3" fillId="2" borderId="22" xfId="79" applyFont="1" applyFill="1" applyBorder="1" applyAlignment="1">
      <alignment horizontal="left"/>
    </xf>
    <xf numFmtId="0" fontId="3" fillId="2" borderId="30" xfId="79" applyFont="1" applyFill="1" applyBorder="1" applyAlignment="1">
      <alignment horizontal="left"/>
    </xf>
    <xf numFmtId="0" fontId="3" fillId="2" borderId="26" xfId="80" applyFont="1" applyFill="1" applyBorder="1"/>
    <xf numFmtId="0" fontId="3" fillId="2" borderId="25" xfId="80" applyFont="1" applyFill="1" applyBorder="1"/>
    <xf numFmtId="0" fontId="3" fillId="2" borderId="44" xfId="79" applyFont="1" applyFill="1" applyBorder="1"/>
    <xf numFmtId="0" fontId="3" fillId="2" borderId="43" xfId="79" applyFont="1" applyFill="1" applyBorder="1"/>
    <xf numFmtId="0" fontId="3" fillId="2" borderId="74" xfId="53" applyFont="1" applyFill="1" applyBorder="1" applyAlignment="1">
      <alignment horizontal="right"/>
    </xf>
    <xf numFmtId="3" fontId="31" fillId="7" borderId="11" xfId="26" applyNumberFormat="1" applyFont="1" applyFill="1" applyBorder="1"/>
    <xf numFmtId="3" fontId="31" fillId="7" borderId="6" xfId="26" applyNumberFormat="1" applyFont="1" applyFill="1" applyBorder="1"/>
    <xf numFmtId="3" fontId="33" fillId="2" borderId="22" xfId="26" applyNumberFormat="1" applyFont="1" applyFill="1" applyBorder="1"/>
    <xf numFmtId="3" fontId="33" fillId="2" borderId="30" xfId="26" applyNumberFormat="1" applyFont="1" applyFill="1" applyBorder="1"/>
    <xf numFmtId="3" fontId="33" fillId="2" borderId="21" xfId="26" applyNumberFormat="1" applyFont="1" applyFill="1" applyBorder="1"/>
    <xf numFmtId="3" fontId="33" fillId="4" borderId="22" xfId="26" applyNumberFormat="1" applyFont="1" applyFill="1" applyBorder="1"/>
    <xf numFmtId="3" fontId="31" fillId="7" borderId="5" xfId="26" applyNumberFormat="1" applyFont="1" applyFill="1" applyBorder="1"/>
    <xf numFmtId="3" fontId="31" fillId="7" borderId="10" xfId="26" applyNumberFormat="1" applyFont="1" applyFill="1" applyBorder="1"/>
    <xf numFmtId="3" fontId="31" fillId="5" borderId="0" xfId="26" applyNumberFormat="1" applyFont="1" applyFill="1" applyBorder="1"/>
    <xf numFmtId="3" fontId="48" fillId="5" borderId="0" xfId="26" applyNumberFormat="1" applyFont="1" applyFill="1" applyBorder="1"/>
    <xf numFmtId="167" fontId="31" fillId="5" borderId="0" xfId="26" applyNumberFormat="1" applyFont="1" applyFill="1" applyBorder="1"/>
    <xf numFmtId="0" fontId="33" fillId="2" borderId="1" xfId="26" applyNumberFormat="1" applyFont="1" applyFill="1" applyBorder="1" applyAlignment="1">
      <alignment horizontal="center"/>
    </xf>
    <xf numFmtId="0" fontId="33" fillId="2" borderId="2" xfId="26" applyNumberFormat="1" applyFont="1" applyFill="1" applyBorder="1" applyAlignment="1">
      <alignment horizontal="center"/>
    </xf>
    <xf numFmtId="167" fontId="33" fillId="2" borderId="3" xfId="26" applyNumberFormat="1" applyFont="1" applyFill="1" applyBorder="1" applyAlignment="1">
      <alignment horizontal="center"/>
    </xf>
    <xf numFmtId="3" fontId="33" fillId="2" borderId="22" xfId="26" applyNumberFormat="1" applyFont="1" applyFill="1" applyBorder="1" applyAlignment="1">
      <alignment horizontal="center"/>
    </xf>
    <xf numFmtId="167" fontId="33" fillId="2" borderId="23" xfId="26" applyNumberFormat="1" applyFont="1" applyFill="1" applyBorder="1" applyAlignment="1">
      <alignment horizontal="center"/>
    </xf>
    <xf numFmtId="167" fontId="33" fillId="7" borderId="7" xfId="86" applyNumberFormat="1" applyFont="1" applyFill="1" applyBorder="1" applyAlignment="1">
      <alignment horizontal="right"/>
    </xf>
    <xf numFmtId="3" fontId="31" fillId="7" borderId="8" xfId="26" applyNumberFormat="1" applyFont="1" applyFill="1" applyBorder="1"/>
    <xf numFmtId="167" fontId="33" fillId="7" borderId="7" xfId="86" applyNumberFormat="1" applyFont="1" applyFill="1" applyBorder="1"/>
    <xf numFmtId="167" fontId="33" fillId="7" borderId="12" xfId="86" applyNumberFormat="1" applyFont="1" applyFill="1" applyBorder="1" applyAlignment="1">
      <alignment horizontal="right"/>
    </xf>
    <xf numFmtId="3" fontId="31" fillId="7" borderId="13" xfId="26" applyNumberFormat="1" applyFont="1" applyFill="1" applyBorder="1"/>
    <xf numFmtId="167" fontId="33" fillId="7" borderId="12" xfId="86" applyNumberFormat="1" applyFont="1" applyFill="1" applyBorder="1"/>
    <xf numFmtId="167" fontId="33" fillId="2" borderId="23" xfId="86" applyNumberFormat="1" applyFont="1" applyFill="1" applyBorder="1" applyAlignment="1">
      <alignment horizontal="right"/>
    </xf>
    <xf numFmtId="3" fontId="33" fillId="2" borderId="31" xfId="26" applyNumberFormat="1" applyFont="1" applyFill="1" applyBorder="1"/>
    <xf numFmtId="167" fontId="33" fillId="2" borderId="23" xfId="86" applyNumberFormat="1" applyFont="1" applyFill="1" applyBorder="1"/>
    <xf numFmtId="3" fontId="33" fillId="2" borderId="23" xfId="26" applyNumberFormat="1" applyFont="1" applyFill="1" applyBorder="1" applyAlignment="1">
      <alignment horizontal="center"/>
    </xf>
    <xf numFmtId="3" fontId="33" fillId="7" borderId="0" xfId="26" applyNumberFormat="1" applyFont="1" applyFill="1" applyBorder="1" applyAlignment="1">
      <alignment horizontal="left"/>
    </xf>
    <xf numFmtId="0" fontId="33" fillId="3" borderId="1" xfId="26" applyNumberFormat="1" applyFont="1" applyFill="1" applyBorder="1" applyAlignment="1">
      <alignment horizontal="center"/>
    </xf>
    <xf numFmtId="0" fontId="33" fillId="3" borderId="2" xfId="26" applyNumberFormat="1" applyFont="1" applyFill="1" applyBorder="1" applyAlignment="1">
      <alignment horizontal="center"/>
    </xf>
    <xf numFmtId="167" fontId="33" fillId="3" borderId="3" xfId="26" applyNumberFormat="1" applyFont="1" applyFill="1" applyBorder="1" applyAlignment="1">
      <alignment horizontal="center"/>
    </xf>
    <xf numFmtId="3" fontId="33" fillId="3" borderId="22" xfId="26" applyNumberFormat="1" applyFont="1" applyFill="1" applyBorder="1" applyAlignment="1">
      <alignment horizontal="center"/>
    </xf>
    <xf numFmtId="167" fontId="33" fillId="3" borderId="23" xfId="26" applyNumberFormat="1" applyFont="1" applyFill="1" applyBorder="1" applyAlignment="1">
      <alignment horizontal="center"/>
    </xf>
    <xf numFmtId="3" fontId="31" fillId="7" borderId="27" xfId="26" applyNumberFormat="1" applyFont="1" applyFill="1" applyBorder="1" applyAlignment="1">
      <alignment horizontal="center"/>
    </xf>
    <xf numFmtId="3" fontId="31" fillId="7" borderId="28" xfId="26" applyNumberFormat="1" applyFont="1" applyFill="1" applyBorder="1" applyAlignment="1">
      <alignment horizontal="center"/>
    </xf>
    <xf numFmtId="3" fontId="31" fillId="7" borderId="10" xfId="26" applyNumberFormat="1" applyFont="1" applyFill="1" applyBorder="1" applyAlignment="1">
      <alignment horizontal="center"/>
    </xf>
    <xf numFmtId="3" fontId="31" fillId="7" borderId="12" xfId="26" applyNumberFormat="1" applyFont="1" applyFill="1" applyBorder="1" applyAlignment="1">
      <alignment horizontal="center"/>
    </xf>
    <xf numFmtId="3" fontId="33" fillId="3" borderId="22" xfId="26" applyNumberFormat="1" applyFont="1" applyFill="1" applyBorder="1"/>
    <xf numFmtId="3" fontId="33" fillId="3" borderId="30" xfId="26" applyNumberFormat="1" applyFont="1" applyFill="1" applyBorder="1"/>
    <xf numFmtId="167" fontId="33" fillId="3" borderId="23" xfId="86" applyNumberFormat="1" applyFont="1" applyFill="1" applyBorder="1" applyAlignment="1">
      <alignment horizontal="right"/>
    </xf>
    <xf numFmtId="167" fontId="33" fillId="3" borderId="23" xfId="86" applyNumberFormat="1" applyFont="1" applyFill="1" applyBorder="1"/>
    <xf numFmtId="3" fontId="33" fillId="3" borderId="23" xfId="26" applyNumberFormat="1" applyFont="1" applyFill="1" applyBorder="1" applyAlignment="1">
      <alignment horizontal="center"/>
    </xf>
    <xf numFmtId="3" fontId="33" fillId="7" borderId="0" xfId="26" applyNumberFormat="1" applyFont="1" applyFill="1" applyBorder="1"/>
    <xf numFmtId="3" fontId="31" fillId="7" borderId="0" xfId="26" applyNumberFormat="1" applyFont="1" applyFill="1" applyBorder="1"/>
    <xf numFmtId="167" fontId="31" fillId="7" borderId="0" xfId="26" applyNumberFormat="1" applyFont="1" applyFill="1" applyBorder="1"/>
    <xf numFmtId="0" fontId="33" fillId="4" borderId="1" xfId="26" applyNumberFormat="1" applyFont="1" applyFill="1" applyBorder="1" applyAlignment="1">
      <alignment horizontal="center"/>
    </xf>
    <xf numFmtId="0" fontId="33" fillId="4" borderId="2" xfId="26" applyNumberFormat="1" applyFont="1" applyFill="1" applyBorder="1" applyAlignment="1">
      <alignment horizontal="center"/>
    </xf>
    <xf numFmtId="167" fontId="33" fillId="4" borderId="3" xfId="26" applyNumberFormat="1" applyFont="1" applyFill="1" applyBorder="1" applyAlignment="1">
      <alignment horizontal="center"/>
    </xf>
    <xf numFmtId="3" fontId="33" fillId="4" borderId="22" xfId="26" applyNumberFormat="1" applyFont="1" applyFill="1" applyBorder="1" applyAlignment="1">
      <alignment horizontal="center"/>
    </xf>
    <xf numFmtId="167" fontId="33" fillId="4" borderId="23" xfId="26" applyNumberFormat="1" applyFont="1" applyFill="1" applyBorder="1" applyAlignment="1">
      <alignment horizontal="center"/>
    </xf>
    <xf numFmtId="3" fontId="33" fillId="4" borderId="30" xfId="26" applyNumberFormat="1" applyFont="1" applyFill="1" applyBorder="1"/>
    <xf numFmtId="167" fontId="33" fillId="4" borderId="23" xfId="86" applyNumberFormat="1" applyFont="1" applyFill="1" applyBorder="1" applyAlignment="1">
      <alignment horizontal="right"/>
    </xf>
    <xf numFmtId="3" fontId="33" fillId="4" borderId="31" xfId="26" applyNumberFormat="1" applyFont="1" applyFill="1" applyBorder="1"/>
    <xf numFmtId="167" fontId="33" fillId="4" borderId="23" xfId="86" applyNumberFormat="1" applyFont="1" applyFill="1" applyBorder="1"/>
    <xf numFmtId="3" fontId="33" fillId="4" borderId="23" xfId="26" applyNumberFormat="1" applyFont="1" applyFill="1" applyBorder="1" applyAlignment="1">
      <alignment horizontal="center"/>
    </xf>
    <xf numFmtId="9" fontId="3" fillId="2" borderId="33" xfId="27" applyNumberFormat="1" applyFont="1" applyFill="1" applyBorder="1" applyAlignment="1">
      <alignment horizontal="center" vertical="center" wrapText="1"/>
    </xf>
    <xf numFmtId="3" fontId="3" fillId="2" borderId="1" xfId="27" applyNumberFormat="1" applyFont="1" applyFill="1" applyBorder="1" applyAlignment="1">
      <alignment horizontal="center" vertical="center" wrapText="1"/>
    </xf>
    <xf numFmtId="3" fontId="3" fillId="2" borderId="2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/>
    </xf>
    <xf numFmtId="170" fontId="33" fillId="2" borderId="51" xfId="26" quotePrefix="1" applyNumberFormat="1" applyFont="1" applyFill="1" applyBorder="1" applyAlignment="1">
      <alignment horizontal="center"/>
    </xf>
    <xf numFmtId="170" fontId="33" fillId="2" borderId="9" xfId="26" quotePrefix="1" applyNumberFormat="1" applyFont="1" applyFill="1" applyBorder="1" applyAlignment="1">
      <alignment horizontal="center"/>
    </xf>
    <xf numFmtId="170" fontId="33" fillId="2" borderId="53" xfId="26" quotePrefix="1" applyNumberFormat="1" applyFont="1" applyFill="1" applyBorder="1" applyAlignment="1">
      <alignment horizontal="center"/>
    </xf>
    <xf numFmtId="0" fontId="31" fillId="2" borderId="33" xfId="26" applyFont="1" applyFill="1" applyBorder="1"/>
    <xf numFmtId="0" fontId="3" fillId="2" borderId="68" xfId="33" applyFont="1" applyFill="1" applyBorder="1" applyAlignment="1">
      <alignment horizontal="center" vertical="center"/>
    </xf>
    <xf numFmtId="9" fontId="3" fillId="0" borderId="75" xfId="53" applyNumberFormat="1" applyFont="1" applyFill="1" applyBorder="1"/>
    <xf numFmtId="0" fontId="34" fillId="0" borderId="28" xfId="0" applyFont="1" applyBorder="1" applyAlignment="1"/>
    <xf numFmtId="0" fontId="34" fillId="5" borderId="7" xfId="0" applyFont="1" applyFill="1" applyBorder="1"/>
    <xf numFmtId="0" fontId="34" fillId="5" borderId="12" xfId="0" applyFont="1" applyFill="1" applyBorder="1"/>
    <xf numFmtId="0" fontId="34" fillId="5" borderId="25" xfId="0" applyFont="1" applyFill="1" applyBorder="1"/>
    <xf numFmtId="0" fontId="34" fillId="5" borderId="47" xfId="0" applyFont="1" applyFill="1" applyBorder="1"/>
    <xf numFmtId="0" fontId="34" fillId="5" borderId="55" xfId="0" applyFont="1" applyFill="1" applyBorder="1"/>
    <xf numFmtId="9" fontId="36" fillId="0" borderId="7" xfId="0" applyNumberFormat="1" applyFont="1" applyFill="1" applyBorder="1" applyAlignment="1">
      <alignment horizontal="right" vertical="top"/>
    </xf>
    <xf numFmtId="9" fontId="36" fillId="0" borderId="12" xfId="0" applyNumberFormat="1" applyFont="1" applyFill="1" applyBorder="1" applyAlignment="1">
      <alignment horizontal="right" vertical="top"/>
    </xf>
    <xf numFmtId="9" fontId="38" fillId="0" borderId="12" xfId="0" applyNumberFormat="1" applyFont="1" applyFill="1" applyBorder="1" applyAlignment="1">
      <alignment horizontal="right" vertical="top"/>
    </xf>
    <xf numFmtId="9" fontId="36" fillId="0" borderId="25" xfId="0" applyNumberFormat="1" applyFont="1" applyFill="1" applyBorder="1" applyAlignment="1">
      <alignment horizontal="right" vertical="top"/>
    </xf>
    <xf numFmtId="0" fontId="31" fillId="0" borderId="0" xfId="76" applyFont="1" applyFill="1"/>
    <xf numFmtId="0" fontId="31" fillId="0" borderId="0" xfId="26" applyFont="1" applyFill="1" applyBorder="1" applyAlignment="1"/>
    <xf numFmtId="0" fontId="31" fillId="0" borderId="2" xfId="76" applyFont="1" applyFill="1" applyBorder="1" applyAlignment="1"/>
    <xf numFmtId="0" fontId="33" fillId="2" borderId="74" xfId="53" applyFont="1" applyFill="1" applyBorder="1" applyAlignment="1">
      <alignment horizontal="right"/>
    </xf>
    <xf numFmtId="164" fontId="33" fillId="0" borderId="79" xfId="53" applyNumberFormat="1" applyFont="1" applyFill="1" applyBorder="1"/>
    <xf numFmtId="164" fontId="33" fillId="0" borderId="80" xfId="53" applyNumberFormat="1" applyFont="1" applyFill="1" applyBorder="1"/>
    <xf numFmtId="9" fontId="33" fillId="0" borderId="81" xfId="83" applyNumberFormat="1" applyFont="1" applyFill="1" applyBorder="1"/>
    <xf numFmtId="3" fontId="33" fillId="0" borderId="81" xfId="83" applyNumberFormat="1" applyFont="1" applyFill="1" applyBorder="1"/>
    <xf numFmtId="3" fontId="31" fillId="0" borderId="0" xfId="76" applyNumberFormat="1" applyFont="1" applyFill="1"/>
    <xf numFmtId="9" fontId="31" fillId="0" borderId="0" xfId="76" applyNumberFormat="1" applyFont="1" applyFill="1"/>
    <xf numFmtId="0" fontId="31" fillId="0" borderId="55" xfId="26" applyFont="1" applyFill="1" applyBorder="1" applyAlignment="1">
      <alignment horizontal="right"/>
    </xf>
    <xf numFmtId="170" fontId="31" fillId="0" borderId="51" xfId="26" quotePrefix="1" applyNumberFormat="1" applyFont="1" applyFill="1" applyBorder="1" applyAlignment="1">
      <alignment horizontal="right"/>
    </xf>
    <xf numFmtId="170" fontId="31" fillId="0" borderId="9" xfId="26" quotePrefix="1" applyNumberFormat="1" applyFont="1" applyFill="1" applyBorder="1" applyAlignment="1">
      <alignment horizontal="right"/>
    </xf>
    <xf numFmtId="170" fontId="31" fillId="0" borderId="53" xfId="26" quotePrefix="1" applyNumberFormat="1" applyFont="1" applyFill="1" applyBorder="1" applyAlignment="1">
      <alignment horizontal="right"/>
    </xf>
    <xf numFmtId="0" fontId="31" fillId="0" borderId="0" xfId="26" applyFont="1" applyFill="1" applyAlignment="1">
      <alignment horizontal="right"/>
    </xf>
    <xf numFmtId="3" fontId="33" fillId="0" borderId="32" xfId="53" applyNumberFormat="1" applyFont="1" applyFill="1" applyBorder="1"/>
    <xf numFmtId="3" fontId="33" fillId="0" borderId="28" xfId="53" applyNumberFormat="1" applyFont="1" applyFill="1" applyBorder="1"/>
    <xf numFmtId="0" fontId="30" fillId="0" borderId="3" xfId="78" applyFont="1" applyFill="1" applyBorder="1" applyAlignment="1">
      <alignment horizontal="left"/>
    </xf>
    <xf numFmtId="0" fontId="33" fillId="2" borderId="55" xfId="0" applyFont="1" applyFill="1" applyBorder="1" applyAlignment="1">
      <alignment horizontal="center"/>
    </xf>
    <xf numFmtId="3" fontId="3" fillId="0" borderId="75" xfId="53" applyNumberFormat="1" applyFont="1" applyFill="1" applyBorder="1"/>
    <xf numFmtId="3" fontId="3" fillId="0" borderId="76" xfId="53" applyNumberFormat="1" applyFont="1" applyFill="1" applyBorder="1"/>
    <xf numFmtId="3" fontId="3" fillId="0" borderId="77" xfId="53" applyNumberFormat="1" applyFont="1" applyFill="1" applyBorder="1"/>
    <xf numFmtId="0" fontId="33" fillId="2" borderId="55" xfId="0" applyNumberFormat="1" applyFont="1" applyFill="1" applyBorder="1" applyAlignment="1">
      <alignment horizontal="center"/>
    </xf>
    <xf numFmtId="3" fontId="3" fillId="0" borderId="78" xfId="53" applyNumberFormat="1" applyFont="1" applyFill="1" applyBorder="1"/>
    <xf numFmtId="3" fontId="3" fillId="0" borderId="83" xfId="53" applyNumberFormat="1" applyFont="1" applyFill="1" applyBorder="1"/>
    <xf numFmtId="168" fontId="5" fillId="0" borderId="0" xfId="26" applyNumberFormat="1" applyFont="1" applyFill="1"/>
    <xf numFmtId="166" fontId="3" fillId="2" borderId="33" xfId="24" applyNumberFormat="1" applyFont="1" applyFill="1" applyBorder="1" applyAlignment="1">
      <alignment horizontal="center" vertical="center" wrapText="1"/>
    </xf>
    <xf numFmtId="169" fontId="34" fillId="0" borderId="0" xfId="0" applyNumberFormat="1" applyFont="1" applyFill="1"/>
    <xf numFmtId="0" fontId="33" fillId="2" borderId="51" xfId="74" applyFont="1" applyFill="1" applyBorder="1" applyAlignment="1">
      <alignment horizontal="center"/>
    </xf>
    <xf numFmtId="0" fontId="29" fillId="5" borderId="47" xfId="81" applyFont="1" applyFill="1" applyBorder="1"/>
    <xf numFmtId="0" fontId="33" fillId="2" borderId="26" xfId="81" applyFont="1" applyFill="1" applyBorder="1" applyAlignment="1">
      <alignment horizontal="center"/>
    </xf>
    <xf numFmtId="0" fontId="33" fillId="2" borderId="25" xfId="81" applyFont="1" applyFill="1" applyBorder="1" applyAlignment="1">
      <alignment horizontal="center"/>
    </xf>
    <xf numFmtId="0" fontId="34" fillId="0" borderId="0" xfId="0" applyFont="1" applyFill="1" applyBorder="1" applyAlignment="1"/>
    <xf numFmtId="0" fontId="49" fillId="2" borderId="20" xfId="1" applyFont="1" applyFill="1" applyBorder="1"/>
    <xf numFmtId="0" fontId="50" fillId="0" borderId="0" xfId="0" applyFont="1" applyFill="1"/>
    <xf numFmtId="0" fontId="51" fillId="0" borderId="0" xfId="0" applyFont="1" applyFill="1"/>
    <xf numFmtId="0" fontId="51" fillId="0" borderId="0" xfId="0" applyFont="1" applyFill="1" applyBorder="1"/>
    <xf numFmtId="3" fontId="34" fillId="0" borderId="32" xfId="0" applyNumberFormat="1" applyFont="1" applyFill="1" applyBorder="1"/>
    <xf numFmtId="3" fontId="34" fillId="0" borderId="27" xfId="0" applyNumberFormat="1" applyFont="1" applyFill="1" applyBorder="1"/>
    <xf numFmtId="3" fontId="34" fillId="0" borderId="10" xfId="0" applyNumberFormat="1" applyFont="1" applyFill="1" applyBorder="1"/>
    <xf numFmtId="3" fontId="34" fillId="0" borderId="11" xfId="0" applyNumberFormat="1" applyFont="1" applyFill="1" applyBorder="1"/>
    <xf numFmtId="3" fontId="34" fillId="0" borderId="14" xfId="0" applyNumberFormat="1" applyFont="1" applyFill="1" applyBorder="1"/>
    <xf numFmtId="3" fontId="34" fillId="0" borderId="15" xfId="0" applyNumberFormat="1" applyFont="1" applyFill="1" applyBorder="1"/>
    <xf numFmtId="9" fontId="34" fillId="0" borderId="28" xfId="0" applyNumberFormat="1" applyFont="1" applyFill="1" applyBorder="1"/>
    <xf numFmtId="9" fontId="34" fillId="0" borderId="12" xfId="0" applyNumberFormat="1" applyFont="1" applyFill="1" applyBorder="1"/>
    <xf numFmtId="9" fontId="34" fillId="0" borderId="16" xfId="0" applyNumberFormat="1" applyFont="1" applyFill="1" applyBorder="1"/>
    <xf numFmtId="9" fontId="30" fillId="2" borderId="23" xfId="81" applyNumberFormat="1" applyFont="1" applyFill="1" applyBorder="1"/>
    <xf numFmtId="9" fontId="30" fillId="4" borderId="23" xfId="81" applyNumberFormat="1" applyFont="1" applyFill="1" applyBorder="1"/>
    <xf numFmtId="9" fontId="30" fillId="3" borderId="23" xfId="81" applyNumberFormat="1" applyFont="1" applyFill="1" applyBorder="1"/>
    <xf numFmtId="0" fontId="33" fillId="2" borderId="24" xfId="81" applyFont="1" applyFill="1" applyBorder="1" applyAlignment="1">
      <alignment horizontal="center"/>
    </xf>
    <xf numFmtId="3" fontId="31" fillId="7" borderId="85" xfId="26" applyNumberFormat="1" applyFont="1" applyFill="1" applyBorder="1"/>
    <xf numFmtId="3" fontId="31" fillId="7" borderId="65" xfId="26" applyNumberFormat="1" applyFont="1" applyFill="1" applyBorder="1"/>
    <xf numFmtId="167" fontId="33" fillId="7" borderId="73" xfId="86" applyNumberFormat="1" applyFont="1" applyFill="1" applyBorder="1" applyAlignment="1">
      <alignment horizontal="right"/>
    </xf>
    <xf numFmtId="3" fontId="31" fillId="7" borderId="86" xfId="26" applyNumberFormat="1" applyFont="1" applyFill="1" applyBorder="1"/>
    <xf numFmtId="167" fontId="33" fillId="7" borderId="73" xfId="86" applyNumberFormat="1" applyFont="1" applyFill="1" applyBorder="1"/>
    <xf numFmtId="3" fontId="31" fillId="0" borderId="85" xfId="26" applyNumberFormat="1" applyFont="1" applyFill="1" applyBorder="1" applyAlignment="1">
      <alignment horizontal="center"/>
    </xf>
    <xf numFmtId="3" fontId="31" fillId="0" borderId="73" xfId="26" applyNumberFormat="1" applyFont="1" applyFill="1" applyBorder="1" applyAlignment="1">
      <alignment horizontal="center"/>
    </xf>
    <xf numFmtId="3" fontId="31" fillId="7" borderId="85" xfId="26" applyNumberFormat="1" applyFont="1" applyFill="1" applyBorder="1" applyAlignment="1">
      <alignment horizontal="center"/>
    </xf>
    <xf numFmtId="3" fontId="31" fillId="7" borderId="73" xfId="26" applyNumberFormat="1" applyFont="1" applyFill="1" applyBorder="1" applyAlignment="1">
      <alignment horizontal="center"/>
    </xf>
    <xf numFmtId="0" fontId="34" fillId="0" borderId="0" xfId="0" applyFont="1" applyFill="1"/>
    <xf numFmtId="0" fontId="34" fillId="0" borderId="55" xfId="0" applyFont="1" applyFill="1" applyBorder="1" applyAlignment="1"/>
    <xf numFmtId="0" fontId="34" fillId="0" borderId="0" xfId="0" applyFont="1" applyFill="1" applyAlignment="1"/>
    <xf numFmtId="0" fontId="49" fillId="4" borderId="36" xfId="1" applyFont="1" applyFill="1" applyBorder="1"/>
    <xf numFmtId="0" fontId="49" fillId="4" borderId="20" xfId="1" applyFont="1" applyFill="1" applyBorder="1"/>
    <xf numFmtId="0" fontId="49" fillId="3" borderId="21" xfId="1" applyFont="1" applyFill="1" applyBorder="1"/>
    <xf numFmtId="0" fontId="52" fillId="0" borderId="0" xfId="0" applyFont="1" applyFill="1" applyBorder="1" applyAlignment="1">
      <alignment vertical="center"/>
    </xf>
    <xf numFmtId="0" fontId="52" fillId="0" borderId="0" xfId="0" applyFont="1" applyFill="1" applyAlignment="1">
      <alignment vertical="center"/>
    </xf>
    <xf numFmtId="3" fontId="50" fillId="0" borderId="0" xfId="76" applyNumberFormat="1" applyFont="1" applyFill="1" applyBorder="1"/>
    <xf numFmtId="0" fontId="34" fillId="2" borderId="32" xfId="0" applyFont="1" applyFill="1" applyBorder="1" applyAlignment="1">
      <alignment horizontal="center" vertical="center"/>
    </xf>
    <xf numFmtId="0" fontId="39" fillId="2" borderId="11" xfId="0" applyFont="1" applyFill="1" applyBorder="1" applyAlignment="1">
      <alignment horizontal="center" vertical="center"/>
    </xf>
    <xf numFmtId="0" fontId="34" fillId="2" borderId="28" xfId="0" applyFont="1" applyFill="1" applyBorder="1" applyAlignment="1">
      <alignment horizontal="center" vertical="center"/>
    </xf>
    <xf numFmtId="0" fontId="40" fillId="2" borderId="11" xfId="0" applyFont="1" applyFill="1" applyBorder="1" applyAlignment="1">
      <alignment horizontal="center" vertical="center" wrapText="1"/>
    </xf>
    <xf numFmtId="164" fontId="33" fillId="2" borderId="27" xfId="53" applyNumberFormat="1" applyFont="1" applyFill="1" applyBorder="1" applyAlignment="1">
      <alignment horizontal="right"/>
    </xf>
    <xf numFmtId="0" fontId="3" fillId="2" borderId="32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168" fontId="3" fillId="2" borderId="33" xfId="26" applyNumberFormat="1" applyFont="1" applyFill="1" applyBorder="1" applyAlignment="1">
      <alignment horizontal="left" vertical="top"/>
    </xf>
    <xf numFmtId="0" fontId="49" fillId="3" borderId="10" xfId="1" applyFont="1" applyFill="1" applyBorder="1"/>
    <xf numFmtId="0" fontId="49" fillId="3" borderId="5" xfId="1" applyFont="1" applyFill="1" applyBorder="1"/>
    <xf numFmtId="0" fontId="49" fillId="6" borderId="5" xfId="1" applyFont="1" applyFill="1" applyBorder="1"/>
    <xf numFmtId="0" fontId="49" fillId="6" borderId="66" xfId="1" applyFont="1" applyFill="1" applyBorder="1"/>
    <xf numFmtId="0" fontId="49" fillId="2" borderId="5" xfId="1" applyFont="1" applyFill="1" applyBorder="1"/>
    <xf numFmtId="0" fontId="49" fillId="4" borderId="5" xfId="1" applyFont="1" applyFill="1" applyBorder="1"/>
    <xf numFmtId="0" fontId="34" fillId="0" borderId="0" xfId="0" applyFont="1"/>
    <xf numFmtId="0" fontId="34" fillId="0" borderId="0" xfId="0" applyFont="1" applyBorder="1" applyAlignment="1"/>
    <xf numFmtId="3" fontId="34" fillId="0" borderId="0" xfId="0" applyNumberFormat="1" applyFont="1"/>
    <xf numFmtId="9" fontId="34" fillId="0" borderId="0" xfId="0" applyNumberFormat="1" applyFont="1"/>
    <xf numFmtId="0" fontId="34" fillId="0" borderId="0" xfId="0" applyFont="1" applyBorder="1"/>
    <xf numFmtId="3" fontId="41" fillId="2" borderId="58" xfId="0" applyNumberFormat="1" applyFont="1" applyFill="1" applyBorder="1"/>
    <xf numFmtId="3" fontId="41" fillId="2" borderId="60" xfId="0" applyNumberFormat="1" applyFont="1" applyFill="1" applyBorder="1"/>
    <xf numFmtId="9" fontId="41" fillId="2" borderId="67" xfId="0" applyNumberFormat="1" applyFont="1" applyFill="1" applyBorder="1"/>
    <xf numFmtId="0" fontId="53" fillId="2" borderId="21" xfId="1" applyFont="1" applyFill="1" applyBorder="1" applyAlignment="1"/>
    <xf numFmtId="0" fontId="34" fillId="2" borderId="31" xfId="0" applyFont="1" applyFill="1" applyBorder="1" applyAlignment="1"/>
    <xf numFmtId="3" fontId="34" fillId="2" borderId="30" xfId="0" applyNumberFormat="1" applyFont="1" applyFill="1" applyBorder="1" applyAlignment="1"/>
    <xf numFmtId="9" fontId="34" fillId="2" borderId="23" xfId="0" applyNumberFormat="1" applyFont="1" applyFill="1" applyBorder="1" applyAlignment="1"/>
    <xf numFmtId="0" fontId="41" fillId="2" borderId="64" xfId="0" applyFont="1" applyFill="1" applyBorder="1" applyAlignment="1"/>
    <xf numFmtId="0" fontId="34" fillId="0" borderId="8" xfId="0" applyFont="1" applyBorder="1" applyAlignment="1"/>
    <xf numFmtId="3" fontId="34" fillId="0" borderId="6" xfId="0" applyNumberFormat="1" applyFont="1" applyBorder="1" applyAlignment="1"/>
    <xf numFmtId="9" fontId="34" fillId="0" borderId="12" xfId="0" applyNumberFormat="1" applyFont="1" applyBorder="1" applyAlignment="1"/>
    <xf numFmtId="0" fontId="31" fillId="2" borderId="37" xfId="1" applyFont="1" applyFill="1" applyBorder="1" applyAlignment="1">
      <alignment horizontal="left" indent="2"/>
    </xf>
    <xf numFmtId="0" fontId="34" fillId="0" borderId="13" xfId="0" applyFont="1" applyBorder="1" applyAlignment="1"/>
    <xf numFmtId="3" fontId="34" fillId="0" borderId="11" xfId="0" applyNumberFormat="1" applyFont="1" applyBorder="1" applyAlignment="1"/>
    <xf numFmtId="9" fontId="34" fillId="0" borderId="11" xfId="0" applyNumberFormat="1" applyFont="1" applyBorder="1" applyAlignment="1"/>
    <xf numFmtId="0" fontId="34" fillId="2" borderId="37" xfId="0" applyFont="1" applyFill="1" applyBorder="1" applyAlignment="1">
      <alignment horizontal="left" indent="2"/>
    </xf>
    <xf numFmtId="0" fontId="33" fillId="2" borderId="37" xfId="1" applyFont="1" applyFill="1" applyBorder="1" applyAlignment="1"/>
    <xf numFmtId="0" fontId="49" fillId="2" borderId="37" xfId="1" applyFont="1" applyFill="1" applyBorder="1" applyAlignment="1">
      <alignment horizontal="left" indent="2"/>
    </xf>
    <xf numFmtId="0" fontId="53" fillId="2" borderId="37" xfId="1" applyFont="1" applyFill="1" applyBorder="1" applyAlignment="1"/>
    <xf numFmtId="0" fontId="34" fillId="0" borderId="35" xfId="0" applyFont="1" applyBorder="1" applyAlignment="1"/>
    <xf numFmtId="3" fontId="34" fillId="0" borderId="26" xfId="0" applyNumberFormat="1" applyFont="1" applyBorder="1" applyAlignment="1"/>
    <xf numFmtId="9" fontId="34" fillId="0" borderId="25" xfId="0" applyNumberFormat="1" applyFont="1" applyBorder="1" applyAlignment="1"/>
    <xf numFmtId="0" fontId="41" fillId="0" borderId="47" xfId="0" applyFont="1" applyFill="1" applyBorder="1" applyAlignment="1">
      <alignment horizontal="left" indent="2"/>
    </xf>
    <xf numFmtId="0" fontId="34" fillId="0" borderId="47" xfId="0" applyFont="1" applyBorder="1" applyAlignment="1"/>
    <xf numFmtId="3" fontId="34" fillId="0" borderId="47" xfId="0" applyNumberFormat="1" applyFont="1" applyBorder="1" applyAlignment="1"/>
    <xf numFmtId="9" fontId="34" fillId="0" borderId="47" xfId="0" applyNumberFormat="1" applyFont="1" applyBorder="1" applyAlignment="1"/>
    <xf numFmtId="0" fontId="53" fillId="4" borderId="21" xfId="1" applyFont="1" applyFill="1" applyBorder="1" applyAlignment="1">
      <alignment horizontal="left"/>
    </xf>
    <xf numFmtId="0" fontId="34" fillId="4" borderId="31" xfId="0" applyFont="1" applyFill="1" applyBorder="1" applyAlignment="1"/>
    <xf numFmtId="3" fontId="34" fillId="4" borderId="30" xfId="0" applyNumberFormat="1" applyFont="1" applyFill="1" applyBorder="1" applyAlignment="1"/>
    <xf numFmtId="9" fontId="34" fillId="4" borderId="23" xfId="0" applyNumberFormat="1" applyFont="1" applyFill="1" applyBorder="1" applyAlignment="1"/>
    <xf numFmtId="0" fontId="53" fillId="4" borderId="64" xfId="1" applyFont="1" applyFill="1" applyBorder="1" applyAlignment="1">
      <alignment horizontal="left"/>
    </xf>
    <xf numFmtId="0" fontId="49" fillId="4" borderId="37" xfId="1" applyFont="1" applyFill="1" applyBorder="1" applyAlignment="1">
      <alignment horizontal="left" indent="2"/>
    </xf>
    <xf numFmtId="0" fontId="53" fillId="4" borderId="37" xfId="1" applyFont="1" applyFill="1" applyBorder="1" applyAlignment="1">
      <alignment horizontal="left"/>
    </xf>
    <xf numFmtId="9" fontId="34" fillId="0" borderId="11" xfId="0" applyNumberFormat="1" applyFont="1" applyBorder="1" applyAlignment="1">
      <alignment horizontal="right"/>
    </xf>
    <xf numFmtId="0" fontId="49" fillId="4" borderId="37" xfId="1" applyFont="1" applyFill="1" applyBorder="1" applyAlignment="1">
      <alignment horizontal="left" wrapText="1" indent="2"/>
    </xf>
    <xf numFmtId="0" fontId="34" fillId="4" borderId="38" xfId="0" applyFont="1" applyFill="1" applyBorder="1" applyAlignment="1">
      <alignment horizontal="left" indent="2"/>
    </xf>
    <xf numFmtId="0" fontId="41" fillId="0" borderId="0" xfId="0" applyFont="1" applyFill="1" applyBorder="1" applyAlignment="1"/>
    <xf numFmtId="0" fontId="34" fillId="0" borderId="0" xfId="0" applyFont="1" applyAlignment="1"/>
    <xf numFmtId="3" fontId="34" fillId="0" borderId="0" xfId="0" applyNumberFormat="1" applyFont="1" applyAlignment="1"/>
    <xf numFmtId="9" fontId="34" fillId="0" borderId="55" xfId="0" applyNumberFormat="1" applyFont="1" applyBorder="1" applyAlignment="1"/>
    <xf numFmtId="0" fontId="41" fillId="3" borderId="21" xfId="0" applyFont="1" applyFill="1" applyBorder="1" applyAlignment="1"/>
    <xf numFmtId="0" fontId="34" fillId="3" borderId="31" xfId="0" applyFont="1" applyFill="1" applyBorder="1" applyAlignment="1"/>
    <xf numFmtId="3" fontId="34" fillId="3" borderId="30" xfId="0" applyNumberFormat="1" applyFont="1" applyFill="1" applyBorder="1" applyAlignment="1"/>
    <xf numFmtId="9" fontId="34" fillId="3" borderId="23" xfId="0" applyNumberFormat="1" applyFont="1" applyFill="1" applyBorder="1" applyAlignment="1"/>
    <xf numFmtId="0" fontId="42" fillId="0" borderId="0" xfId="0" applyFont="1" applyFill="1" applyBorder="1" applyAlignment="1"/>
    <xf numFmtId="0" fontId="43" fillId="0" borderId="0" xfId="0" applyFont="1" applyFill="1"/>
    <xf numFmtId="16" fontId="43" fillId="0" borderId="0" xfId="0" quotePrefix="1" applyNumberFormat="1" applyFont="1" applyFill="1"/>
    <xf numFmtId="0" fontId="43" fillId="0" borderId="0" xfId="0" quotePrefix="1" applyFont="1" applyFill="1"/>
    <xf numFmtId="171" fontId="43" fillId="0" borderId="0" xfId="0" applyNumberFormat="1" applyFont="1" applyFill="1"/>
    <xf numFmtId="172" fontId="43" fillId="0" borderId="0" xfId="0" applyNumberFormat="1" applyFont="1" applyFill="1"/>
    <xf numFmtId="3" fontId="43" fillId="0" borderId="0" xfId="0" applyNumberFormat="1" applyFont="1" applyFill="1"/>
    <xf numFmtId="0" fontId="8" fillId="0" borderId="0" xfId="81" applyFont="1" applyFill="1"/>
    <xf numFmtId="0" fontId="54" fillId="0" borderId="47" xfId="81" applyFont="1" applyFill="1" applyBorder="1" applyAlignment="1"/>
    <xf numFmtId="0" fontId="7" fillId="0" borderId="0" xfId="78" applyFont="1" applyFill="1" applyBorder="1" applyAlignment="1"/>
    <xf numFmtId="3" fontId="34" fillId="0" borderId="0" xfId="0" applyNumberFormat="1" applyFont="1" applyFill="1"/>
    <xf numFmtId="0" fontId="34" fillId="0" borderId="0" xfId="0" applyFont="1" applyFill="1" applyAlignment="1">
      <alignment horizontal="left"/>
    </xf>
    <xf numFmtId="164" fontId="34" fillId="0" borderId="0" xfId="0" applyNumberFormat="1" applyFont="1" applyFill="1"/>
    <xf numFmtId="9" fontId="34" fillId="0" borderId="0" xfId="0" applyNumberFormat="1" applyFont="1" applyFill="1"/>
    <xf numFmtId="164" fontId="29" fillId="0" borderId="0" xfId="78" applyNumberFormat="1" applyFont="1" applyFill="1" applyBorder="1" applyAlignment="1"/>
    <xf numFmtId="3" fontId="29" fillId="0" borderId="0" xfId="78" applyNumberFormat="1" applyFont="1" applyFill="1" applyBorder="1" applyAlignment="1"/>
    <xf numFmtId="164" fontId="34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4" fillId="0" borderId="0" xfId="0" applyFont="1" applyFill="1" applyAlignment="1">
      <alignment horizontal="right"/>
    </xf>
    <xf numFmtId="165" fontId="34" fillId="0" borderId="0" xfId="0" applyNumberFormat="1" applyFont="1" applyFill="1"/>
    <xf numFmtId="0" fontId="41" fillId="2" borderId="29" xfId="0" applyFont="1" applyFill="1" applyBorder="1" applyAlignment="1">
      <alignment horizontal="right"/>
    </xf>
    <xf numFmtId="169" fontId="41" fillId="0" borderId="22" xfId="0" applyNumberFormat="1" applyFont="1" applyFill="1" applyBorder="1" applyAlignment="1"/>
    <xf numFmtId="169" fontId="41" fillId="0" borderId="30" xfId="0" applyNumberFormat="1" applyFont="1" applyFill="1" applyBorder="1" applyAlignment="1"/>
    <xf numFmtId="9" fontId="41" fillId="0" borderId="23" xfId="0" applyNumberFormat="1" applyFont="1" applyFill="1" applyBorder="1" applyAlignment="1"/>
    <xf numFmtId="169" fontId="41" fillId="0" borderId="31" xfId="0" applyNumberFormat="1" applyFont="1" applyFill="1" applyBorder="1" applyAlignment="1"/>
    <xf numFmtId="9" fontId="41" fillId="0" borderId="57" xfId="0" applyNumberFormat="1" applyFont="1" applyFill="1" applyBorder="1" applyAlignment="1"/>
    <xf numFmtId="169" fontId="34" fillId="0" borderId="0" xfId="0" applyNumberFormat="1" applyFont="1" applyFill="1" applyBorder="1" applyAlignment="1"/>
    <xf numFmtId="9" fontId="34" fillId="0" borderId="0" xfId="0" applyNumberFormat="1" applyFont="1" applyFill="1" applyBorder="1" applyAlignment="1"/>
    <xf numFmtId="3" fontId="34" fillId="0" borderId="55" xfId="0" applyNumberFormat="1" applyFont="1" applyFill="1" applyBorder="1" applyAlignment="1"/>
    <xf numFmtId="9" fontId="34" fillId="0" borderId="55" xfId="0" applyNumberFormat="1" applyFont="1" applyFill="1" applyBorder="1" applyAlignment="1"/>
    <xf numFmtId="3" fontId="34" fillId="0" borderId="0" xfId="0" applyNumberFormat="1" applyFont="1" applyFill="1" applyBorder="1" applyAlignment="1"/>
    <xf numFmtId="3" fontId="4" fillId="0" borderId="0" xfId="76" applyNumberFormat="1" applyFont="1" applyFill="1"/>
    <xf numFmtId="3" fontId="33" fillId="0" borderId="2" xfId="26" applyNumberFormat="1" applyFont="1" applyFill="1" applyBorder="1" applyAlignment="1">
      <alignment horizontal="right" vertical="top"/>
    </xf>
    <xf numFmtId="0" fontId="34" fillId="0" borderId="2" xfId="0" applyFont="1" applyFill="1" applyBorder="1" applyAlignment="1">
      <alignment horizontal="right" vertical="top"/>
    </xf>
    <xf numFmtId="167" fontId="31" fillId="5" borderId="0" xfId="26" applyNumberFormat="1" applyFont="1" applyFill="1" applyBorder="1" applyAlignment="1">
      <alignment horizontal="center"/>
    </xf>
    <xf numFmtId="0" fontId="34" fillId="0" borderId="0" xfId="98" applyFont="1" applyBorder="1" applyAlignment="1">
      <alignment horizontal="center"/>
    </xf>
    <xf numFmtId="3" fontId="57" fillId="0" borderId="0" xfId="76" applyNumberFormat="1" applyFont="1" applyFill="1" applyBorder="1"/>
    <xf numFmtId="9" fontId="57" fillId="0" borderId="0" xfId="76" applyNumberFormat="1" applyFont="1" applyFill="1" applyBorder="1" applyAlignment="1">
      <alignment horizontal="right"/>
    </xf>
    <xf numFmtId="9" fontId="57" fillId="0" borderId="0" xfId="76" applyNumberFormat="1" applyFont="1" applyFill="1" applyBorder="1"/>
    <xf numFmtId="9" fontId="4" fillId="0" borderId="0" xfId="76" applyNumberFormat="1" applyFont="1" applyFill="1" applyAlignment="1">
      <alignment horizontal="right"/>
    </xf>
    <xf numFmtId="9" fontId="4" fillId="0" borderId="0" xfId="76" applyNumberFormat="1" applyFont="1" applyFill="1"/>
    <xf numFmtId="3" fontId="31" fillId="0" borderId="0" xfId="26" applyNumberFormat="1" applyFont="1" applyFill="1" applyBorder="1" applyAlignment="1">
      <alignment horizontal="right"/>
    </xf>
    <xf numFmtId="0" fontId="32" fillId="0" borderId="0" xfId="26" applyFont="1" applyFill="1" applyBorder="1" applyAlignment="1">
      <alignment horizontal="right"/>
    </xf>
    <xf numFmtId="9" fontId="32" fillId="0" borderId="0" xfId="26" applyNumberFormat="1" applyFont="1" applyFill="1" applyBorder="1" applyAlignment="1">
      <alignment horizontal="right"/>
    </xf>
    <xf numFmtId="3" fontId="43" fillId="0" borderId="0" xfId="26" applyNumberFormat="1" applyFont="1" applyFill="1" applyBorder="1"/>
    <xf numFmtId="0" fontId="3" fillId="0" borderId="47" xfId="26" applyFont="1" applyFill="1" applyBorder="1" applyAlignment="1">
      <alignment vertical="center"/>
    </xf>
    <xf numFmtId="168" fontId="3" fillId="0" borderId="47" xfId="26" applyNumberFormat="1" applyFont="1" applyFill="1" applyBorder="1" applyAlignment="1">
      <alignment vertical="center"/>
    </xf>
    <xf numFmtId="166" fontId="3" fillId="0" borderId="47" xfId="26" applyNumberFormat="1" applyFont="1" applyFill="1" applyBorder="1" applyAlignment="1">
      <alignment vertical="center"/>
    </xf>
    <xf numFmtId="3" fontId="0" fillId="0" borderId="0" xfId="0" applyNumberFormat="1"/>
    <xf numFmtId="0" fontId="60" fillId="0" borderId="0" xfId="1" applyFont="1" applyFill="1"/>
    <xf numFmtId="3" fontId="55" fillId="0" borderId="0" xfId="26" applyNumberFormat="1" applyFont="1" applyFill="1" applyBorder="1" applyAlignment="1"/>
    <xf numFmtId="0" fontId="63" fillId="0" borderId="0" xfId="0" applyFont="1" applyAlignment="1">
      <alignment horizontal="left" vertical="center" indent="1"/>
    </xf>
    <xf numFmtId="0" fontId="63" fillId="0" borderId="0" xfId="0" applyFont="1" applyAlignment="1">
      <alignment vertical="center"/>
    </xf>
    <xf numFmtId="0" fontId="0" fillId="0" borderId="0" xfId="0" applyAlignment="1"/>
    <xf numFmtId="0" fontId="64" fillId="0" borderId="0" xfId="0" applyFont="1"/>
    <xf numFmtId="0" fontId="33" fillId="2" borderId="112" xfId="74" applyFont="1" applyFill="1" applyBorder="1" applyAlignment="1">
      <alignment horizontal="center"/>
    </xf>
    <xf numFmtId="0" fontId="33" fillId="2" borderId="92" xfId="81" applyFont="1" applyFill="1" applyBorder="1" applyAlignment="1">
      <alignment horizontal="center"/>
    </xf>
    <xf numFmtId="0" fontId="33" fillId="2" borderId="93" xfId="81" applyFont="1" applyFill="1" applyBorder="1" applyAlignment="1">
      <alignment horizontal="center"/>
    </xf>
    <xf numFmtId="0" fontId="33" fillId="2" borderId="94" xfId="81" applyFont="1" applyFill="1" applyBorder="1" applyAlignment="1">
      <alignment horizontal="center"/>
    </xf>
    <xf numFmtId="0" fontId="33" fillId="2" borderId="95" xfId="81" applyFont="1" applyFill="1" applyBorder="1" applyAlignment="1">
      <alignment horizontal="center"/>
    </xf>
    <xf numFmtId="0" fontId="3" fillId="2" borderId="22" xfId="79" applyFont="1" applyFill="1" applyBorder="1" applyAlignment="1"/>
    <xf numFmtId="0" fontId="3" fillId="2" borderId="30" xfId="79" applyFont="1" applyFill="1" applyBorder="1" applyAlignment="1"/>
    <xf numFmtId="0" fontId="31" fillId="5" borderId="0" xfId="74" applyFont="1" applyFill="1" applyAlignment="1">
      <alignment horizontal="center"/>
    </xf>
    <xf numFmtId="3" fontId="65" fillId="0" borderId="0" xfId="76" applyNumberFormat="1" applyFont="1" applyFill="1"/>
    <xf numFmtId="3" fontId="65" fillId="0" borderId="0" xfId="76" applyNumberFormat="1" applyFont="1" applyFill="1" applyAlignment="1">
      <alignment horizontal="left" indent="1"/>
    </xf>
    <xf numFmtId="3" fontId="31" fillId="0" borderId="0" xfId="26" applyNumberFormat="1" applyFont="1" applyFill="1" applyBorder="1" applyAlignment="1"/>
    <xf numFmtId="3" fontId="33" fillId="0" borderId="79" xfId="53" applyNumberFormat="1" applyFont="1" applyFill="1" applyBorder="1"/>
    <xf numFmtId="3" fontId="33" fillId="0" borderId="80" xfId="53" applyNumberFormat="1" applyFont="1" applyFill="1" applyBorder="1"/>
    <xf numFmtId="0" fontId="3" fillId="0" borderId="0" xfId="79" applyFont="1" applyFill="1" applyBorder="1" applyAlignment="1">
      <alignment horizontal="left"/>
    </xf>
    <xf numFmtId="0" fontId="3" fillId="2" borderId="29" xfId="79" applyFont="1" applyFill="1" applyBorder="1" applyAlignment="1">
      <alignment horizontal="right"/>
    </xf>
    <xf numFmtId="9" fontId="34" fillId="0" borderId="30" xfId="0" applyNumberFormat="1" applyFont="1" applyFill="1" applyBorder="1"/>
    <xf numFmtId="9" fontId="34" fillId="0" borderId="23" xfId="0" applyNumberFormat="1" applyFont="1" applyFill="1" applyBorder="1"/>
    <xf numFmtId="9" fontId="34" fillId="0" borderId="31" xfId="0" applyNumberFormat="1" applyFont="1" applyFill="1" applyBorder="1"/>
    <xf numFmtId="3" fontId="7" fillId="0" borderId="22" xfId="78" applyNumberFormat="1" applyFont="1" applyFill="1" applyBorder="1" applyAlignment="1"/>
    <xf numFmtId="3" fontId="7" fillId="0" borderId="30" xfId="78" applyNumberFormat="1" applyFont="1" applyFill="1" applyBorder="1" applyAlignment="1"/>
    <xf numFmtId="3" fontId="7" fillId="0" borderId="23" xfId="78" applyNumberFormat="1" applyFont="1" applyFill="1" applyBorder="1" applyAlignment="1"/>
    <xf numFmtId="0" fontId="34" fillId="5" borderId="100" xfId="0" applyFont="1" applyFill="1" applyBorder="1"/>
    <xf numFmtId="0" fontId="34" fillId="0" borderId="101" xfId="0" applyFont="1" applyBorder="1" applyAlignment="1"/>
    <xf numFmtId="9" fontId="34" fillId="0" borderId="99" xfId="0" applyNumberFormat="1" applyFont="1" applyBorder="1" applyAlignment="1"/>
    <xf numFmtId="0" fontId="27" fillId="2" borderId="37" xfId="1" applyFill="1" applyBorder="1" applyAlignment="1">
      <alignment horizontal="left" indent="4"/>
    </xf>
    <xf numFmtId="0" fontId="41" fillId="0" borderId="0" xfId="0" applyFont="1" applyFill="1" applyAlignment="1">
      <alignment horizontal="left" indent="1"/>
    </xf>
    <xf numFmtId="3" fontId="41" fillId="0" borderId="22" xfId="0" applyNumberFormat="1" applyFont="1" applyFill="1" applyBorder="1" applyAlignment="1"/>
    <xf numFmtId="3" fontId="41" fillId="0" borderId="30" xfId="0" applyNumberFormat="1" applyFont="1" applyFill="1" applyBorder="1" applyAlignment="1"/>
    <xf numFmtId="169" fontId="41" fillId="0" borderId="23" xfId="0" applyNumberFormat="1" applyFont="1" applyFill="1" applyBorder="1" applyAlignment="1"/>
    <xf numFmtId="49" fontId="39" fillId="2" borderId="99" xfId="0" quotePrefix="1" applyNumberFormat="1" applyFont="1" applyFill="1" applyBorder="1" applyAlignment="1">
      <alignment horizontal="center" vertical="center"/>
    </xf>
    <xf numFmtId="0" fontId="33" fillId="10" borderId="1" xfId="26" applyNumberFormat="1" applyFont="1" applyFill="1" applyBorder="1" applyAlignment="1">
      <alignment horizontal="center"/>
    </xf>
    <xf numFmtId="0" fontId="33" fillId="10" borderId="2" xfId="26" applyNumberFormat="1" applyFont="1" applyFill="1" applyBorder="1" applyAlignment="1">
      <alignment horizontal="center"/>
    </xf>
    <xf numFmtId="167" fontId="33" fillId="10" borderId="3" xfId="26" applyNumberFormat="1" applyFont="1" applyFill="1" applyBorder="1" applyAlignment="1">
      <alignment horizontal="center"/>
    </xf>
    <xf numFmtId="3" fontId="33" fillId="10" borderId="22" xfId="26" applyNumberFormat="1" applyFont="1" applyFill="1" applyBorder="1"/>
    <xf numFmtId="3" fontId="33" fillId="10" borderId="30" xfId="26" applyNumberFormat="1" applyFont="1" applyFill="1" applyBorder="1"/>
    <xf numFmtId="167" fontId="33" fillId="10" borderId="23" xfId="86" applyNumberFormat="1" applyFont="1" applyFill="1" applyBorder="1" applyAlignment="1">
      <alignment horizontal="right"/>
    </xf>
    <xf numFmtId="3" fontId="33" fillId="10" borderId="31" xfId="26" applyNumberFormat="1" applyFont="1" applyFill="1" applyBorder="1"/>
    <xf numFmtId="167" fontId="33" fillId="10" borderId="23" xfId="86" applyNumberFormat="1" applyFont="1" applyFill="1" applyBorder="1"/>
    <xf numFmtId="3" fontId="33" fillId="10" borderId="22" xfId="26" applyNumberFormat="1" applyFont="1" applyFill="1" applyBorder="1" applyAlignment="1">
      <alignment horizontal="center"/>
    </xf>
    <xf numFmtId="3" fontId="33" fillId="10" borderId="23" xfId="26" applyNumberFormat="1" applyFont="1" applyFill="1" applyBorder="1" applyAlignment="1">
      <alignment horizontal="center"/>
    </xf>
    <xf numFmtId="167" fontId="33" fillId="10" borderId="23" xfId="26" applyNumberFormat="1" applyFont="1" applyFill="1" applyBorder="1" applyAlignment="1">
      <alignment horizontal="center"/>
    </xf>
    <xf numFmtId="0" fontId="33" fillId="2" borderId="2" xfId="26" quotePrefix="1" applyNumberFormat="1" applyFont="1" applyFill="1" applyBorder="1" applyAlignment="1">
      <alignment horizontal="center"/>
    </xf>
    <xf numFmtId="167" fontId="33" fillId="2" borderId="3" xfId="26" quotePrefix="1" applyNumberFormat="1" applyFont="1" applyFill="1" applyBorder="1" applyAlignment="1">
      <alignment horizontal="center"/>
    </xf>
    <xf numFmtId="167" fontId="33" fillId="2" borderId="57" xfId="26" applyNumberFormat="1" applyFont="1" applyFill="1" applyBorder="1"/>
    <xf numFmtId="167" fontId="33" fillId="3" borderId="57" xfId="26" applyNumberFormat="1" applyFont="1" applyFill="1" applyBorder="1"/>
    <xf numFmtId="167" fontId="33" fillId="4" borderId="57" xfId="26" applyNumberFormat="1" applyFont="1" applyFill="1" applyBorder="1"/>
    <xf numFmtId="167" fontId="33" fillId="10" borderId="57" xfId="26" applyNumberFormat="1" applyFont="1" applyFill="1" applyBorder="1"/>
    <xf numFmtId="167" fontId="31" fillId="7" borderId="17" xfId="26" applyNumberFormat="1" applyFont="1" applyFill="1" applyBorder="1"/>
    <xf numFmtId="167" fontId="31" fillId="7" borderId="109" xfId="26" applyNumberFormat="1" applyFont="1" applyFill="1" applyBorder="1"/>
    <xf numFmtId="167" fontId="31" fillId="7" borderId="116" xfId="26" applyNumberFormat="1" applyFont="1" applyFill="1" applyBorder="1"/>
    <xf numFmtId="0" fontId="27" fillId="4" borderId="97" xfId="1" applyFill="1" applyBorder="1" applyAlignment="1">
      <alignment horizontal="left" indent="4"/>
    </xf>
    <xf numFmtId="0" fontId="27" fillId="4" borderId="37" xfId="1" applyFill="1" applyBorder="1" applyAlignment="1">
      <alignment horizontal="left" indent="4"/>
    </xf>
    <xf numFmtId="0" fontId="27" fillId="4" borderId="37" xfId="1" applyFill="1" applyBorder="1" applyAlignment="1">
      <alignment horizontal="left" indent="2"/>
    </xf>
    <xf numFmtId="0" fontId="34" fillId="0" borderId="98" xfId="0" applyFont="1" applyBorder="1"/>
    <xf numFmtId="0" fontId="33" fillId="2" borderId="88" xfId="0" applyFont="1" applyFill="1" applyBorder="1" applyAlignment="1">
      <alignment horizontal="center" vertical="top" wrapText="1"/>
    </xf>
    <xf numFmtId="0" fontId="27" fillId="6" borderId="5" xfId="1" applyFill="1" applyBorder="1"/>
    <xf numFmtId="0" fontId="33" fillId="2" borderId="49" xfId="81" applyFont="1" applyFill="1" applyBorder="1" applyAlignment="1">
      <alignment horizontal="center"/>
    </xf>
    <xf numFmtId="0" fontId="33" fillId="2" borderId="50" xfId="81" applyFont="1" applyFill="1" applyBorder="1" applyAlignment="1">
      <alignment horizontal="center"/>
    </xf>
    <xf numFmtId="0" fontId="7" fillId="0" borderId="0" xfId="26" applyFont="1" applyFill="1" applyBorder="1" applyAlignment="1"/>
    <xf numFmtId="0" fontId="33" fillId="2" borderId="27" xfId="74" applyFont="1" applyFill="1" applyBorder="1" applyAlignment="1">
      <alignment horizontal="center"/>
    </xf>
    <xf numFmtId="0" fontId="7" fillId="0" borderId="3" xfId="78" applyFont="1" applyFill="1" applyBorder="1" applyAlignment="1"/>
    <xf numFmtId="3" fontId="41" fillId="0" borderId="23" xfId="0" applyNumberFormat="1" applyFont="1" applyFill="1" applyBorder="1" applyAlignment="1"/>
    <xf numFmtId="0" fontId="41" fillId="2" borderId="21" xfId="0" applyFont="1" applyFill="1" applyBorder="1" applyAlignment="1">
      <alignment horizontal="right"/>
    </xf>
    <xf numFmtId="3" fontId="33" fillId="7" borderId="64" xfId="26" applyNumberFormat="1" applyFont="1" applyFill="1" applyBorder="1"/>
    <xf numFmtId="3" fontId="33" fillId="7" borderId="97" xfId="26" applyNumberFormat="1" applyFont="1" applyFill="1" applyBorder="1"/>
    <xf numFmtId="3" fontId="33" fillId="7" borderId="34" xfId="26" applyNumberFormat="1" applyFont="1" applyFill="1" applyBorder="1"/>
    <xf numFmtId="3" fontId="33" fillId="10" borderId="21" xfId="26" applyNumberFormat="1" applyFont="1" applyFill="1" applyBorder="1"/>
    <xf numFmtId="3" fontId="33" fillId="4" borderId="21" xfId="26" applyNumberFormat="1" applyFont="1" applyFill="1" applyBorder="1"/>
    <xf numFmtId="3" fontId="33" fillId="3" borderId="21" xfId="26" applyNumberFormat="1" applyFont="1" applyFill="1" applyBorder="1"/>
    <xf numFmtId="168" fontId="3" fillId="2" borderId="0" xfId="26" applyNumberFormat="1" applyFont="1" applyFill="1" applyBorder="1" applyAlignment="1">
      <alignment horizontal="left" vertical="top"/>
    </xf>
    <xf numFmtId="168" fontId="3" fillId="2" borderId="0" xfId="24" applyNumberFormat="1" applyFont="1" applyFill="1" applyBorder="1" applyAlignment="1">
      <alignment horizontal="left" vertical="center" wrapText="1"/>
    </xf>
    <xf numFmtId="168" fontId="3" fillId="2" borderId="18" xfId="26" applyNumberFormat="1" applyFont="1" applyFill="1" applyBorder="1" applyAlignment="1">
      <alignment horizontal="left" vertical="top"/>
    </xf>
    <xf numFmtId="168" fontId="3" fillId="2" borderId="19" xfId="26" applyNumberFormat="1" applyFont="1" applyFill="1" applyBorder="1" applyAlignment="1">
      <alignment horizontal="left" vertical="top"/>
    </xf>
    <xf numFmtId="168" fontId="3" fillId="2" borderId="34" xfId="26" applyNumberFormat="1" applyFont="1" applyFill="1" applyBorder="1" applyAlignment="1">
      <alignment horizontal="left" vertical="top"/>
    </xf>
    <xf numFmtId="3" fontId="3" fillId="2" borderId="18" xfId="26" applyNumberFormat="1" applyFont="1" applyFill="1" applyBorder="1" applyAlignment="1">
      <alignment horizontal="left" vertical="center"/>
    </xf>
    <xf numFmtId="3" fontId="3" fillId="2" borderId="19" xfId="26" applyNumberFormat="1" applyFont="1" applyFill="1" applyBorder="1" applyAlignment="1">
      <alignment horizontal="left" vertical="center"/>
    </xf>
    <xf numFmtId="168" fontId="3" fillId="2" borderId="18" xfId="24" applyNumberFormat="1" applyFont="1" applyFill="1" applyBorder="1" applyAlignment="1">
      <alignment horizontal="left" vertical="center" wrapText="1"/>
    </xf>
    <xf numFmtId="9" fontId="3" fillId="2" borderId="19" xfId="24" applyNumberFormat="1" applyFont="1" applyFill="1" applyBorder="1" applyAlignment="1">
      <alignment horizontal="left" vertical="center" wrapText="1"/>
    </xf>
    <xf numFmtId="166" fontId="3" fillId="2" borderId="19" xfId="24" applyNumberFormat="1" applyFont="1" applyFill="1" applyBorder="1" applyAlignment="1">
      <alignment horizontal="left" vertical="center" wrapText="1"/>
    </xf>
    <xf numFmtId="0" fontId="5" fillId="0" borderId="0" xfId="26" applyFont="1" applyFill="1" applyBorder="1"/>
    <xf numFmtId="0" fontId="29" fillId="0" borderId="0" xfId="78" applyNumberFormat="1" applyFont="1" applyFill="1" applyBorder="1" applyAlignment="1"/>
    <xf numFmtId="0" fontId="34" fillId="0" borderId="0" xfId="0" applyNumberFormat="1" applyFont="1" applyFill="1"/>
    <xf numFmtId="9" fontId="0" fillId="0" borderId="0" xfId="0" applyNumberFormat="1"/>
    <xf numFmtId="168" fontId="0" fillId="0" borderId="0" xfId="0" applyNumberFormat="1"/>
    <xf numFmtId="0" fontId="51" fillId="0" borderId="0" xfId="0" applyFont="1" applyFill="1" applyAlignment="1">
      <alignment horizontal="left" indent="2"/>
    </xf>
    <xf numFmtId="176" fontId="41" fillId="0" borderId="18" xfId="0" applyNumberFormat="1" applyFont="1" applyBorder="1" applyAlignment="1">
      <alignment vertical="center"/>
    </xf>
    <xf numFmtId="173" fontId="41" fillId="0" borderId="34" xfId="0" applyNumberFormat="1" applyFont="1" applyBorder="1" applyAlignment="1">
      <alignment vertical="center"/>
    </xf>
    <xf numFmtId="173" fontId="34" fillId="0" borderId="19" xfId="0" applyNumberFormat="1" applyFont="1" applyBorder="1" applyAlignment="1">
      <alignment vertical="center"/>
    </xf>
    <xf numFmtId="173" fontId="34" fillId="0" borderId="0" xfId="0" applyNumberFormat="1" applyFont="1" applyBorder="1" applyAlignment="1">
      <alignment vertical="center"/>
    </xf>
    <xf numFmtId="173" fontId="34" fillId="0" borderId="18" xfId="0" applyNumberFormat="1" applyFont="1" applyBorder="1" applyAlignment="1">
      <alignment vertical="center"/>
    </xf>
    <xf numFmtId="174" fontId="34" fillId="0" borderId="0" xfId="0" applyNumberFormat="1" applyFont="1" applyBorder="1" applyAlignment="1">
      <alignment vertical="center"/>
    </xf>
    <xf numFmtId="0" fontId="61" fillId="0" borderId="19" xfId="0" applyFont="1" applyFill="1" applyBorder="1" applyAlignment="1">
      <alignment horizontal="left" vertical="center"/>
    </xf>
    <xf numFmtId="0" fontId="41" fillId="2" borderId="0" xfId="0" applyFont="1" applyFill="1" applyBorder="1" applyAlignment="1">
      <alignment horizontal="center" vertical="center"/>
    </xf>
    <xf numFmtId="173" fontId="34" fillId="0" borderId="0" xfId="0" applyNumberFormat="1" applyFont="1" applyBorder="1" applyAlignment="1">
      <alignment horizontal="right" vertical="center"/>
    </xf>
    <xf numFmtId="175" fontId="34" fillId="0" borderId="0" xfId="0" applyNumberFormat="1" applyFont="1" applyBorder="1" applyAlignment="1">
      <alignment horizontal="right" vertical="center"/>
    </xf>
    <xf numFmtId="3" fontId="41" fillId="0" borderId="73" xfId="0" applyNumberFormat="1" applyFont="1" applyBorder="1" applyAlignment="1">
      <alignment horizontal="right" vertical="center"/>
    </xf>
    <xf numFmtId="9" fontId="41" fillId="0" borderId="120" xfId="0" applyNumberFormat="1" applyFont="1" applyBorder="1" applyAlignment="1">
      <alignment horizontal="right" vertical="center"/>
    </xf>
    <xf numFmtId="173" fontId="41" fillId="0" borderId="120" xfId="0" applyNumberFormat="1" applyFont="1" applyBorder="1" applyAlignment="1">
      <alignment horizontal="right" vertical="center"/>
    </xf>
    <xf numFmtId="173" fontId="41" fillId="0" borderId="86" xfId="0" applyNumberFormat="1" applyFont="1" applyBorder="1" applyAlignment="1">
      <alignment horizontal="right" vertical="center"/>
    </xf>
    <xf numFmtId="173" fontId="41" fillId="0" borderId="88" xfId="0" applyNumberFormat="1" applyFont="1" applyBorder="1" applyAlignment="1">
      <alignment vertical="center"/>
    </xf>
    <xf numFmtId="173" fontId="41" fillId="0" borderId="121" xfId="0" applyNumberFormat="1" applyFont="1" applyBorder="1" applyAlignment="1">
      <alignment vertical="center"/>
    </xf>
    <xf numFmtId="173" fontId="41" fillId="0" borderId="120" xfId="0" applyNumberFormat="1" applyFont="1" applyBorder="1" applyAlignment="1">
      <alignment vertical="center"/>
    </xf>
    <xf numFmtId="173" fontId="41" fillId="0" borderId="86" xfId="0" applyNumberFormat="1" applyFont="1" applyBorder="1" applyAlignment="1">
      <alignment vertical="center"/>
    </xf>
    <xf numFmtId="173" fontId="41" fillId="0" borderId="122" xfId="0" applyNumberFormat="1" applyFont="1" applyBorder="1" applyAlignment="1">
      <alignment vertical="center"/>
    </xf>
    <xf numFmtId="174" fontId="41" fillId="0" borderId="123" xfId="0" applyNumberFormat="1" applyFont="1" applyBorder="1" applyAlignment="1">
      <alignment vertical="center"/>
    </xf>
    <xf numFmtId="174" fontId="41" fillId="0" borderId="120" xfId="0" applyNumberFormat="1" applyFont="1" applyBorder="1" applyAlignment="1">
      <alignment vertical="center"/>
    </xf>
    <xf numFmtId="174" fontId="41" fillId="0" borderId="86" xfId="0" applyNumberFormat="1" applyFont="1" applyBorder="1" applyAlignment="1">
      <alignment vertical="center"/>
    </xf>
    <xf numFmtId="168" fontId="41" fillId="0" borderId="113" xfId="0" applyNumberFormat="1" applyFont="1" applyBorder="1" applyAlignment="1">
      <alignment vertical="center"/>
    </xf>
    <xf numFmtId="0" fontId="34" fillId="0" borderId="121" xfId="0" applyFont="1" applyBorder="1" applyAlignment="1">
      <alignment horizontal="center" vertical="center"/>
    </xf>
    <xf numFmtId="166" fontId="41" fillId="2" borderId="86" xfId="0" applyNumberFormat="1" applyFont="1" applyFill="1" applyBorder="1" applyAlignment="1">
      <alignment horizontal="center" vertical="center"/>
    </xf>
    <xf numFmtId="173" fontId="41" fillId="0" borderId="95" xfId="0" applyNumberFormat="1" applyFont="1" applyBorder="1" applyAlignment="1">
      <alignment horizontal="right" vertical="center"/>
    </xf>
    <xf numFmtId="175" fontId="41" fillId="0" borderId="94" xfId="0" applyNumberFormat="1" applyFont="1" applyBorder="1" applyAlignment="1">
      <alignment horizontal="right" vertical="center"/>
    </xf>
    <xf numFmtId="173" fontId="41" fillId="0" borderId="94" xfId="0" applyNumberFormat="1" applyFont="1" applyBorder="1" applyAlignment="1">
      <alignment horizontal="right" vertical="center"/>
    </xf>
    <xf numFmtId="173" fontId="41" fillId="0" borderId="95" xfId="0" applyNumberFormat="1" applyFont="1" applyBorder="1" applyAlignment="1">
      <alignment vertical="center"/>
    </xf>
    <xf numFmtId="173" fontId="41" fillId="0" borderId="94" xfId="0" applyNumberFormat="1" applyFont="1" applyBorder="1" applyAlignment="1">
      <alignment vertical="center"/>
    </xf>
    <xf numFmtId="173" fontId="41" fillId="0" borderId="93" xfId="0" applyNumberFormat="1" applyFont="1" applyBorder="1" applyAlignment="1">
      <alignment vertical="center"/>
    </xf>
    <xf numFmtId="176" fontId="41" fillId="0" borderId="93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61" fillId="11" borderId="99" xfId="0" quotePrefix="1" applyFont="1" applyFill="1" applyBorder="1" applyAlignment="1">
      <alignment horizontal="center" vertical="center" wrapText="1"/>
    </xf>
    <xf numFmtId="0" fontId="42" fillId="11" borderId="99" xfId="0" quotePrefix="1" applyFont="1" applyFill="1" applyBorder="1" applyAlignment="1">
      <alignment horizontal="center" vertical="center" wrapText="1"/>
    </xf>
    <xf numFmtId="0" fontId="42" fillId="11" borderId="98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8" borderId="129" xfId="0" applyNumberFormat="1" applyFont="1" applyFill="1" applyBorder="1"/>
    <xf numFmtId="3" fontId="0" fillId="8" borderId="87" xfId="0" applyNumberFormat="1" applyFont="1" applyFill="1" applyBorder="1"/>
    <xf numFmtId="0" fontId="0" fillId="0" borderId="130" xfId="0" applyNumberFormat="1" applyFont="1" applyBorder="1"/>
    <xf numFmtId="3" fontId="0" fillId="0" borderId="131" xfId="0" applyNumberFormat="1" applyFont="1" applyBorder="1"/>
    <xf numFmtId="0" fontId="0" fillId="8" borderId="130" xfId="0" applyNumberFormat="1" applyFont="1" applyFill="1" applyBorder="1"/>
    <xf numFmtId="3" fontId="0" fillId="8" borderId="131" xfId="0" applyNumberFormat="1" applyFont="1" applyFill="1" applyBorder="1"/>
    <xf numFmtId="0" fontId="59" fillId="9" borderId="130" xfId="0" applyNumberFormat="1" applyFont="1" applyFill="1" applyBorder="1"/>
    <xf numFmtId="3" fontId="59" fillId="9" borderId="131" xfId="0" applyNumberFormat="1" applyFont="1" applyFill="1" applyBorder="1"/>
    <xf numFmtId="9" fontId="33" fillId="2" borderId="2" xfId="26" applyNumberFormat="1" applyFont="1" applyFill="1" applyBorder="1" applyAlignment="1">
      <alignment horizontal="center"/>
    </xf>
    <xf numFmtId="9" fontId="33" fillId="3" borderId="2" xfId="26" applyNumberFormat="1" applyFont="1" applyFill="1" applyBorder="1" applyAlignment="1">
      <alignment horizontal="center"/>
    </xf>
    <xf numFmtId="9" fontId="33" fillId="4" borderId="2" xfId="26" applyNumberFormat="1" applyFont="1" applyFill="1" applyBorder="1" applyAlignment="1">
      <alignment horizontal="center"/>
    </xf>
    <xf numFmtId="9" fontId="33" fillId="10" borderId="2" xfId="26" quotePrefix="1" applyNumberFormat="1" applyFont="1" applyFill="1" applyBorder="1" applyAlignment="1">
      <alignment horizontal="center"/>
    </xf>
    <xf numFmtId="0" fontId="41" fillId="3" borderId="29" xfId="0" applyFont="1" applyFill="1" applyBorder="1" applyAlignment="1"/>
    <xf numFmtId="0" fontId="34" fillId="0" borderId="48" xfId="0" applyFont="1" applyBorder="1" applyAlignment="1"/>
    <xf numFmtId="0" fontId="41" fillId="2" borderId="29" xfId="0" applyFont="1" applyFill="1" applyBorder="1" applyAlignment="1"/>
    <xf numFmtId="0" fontId="41" fillId="4" borderId="29" xfId="0" applyFont="1" applyFill="1" applyBorder="1" applyAlignment="1"/>
    <xf numFmtId="0" fontId="44" fillId="0" borderId="2" xfId="0" applyFont="1" applyFill="1" applyBorder="1" applyAlignment="1"/>
    <xf numFmtId="0" fontId="44" fillId="0" borderId="2" xfId="0" applyFont="1" applyBorder="1" applyAlignment="1"/>
    <xf numFmtId="0" fontId="32" fillId="5" borderId="19" xfId="81" applyFont="1" applyFill="1" applyBorder="1" applyAlignment="1">
      <alignment horizontal="center" vertical="center"/>
    </xf>
    <xf numFmtId="0" fontId="43" fillId="0" borderId="3" xfId="0" applyFont="1" applyBorder="1" applyAlignment="1">
      <alignment horizontal="center" vertical="center"/>
    </xf>
    <xf numFmtId="0" fontId="33" fillId="2" borderId="53" xfId="81" applyFont="1" applyFill="1" applyBorder="1" applyAlignment="1">
      <alignment horizontal="center"/>
    </xf>
    <xf numFmtId="0" fontId="33" fillId="2" borderId="54" xfId="81" applyFont="1" applyFill="1" applyBorder="1" applyAlignment="1">
      <alignment horizontal="center"/>
    </xf>
    <xf numFmtId="0" fontId="33" fillId="2" borderId="51" xfId="81" applyFont="1" applyFill="1" applyBorder="1" applyAlignment="1">
      <alignment horizontal="center"/>
    </xf>
    <xf numFmtId="0" fontId="33" fillId="2" borderId="84" xfId="81" applyFont="1" applyFill="1" applyBorder="1" applyAlignment="1">
      <alignment horizontal="center"/>
    </xf>
    <xf numFmtId="0" fontId="33" fillId="2" borderId="52" xfId="81" applyFont="1" applyFill="1" applyBorder="1" applyAlignment="1">
      <alignment horizontal="center"/>
    </xf>
    <xf numFmtId="0" fontId="33" fillId="2" borderId="112" xfId="81" applyFont="1" applyFill="1" applyBorder="1" applyAlignment="1">
      <alignment horizontal="center"/>
    </xf>
    <xf numFmtId="0" fontId="33" fillId="2" borderId="96" xfId="81" applyFont="1" applyFill="1" applyBorder="1" applyAlignment="1">
      <alignment horizontal="center"/>
    </xf>
    <xf numFmtId="0" fontId="44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40" fillId="2" borderId="27" xfId="0" applyFont="1" applyFill="1" applyBorder="1" applyAlignment="1">
      <alignment horizontal="center" vertical="center"/>
    </xf>
    <xf numFmtId="0" fontId="34" fillId="2" borderId="32" xfId="0" applyFont="1" applyFill="1" applyBorder="1" applyAlignment="1">
      <alignment horizontal="center" vertical="center"/>
    </xf>
    <xf numFmtId="0" fontId="39" fillId="2" borderId="11" xfId="0" applyFont="1" applyFill="1" applyBorder="1" applyAlignment="1">
      <alignment horizontal="center" vertical="center"/>
    </xf>
    <xf numFmtId="0" fontId="34" fillId="2" borderId="12" xfId="0" applyFont="1" applyFill="1" applyBorder="1" applyAlignment="1">
      <alignment horizontal="center" vertical="center"/>
    </xf>
    <xf numFmtId="0" fontId="6" fillId="0" borderId="2" xfId="0" applyFont="1" applyFill="1" applyBorder="1" applyAlignment="1"/>
    <xf numFmtId="0" fontId="34" fillId="2" borderId="10" xfId="0" applyFont="1" applyFill="1" applyBorder="1" applyAlignment="1">
      <alignment horizontal="center" vertical="center"/>
    </xf>
    <xf numFmtId="0" fontId="34" fillId="2" borderId="11" xfId="0" applyFont="1" applyFill="1" applyBorder="1" applyAlignment="1">
      <alignment horizontal="center" vertical="center"/>
    </xf>
    <xf numFmtId="0" fontId="40" fillId="2" borderId="32" xfId="0" applyFont="1" applyFill="1" applyBorder="1" applyAlignment="1">
      <alignment horizontal="center" vertical="center"/>
    </xf>
    <xf numFmtId="0" fontId="34" fillId="2" borderId="28" xfId="0" applyFont="1" applyFill="1" applyBorder="1" applyAlignment="1">
      <alignment horizontal="center" vertical="center"/>
    </xf>
    <xf numFmtId="0" fontId="40" fillId="2" borderId="11" xfId="0" applyFont="1" applyFill="1" applyBorder="1" applyAlignment="1">
      <alignment horizontal="center" vertical="center" wrapText="1"/>
    </xf>
    <xf numFmtId="0" fontId="34" fillId="2" borderId="26" xfId="0" applyFont="1" applyFill="1" applyBorder="1" applyAlignment="1">
      <alignment horizontal="center" vertical="center" wrapText="1"/>
    </xf>
    <xf numFmtId="0" fontId="38" fillId="2" borderId="11" xfId="0" applyFont="1" applyFill="1" applyBorder="1" applyAlignment="1">
      <alignment horizontal="center" vertical="center" wrapText="1"/>
    </xf>
    <xf numFmtId="0" fontId="38" fillId="2" borderId="12" xfId="0" applyFont="1" applyFill="1" applyBorder="1" applyAlignment="1">
      <alignment horizontal="center" vertical="center" wrapText="1"/>
    </xf>
    <xf numFmtId="0" fontId="34" fillId="2" borderId="25" xfId="0" applyFont="1" applyFill="1" applyBorder="1" applyAlignment="1">
      <alignment horizontal="center" vertical="center" wrapText="1"/>
    </xf>
    <xf numFmtId="0" fontId="33" fillId="2" borderId="110" xfId="81" applyFont="1" applyFill="1" applyBorder="1" applyAlignment="1">
      <alignment horizontal="center"/>
    </xf>
    <xf numFmtId="0" fontId="33" fillId="2" borderId="111" xfId="81" applyFont="1" applyFill="1" applyBorder="1" applyAlignment="1">
      <alignment horizontal="center"/>
    </xf>
    <xf numFmtId="0" fontId="33" fillId="2" borderId="105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4" fillId="0" borderId="2" xfId="14" applyFont="1" applyFill="1" applyBorder="1" applyAlignment="1"/>
    <xf numFmtId="0" fontId="0" fillId="0" borderId="2" xfId="0" applyBorder="1" applyAlignment="1"/>
    <xf numFmtId="164" fontId="33" fillId="0" borderId="0" xfId="53" applyNumberFormat="1" applyFont="1" applyFill="1" applyBorder="1" applyAlignment="1">
      <alignment horizontal="center"/>
    </xf>
    <xf numFmtId="164" fontId="31" fillId="0" borderId="0" xfId="79" applyNumberFormat="1" applyFont="1" applyFill="1" applyBorder="1" applyAlignment="1">
      <alignment horizontal="center"/>
    </xf>
    <xf numFmtId="164" fontId="33" fillId="2" borderId="27" xfId="53" applyNumberFormat="1" applyFont="1" applyFill="1" applyBorder="1" applyAlignment="1">
      <alignment horizontal="right"/>
    </xf>
    <xf numFmtId="164" fontId="31" fillId="2" borderId="32" xfId="79" applyNumberFormat="1" applyFont="1" applyFill="1" applyBorder="1" applyAlignment="1">
      <alignment horizontal="right"/>
    </xf>
    <xf numFmtId="164" fontId="45" fillId="0" borderId="2" xfId="14" applyNumberFormat="1" applyFont="1" applyFill="1" applyBorder="1" applyAlignment="1"/>
    <xf numFmtId="0" fontId="6" fillId="0" borderId="2" xfId="14" applyFont="1" applyFill="1" applyBorder="1" applyAlignment="1">
      <alignment wrapText="1"/>
    </xf>
    <xf numFmtId="0" fontId="6" fillId="0" borderId="2" xfId="14" applyFont="1" applyFill="1" applyBorder="1" applyAlignment="1"/>
    <xf numFmtId="3" fontId="30" fillId="2" borderId="69" xfId="78" applyNumberFormat="1" applyFont="1" applyFill="1" applyBorder="1" applyAlignment="1">
      <alignment horizontal="left"/>
    </xf>
    <xf numFmtId="0" fontId="34" fillId="2" borderId="59" xfId="0" applyFont="1" applyFill="1" applyBorder="1" applyAlignment="1"/>
    <xf numFmtId="3" fontId="30" fillId="2" borderId="61" xfId="78" applyNumberFormat="1" applyFont="1" applyFill="1" applyBorder="1" applyAlignment="1"/>
    <xf numFmtId="0" fontId="41" fillId="2" borderId="69" xfId="0" applyFont="1" applyFill="1" applyBorder="1" applyAlignment="1">
      <alignment horizontal="left"/>
    </xf>
    <xf numFmtId="0" fontId="34" fillId="2" borderId="55" xfId="0" applyFont="1" applyFill="1" applyBorder="1" applyAlignment="1">
      <alignment horizontal="left"/>
    </xf>
    <xf numFmtId="0" fontId="34" fillId="2" borderId="59" xfId="0" applyFont="1" applyFill="1" applyBorder="1" applyAlignment="1">
      <alignment horizontal="left"/>
    </xf>
    <xf numFmtId="0" fontId="41" fillId="2" borderId="61" xfId="0" applyFont="1" applyFill="1" applyBorder="1" applyAlignment="1">
      <alignment horizontal="left"/>
    </xf>
    <xf numFmtId="3" fontId="41" fillId="2" borderId="61" xfId="0" applyNumberFormat="1" applyFont="1" applyFill="1" applyBorder="1" applyAlignment="1">
      <alignment horizontal="left"/>
    </xf>
    <xf numFmtId="3" fontId="34" fillId="2" borderId="56" xfId="0" applyNumberFormat="1" applyFont="1" applyFill="1" applyBorder="1" applyAlignment="1">
      <alignment horizontal="left"/>
    </xf>
    <xf numFmtId="9" fontId="3" fillId="2" borderId="115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114" xfId="80" applyNumberFormat="1" applyFont="1" applyFill="1" applyBorder="1" applyAlignment="1">
      <alignment horizontal="left"/>
    </xf>
    <xf numFmtId="3" fontId="3" fillId="2" borderId="107" xfId="80" applyNumberFormat="1" applyFont="1" applyFill="1" applyBorder="1" applyAlignment="1">
      <alignment horizontal="left"/>
    </xf>
    <xf numFmtId="0" fontId="3" fillId="2" borderId="32" xfId="80" applyFont="1" applyFill="1" applyBorder="1" applyAlignment="1">
      <alignment horizontal="left"/>
    </xf>
    <xf numFmtId="0" fontId="3" fillId="2" borderId="27" xfId="80" applyFont="1" applyFill="1" applyBorder="1" applyAlignment="1">
      <alignment horizontal="left"/>
    </xf>
    <xf numFmtId="0" fontId="3" fillId="2" borderId="28" xfId="80" applyFont="1" applyFill="1" applyBorder="1" applyAlignment="1">
      <alignment horizontal="left"/>
    </xf>
    <xf numFmtId="0" fontId="3" fillId="2" borderId="62" xfId="80" applyFont="1" applyFill="1" applyBorder="1" applyAlignment="1">
      <alignment horizontal="left"/>
    </xf>
    <xf numFmtId="0" fontId="3" fillId="2" borderId="43" xfId="79" applyFont="1" applyFill="1" applyBorder="1" applyAlignment="1"/>
    <xf numFmtId="0" fontId="5" fillId="2" borderId="43" xfId="79" applyFont="1" applyFill="1" applyBorder="1" applyAlignment="1"/>
    <xf numFmtId="0" fontId="5" fillId="2" borderId="72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70" xfId="53" applyFont="1" applyFill="1" applyBorder="1" applyAlignment="1">
      <alignment horizontal="right"/>
    </xf>
    <xf numFmtId="0" fontId="5" fillId="2" borderId="71" xfId="79" applyFont="1" applyFill="1" applyBorder="1" applyAlignment="1"/>
    <xf numFmtId="0" fontId="3" fillId="2" borderId="44" xfId="79" applyFont="1" applyFill="1" applyBorder="1" applyAlignment="1">
      <alignment horizontal="left"/>
    </xf>
    <xf numFmtId="0" fontId="5" fillId="2" borderId="43" xfId="79" applyFont="1" applyFill="1" applyBorder="1" applyAlignment="1">
      <alignment horizontal="left"/>
    </xf>
    <xf numFmtId="0" fontId="3" fillId="2" borderId="43" xfId="79" applyFont="1" applyFill="1" applyBorder="1" applyAlignment="1">
      <alignment horizontal="left"/>
    </xf>
    <xf numFmtId="0" fontId="5" fillId="2" borderId="72" xfId="79" applyFont="1" applyFill="1" applyBorder="1" applyAlignment="1">
      <alignment horizontal="left"/>
    </xf>
    <xf numFmtId="166" fontId="41" fillId="2" borderId="93" xfId="0" applyNumberFormat="1" applyFont="1" applyFill="1" applyBorder="1" applyAlignment="1">
      <alignment horizontal="center" vertical="center"/>
    </xf>
    <xf numFmtId="0" fontId="34" fillId="0" borderId="124" xfId="0" applyFont="1" applyBorder="1" applyAlignment="1">
      <alignment horizontal="center" vertical="center"/>
    </xf>
    <xf numFmtId="0" fontId="61" fillId="4" borderId="117" xfId="0" applyFont="1" applyFill="1" applyBorder="1" applyAlignment="1">
      <alignment horizontal="center" vertical="center" wrapText="1"/>
    </xf>
    <xf numFmtId="0" fontId="61" fillId="4" borderId="125" xfId="0" applyFont="1" applyFill="1" applyBorder="1" applyAlignment="1">
      <alignment horizontal="center" vertical="center" wrapText="1"/>
    </xf>
    <xf numFmtId="0" fontId="61" fillId="4" borderId="103" xfId="0" applyFont="1" applyFill="1" applyBorder="1" applyAlignment="1">
      <alignment horizontal="center" vertical="center" wrapText="1"/>
    </xf>
    <xf numFmtId="0" fontId="61" fillId="4" borderId="118" xfId="0" applyFont="1" applyFill="1" applyBorder="1" applyAlignment="1">
      <alignment horizontal="center" vertical="center" wrapText="1"/>
    </xf>
    <xf numFmtId="0" fontId="61" fillId="4" borderId="104" xfId="0" applyFont="1" applyFill="1" applyBorder="1" applyAlignment="1">
      <alignment horizontal="center" vertical="center" wrapText="1"/>
    </xf>
    <xf numFmtId="0" fontId="61" fillId="4" borderId="119" xfId="0" applyFont="1" applyFill="1" applyBorder="1" applyAlignment="1">
      <alignment horizontal="center" vertical="center" wrapText="1"/>
    </xf>
    <xf numFmtId="0" fontId="41" fillId="4" borderId="1" xfId="0" applyFont="1" applyFill="1" applyBorder="1" applyAlignment="1">
      <alignment horizontal="center" vertical="center" wrapText="1"/>
    </xf>
    <xf numFmtId="0" fontId="41" fillId="4" borderId="3" xfId="0" applyFont="1" applyFill="1" applyBorder="1" applyAlignment="1">
      <alignment horizontal="center" vertical="center" wrapText="1"/>
    </xf>
    <xf numFmtId="168" fontId="61" fillId="2" borderId="117" xfId="0" applyNumberFormat="1" applyFont="1" applyFill="1" applyBorder="1" applyAlignment="1">
      <alignment horizontal="center" vertical="center" wrapText="1"/>
    </xf>
    <xf numFmtId="168" fontId="61" fillId="2" borderId="125" xfId="0" applyNumberFormat="1" applyFont="1" applyFill="1" applyBorder="1" applyAlignment="1">
      <alignment horizontal="center" vertical="center" wrapText="1"/>
    </xf>
    <xf numFmtId="0" fontId="61" fillId="2" borderId="103" xfId="0" applyFont="1" applyFill="1" applyBorder="1" applyAlignment="1">
      <alignment horizontal="center" vertical="center" wrapText="1"/>
    </xf>
    <xf numFmtId="0" fontId="61" fillId="2" borderId="118" xfId="0" applyFont="1" applyFill="1" applyBorder="1" applyAlignment="1">
      <alignment horizontal="center" vertical="center" wrapText="1"/>
    </xf>
    <xf numFmtId="0" fontId="61" fillId="2" borderId="104" xfId="0" applyFont="1" applyFill="1" applyBorder="1" applyAlignment="1">
      <alignment horizontal="center" vertical="center" wrapText="1"/>
    </xf>
    <xf numFmtId="0" fontId="61" fillId="2" borderId="119" xfId="0" applyFont="1" applyFill="1" applyBorder="1" applyAlignment="1">
      <alignment horizontal="center" vertical="center" wrapText="1"/>
    </xf>
    <xf numFmtId="0" fontId="2" fillId="0" borderId="2" xfId="26" applyFont="1" applyFill="1" applyBorder="1" applyAlignment="1"/>
    <xf numFmtId="3" fontId="61" fillId="4" borderId="103" xfId="0" applyNumberFormat="1" applyFont="1" applyFill="1" applyBorder="1" applyAlignment="1">
      <alignment horizontal="center" vertical="center"/>
    </xf>
    <xf numFmtId="3" fontId="61" fillId="4" borderId="118" xfId="0" applyNumberFormat="1" applyFont="1" applyFill="1" applyBorder="1" applyAlignment="1">
      <alignment horizontal="center" vertical="center"/>
    </xf>
    <xf numFmtId="9" fontId="61" fillId="4" borderId="103" xfId="0" applyNumberFormat="1" applyFont="1" applyFill="1" applyBorder="1" applyAlignment="1">
      <alignment horizontal="center" vertical="center"/>
    </xf>
    <xf numFmtId="9" fontId="61" fillId="4" borderId="118" xfId="0" applyNumberFormat="1" applyFont="1" applyFill="1" applyBorder="1" applyAlignment="1">
      <alignment horizontal="center" vertical="center"/>
    </xf>
    <xf numFmtId="3" fontId="61" fillId="4" borderId="104" xfId="0" applyNumberFormat="1" applyFont="1" applyFill="1" applyBorder="1" applyAlignment="1">
      <alignment horizontal="center" vertical="center" wrapText="1"/>
    </xf>
    <xf numFmtId="3" fontId="61" fillId="4" borderId="119" xfId="0" applyNumberFormat="1" applyFont="1" applyFill="1" applyBorder="1" applyAlignment="1">
      <alignment horizontal="center" vertical="center" wrapText="1"/>
    </xf>
    <xf numFmtId="0" fontId="41" fillId="2" borderId="126" xfId="0" applyFont="1" applyFill="1" applyBorder="1" applyAlignment="1">
      <alignment horizontal="center" vertical="center" wrapText="1"/>
    </xf>
    <xf numFmtId="0" fontId="41" fillId="2" borderId="107" xfId="0" applyFont="1" applyFill="1" applyBorder="1" applyAlignment="1">
      <alignment horizontal="center" vertical="center" wrapText="1"/>
    </xf>
    <xf numFmtId="0" fontId="61" fillId="11" borderId="128" xfId="0" applyFont="1" applyFill="1" applyBorder="1" applyAlignment="1">
      <alignment horizontal="center"/>
    </xf>
    <xf numFmtId="0" fontId="61" fillId="11" borderId="127" xfId="0" applyFont="1" applyFill="1" applyBorder="1" applyAlignment="1">
      <alignment horizontal="center"/>
    </xf>
    <xf numFmtId="0" fontId="61" fillId="11" borderId="101" xfId="0" applyFont="1" applyFill="1" applyBorder="1" applyAlignment="1">
      <alignment horizontal="center"/>
    </xf>
    <xf numFmtId="0" fontId="41" fillId="4" borderId="113" xfId="0" applyFont="1" applyFill="1" applyBorder="1" applyAlignment="1">
      <alignment horizontal="center" vertical="center" wrapText="1"/>
    </xf>
    <xf numFmtId="0" fontId="41" fillId="4" borderId="89" xfId="0" applyFont="1" applyFill="1" applyBorder="1" applyAlignment="1">
      <alignment horizontal="center" vertical="center" wrapText="1"/>
    </xf>
    <xf numFmtId="0" fontId="66" fillId="2" borderId="51" xfId="0" applyFont="1" applyFill="1" applyBorder="1" applyAlignment="1">
      <alignment horizontal="center"/>
    </xf>
    <xf numFmtId="0" fontId="66" fillId="2" borderId="110" xfId="0" applyFont="1" applyFill="1" applyBorder="1" applyAlignment="1">
      <alignment horizontal="center"/>
    </xf>
    <xf numFmtId="0" fontId="66" fillId="2" borderId="96" xfId="0" applyFont="1" applyFill="1" applyBorder="1" applyAlignment="1">
      <alignment horizontal="center"/>
    </xf>
    <xf numFmtId="0" fontId="66" fillId="4" borderId="27" xfId="0" applyFont="1" applyFill="1" applyBorder="1" applyAlignment="1">
      <alignment horizontal="center"/>
    </xf>
    <xf numFmtId="0" fontId="66" fillId="4" borderId="91" xfId="0" applyFont="1" applyFill="1" applyBorder="1" applyAlignment="1">
      <alignment horizontal="center"/>
    </xf>
    <xf numFmtId="0" fontId="66" fillId="4" borderId="92" xfId="0" applyFont="1" applyFill="1" applyBorder="1" applyAlignment="1">
      <alignment horizontal="center"/>
    </xf>
    <xf numFmtId="0" fontId="66" fillId="2" borderId="27" xfId="0" applyFont="1" applyFill="1" applyBorder="1" applyAlignment="1">
      <alignment horizontal="center"/>
    </xf>
    <xf numFmtId="0" fontId="66" fillId="2" borderId="91" xfId="0" applyFont="1" applyFill="1" applyBorder="1" applyAlignment="1">
      <alignment horizontal="center"/>
    </xf>
    <xf numFmtId="0" fontId="66" fillId="2" borderId="92" xfId="0" applyFont="1" applyFill="1" applyBorder="1" applyAlignment="1">
      <alignment horizontal="center"/>
    </xf>
    <xf numFmtId="0" fontId="56" fillId="0" borderId="2" xfId="26" applyFont="1" applyFill="1" applyBorder="1" applyAlignment="1"/>
    <xf numFmtId="0" fontId="2" fillId="0" borderId="2" xfId="0" applyFont="1" applyFill="1" applyBorder="1" applyAlignment="1">
      <alignment wrapText="1"/>
    </xf>
    <xf numFmtId="0" fontId="41" fillId="2" borderId="67" xfId="0" applyFont="1" applyFill="1" applyBorder="1" applyAlignment="1">
      <alignment vertical="center"/>
    </xf>
    <xf numFmtId="3" fontId="33" fillId="2" borderId="69" xfId="26" applyNumberFormat="1" applyFont="1" applyFill="1" applyBorder="1" applyAlignment="1">
      <alignment horizontal="center"/>
    </xf>
    <xf numFmtId="3" fontId="33" fillId="2" borderId="55" xfId="26" applyNumberFormat="1" applyFont="1" applyFill="1" applyBorder="1" applyAlignment="1">
      <alignment horizontal="center"/>
    </xf>
    <xf numFmtId="3" fontId="33" fillId="2" borderId="108" xfId="26" applyNumberFormat="1" applyFont="1" applyFill="1" applyBorder="1" applyAlignment="1">
      <alignment horizontal="center"/>
    </xf>
    <xf numFmtId="3" fontId="33" fillId="2" borderId="56" xfId="26" applyNumberFormat="1" applyFont="1" applyFill="1" applyBorder="1" applyAlignment="1">
      <alignment horizontal="center"/>
    </xf>
    <xf numFmtId="3" fontId="33" fillId="2" borderId="113" xfId="26" applyNumberFormat="1" applyFont="1" applyFill="1" applyBorder="1" applyAlignment="1">
      <alignment horizontal="center"/>
    </xf>
    <xf numFmtId="3" fontId="33" fillId="2" borderId="89" xfId="26" applyNumberFormat="1" applyFont="1" applyFill="1" applyBorder="1" applyAlignment="1">
      <alignment horizontal="center"/>
    </xf>
    <xf numFmtId="0" fontId="33" fillId="2" borderId="33" xfId="0" applyFont="1" applyFill="1" applyBorder="1" applyAlignment="1">
      <alignment horizontal="center" vertical="top" wrapText="1"/>
    </xf>
    <xf numFmtId="3" fontId="33" fillId="2" borderId="56" xfId="0" applyNumberFormat="1" applyFont="1" applyFill="1" applyBorder="1" applyAlignment="1">
      <alignment horizontal="center" vertical="top"/>
    </xf>
    <xf numFmtId="0" fontId="33" fillId="2" borderId="33" xfId="0" applyFont="1" applyFill="1" applyBorder="1" applyAlignment="1">
      <alignment horizontal="center" vertical="top"/>
    </xf>
    <xf numFmtId="0" fontId="33" fillId="2" borderId="33" xfId="0" applyFont="1" applyFill="1" applyBorder="1" applyAlignment="1">
      <alignment horizontal="center" vertical="center"/>
    </xf>
    <xf numFmtId="0" fontId="33" fillId="2" borderId="69" xfId="0" quotePrefix="1" applyFont="1" applyFill="1" applyBorder="1" applyAlignment="1">
      <alignment horizontal="center"/>
    </xf>
    <xf numFmtId="0" fontId="33" fillId="2" borderId="56" xfId="0" applyFont="1" applyFill="1" applyBorder="1" applyAlignment="1">
      <alignment horizontal="center"/>
    </xf>
    <xf numFmtId="9" fontId="46" fillId="2" borderId="56" xfId="0" applyNumberFormat="1" applyFont="1" applyFill="1" applyBorder="1" applyAlignment="1">
      <alignment horizontal="center" vertical="top"/>
    </xf>
    <xf numFmtId="0" fontId="33" fillId="2" borderId="88" xfId="0" applyNumberFormat="1" applyFont="1" applyFill="1" applyBorder="1" applyAlignment="1">
      <alignment horizontal="center" vertical="top"/>
    </xf>
    <xf numFmtId="0" fontId="33" fillId="2" borderId="88" xfId="0" applyFont="1" applyFill="1" applyBorder="1" applyAlignment="1">
      <alignment horizontal="center" vertical="top" wrapText="1"/>
    </xf>
    <xf numFmtId="0" fontId="33" fillId="2" borderId="69" xfId="0" quotePrefix="1" applyNumberFormat="1" applyFont="1" applyFill="1" applyBorder="1" applyAlignment="1">
      <alignment horizontal="center"/>
    </xf>
    <xf numFmtId="0" fontId="33" fillId="2" borderId="56" xfId="0" applyNumberFormat="1" applyFont="1" applyFill="1" applyBorder="1" applyAlignment="1">
      <alignment horizontal="center"/>
    </xf>
    <xf numFmtId="49" fontId="33" fillId="2" borderId="33" xfId="0" applyNumberFormat="1" applyFont="1" applyFill="1" applyBorder="1" applyAlignment="1">
      <alignment horizontal="center" vertical="top"/>
    </xf>
    <xf numFmtId="0" fontId="46" fillId="2" borderId="56" xfId="0" applyNumberFormat="1" applyFont="1" applyFill="1" applyBorder="1" applyAlignment="1">
      <alignment horizontal="center" vertical="top"/>
    </xf>
    <xf numFmtId="3" fontId="33" fillId="0" borderId="18" xfId="26" applyNumberFormat="1" applyFont="1" applyBorder="1" applyAlignment="1">
      <alignment horizontal="center"/>
    </xf>
    <xf numFmtId="0" fontId="34" fillId="0" borderId="19" xfId="0" applyFont="1" applyBorder="1" applyAlignment="1">
      <alignment horizontal="center"/>
    </xf>
    <xf numFmtId="167" fontId="31" fillId="5" borderId="18" xfId="26" applyNumberFormat="1" applyFont="1" applyFill="1" applyBorder="1" applyAlignment="1">
      <alignment horizontal="center"/>
    </xf>
    <xf numFmtId="0" fontId="34" fillId="0" borderId="19" xfId="98" applyFont="1" applyBorder="1" applyAlignment="1">
      <alignment horizontal="center"/>
    </xf>
    <xf numFmtId="3" fontId="33" fillId="2" borderId="88" xfId="26" applyNumberFormat="1" applyFont="1" applyFill="1" applyBorder="1" applyAlignment="1">
      <alignment horizontal="center" vertical="center"/>
    </xf>
    <xf numFmtId="3" fontId="33" fillId="2" borderId="68" xfId="26" applyNumberFormat="1" applyFont="1" applyFill="1" applyBorder="1" applyAlignment="1">
      <alignment horizontal="center" vertical="center"/>
    </xf>
    <xf numFmtId="3" fontId="33" fillId="0" borderId="55" xfId="26" applyNumberFormat="1" applyFont="1" applyFill="1" applyBorder="1" applyAlignment="1">
      <alignment horizontal="right" vertical="top"/>
    </xf>
    <xf numFmtId="3" fontId="33" fillId="0" borderId="108" xfId="26" applyNumberFormat="1" applyFont="1" applyFill="1" applyBorder="1" applyAlignment="1">
      <alignment horizontal="right" vertical="top"/>
    </xf>
    <xf numFmtId="3" fontId="33" fillId="3" borderId="88" xfId="26" applyNumberFormat="1" applyFont="1" applyFill="1" applyBorder="1" applyAlignment="1">
      <alignment horizontal="center" vertical="center" wrapText="1"/>
    </xf>
    <xf numFmtId="3" fontId="33" fillId="3" borderId="68" xfId="26" applyNumberFormat="1" applyFont="1" applyFill="1" applyBorder="1" applyAlignment="1">
      <alignment horizontal="center" vertical="center" wrapText="1"/>
    </xf>
    <xf numFmtId="3" fontId="33" fillId="3" borderId="69" xfId="26" applyNumberFormat="1" applyFont="1" applyFill="1" applyBorder="1" applyAlignment="1">
      <alignment horizontal="center"/>
    </xf>
    <xf numFmtId="3" fontId="33" fillId="3" borderId="55" xfId="26" applyNumberFormat="1" applyFont="1" applyFill="1" applyBorder="1" applyAlignment="1">
      <alignment horizontal="center"/>
    </xf>
    <xf numFmtId="3" fontId="33" fillId="3" borderId="108" xfId="26" applyNumberFormat="1" applyFont="1" applyFill="1" applyBorder="1" applyAlignment="1">
      <alignment horizontal="center"/>
    </xf>
    <xf numFmtId="3" fontId="33" fillId="3" borderId="56" xfId="26" applyNumberFormat="1" applyFont="1" applyFill="1" applyBorder="1" applyAlignment="1">
      <alignment horizontal="center"/>
    </xf>
    <xf numFmtId="0" fontId="6" fillId="0" borderId="2" xfId="26" applyFont="1" applyFill="1" applyBorder="1" applyAlignment="1">
      <alignment horizontal="left"/>
    </xf>
    <xf numFmtId="0" fontId="34" fillId="0" borderId="55" xfId="0" applyFont="1" applyFill="1" applyBorder="1" applyAlignment="1">
      <alignment horizontal="right" vertical="top"/>
    </xf>
    <xf numFmtId="0" fontId="34" fillId="0" borderId="108" xfId="0" applyFont="1" applyFill="1" applyBorder="1" applyAlignment="1">
      <alignment horizontal="right" vertical="top"/>
    </xf>
    <xf numFmtId="3" fontId="33" fillId="10" borderId="88" xfId="26" applyNumberFormat="1" applyFont="1" applyFill="1" applyBorder="1" applyAlignment="1">
      <alignment horizontal="center" vertical="center" wrapText="1"/>
    </xf>
    <xf numFmtId="3" fontId="33" fillId="10" borderId="68" xfId="26" applyNumberFormat="1" applyFont="1" applyFill="1" applyBorder="1" applyAlignment="1">
      <alignment horizontal="center" vertical="center" wrapText="1"/>
    </xf>
    <xf numFmtId="3" fontId="33" fillId="10" borderId="69" xfId="26" applyNumberFormat="1" applyFont="1" applyFill="1" applyBorder="1" applyAlignment="1">
      <alignment horizontal="center"/>
    </xf>
    <xf numFmtId="3" fontId="33" fillId="10" borderId="55" xfId="26" applyNumberFormat="1" applyFont="1" applyFill="1" applyBorder="1" applyAlignment="1">
      <alignment horizontal="center"/>
    </xf>
    <xf numFmtId="3" fontId="33" fillId="10" borderId="108" xfId="26" applyNumberFormat="1" applyFont="1" applyFill="1" applyBorder="1" applyAlignment="1">
      <alignment horizontal="center"/>
    </xf>
    <xf numFmtId="3" fontId="33" fillId="10" borderId="56" xfId="26" applyNumberFormat="1" applyFont="1" applyFill="1" applyBorder="1" applyAlignment="1">
      <alignment horizontal="center"/>
    </xf>
    <xf numFmtId="3" fontId="33" fillId="4" borderId="88" xfId="26" applyNumberFormat="1" applyFont="1" applyFill="1" applyBorder="1" applyAlignment="1">
      <alignment horizontal="center" vertical="center" wrapText="1"/>
    </xf>
    <xf numFmtId="3" fontId="33" fillId="4" borderId="68" xfId="26" applyNumberFormat="1" applyFont="1" applyFill="1" applyBorder="1" applyAlignment="1">
      <alignment horizontal="center" vertical="center" wrapText="1"/>
    </xf>
    <xf numFmtId="3" fontId="33" fillId="4" borderId="69" xfId="26" applyNumberFormat="1" applyFont="1" applyFill="1" applyBorder="1" applyAlignment="1">
      <alignment horizontal="center"/>
    </xf>
    <xf numFmtId="3" fontId="33" fillId="4" borderId="55" xfId="26" applyNumberFormat="1" applyFont="1" applyFill="1" applyBorder="1" applyAlignment="1">
      <alignment horizontal="center"/>
    </xf>
    <xf numFmtId="3" fontId="33" fillId="4" borderId="108" xfId="26" applyNumberFormat="1" applyFont="1" applyFill="1" applyBorder="1" applyAlignment="1">
      <alignment horizontal="center"/>
    </xf>
    <xf numFmtId="3" fontId="33" fillId="4" borderId="56" xfId="26" applyNumberFormat="1" applyFont="1" applyFill="1" applyBorder="1" applyAlignment="1">
      <alignment horizontal="center"/>
    </xf>
    <xf numFmtId="3" fontId="33" fillId="5" borderId="18" xfId="26" applyNumberFormat="1" applyFont="1" applyFill="1" applyBorder="1" applyAlignment="1">
      <alignment horizontal="center"/>
    </xf>
    <xf numFmtId="0" fontId="34" fillId="0" borderId="0" xfId="0" applyFont="1" applyBorder="1" applyAlignment="1">
      <alignment horizontal="center"/>
    </xf>
    <xf numFmtId="3" fontId="3" fillId="2" borderId="69" xfId="27" applyNumberFormat="1" applyFont="1" applyFill="1" applyBorder="1" applyAlignment="1">
      <alignment horizontal="center"/>
    </xf>
    <xf numFmtId="0" fontId="34" fillId="2" borderId="55" xfId="14" applyFont="1" applyFill="1" applyBorder="1" applyAlignment="1">
      <alignment horizontal="center"/>
    </xf>
    <xf numFmtId="0" fontId="34" fillId="2" borderId="56" xfId="14" applyFont="1" applyFill="1" applyBorder="1" applyAlignment="1">
      <alignment horizontal="center"/>
    </xf>
    <xf numFmtId="3" fontId="3" fillId="2" borderId="69" xfId="24" applyNumberFormat="1" applyFont="1" applyFill="1" applyBorder="1" applyAlignment="1">
      <alignment horizontal="center"/>
    </xf>
    <xf numFmtId="0" fontId="4" fillId="2" borderId="55" xfId="26" applyFont="1" applyFill="1" applyBorder="1" applyAlignment="1">
      <alignment horizontal="center"/>
    </xf>
    <xf numFmtId="168" fontId="3" fillId="2" borderId="33" xfId="26" applyNumberFormat="1" applyFont="1" applyFill="1" applyBorder="1" applyAlignment="1">
      <alignment horizontal="left" vertical="top"/>
    </xf>
    <xf numFmtId="168" fontId="3" fillId="2" borderId="34" xfId="26" applyNumberFormat="1" applyFont="1" applyFill="1" applyBorder="1" applyAlignment="1">
      <alignment horizontal="left" vertical="top"/>
    </xf>
    <xf numFmtId="3" fontId="3" fillId="2" borderId="33" xfId="26" applyNumberFormat="1" applyFont="1" applyFill="1" applyBorder="1" applyAlignment="1">
      <alignment horizontal="center" vertical="top"/>
    </xf>
    <xf numFmtId="3" fontId="3" fillId="2" borderId="34" xfId="26" applyNumberFormat="1" applyFont="1" applyFill="1" applyBorder="1" applyAlignment="1">
      <alignment horizontal="center" vertical="top"/>
    </xf>
    <xf numFmtId="3" fontId="3" fillId="2" borderId="69" xfId="26" applyNumberFormat="1" applyFont="1" applyFill="1" applyBorder="1" applyAlignment="1">
      <alignment horizontal="center"/>
    </xf>
    <xf numFmtId="3" fontId="3" fillId="2" borderId="56" xfId="26" applyNumberFormat="1" applyFont="1" applyFill="1" applyBorder="1" applyAlignment="1">
      <alignment horizontal="center"/>
    </xf>
    <xf numFmtId="49" fontId="3" fillId="2" borderId="33" xfId="26" applyNumberFormat="1" applyFont="1" applyFill="1" applyBorder="1" applyAlignment="1">
      <alignment horizontal="left" vertical="top"/>
    </xf>
    <xf numFmtId="49" fontId="3" fillId="2" borderId="34" xfId="26" applyNumberFormat="1" applyFont="1" applyFill="1" applyBorder="1" applyAlignment="1">
      <alignment horizontal="left" vertical="top"/>
    </xf>
    <xf numFmtId="0" fontId="3" fillId="2" borderId="69" xfId="26" quotePrefix="1" applyNumberFormat="1" applyFont="1" applyFill="1" applyBorder="1" applyAlignment="1">
      <alignment horizontal="center" vertical="top"/>
    </xf>
    <xf numFmtId="0" fontId="3" fillId="2" borderId="55" xfId="26" applyNumberFormat="1" applyFont="1" applyFill="1" applyBorder="1" applyAlignment="1">
      <alignment horizontal="center" vertical="top"/>
    </xf>
    <xf numFmtId="0" fontId="3" fillId="2" borderId="56" xfId="26" applyNumberFormat="1" applyFont="1" applyFill="1" applyBorder="1" applyAlignment="1">
      <alignment horizontal="center" vertical="top"/>
    </xf>
    <xf numFmtId="168" fontId="3" fillId="2" borderId="33" xfId="26" applyNumberFormat="1" applyFont="1" applyFill="1" applyBorder="1" applyAlignment="1">
      <alignment horizontal="left" vertical="top" wrapText="1"/>
    </xf>
    <xf numFmtId="168" fontId="3" fillId="2" borderId="34" xfId="26" applyNumberFormat="1" applyFont="1" applyFill="1" applyBorder="1" applyAlignment="1">
      <alignment horizontal="left" vertical="top" wrapText="1"/>
    </xf>
    <xf numFmtId="0" fontId="33" fillId="2" borderId="33" xfId="0" applyFont="1" applyFill="1" applyBorder="1" applyAlignment="1">
      <alignment vertical="center" wrapText="1"/>
    </xf>
    <xf numFmtId="0" fontId="45" fillId="0" borderId="2" xfId="26" applyFont="1" applyFill="1" applyBorder="1" applyAlignment="1"/>
    <xf numFmtId="0" fontId="58" fillId="0" borderId="2" xfId="26" applyFont="1" applyFill="1" applyBorder="1" applyAlignment="1"/>
    <xf numFmtId="3" fontId="33" fillId="2" borderId="58" xfId="76" applyNumberFormat="1" applyFont="1" applyFill="1" applyBorder="1" applyAlignment="1">
      <alignment horizontal="center" vertical="center"/>
    </xf>
    <xf numFmtId="3" fontId="33" fillId="2" borderId="60" xfId="76" applyNumberFormat="1" applyFont="1" applyFill="1" applyBorder="1" applyAlignment="1">
      <alignment horizontal="center" vertical="center"/>
    </xf>
    <xf numFmtId="3" fontId="33" fillId="2" borderId="6" xfId="76" applyNumberFormat="1" applyFont="1" applyFill="1" applyBorder="1" applyAlignment="1">
      <alignment horizontal="center"/>
    </xf>
    <xf numFmtId="3" fontId="33" fillId="2" borderId="82" xfId="76" applyNumberFormat="1" applyFont="1" applyFill="1" applyBorder="1" applyAlignment="1">
      <alignment horizontal="center"/>
    </xf>
    <xf numFmtId="3" fontId="33" fillId="2" borderId="8" xfId="76" applyNumberFormat="1" applyFont="1" applyFill="1" applyBorder="1" applyAlignment="1">
      <alignment horizontal="center"/>
    </xf>
    <xf numFmtId="3" fontId="33" fillId="2" borderId="7" xfId="76" applyNumberFormat="1" applyFont="1" applyFill="1" applyBorder="1" applyAlignment="1">
      <alignment horizontal="center"/>
    </xf>
    <xf numFmtId="0" fontId="60" fillId="0" borderId="0" xfId="1" applyFont="1"/>
    <xf numFmtId="0" fontId="67" fillId="0" borderId="0" xfId="0" applyFont="1"/>
    <xf numFmtId="3" fontId="35" fillId="12" borderId="133" xfId="83" applyNumberFormat="1" applyFont="1" applyFill="1" applyBorder="1" applyAlignment="1">
      <alignment horizontal="right" vertical="top"/>
    </xf>
    <xf numFmtId="3" fontId="35" fillId="12" borderId="134" xfId="83" applyNumberFormat="1" applyFont="1" applyFill="1" applyBorder="1" applyAlignment="1">
      <alignment horizontal="right" vertical="top"/>
    </xf>
    <xf numFmtId="9" fontId="35" fillId="12" borderId="135" xfId="83" applyFont="1" applyFill="1" applyBorder="1" applyAlignment="1">
      <alignment horizontal="right" vertical="top"/>
    </xf>
    <xf numFmtId="9" fontId="35" fillId="12" borderId="136" xfId="83" applyFont="1" applyFill="1" applyBorder="1" applyAlignment="1">
      <alignment horizontal="right" vertical="top"/>
    </xf>
    <xf numFmtId="3" fontId="35" fillId="13" borderId="132" xfId="24" applyNumberFormat="1" applyFont="1" applyFill="1" applyBorder="1" applyAlignment="1">
      <alignment horizontal="left" vertical="top"/>
    </xf>
    <xf numFmtId="0" fontId="31" fillId="0" borderId="0" xfId="0" applyFont="1" applyAlignment="1">
      <alignment horizontal="left"/>
    </xf>
    <xf numFmtId="3" fontId="31" fillId="0" borderId="0" xfId="0" applyNumberFormat="1" applyFont="1" applyAlignment="1">
      <alignment horizontal="left"/>
    </xf>
    <xf numFmtId="3" fontId="31" fillId="0" borderId="0" xfId="0" applyNumberFormat="1" applyFont="1" applyAlignment="1">
      <alignment horizontal="right"/>
    </xf>
    <xf numFmtId="9" fontId="31" fillId="0" borderId="0" xfId="0" applyNumberFormat="1" applyFont="1" applyAlignment="1">
      <alignment horizontal="right"/>
    </xf>
    <xf numFmtId="3" fontId="31" fillId="0" borderId="0" xfId="0" applyNumberFormat="1" applyFont="1"/>
    <xf numFmtId="164" fontId="33" fillId="2" borderId="122" xfId="53" applyNumberFormat="1" applyFont="1" applyFill="1" applyBorder="1" applyAlignment="1">
      <alignment horizontal="left"/>
    </xf>
    <xf numFmtId="164" fontId="33" fillId="2" borderId="137" xfId="53" applyNumberFormat="1" applyFont="1" applyFill="1" applyBorder="1" applyAlignment="1">
      <alignment horizontal="left"/>
    </xf>
    <xf numFmtId="0" fontId="33" fillId="2" borderId="137" xfId="53" applyNumberFormat="1" applyFont="1" applyFill="1" applyBorder="1" applyAlignment="1">
      <alignment horizontal="left"/>
    </xf>
    <xf numFmtId="164" fontId="33" fillId="2" borderId="120" xfId="53" applyNumberFormat="1" applyFont="1" applyFill="1" applyBorder="1" applyAlignment="1">
      <alignment horizontal="left"/>
    </xf>
    <xf numFmtId="3" fontId="33" fillId="2" borderId="120" xfId="53" applyNumberFormat="1" applyFont="1" applyFill="1" applyBorder="1" applyAlignment="1">
      <alignment horizontal="left"/>
    </xf>
    <xf numFmtId="3" fontId="33" fillId="2" borderId="73" xfId="53" applyNumberFormat="1" applyFont="1" applyFill="1" applyBorder="1" applyAlignment="1">
      <alignment horizontal="left"/>
    </xf>
    <xf numFmtId="0" fontId="34" fillId="0" borderId="90" xfId="0" applyFont="1" applyFill="1" applyBorder="1"/>
    <xf numFmtId="0" fontId="34" fillId="0" borderId="91" xfId="0" applyFont="1" applyFill="1" applyBorder="1"/>
    <xf numFmtId="164" fontId="34" fillId="0" borderId="91" xfId="0" applyNumberFormat="1" applyFont="1" applyFill="1" applyBorder="1"/>
    <xf numFmtId="164" fontId="34" fillId="0" borderId="91" xfId="0" applyNumberFormat="1" applyFont="1" applyFill="1" applyBorder="1" applyAlignment="1">
      <alignment horizontal="right"/>
    </xf>
    <xf numFmtId="0" fontId="34" fillId="0" borderId="91" xfId="0" applyNumberFormat="1" applyFont="1" applyFill="1" applyBorder="1"/>
    <xf numFmtId="3" fontId="34" fillId="0" borderId="91" xfId="0" applyNumberFormat="1" applyFont="1" applyFill="1" applyBorder="1"/>
    <xf numFmtId="3" fontId="34" fillId="0" borderId="92" xfId="0" applyNumberFormat="1" applyFont="1" applyFill="1" applyBorder="1"/>
    <xf numFmtId="0" fontId="34" fillId="0" borderId="98" xfId="0" applyFont="1" applyFill="1" applyBorder="1"/>
    <xf numFmtId="0" fontId="34" fillId="0" borderId="99" xfId="0" applyFont="1" applyFill="1" applyBorder="1"/>
    <xf numFmtId="164" fontId="34" fillId="0" borderId="99" xfId="0" applyNumberFormat="1" applyFont="1" applyFill="1" applyBorder="1"/>
    <xf numFmtId="164" fontId="34" fillId="0" borderId="99" xfId="0" applyNumberFormat="1" applyFont="1" applyFill="1" applyBorder="1" applyAlignment="1">
      <alignment horizontal="right"/>
    </xf>
    <xf numFmtId="0" fontId="34" fillId="0" borderId="99" xfId="0" applyNumberFormat="1" applyFont="1" applyFill="1" applyBorder="1"/>
    <xf numFmtId="3" fontId="34" fillId="0" borderId="99" xfId="0" applyNumberFormat="1" applyFont="1" applyFill="1" applyBorder="1"/>
    <xf numFmtId="3" fontId="34" fillId="0" borderId="100" xfId="0" applyNumberFormat="1" applyFont="1" applyFill="1" applyBorder="1"/>
    <xf numFmtId="0" fontId="34" fillId="0" borderId="93" xfId="0" applyFont="1" applyFill="1" applyBorder="1"/>
    <xf numFmtId="0" fontId="34" fillId="0" borderId="94" xfId="0" applyFont="1" applyFill="1" applyBorder="1"/>
    <xf numFmtId="164" fontId="34" fillId="0" borderId="94" xfId="0" applyNumberFormat="1" applyFont="1" applyFill="1" applyBorder="1"/>
    <xf numFmtId="164" fontId="34" fillId="0" borderId="94" xfId="0" applyNumberFormat="1" applyFont="1" applyFill="1" applyBorder="1" applyAlignment="1">
      <alignment horizontal="right"/>
    </xf>
    <xf numFmtId="0" fontId="34" fillId="0" borderId="94" xfId="0" applyNumberFormat="1" applyFont="1" applyFill="1" applyBorder="1"/>
    <xf numFmtId="3" fontId="34" fillId="0" borderId="94" xfId="0" applyNumberFormat="1" applyFont="1" applyFill="1" applyBorder="1"/>
    <xf numFmtId="3" fontId="34" fillId="0" borderId="95" xfId="0" applyNumberFormat="1" applyFont="1" applyFill="1" applyBorder="1"/>
    <xf numFmtId="0" fontId="41" fillId="2" borderId="122" xfId="0" applyFont="1" applyFill="1" applyBorder="1"/>
    <xf numFmtId="3" fontId="41" fillId="2" borderId="123" xfId="0" applyNumberFormat="1" applyFont="1" applyFill="1" applyBorder="1"/>
    <xf numFmtId="9" fontId="41" fillId="2" borderId="86" xfId="0" applyNumberFormat="1" applyFont="1" applyFill="1" applyBorder="1"/>
    <xf numFmtId="3" fontId="41" fillId="2" borderId="73" xfId="0" applyNumberFormat="1" applyFont="1" applyFill="1" applyBorder="1"/>
    <xf numFmtId="9" fontId="34" fillId="0" borderId="91" xfId="0" applyNumberFormat="1" applyFont="1" applyFill="1" applyBorder="1"/>
    <xf numFmtId="9" fontId="34" fillId="0" borderId="99" xfId="0" applyNumberFormat="1" applyFont="1" applyFill="1" applyBorder="1"/>
    <xf numFmtId="9" fontId="34" fillId="0" borderId="94" xfId="0" applyNumberFormat="1" applyFont="1" applyFill="1" applyBorder="1"/>
    <xf numFmtId="3" fontId="34" fillId="0" borderId="103" xfId="0" applyNumberFormat="1" applyFont="1" applyFill="1" applyBorder="1"/>
    <xf numFmtId="9" fontId="34" fillId="0" borderId="103" xfId="0" applyNumberFormat="1" applyFont="1" applyFill="1" applyBorder="1"/>
    <xf numFmtId="3" fontId="34" fillId="0" borderId="104" xfId="0" applyNumberFormat="1" applyFont="1" applyFill="1" applyBorder="1"/>
    <xf numFmtId="0" fontId="41" fillId="13" borderId="22" xfId="0" applyFont="1" applyFill="1" applyBorder="1"/>
    <xf numFmtId="3" fontId="41" fillId="13" borderId="30" xfId="0" applyNumberFormat="1" applyFont="1" applyFill="1" applyBorder="1"/>
    <xf numFmtId="9" fontId="41" fillId="13" borderId="30" xfId="0" applyNumberFormat="1" applyFont="1" applyFill="1" applyBorder="1"/>
    <xf numFmtId="3" fontId="41" fillId="13" borderId="23" xfId="0" applyNumberFormat="1" applyFont="1" applyFill="1" applyBorder="1"/>
    <xf numFmtId="0" fontId="41" fillId="0" borderId="90" xfId="0" applyFont="1" applyFill="1" applyBorder="1"/>
    <xf numFmtId="0" fontId="41" fillId="0" borderId="98" xfId="0" applyFont="1" applyFill="1" applyBorder="1"/>
    <xf numFmtId="0" fontId="41" fillId="0" borderId="117" xfId="0" applyFont="1" applyFill="1" applyBorder="1"/>
    <xf numFmtId="0" fontId="34" fillId="5" borderId="12" xfId="0" applyFont="1" applyFill="1" applyBorder="1" applyAlignment="1">
      <alignment wrapText="1"/>
    </xf>
    <xf numFmtId="0" fontId="41" fillId="2" borderId="137" xfId="0" applyFont="1" applyFill="1" applyBorder="1"/>
    <xf numFmtId="3" fontId="41" fillId="2" borderId="0" xfId="0" applyNumberFormat="1" applyFont="1" applyFill="1" applyBorder="1"/>
    <xf numFmtId="3" fontId="41" fillId="2" borderId="19" xfId="0" applyNumberFormat="1" applyFont="1" applyFill="1" applyBorder="1"/>
    <xf numFmtId="0" fontId="3" fillId="2" borderId="122" xfId="79" applyFont="1" applyFill="1" applyBorder="1" applyAlignment="1">
      <alignment horizontal="left"/>
    </xf>
    <xf numFmtId="3" fontId="3" fillId="2" borderId="103" xfId="80" applyNumberFormat="1" applyFont="1" applyFill="1" applyBorder="1"/>
    <xf numFmtId="3" fontId="3" fillId="2" borderId="104" xfId="80" applyNumberFormat="1" applyFont="1" applyFill="1" applyBorder="1"/>
    <xf numFmtId="9" fontId="3" fillId="2" borderId="140" xfId="80" applyNumberFormat="1" applyFont="1" applyFill="1" applyBorder="1"/>
    <xf numFmtId="9" fontId="3" fillId="2" borderId="103" xfId="80" applyNumberFormat="1" applyFont="1" applyFill="1" applyBorder="1"/>
    <xf numFmtId="9" fontId="3" fillId="2" borderId="104" xfId="80" applyNumberFormat="1" applyFont="1" applyFill="1" applyBorder="1"/>
    <xf numFmtId="9" fontId="34" fillId="0" borderId="92" xfId="0" applyNumberFormat="1" applyFont="1" applyFill="1" applyBorder="1"/>
    <xf numFmtId="9" fontId="34" fillId="0" borderId="100" xfId="0" applyNumberFormat="1" applyFont="1" applyFill="1" applyBorder="1"/>
    <xf numFmtId="9" fontId="34" fillId="0" borderId="95" xfId="0" applyNumberFormat="1" applyFont="1" applyFill="1" applyBorder="1"/>
    <xf numFmtId="0" fontId="41" fillId="0" borderId="112" xfId="0" applyFont="1" applyFill="1" applyBorder="1"/>
    <xf numFmtId="0" fontId="41" fillId="0" borderId="128" xfId="0" applyFont="1" applyFill="1" applyBorder="1" applyAlignment="1">
      <alignment horizontal="left" indent="1"/>
    </xf>
    <xf numFmtId="0" fontId="41" fillId="0" borderId="111" xfId="0" applyFont="1" applyFill="1" applyBorder="1" applyAlignment="1">
      <alignment horizontal="left" indent="1"/>
    </xf>
    <xf numFmtId="9" fontId="34" fillId="0" borderId="141" xfId="0" applyNumberFormat="1" applyFont="1" applyFill="1" applyBorder="1"/>
    <xf numFmtId="9" fontId="34" fillId="0" borderId="101" xfId="0" applyNumberFormat="1" applyFont="1" applyFill="1" applyBorder="1"/>
    <xf numFmtId="9" fontId="34" fillId="0" borderId="106" xfId="0" applyNumberFormat="1" applyFont="1" applyFill="1" applyBorder="1"/>
    <xf numFmtId="3" fontId="34" fillId="0" borderId="90" xfId="0" applyNumberFormat="1" applyFont="1" applyFill="1" applyBorder="1"/>
    <xf numFmtId="3" fontId="34" fillId="0" borderId="98" xfId="0" applyNumberFormat="1" applyFont="1" applyFill="1" applyBorder="1"/>
    <xf numFmtId="3" fontId="34" fillId="0" borderId="93" xfId="0" applyNumberFormat="1" applyFont="1" applyFill="1" applyBorder="1"/>
    <xf numFmtId="9" fontId="34" fillId="0" borderId="142" xfId="0" applyNumberFormat="1" applyFont="1" applyFill="1" applyBorder="1"/>
    <xf numFmtId="9" fontId="34" fillId="0" borderId="109" xfId="0" applyNumberFormat="1" applyFont="1" applyFill="1" applyBorder="1"/>
    <xf numFmtId="9" fontId="34" fillId="0" borderId="124" xfId="0" applyNumberFormat="1" applyFont="1" applyFill="1" applyBorder="1"/>
    <xf numFmtId="9" fontId="31" fillId="0" borderId="0" xfId="0" applyNumberFormat="1" applyFont="1"/>
    <xf numFmtId="0" fontId="68" fillId="0" borderId="0" xfId="0" applyFont="1" applyFill="1"/>
    <xf numFmtId="0" fontId="69" fillId="0" borderId="0" xfId="0" applyFont="1" applyFill="1"/>
    <xf numFmtId="0" fontId="41" fillId="13" borderId="112" xfId="0" applyFont="1" applyFill="1" applyBorder="1"/>
    <xf numFmtId="0" fontId="41" fillId="13" borderId="128" xfId="0" applyFont="1" applyFill="1" applyBorder="1"/>
    <xf numFmtId="0" fontId="41" fillId="13" borderId="111" xfId="0" applyFont="1" applyFill="1" applyBorder="1"/>
    <xf numFmtId="0" fontId="3" fillId="2" borderId="103" xfId="80" applyFont="1" applyFill="1" applyBorder="1"/>
    <xf numFmtId="3" fontId="34" fillId="0" borderId="142" xfId="0" applyNumberFormat="1" applyFont="1" applyFill="1" applyBorder="1"/>
    <xf numFmtId="3" fontId="34" fillId="0" borderId="109" xfId="0" applyNumberFormat="1" applyFont="1" applyFill="1" applyBorder="1"/>
    <xf numFmtId="3" fontId="34" fillId="0" borderId="124" xfId="0" applyNumberFormat="1" applyFont="1" applyFill="1" applyBorder="1"/>
    <xf numFmtId="0" fontId="34" fillId="0" borderId="112" xfId="0" applyFont="1" applyFill="1" applyBorder="1"/>
    <xf numFmtId="0" fontId="34" fillId="0" borderId="128" xfId="0" applyFont="1" applyFill="1" applyBorder="1"/>
    <xf numFmtId="0" fontId="34" fillId="0" borderId="111" xfId="0" applyFont="1" applyFill="1" applyBorder="1"/>
    <xf numFmtId="3" fontId="34" fillId="0" borderId="141" xfId="0" applyNumberFormat="1" applyFont="1" applyFill="1" applyBorder="1"/>
    <xf numFmtId="3" fontId="34" fillId="0" borderId="101" xfId="0" applyNumberFormat="1" applyFont="1" applyFill="1" applyBorder="1"/>
    <xf numFmtId="3" fontId="34" fillId="0" borderId="106" xfId="0" applyNumberFormat="1" applyFont="1" applyFill="1" applyBorder="1"/>
    <xf numFmtId="0" fontId="3" fillId="2" borderId="143" xfId="79" applyFont="1" applyFill="1" applyBorder="1" applyAlignment="1">
      <alignment horizontal="left"/>
    </xf>
    <xf numFmtId="0" fontId="3" fillId="2" borderId="144" xfId="79" applyFont="1" applyFill="1" applyBorder="1" applyAlignment="1">
      <alignment horizontal="left"/>
    </xf>
    <xf numFmtId="0" fontId="3" fillId="2" borderId="145" xfId="80" applyFont="1" applyFill="1" applyBorder="1" applyAlignment="1">
      <alignment horizontal="left"/>
    </xf>
    <xf numFmtId="0" fontId="3" fillId="2" borderId="145" xfId="79" applyFont="1" applyFill="1" applyBorder="1" applyAlignment="1">
      <alignment horizontal="left"/>
    </xf>
    <xf numFmtId="0" fontId="3" fillId="2" borderId="146" xfId="79" applyFont="1" applyFill="1" applyBorder="1" applyAlignment="1">
      <alignment horizontal="left"/>
    </xf>
    <xf numFmtId="0" fontId="34" fillId="0" borderId="27" xfId="0" applyFont="1" applyFill="1" applyBorder="1"/>
    <xf numFmtId="0" fontId="34" fillId="0" borderId="32" xfId="0" applyFont="1" applyFill="1" applyBorder="1"/>
    <xf numFmtId="0" fontId="34" fillId="0" borderId="32" xfId="0" applyFont="1" applyFill="1" applyBorder="1" applyAlignment="1">
      <alignment horizontal="right"/>
    </xf>
    <xf numFmtId="0" fontId="34" fillId="0" borderId="32" xfId="0" applyFont="1" applyFill="1" applyBorder="1" applyAlignment="1">
      <alignment horizontal="left"/>
    </xf>
    <xf numFmtId="164" fontId="34" fillId="0" borderId="32" xfId="0" applyNumberFormat="1" applyFont="1" applyFill="1" applyBorder="1"/>
    <xf numFmtId="165" fontId="34" fillId="0" borderId="32" xfId="0" applyNumberFormat="1" applyFont="1" applyFill="1" applyBorder="1"/>
    <xf numFmtId="9" fontId="34" fillId="0" borderId="32" xfId="0" applyNumberFormat="1" applyFont="1" applyFill="1" applyBorder="1"/>
    <xf numFmtId="0" fontId="34" fillId="0" borderId="147" xfId="0" applyFont="1" applyFill="1" applyBorder="1"/>
    <xf numFmtId="0" fontId="34" fillId="0" borderId="148" xfId="0" applyFont="1" applyFill="1" applyBorder="1"/>
    <xf numFmtId="0" fontId="34" fillId="0" borderId="148" xfId="0" applyFont="1" applyFill="1" applyBorder="1" applyAlignment="1">
      <alignment horizontal="right"/>
    </xf>
    <xf numFmtId="0" fontId="34" fillId="0" borderId="148" xfId="0" applyFont="1" applyFill="1" applyBorder="1" applyAlignment="1">
      <alignment horizontal="left"/>
    </xf>
    <xf numFmtId="164" fontId="34" fillId="0" borderId="148" xfId="0" applyNumberFormat="1" applyFont="1" applyFill="1" applyBorder="1"/>
    <xf numFmtId="165" fontId="34" fillId="0" borderId="148" xfId="0" applyNumberFormat="1" applyFont="1" applyFill="1" applyBorder="1"/>
    <xf numFmtId="9" fontId="34" fillId="0" borderId="148" xfId="0" applyNumberFormat="1" applyFont="1" applyFill="1" applyBorder="1"/>
    <xf numFmtId="9" fontId="34" fillId="0" borderId="149" xfId="0" applyNumberFormat="1" applyFont="1" applyFill="1" applyBorder="1"/>
    <xf numFmtId="0" fontId="34" fillId="0" borderId="150" xfId="0" applyFont="1" applyFill="1" applyBorder="1"/>
    <xf numFmtId="0" fontId="34" fillId="0" borderId="151" xfId="0" applyFont="1" applyFill="1" applyBorder="1"/>
    <xf numFmtId="0" fontId="34" fillId="0" borderId="151" xfId="0" applyFont="1" applyFill="1" applyBorder="1" applyAlignment="1">
      <alignment horizontal="right"/>
    </xf>
    <xf numFmtId="0" fontId="34" fillId="0" borderId="151" xfId="0" applyFont="1" applyFill="1" applyBorder="1" applyAlignment="1">
      <alignment horizontal="left"/>
    </xf>
    <xf numFmtId="164" fontId="34" fillId="0" borderId="151" xfId="0" applyNumberFormat="1" applyFont="1" applyFill="1" applyBorder="1"/>
    <xf numFmtId="165" fontId="34" fillId="0" borderId="151" xfId="0" applyNumberFormat="1" applyFont="1" applyFill="1" applyBorder="1"/>
    <xf numFmtId="9" fontId="34" fillId="0" borderId="151" xfId="0" applyNumberFormat="1" applyFont="1" applyFill="1" applyBorder="1"/>
    <xf numFmtId="9" fontId="34" fillId="0" borderId="152" xfId="0" applyNumberFormat="1" applyFont="1" applyFill="1" applyBorder="1"/>
    <xf numFmtId="0" fontId="41" fillId="2" borderId="58" xfId="0" applyFont="1" applyFill="1" applyBorder="1"/>
    <xf numFmtId="3" fontId="34" fillId="0" borderId="28" xfId="0" applyNumberFormat="1" applyFont="1" applyFill="1" applyBorder="1"/>
    <xf numFmtId="3" fontId="34" fillId="0" borderId="151" xfId="0" applyNumberFormat="1" applyFont="1" applyFill="1" applyBorder="1"/>
    <xf numFmtId="3" fontId="34" fillId="0" borderId="152" xfId="0" applyNumberFormat="1" applyFont="1" applyFill="1" applyBorder="1"/>
    <xf numFmtId="3" fontId="34" fillId="0" borderId="148" xfId="0" applyNumberFormat="1" applyFont="1" applyFill="1" applyBorder="1"/>
    <xf numFmtId="3" fontId="34" fillId="0" borderId="149" xfId="0" applyNumberFormat="1" applyFont="1" applyFill="1" applyBorder="1"/>
    <xf numFmtId="0" fontId="41" fillId="0" borderId="27" xfId="0" applyFont="1" applyFill="1" applyBorder="1"/>
    <xf numFmtId="0" fontId="41" fillId="0" borderId="150" xfId="0" applyFont="1" applyFill="1" applyBorder="1"/>
    <xf numFmtId="164" fontId="33" fillId="2" borderId="58" xfId="53" applyNumberFormat="1" applyFont="1" applyFill="1" applyBorder="1" applyAlignment="1">
      <alignment horizontal="left"/>
    </xf>
    <xf numFmtId="164" fontId="34" fillId="0" borderId="32" xfId="0" applyNumberFormat="1" applyFont="1" applyFill="1" applyBorder="1" applyAlignment="1">
      <alignment horizontal="right"/>
    </xf>
    <xf numFmtId="164" fontId="34" fillId="0" borderId="151" xfId="0" applyNumberFormat="1" applyFont="1" applyFill="1" applyBorder="1" applyAlignment="1">
      <alignment horizontal="right"/>
    </xf>
    <xf numFmtId="164" fontId="34" fillId="0" borderId="148" xfId="0" applyNumberFormat="1" applyFont="1" applyFill="1" applyBorder="1" applyAlignment="1">
      <alignment horizontal="right"/>
    </xf>
    <xf numFmtId="0" fontId="34" fillId="2" borderId="73" xfId="0" applyFont="1" applyFill="1" applyBorder="1" applyAlignment="1">
      <alignment vertical="center"/>
    </xf>
    <xf numFmtId="0" fontId="33" fillId="2" borderId="18" xfId="26" applyNumberFormat="1" applyFont="1" applyFill="1" applyBorder="1"/>
    <xf numFmtId="0" fontId="33" fillId="2" borderId="0" xfId="26" applyNumberFormat="1" applyFont="1" applyFill="1" applyBorder="1"/>
    <xf numFmtId="9" fontId="33" fillId="2" borderId="0" xfId="26" quotePrefix="1" applyNumberFormat="1" applyFont="1" applyFill="1" applyBorder="1" applyAlignment="1">
      <alignment horizontal="right"/>
    </xf>
    <xf numFmtId="9" fontId="33" fillId="2" borderId="19" xfId="26" applyNumberFormat="1" applyFont="1" applyFill="1" applyBorder="1" applyAlignment="1">
      <alignment horizontal="right"/>
    </xf>
    <xf numFmtId="0" fontId="66" fillId="4" borderId="27" xfId="0" applyFont="1" applyFill="1" applyBorder="1" applyAlignment="1">
      <alignment horizontal="left"/>
    </xf>
    <xf numFmtId="169" fontId="66" fillId="4" borderId="32" xfId="0" applyNumberFormat="1" applyFont="1" applyFill="1" applyBorder="1"/>
    <xf numFmtId="9" fontId="66" fillId="4" borderId="32" xfId="0" applyNumberFormat="1" applyFont="1" applyFill="1" applyBorder="1"/>
    <xf numFmtId="9" fontId="66" fillId="4" borderId="28" xfId="0" applyNumberFormat="1" applyFont="1" applyFill="1" applyBorder="1"/>
    <xf numFmtId="169" fontId="0" fillId="0" borderId="151" xfId="0" applyNumberFormat="1" applyBorder="1"/>
    <xf numFmtId="9" fontId="0" fillId="0" borderId="151" xfId="0" applyNumberFormat="1" applyBorder="1"/>
    <xf numFmtId="9" fontId="0" fillId="0" borderId="152" xfId="0" applyNumberFormat="1" applyBorder="1"/>
    <xf numFmtId="169" fontId="0" fillId="0" borderId="148" xfId="0" applyNumberFormat="1" applyBorder="1"/>
    <xf numFmtId="9" fontId="0" fillId="0" borderId="148" xfId="0" applyNumberFormat="1" applyBorder="1"/>
    <xf numFmtId="9" fontId="0" fillId="0" borderId="149" xfId="0" applyNumberFormat="1" applyBorder="1"/>
    <xf numFmtId="0" fontId="66" fillId="0" borderId="150" xfId="0" applyFont="1" applyBorder="1" applyAlignment="1">
      <alignment horizontal="left" indent="1"/>
    </xf>
    <xf numFmtId="0" fontId="66" fillId="0" borderId="147" xfId="0" applyFont="1" applyBorder="1" applyAlignment="1">
      <alignment horizontal="left" indent="1"/>
    </xf>
    <xf numFmtId="0" fontId="66" fillId="4" borderId="150" xfId="0" applyFont="1" applyFill="1" applyBorder="1" applyAlignment="1">
      <alignment horizontal="left"/>
    </xf>
    <xf numFmtId="169" fontId="66" fillId="4" borderId="151" xfId="0" applyNumberFormat="1" applyFont="1" applyFill="1" applyBorder="1"/>
    <xf numFmtId="9" fontId="66" fillId="4" borderId="151" xfId="0" applyNumberFormat="1" applyFont="1" applyFill="1" applyBorder="1"/>
    <xf numFmtId="9" fontId="66" fillId="4" borderId="152" xfId="0" applyNumberFormat="1" applyFont="1" applyFill="1" applyBorder="1"/>
    <xf numFmtId="0" fontId="33" fillId="2" borderId="19" xfId="26" applyNumberFormat="1" applyFont="1" applyFill="1" applyBorder="1"/>
    <xf numFmtId="169" fontId="34" fillId="0" borderId="32" xfId="0" applyNumberFormat="1" applyFont="1" applyFill="1" applyBorder="1"/>
    <xf numFmtId="169" fontId="34" fillId="0" borderId="28" xfId="0" applyNumberFormat="1" applyFont="1" applyFill="1" applyBorder="1"/>
    <xf numFmtId="169" fontId="34" fillId="0" borderId="151" xfId="0" applyNumberFormat="1" applyFont="1" applyFill="1" applyBorder="1"/>
    <xf numFmtId="169" fontId="34" fillId="0" borderId="152" xfId="0" applyNumberFormat="1" applyFont="1" applyFill="1" applyBorder="1"/>
    <xf numFmtId="169" fontId="34" fillId="0" borderId="148" xfId="0" applyNumberFormat="1" applyFont="1" applyFill="1" applyBorder="1"/>
    <xf numFmtId="169" fontId="34" fillId="0" borderId="149" xfId="0" applyNumberFormat="1" applyFont="1" applyFill="1" applyBorder="1"/>
    <xf numFmtId="0" fontId="41" fillId="0" borderId="147" xfId="0" applyFont="1" applyFill="1" applyBorder="1"/>
    <xf numFmtId="0" fontId="34" fillId="2" borderId="34" xfId="0" applyFont="1" applyFill="1" applyBorder="1" applyAlignment="1">
      <alignment horizontal="center" vertical="top" wrapText="1"/>
    </xf>
    <xf numFmtId="0" fontId="33" fillId="2" borderId="34" xfId="0" applyFont="1" applyFill="1" applyBorder="1" applyAlignment="1">
      <alignment horizontal="center" vertical="top" wrapText="1"/>
    </xf>
    <xf numFmtId="0" fontId="33" fillId="2" borderId="34" xfId="0" applyFont="1" applyFill="1" applyBorder="1" applyAlignment="1">
      <alignment horizontal="center" vertical="top"/>
    </xf>
    <xf numFmtId="0" fontId="0" fillId="0" borderId="34" xfId="0" applyNumberFormat="1" applyBorder="1" applyAlignment="1">
      <alignment horizontal="center" vertical="top"/>
    </xf>
    <xf numFmtId="0" fontId="33" fillId="2" borderId="34" xfId="0" applyFont="1" applyFill="1" applyBorder="1" applyAlignment="1">
      <alignment horizontal="center" vertical="center"/>
    </xf>
    <xf numFmtId="3" fontId="33" fillId="2" borderId="18" xfId="0" applyNumberFormat="1" applyFont="1" applyFill="1" applyBorder="1" applyAlignment="1">
      <alignment horizontal="left"/>
    </xf>
    <xf numFmtId="3" fontId="33" fillId="2" borderId="19" xfId="0" applyNumberFormat="1" applyFont="1" applyFill="1" applyBorder="1" applyAlignment="1">
      <alignment horizontal="center"/>
    </xf>
    <xf numFmtId="3" fontId="33" fillId="2" borderId="0" xfId="0" applyNumberFormat="1" applyFont="1" applyFill="1" applyBorder="1" applyAlignment="1">
      <alignment horizontal="center"/>
    </xf>
    <xf numFmtId="9" fontId="46" fillId="2" borderId="19" xfId="0" applyNumberFormat="1" applyFont="1" applyFill="1" applyBorder="1" applyAlignment="1">
      <alignment horizontal="center" vertical="top"/>
    </xf>
    <xf numFmtId="3" fontId="33" fillId="2" borderId="19" xfId="0" applyNumberFormat="1" applyFont="1" applyFill="1" applyBorder="1" applyAlignment="1">
      <alignment horizontal="center" vertical="top"/>
    </xf>
    <xf numFmtId="0" fontId="33" fillId="2" borderId="34" xfId="0" applyFont="1" applyFill="1" applyBorder="1" applyAlignment="1">
      <alignment horizontal="center" vertical="top" wrapText="1"/>
    </xf>
    <xf numFmtId="0" fontId="33" fillId="2" borderId="19" xfId="26" applyNumberFormat="1" applyFont="1" applyFill="1" applyBorder="1" applyAlignment="1">
      <alignment horizontal="right"/>
    </xf>
    <xf numFmtId="49" fontId="33" fillId="2" borderId="34" xfId="0" applyNumberFormat="1" applyFont="1" applyFill="1" applyBorder="1" applyAlignment="1">
      <alignment horizontal="center" vertical="top"/>
    </xf>
    <xf numFmtId="0" fontId="33" fillId="2" borderId="18" xfId="0" applyNumberFormat="1" applyFont="1" applyFill="1" applyBorder="1" applyAlignment="1">
      <alignment horizontal="left"/>
    </xf>
    <xf numFmtId="0" fontId="33" fillId="2" borderId="19" xfId="0" applyNumberFormat="1" applyFont="1" applyFill="1" applyBorder="1" applyAlignment="1">
      <alignment horizontal="left"/>
    </xf>
    <xf numFmtId="0" fontId="33" fillId="2" borderId="0" xfId="0" applyNumberFormat="1" applyFont="1" applyFill="1" applyBorder="1" applyAlignment="1">
      <alignment horizontal="left"/>
    </xf>
    <xf numFmtId="0" fontId="46" fillId="2" borderId="19" xfId="0" applyNumberFormat="1" applyFont="1" applyFill="1" applyBorder="1" applyAlignment="1">
      <alignment horizontal="center" vertical="top"/>
    </xf>
    <xf numFmtId="166" fontId="5" fillId="0" borderId="139" xfId="0" applyNumberFormat="1" applyFont="1" applyBorder="1" applyAlignment="1">
      <alignment horizontal="right"/>
    </xf>
    <xf numFmtId="166" fontId="5" fillId="0" borderId="154" xfId="0" applyNumberFormat="1" applyFont="1" applyBorder="1" applyAlignment="1">
      <alignment horizontal="right"/>
    </xf>
    <xf numFmtId="3" fontId="70" fillId="0" borderId="139" xfId="0" applyNumberFormat="1" applyFont="1" applyBorder="1" applyAlignment="1">
      <alignment horizontal="right"/>
    </xf>
    <xf numFmtId="166" fontId="70" fillId="0" borderId="139" xfId="0" applyNumberFormat="1" applyFont="1" applyBorder="1" applyAlignment="1">
      <alignment horizontal="right"/>
    </xf>
    <xf numFmtId="166" fontId="70" fillId="0" borderId="154" xfId="0" applyNumberFormat="1" applyFont="1" applyBorder="1" applyAlignment="1">
      <alignment horizontal="right"/>
    </xf>
    <xf numFmtId="177" fontId="5" fillId="0" borderId="139" xfId="0" applyNumberFormat="1" applyFont="1" applyBorder="1" applyAlignment="1">
      <alignment horizontal="right"/>
    </xf>
    <xf numFmtId="3" fontId="5" fillId="0" borderId="139" xfId="0" applyNumberFormat="1" applyFont="1" applyBorder="1" applyAlignment="1">
      <alignment horizontal="right"/>
    </xf>
    <xf numFmtId="4" fontId="5" fillId="0" borderId="139" xfId="0" applyNumberFormat="1" applyFont="1" applyBorder="1" applyAlignment="1">
      <alignment horizontal="right"/>
    </xf>
    <xf numFmtId="3" fontId="5" fillId="0" borderId="139" xfId="0" applyNumberFormat="1" applyFont="1" applyBorder="1"/>
    <xf numFmtId="3" fontId="70" fillId="0" borderId="139" xfId="0" applyNumberFormat="1" applyFont="1" applyBorder="1"/>
    <xf numFmtId="166" fontId="70" fillId="0" borderId="139" xfId="0" applyNumberFormat="1" applyFont="1" applyBorder="1"/>
    <xf numFmtId="166" fontId="70" fillId="0" borderId="154" xfId="0" applyNumberFormat="1" applyFont="1" applyBorder="1"/>
    <xf numFmtId="166" fontId="5" fillId="0" borderId="19" xfId="0" applyNumberFormat="1" applyFont="1" applyBorder="1" applyAlignment="1">
      <alignment horizontal="right"/>
    </xf>
    <xf numFmtId="166" fontId="70" fillId="0" borderId="19" xfId="0" applyNumberFormat="1" applyFont="1" applyBorder="1" applyAlignment="1">
      <alignment horizontal="right"/>
    </xf>
    <xf numFmtId="166" fontId="71" fillId="0" borderId="154" xfId="0" applyNumberFormat="1" applyFont="1" applyBorder="1" applyAlignment="1">
      <alignment horizontal="right"/>
    </xf>
    <xf numFmtId="166" fontId="70" fillId="0" borderId="19" xfId="0" applyNumberFormat="1" applyFont="1" applyBorder="1"/>
    <xf numFmtId="166" fontId="71" fillId="0" borderId="19" xfId="0" applyNumberFormat="1" applyFont="1" applyBorder="1" applyAlignment="1">
      <alignment horizontal="right"/>
    </xf>
    <xf numFmtId="3" fontId="34" fillId="0" borderId="139" xfId="0" applyNumberFormat="1" applyFont="1" applyBorder="1"/>
    <xf numFmtId="166" fontId="34" fillId="0" borderId="139" xfId="0" applyNumberFormat="1" applyFont="1" applyBorder="1"/>
    <xf numFmtId="166" fontId="34" fillId="0" borderId="154" xfId="0" applyNumberFormat="1" applyFont="1" applyBorder="1"/>
    <xf numFmtId="3" fontId="34" fillId="0" borderId="139" xfId="0" applyNumberFormat="1" applyFont="1" applyBorder="1" applyAlignment="1">
      <alignment horizontal="right"/>
    </xf>
    <xf numFmtId="0" fontId="5" fillId="0" borderId="139" xfId="0" applyFont="1" applyBorder="1"/>
    <xf numFmtId="166" fontId="34" fillId="0" borderId="19" xfId="0" applyNumberFormat="1" applyFont="1" applyBorder="1"/>
    <xf numFmtId="3" fontId="34" fillId="0" borderId="0" xfId="0" applyNumberFormat="1" applyFont="1" applyBorder="1"/>
    <xf numFmtId="166" fontId="34" fillId="0" borderId="0" xfId="0" applyNumberFormat="1" applyFont="1" applyBorder="1"/>
    <xf numFmtId="3" fontId="34" fillId="0" borderId="0" xfId="0" applyNumberFormat="1" applyFont="1" applyBorder="1" applyAlignment="1">
      <alignment horizontal="right"/>
    </xf>
    <xf numFmtId="166" fontId="5" fillId="0" borderId="0" xfId="0" applyNumberFormat="1" applyFont="1" applyBorder="1" applyAlignment="1">
      <alignment horizontal="right"/>
    </xf>
    <xf numFmtId="3" fontId="70" fillId="0" borderId="0" xfId="0" applyNumberFormat="1" applyFont="1" applyBorder="1" applyAlignment="1">
      <alignment horizontal="right"/>
    </xf>
    <xf numFmtId="166" fontId="70" fillId="0" borderId="0" xfId="0" applyNumberFormat="1" applyFont="1" applyBorder="1" applyAlignment="1">
      <alignment horizontal="right"/>
    </xf>
    <xf numFmtId="177" fontId="5" fillId="0" borderId="0" xfId="0" applyNumberFormat="1" applyFont="1" applyBorder="1" applyAlignment="1">
      <alignment horizontal="right"/>
    </xf>
    <xf numFmtId="3" fontId="5" fillId="0" borderId="0" xfId="0" applyNumberFormat="1" applyFont="1" applyBorder="1" applyAlignment="1">
      <alignment horizontal="right"/>
    </xf>
    <xf numFmtId="4" fontId="5" fillId="0" borderId="0" xfId="0" applyNumberFormat="1" applyFont="1" applyBorder="1" applyAlignment="1">
      <alignment horizontal="right"/>
    </xf>
    <xf numFmtId="0" fontId="5" fillId="0" borderId="0" xfId="0" applyFont="1" applyBorder="1"/>
    <xf numFmtId="3" fontId="5" fillId="0" borderId="0" xfId="0" applyNumberFormat="1" applyFont="1" applyBorder="1"/>
    <xf numFmtId="3" fontId="70" fillId="0" borderId="0" xfId="0" applyNumberFormat="1" applyFont="1" applyBorder="1"/>
    <xf numFmtId="166" fontId="70" fillId="0" borderId="0" xfId="0" applyNumberFormat="1" applyFont="1" applyBorder="1"/>
    <xf numFmtId="49" fontId="3" fillId="0" borderId="102" xfId="0" applyNumberFormat="1" applyFont="1" applyBorder="1" applyAlignment="1">
      <alignment horizontal="center"/>
    </xf>
    <xf numFmtId="49" fontId="3" fillId="0" borderId="34" xfId="0" applyNumberFormat="1" applyFont="1" applyBorder="1" applyAlignment="1">
      <alignment horizontal="center"/>
    </xf>
    <xf numFmtId="49" fontId="3" fillId="0" borderId="33" xfId="0" applyNumberFormat="1" applyFont="1" applyBorder="1" applyAlignment="1">
      <alignment horizontal="center"/>
    </xf>
    <xf numFmtId="3" fontId="34" fillId="0" borderId="108" xfId="0" applyNumberFormat="1" applyFont="1" applyBorder="1"/>
    <xf numFmtId="166" fontId="34" fillId="0" borderId="108" xfId="0" applyNumberFormat="1" applyFont="1" applyBorder="1"/>
    <xf numFmtId="166" fontId="34" fillId="0" borderId="89" xfId="0" applyNumberFormat="1" applyFont="1" applyBorder="1"/>
    <xf numFmtId="3" fontId="34" fillId="0" borderId="108" xfId="0" applyNumberFormat="1" applyFont="1" applyBorder="1" applyAlignment="1">
      <alignment horizontal="right"/>
    </xf>
    <xf numFmtId="166" fontId="5" fillId="0" borderId="108" xfId="0" applyNumberFormat="1" applyFont="1" applyBorder="1" applyAlignment="1">
      <alignment horizontal="right"/>
    </xf>
    <xf numFmtId="166" fontId="5" fillId="0" borderId="89" xfId="0" applyNumberFormat="1" applyFont="1" applyBorder="1" applyAlignment="1">
      <alignment horizontal="right"/>
    </xf>
    <xf numFmtId="3" fontId="70" fillId="0" borderId="108" xfId="0" applyNumberFormat="1" applyFont="1" applyBorder="1" applyAlignment="1">
      <alignment horizontal="right"/>
    </xf>
    <xf numFmtId="166" fontId="70" fillId="0" borderId="108" xfId="0" applyNumberFormat="1" applyFont="1" applyBorder="1" applyAlignment="1">
      <alignment horizontal="right"/>
    </xf>
    <xf numFmtId="166" fontId="70" fillId="0" borderId="89" xfId="0" applyNumberFormat="1" applyFont="1" applyBorder="1" applyAlignment="1">
      <alignment horizontal="right"/>
    </xf>
    <xf numFmtId="177" fontId="5" fillId="0" borderId="108" xfId="0" applyNumberFormat="1" applyFont="1" applyBorder="1" applyAlignment="1">
      <alignment horizontal="right"/>
    </xf>
    <xf numFmtId="3" fontId="5" fillId="0" borderId="108" xfId="0" applyNumberFormat="1" applyFont="1" applyBorder="1" applyAlignment="1">
      <alignment horizontal="right"/>
    </xf>
    <xf numFmtId="4" fontId="5" fillId="0" borderId="108" xfId="0" applyNumberFormat="1" applyFont="1" applyBorder="1" applyAlignment="1">
      <alignment horizontal="right"/>
    </xf>
    <xf numFmtId="0" fontId="5" fillId="0" borderId="108" xfId="0" applyFont="1" applyBorder="1"/>
    <xf numFmtId="3" fontId="5" fillId="0" borderId="108" xfId="0" applyNumberFormat="1" applyFont="1" applyBorder="1"/>
    <xf numFmtId="49" fontId="3" fillId="0" borderId="153" xfId="0" applyNumberFormat="1" applyFont="1" applyBorder="1" applyAlignment="1">
      <alignment horizontal="center"/>
    </xf>
    <xf numFmtId="3" fontId="34" fillId="0" borderId="155" xfId="0" applyNumberFormat="1" applyFont="1" applyBorder="1"/>
    <xf numFmtId="166" fontId="34" fillId="0" borderId="155" xfId="0" applyNumberFormat="1" applyFont="1" applyBorder="1"/>
    <xf numFmtId="166" fontId="34" fillId="0" borderId="156" xfId="0" applyNumberFormat="1" applyFont="1" applyBorder="1"/>
    <xf numFmtId="3" fontId="70" fillId="0" borderId="155" xfId="0" applyNumberFormat="1" applyFont="1" applyBorder="1" applyAlignment="1">
      <alignment horizontal="right"/>
    </xf>
    <xf numFmtId="166" fontId="70" fillId="0" borderId="155" xfId="0" applyNumberFormat="1" applyFont="1" applyBorder="1" applyAlignment="1">
      <alignment horizontal="right"/>
    </xf>
    <xf numFmtId="166" fontId="70" fillId="0" borderId="156" xfId="0" applyNumberFormat="1" applyFont="1" applyBorder="1" applyAlignment="1">
      <alignment horizontal="right"/>
    </xf>
    <xf numFmtId="3" fontId="5" fillId="0" borderId="155" xfId="0" applyNumberFormat="1" applyFont="1" applyBorder="1" applyAlignment="1">
      <alignment horizontal="right"/>
    </xf>
    <xf numFmtId="166" fontId="5" fillId="0" borderId="155" xfId="0" applyNumberFormat="1" applyFont="1" applyBorder="1" applyAlignment="1">
      <alignment horizontal="right"/>
    </xf>
    <xf numFmtId="166" fontId="5" fillId="0" borderId="156" xfId="0" applyNumberFormat="1" applyFont="1" applyBorder="1" applyAlignment="1">
      <alignment horizontal="right"/>
    </xf>
    <xf numFmtId="177" fontId="5" fillId="0" borderId="155" xfId="0" applyNumberFormat="1" applyFont="1" applyBorder="1" applyAlignment="1">
      <alignment horizontal="right"/>
    </xf>
    <xf numFmtId="4" fontId="5" fillId="0" borderId="155" xfId="0" applyNumberFormat="1" applyFont="1" applyBorder="1" applyAlignment="1">
      <alignment horizontal="right"/>
    </xf>
    <xf numFmtId="0" fontId="5" fillId="0" borderId="155" xfId="0" applyFont="1" applyBorder="1"/>
    <xf numFmtId="3" fontId="5" fillId="0" borderId="155" xfId="0" applyNumberFormat="1" applyFont="1" applyBorder="1"/>
    <xf numFmtId="3" fontId="5" fillId="0" borderId="89" xfId="0" applyNumberFormat="1" applyFont="1" applyBorder="1"/>
    <xf numFmtId="3" fontId="5" fillId="0" borderId="154" xfId="0" applyNumberFormat="1" applyFont="1" applyBorder="1"/>
    <xf numFmtId="3" fontId="5" fillId="0" borderId="19" xfId="0" applyNumberFormat="1" applyFont="1" applyBorder="1"/>
    <xf numFmtId="3" fontId="5" fillId="0" borderId="156" xfId="0" applyNumberFormat="1" applyFont="1" applyBorder="1"/>
    <xf numFmtId="3" fontId="11" fillId="0" borderId="102" xfId="0" applyNumberFormat="1" applyFont="1" applyBorder="1" applyAlignment="1">
      <alignment horizontal="center"/>
    </xf>
    <xf numFmtId="3" fontId="11" fillId="0" borderId="34" xfId="0" applyNumberFormat="1" applyFont="1" applyBorder="1" applyAlignment="1">
      <alignment horizontal="center"/>
    </xf>
    <xf numFmtId="9" fontId="34" fillId="0" borderId="139" xfId="0" applyNumberFormat="1" applyFont="1" applyBorder="1"/>
    <xf numFmtId="9" fontId="34" fillId="0" borderId="0" xfId="0" applyNumberFormat="1" applyFont="1" applyBorder="1"/>
    <xf numFmtId="3" fontId="34" fillId="0" borderId="138" xfId="0" applyNumberFormat="1" applyFont="1" applyBorder="1"/>
    <xf numFmtId="3" fontId="34" fillId="0" borderId="18" xfId="0" applyNumberFormat="1" applyFont="1" applyBorder="1"/>
    <xf numFmtId="3" fontId="34" fillId="0" borderId="69" xfId="0" applyNumberFormat="1" applyFont="1" applyBorder="1"/>
    <xf numFmtId="9" fontId="34" fillId="0" borderId="108" xfId="0" applyNumberFormat="1" applyFont="1" applyBorder="1"/>
    <xf numFmtId="3" fontId="11" fillId="0" borderId="33" xfId="0" applyNumberFormat="1" applyFont="1" applyBorder="1" applyAlignment="1">
      <alignment horizontal="center"/>
    </xf>
    <xf numFmtId="3" fontId="34" fillId="0" borderId="157" xfId="0" applyNumberFormat="1" applyFont="1" applyBorder="1"/>
    <xf numFmtId="9" fontId="34" fillId="0" borderId="155" xfId="0" applyNumberFormat="1" applyFont="1" applyBorder="1"/>
    <xf numFmtId="3" fontId="11" fillId="0" borderId="153" xfId="0" applyNumberFormat="1" applyFont="1" applyBorder="1" applyAlignment="1">
      <alignment horizontal="center"/>
    </xf>
    <xf numFmtId="0" fontId="31" fillId="2" borderId="34" xfId="0" applyFont="1" applyFill="1" applyBorder="1" applyAlignment="1">
      <alignment vertical="center" wrapText="1"/>
    </xf>
    <xf numFmtId="0" fontId="33" fillId="2" borderId="18" xfId="26" applyNumberFormat="1" applyFont="1" applyFill="1" applyBorder="1" applyAlignment="1">
      <alignment horizontal="right"/>
    </xf>
    <xf numFmtId="0" fontId="33" fillId="2" borderId="0" xfId="26" applyNumberFormat="1" applyFont="1" applyFill="1" applyBorder="1" applyAlignment="1">
      <alignment horizontal="right"/>
    </xf>
    <xf numFmtId="3" fontId="33" fillId="2" borderId="85" xfId="76" applyNumberFormat="1" applyFont="1" applyFill="1" applyBorder="1" applyAlignment="1">
      <alignment horizontal="center" vertical="center"/>
    </xf>
    <xf numFmtId="3" fontId="33" fillId="2" borderId="120" xfId="76" applyNumberFormat="1" applyFont="1" applyFill="1" applyBorder="1" applyAlignment="1">
      <alignment horizontal="center" vertical="center"/>
    </xf>
    <xf numFmtId="0" fontId="31" fillId="0" borderId="27" xfId="76" applyFont="1" applyFill="1" applyBorder="1"/>
    <xf numFmtId="0" fontId="31" fillId="0" borderId="150" xfId="76" applyFont="1" applyFill="1" applyBorder="1"/>
    <xf numFmtId="0" fontId="31" fillId="0" borderId="147" xfId="76" applyFont="1" applyFill="1" applyBorder="1"/>
    <xf numFmtId="0" fontId="31" fillId="0" borderId="63" xfId="76" applyFont="1" applyFill="1" applyBorder="1"/>
    <xf numFmtId="0" fontId="31" fillId="0" borderId="109" xfId="76" applyFont="1" applyFill="1" applyBorder="1"/>
    <xf numFmtId="0" fontId="31" fillId="0" borderId="158" xfId="76" applyFont="1" applyFill="1" applyBorder="1"/>
    <xf numFmtId="0" fontId="33" fillId="2" borderId="103" xfId="76" applyNumberFormat="1" applyFont="1" applyFill="1" applyBorder="1" applyAlignment="1">
      <alignment horizontal="left"/>
    </xf>
    <xf numFmtId="0" fontId="33" fillId="2" borderId="159" xfId="76" applyNumberFormat="1" applyFont="1" applyFill="1" applyBorder="1" applyAlignment="1">
      <alignment horizontal="left"/>
    </xf>
    <xf numFmtId="3" fontId="31" fillId="0" borderId="27" xfId="76" applyNumberFormat="1" applyFont="1" applyFill="1" applyBorder="1"/>
    <xf numFmtId="3" fontId="31" fillId="0" borderId="32" xfId="76" applyNumberFormat="1" applyFont="1" applyFill="1" applyBorder="1"/>
    <xf numFmtId="3" fontId="31" fillId="0" borderId="150" xfId="76" applyNumberFormat="1" applyFont="1" applyFill="1" applyBorder="1"/>
    <xf numFmtId="3" fontId="31" fillId="0" borderId="151" xfId="76" applyNumberFormat="1" applyFont="1" applyFill="1" applyBorder="1"/>
    <xf numFmtId="3" fontId="31" fillId="0" borderId="147" xfId="76" applyNumberFormat="1" applyFont="1" applyFill="1" applyBorder="1"/>
    <xf numFmtId="3" fontId="31" fillId="0" borderId="148" xfId="76" applyNumberFormat="1" applyFont="1" applyFill="1" applyBorder="1"/>
    <xf numFmtId="9" fontId="31" fillId="0" borderId="63" xfId="76" applyNumberFormat="1" applyFont="1" applyFill="1" applyBorder="1"/>
    <xf numFmtId="9" fontId="31" fillId="0" borderId="109" xfId="76" applyNumberFormat="1" applyFont="1" applyFill="1" applyBorder="1"/>
    <xf numFmtId="9" fontId="31" fillId="0" borderId="158" xfId="76" applyNumberFormat="1" applyFont="1" applyFill="1" applyBorder="1"/>
    <xf numFmtId="0" fontId="33" fillId="2" borderId="140" xfId="76" applyNumberFormat="1" applyFont="1" applyFill="1" applyBorder="1" applyAlignment="1">
      <alignment horizontal="left"/>
    </xf>
    <xf numFmtId="0" fontId="33" fillId="2" borderId="104" xfId="76" applyNumberFormat="1" applyFont="1" applyFill="1" applyBorder="1" applyAlignment="1">
      <alignment horizontal="left"/>
    </xf>
    <xf numFmtId="3" fontId="31" fillId="0" borderId="28" xfId="76" applyNumberFormat="1" applyFont="1" applyFill="1" applyBorder="1"/>
    <xf numFmtId="3" fontId="31" fillId="0" borderId="152" xfId="76" applyNumberFormat="1" applyFont="1" applyFill="1" applyBorder="1"/>
    <xf numFmtId="3" fontId="31" fillId="0" borderId="149" xfId="76" applyNumberFormat="1" applyFont="1" applyFill="1" applyBorder="1"/>
  </cellXfs>
  <cellStyles count="99">
    <cellStyle name="Hypertextový odkaz" xfId="1" builtinId="8"/>
    <cellStyle name="Měna 10" xfId="2" xr:uid="{00000000-0005-0000-0000-000001000000}"/>
    <cellStyle name="Měna 11" xfId="3" xr:uid="{00000000-0005-0000-0000-000002000000}"/>
    <cellStyle name="Měna 12" xfId="4" xr:uid="{00000000-0005-0000-0000-000003000000}"/>
    <cellStyle name="Měna 13" xfId="5" xr:uid="{00000000-0005-0000-0000-000004000000}"/>
    <cellStyle name="Měna 2" xfId="6" xr:uid="{00000000-0005-0000-0000-000005000000}"/>
    <cellStyle name="Měna 3" xfId="7" xr:uid="{00000000-0005-0000-0000-000006000000}"/>
    <cellStyle name="Měna 4" xfId="8" xr:uid="{00000000-0005-0000-0000-000007000000}"/>
    <cellStyle name="Měna 5" xfId="9" xr:uid="{00000000-0005-0000-0000-000008000000}"/>
    <cellStyle name="Měna 6" xfId="10" xr:uid="{00000000-0005-0000-0000-000009000000}"/>
    <cellStyle name="Měna 7" xfId="11" xr:uid="{00000000-0005-0000-0000-00000A000000}"/>
    <cellStyle name="Měna 8" xfId="12" xr:uid="{00000000-0005-0000-0000-00000B000000}"/>
    <cellStyle name="Měna 9" xfId="13" xr:uid="{00000000-0005-0000-0000-00000C000000}"/>
    <cellStyle name="Normální" xfId="0" builtinId="0"/>
    <cellStyle name="Normální 10" xfId="14" xr:uid="{00000000-0005-0000-0000-00000E000000}"/>
    <cellStyle name="Normální 11" xfId="15" xr:uid="{00000000-0005-0000-0000-00000F000000}"/>
    <cellStyle name="Normální 12" xfId="16" xr:uid="{00000000-0005-0000-0000-000010000000}"/>
    <cellStyle name="Normální 13" xfId="17" xr:uid="{00000000-0005-0000-0000-000011000000}"/>
    <cellStyle name="Normální 14" xfId="18" xr:uid="{00000000-0005-0000-0000-000012000000}"/>
    <cellStyle name="Normální 15" xfId="19" xr:uid="{00000000-0005-0000-0000-000013000000}"/>
    <cellStyle name="Normální 16" xfId="20" xr:uid="{00000000-0005-0000-0000-000014000000}"/>
    <cellStyle name="Normální 17" xfId="21" xr:uid="{00000000-0005-0000-0000-000015000000}"/>
    <cellStyle name="Normální 18" xfId="22" xr:uid="{00000000-0005-0000-0000-000016000000}"/>
    <cellStyle name="Normální 19" xfId="23" xr:uid="{00000000-0005-0000-0000-000017000000}"/>
    <cellStyle name="normální 2" xfId="24" xr:uid="{00000000-0005-0000-0000-000018000000}"/>
    <cellStyle name="Normální 2 10" xfId="25" xr:uid="{00000000-0005-0000-0000-000019000000}"/>
    <cellStyle name="Normální 2 10 2" xfId="26" xr:uid="{00000000-0005-0000-0000-00001A000000}"/>
    <cellStyle name="normální 2 11" xfId="27" xr:uid="{00000000-0005-0000-0000-00001B000000}"/>
    <cellStyle name="normální 2 12" xfId="28" xr:uid="{00000000-0005-0000-0000-00001C000000}"/>
    <cellStyle name="Normální 2 13" xfId="29" xr:uid="{00000000-0005-0000-0000-00001D000000}"/>
    <cellStyle name="normální 2 2" xfId="30" xr:uid="{00000000-0005-0000-0000-00001E000000}"/>
    <cellStyle name="normální 2 3" xfId="31" xr:uid="{00000000-0005-0000-0000-00001F000000}"/>
    <cellStyle name="Normální 2 4" xfId="32" xr:uid="{00000000-0005-0000-0000-000020000000}"/>
    <cellStyle name="Normální 2 4 2" xfId="33" xr:uid="{00000000-0005-0000-0000-000021000000}"/>
    <cellStyle name="Normální 2 5" xfId="34" xr:uid="{00000000-0005-0000-0000-000022000000}"/>
    <cellStyle name="Normální 2 5 2" xfId="35" xr:uid="{00000000-0005-0000-0000-000023000000}"/>
    <cellStyle name="Normální 2 6" xfId="36" xr:uid="{00000000-0005-0000-0000-000024000000}"/>
    <cellStyle name="Normální 2 6 2" xfId="37" xr:uid="{00000000-0005-0000-0000-000025000000}"/>
    <cellStyle name="Normální 2 7" xfId="38" xr:uid="{00000000-0005-0000-0000-000026000000}"/>
    <cellStyle name="Normální 2 7 2" xfId="39" xr:uid="{00000000-0005-0000-0000-000027000000}"/>
    <cellStyle name="Normální 2 8" xfId="40" xr:uid="{00000000-0005-0000-0000-000028000000}"/>
    <cellStyle name="Normální 2 8 2" xfId="41" xr:uid="{00000000-0005-0000-0000-000029000000}"/>
    <cellStyle name="Normální 2 9" xfId="42" xr:uid="{00000000-0005-0000-0000-00002A000000}"/>
    <cellStyle name="Normální 2 9 2" xfId="43" xr:uid="{00000000-0005-0000-0000-00002B000000}"/>
    <cellStyle name="normální 2_Hodiny_Plan" xfId="44" xr:uid="{00000000-0005-0000-0000-00002C000000}"/>
    <cellStyle name="Normální 20" xfId="45" xr:uid="{00000000-0005-0000-0000-00002D000000}"/>
    <cellStyle name="Normální 21" xfId="46" xr:uid="{00000000-0005-0000-0000-00002E000000}"/>
    <cellStyle name="Normální 22" xfId="47" xr:uid="{00000000-0005-0000-0000-00002F000000}"/>
    <cellStyle name="normální 3" xfId="48" xr:uid="{00000000-0005-0000-0000-000030000000}"/>
    <cellStyle name="Normální 3 10" xfId="49" xr:uid="{00000000-0005-0000-0000-000031000000}"/>
    <cellStyle name="normální 3 11" xfId="50" xr:uid="{00000000-0005-0000-0000-000032000000}"/>
    <cellStyle name="normální 3 12" xfId="51" xr:uid="{00000000-0005-0000-0000-000033000000}"/>
    <cellStyle name="Normální 3 13" xfId="98" xr:uid="{00000000-0005-0000-0000-000034000000}"/>
    <cellStyle name="normální 3 2" xfId="52" xr:uid="{00000000-0005-0000-0000-000035000000}"/>
    <cellStyle name="Normální 3 3" xfId="53" xr:uid="{00000000-0005-0000-0000-000036000000}"/>
    <cellStyle name="Normální 3 3 2" xfId="54" xr:uid="{00000000-0005-0000-0000-000037000000}"/>
    <cellStyle name="Normální 3 4" xfId="55" xr:uid="{00000000-0005-0000-0000-000038000000}"/>
    <cellStyle name="Normální 3 5" xfId="56" xr:uid="{00000000-0005-0000-0000-000039000000}"/>
    <cellStyle name="Normální 3 6" xfId="57" xr:uid="{00000000-0005-0000-0000-00003A000000}"/>
    <cellStyle name="Normální 3 7" xfId="58" xr:uid="{00000000-0005-0000-0000-00003B000000}"/>
    <cellStyle name="Normální 3 8" xfId="59" xr:uid="{00000000-0005-0000-0000-00003C000000}"/>
    <cellStyle name="Normální 3 9" xfId="60" xr:uid="{00000000-0005-0000-0000-00003D000000}"/>
    <cellStyle name="normální 3_Hodiny_" xfId="61" xr:uid="{00000000-0005-0000-0000-00003E000000}"/>
    <cellStyle name="normální 4" xfId="62" xr:uid="{00000000-0005-0000-0000-00003F000000}"/>
    <cellStyle name="normální 4 2" xfId="63" xr:uid="{00000000-0005-0000-0000-000040000000}"/>
    <cellStyle name="normální 4 2 2" xfId="64" xr:uid="{00000000-0005-0000-0000-000041000000}"/>
    <cellStyle name="normální 4 2_Hodiny_" xfId="65" xr:uid="{00000000-0005-0000-0000-000042000000}"/>
    <cellStyle name="normální 4 3" xfId="66" xr:uid="{00000000-0005-0000-0000-000043000000}"/>
    <cellStyle name="normální 4 4" xfId="67" xr:uid="{00000000-0005-0000-0000-000044000000}"/>
    <cellStyle name="normální 4 5" xfId="68" xr:uid="{00000000-0005-0000-0000-000045000000}"/>
    <cellStyle name="normální 4 6" xfId="69" xr:uid="{00000000-0005-0000-0000-000046000000}"/>
    <cellStyle name="normální 4_Hodiny_" xfId="70" xr:uid="{00000000-0005-0000-0000-000047000000}"/>
    <cellStyle name="normální 5" xfId="71" xr:uid="{00000000-0005-0000-0000-000048000000}"/>
    <cellStyle name="normální 6" xfId="72" xr:uid="{00000000-0005-0000-0000-000049000000}"/>
    <cellStyle name="normální 7" xfId="73" xr:uid="{00000000-0005-0000-0000-00004A000000}"/>
    <cellStyle name="Normální 8" xfId="74" xr:uid="{00000000-0005-0000-0000-00004B000000}"/>
    <cellStyle name="Normální 8 2" xfId="75" xr:uid="{00000000-0005-0000-0000-00004C000000}"/>
    <cellStyle name="Normální 9" xfId="76" xr:uid="{00000000-0005-0000-0000-00004D000000}"/>
    <cellStyle name="Normální 9 2" xfId="77" xr:uid="{00000000-0005-0000-0000-00004E000000}"/>
    <cellStyle name="normální_LEK_01" xfId="78" xr:uid="{00000000-0005-0000-0000-00004F000000}"/>
    <cellStyle name="normální_LEK_FNOL" xfId="79" xr:uid="{00000000-0005-0000-0000-000050000000}"/>
    <cellStyle name="normální_LEK_FNOL 2" xfId="80" xr:uid="{00000000-0005-0000-0000-000051000000}"/>
    <cellStyle name="normální_Manažerské tabulky" xfId="81" xr:uid="{00000000-0005-0000-0000-000052000000}"/>
    <cellStyle name="normální_Sestava hospodaření" xfId="82" xr:uid="{00000000-0005-0000-0000-000053000000}"/>
    <cellStyle name="Procenta" xfId="83" builtinId="5"/>
    <cellStyle name="Procenta 10" xfId="84" xr:uid="{00000000-0005-0000-0000-000055000000}"/>
    <cellStyle name="Procenta 11" xfId="85" xr:uid="{00000000-0005-0000-0000-000056000000}"/>
    <cellStyle name="Procenta 2" xfId="86" xr:uid="{00000000-0005-0000-0000-000057000000}"/>
    <cellStyle name="Procenta 2 2" xfId="87" xr:uid="{00000000-0005-0000-0000-000058000000}"/>
    <cellStyle name="Procenta 2 2 2" xfId="88" xr:uid="{00000000-0005-0000-0000-000059000000}"/>
    <cellStyle name="Procenta 2 3" xfId="89" xr:uid="{00000000-0005-0000-0000-00005A000000}"/>
    <cellStyle name="Procenta 3" xfId="90" xr:uid="{00000000-0005-0000-0000-00005B000000}"/>
    <cellStyle name="Procenta 3 2" xfId="91" xr:uid="{00000000-0005-0000-0000-00005C000000}"/>
    <cellStyle name="Procenta 4" xfId="92" xr:uid="{00000000-0005-0000-0000-00005D000000}"/>
    <cellStyle name="Procenta 5" xfId="93" xr:uid="{00000000-0005-0000-0000-00005E000000}"/>
    <cellStyle name="Procenta 6" xfId="94" xr:uid="{00000000-0005-0000-0000-00005F000000}"/>
    <cellStyle name="Procenta 7" xfId="95" xr:uid="{00000000-0005-0000-0000-000060000000}"/>
    <cellStyle name="Procenta 8" xfId="96" xr:uid="{00000000-0005-0000-0000-000061000000}"/>
    <cellStyle name="Procenta 9" xfId="97" xr:uid="{00000000-0005-0000-0000-000062000000}"/>
  </cellStyles>
  <dxfs count="131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lor rgb="FFFF000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lor rgb="FFFF000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</font>
      <border>
        <top style="thin">
          <color auto="1"/>
        </top>
        <vertical/>
        <horizontal/>
      </border>
    </dxf>
    <dxf>
      <font>
        <b/>
        <i val="0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border>
        <top style="thin">
          <color auto="1"/>
        </top>
        <vertical/>
        <horizontal/>
      </border>
    </dxf>
    <dxf>
      <font>
        <b/>
        <i val="0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 xr9:uid="{00000000-0011-0000-FFFF-FFFF00000000}">
      <tableStyleElement type="wholeTable" dxfId="130"/>
      <tableStyleElement type="headerRow" dxfId="129"/>
      <tableStyleElement type="totalRow" dxfId="128"/>
      <tableStyleElement type="firstColumn" dxfId="127"/>
      <tableStyleElement type="lastColumn" dxfId="126"/>
      <tableStyleElement type="firstRowStripe" dxfId="125"/>
      <tableStyleElement type="firstColumnStripe" dxfId="124"/>
    </tableStyle>
    <tableStyle name="TableStyleMedium2 2" pivot="0" count="7" xr9:uid="{00000000-0011-0000-FFFF-FFFF01000000}">
      <tableStyleElement type="wholeTable" dxfId="123"/>
      <tableStyleElement type="headerRow" dxfId="122"/>
      <tableStyleElement type="totalRow" dxfId="121"/>
      <tableStyleElement type="firstColumn" dxfId="120"/>
      <tableStyleElement type="lastColumn" dxfId="119"/>
      <tableStyleElement type="firstRowStripe" dxfId="118"/>
      <tableStyleElement type="firstColumnStripe" dxfId="117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Graf'!$B$4:$F$4</c:f>
              <c:numCache>
                <c:formatCode>General</c:formatCode>
                <c:ptCount val="5"/>
                <c:pt idx="0">
                  <c:v>0.8355976162947496</c:v>
                </c:pt>
                <c:pt idx="1">
                  <c:v>0.86025582366571196</c:v>
                </c:pt>
                <c:pt idx="2">
                  <c:v>0.87493723861651218</c:v>
                </c:pt>
                <c:pt idx="3">
                  <c:v>0.80980755287979922</c:v>
                </c:pt>
                <c:pt idx="4">
                  <c:v>0.82271792952529876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78790560"/>
        <c:axId val="-585227104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585219488"/>
        <c:axId val="-585228192"/>
      </c:scatterChart>
      <c:catAx>
        <c:axId val="-1978790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585227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58522710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1978790560"/>
        <c:crosses val="autoZero"/>
        <c:crossBetween val="between"/>
      </c:valAx>
      <c:valAx>
        <c:axId val="-585219488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585228192"/>
        <c:crosses val="max"/>
        <c:crossBetween val="midCat"/>
      </c:valAx>
      <c:valAx>
        <c:axId val="-58522819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585219488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186982254294491E-3"/>
          <c:y val="5.0152439238661207E-3"/>
          <c:w val="0.98971349332984049"/>
          <c:h val="0.90199495667231877"/>
        </c:manualLayout>
      </c:layout>
      <c:lineChart>
        <c:grouping val="standard"/>
        <c:varyColors val="0"/>
        <c:ser>
          <c:idx val="1"/>
          <c:order val="0"/>
          <c:tx>
            <c:strRef>
              <c:f>ALOS!$E$32</c:f>
              <c:strCache>
                <c:ptCount val="1"/>
                <c:pt idx="0">
                  <c:v>%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ALOS!$A$33:$A$45</c:f>
              <c:strCache>
                <c:ptCount val="13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  <c:pt idx="12">
                  <c:v>1-13</c:v>
                </c:pt>
              </c:strCache>
            </c:strRef>
          </c:cat>
          <c:val>
            <c:numRef>
              <c:f>ALOS!$E$33:$E$37</c:f>
              <c:numCache>
                <c:formatCode>0%</c:formatCode>
                <c:ptCount val="5"/>
                <c:pt idx="0">
                  <c:v>0.84313725490196079</c:v>
                </c:pt>
                <c:pt idx="1">
                  <c:v>0.86655948553054662</c:v>
                </c:pt>
                <c:pt idx="2">
                  <c:v>0.90453074433656955</c:v>
                </c:pt>
                <c:pt idx="3">
                  <c:v>0.92196007259528134</c:v>
                </c:pt>
                <c:pt idx="4">
                  <c:v>0.90434782608695652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1D1-4C90-8F7E-BB3592EC0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85220576"/>
        <c:axId val="-585218944"/>
      </c:lineChart>
      <c:scatterChart>
        <c:scatterStyle val="smoothMarker"/>
        <c:varyColors val="0"/>
        <c:ser>
          <c:idx val="0"/>
          <c:order val="1"/>
          <c:tx>
            <c:strRef>
              <c:f>ALOS!$H$32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ALOS!$G$33:$G$34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ALOS!$H$33:$H$34</c:f>
              <c:numCache>
                <c:formatCode>0%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21D1-4C90-8F7E-BB3592EC0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585218400"/>
        <c:axId val="-585217856"/>
      </c:scatterChart>
      <c:catAx>
        <c:axId val="-5852205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5852189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585218944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extTo"/>
        <c:crossAx val="-585220576"/>
        <c:crosses val="autoZero"/>
        <c:crossBetween val="between"/>
      </c:valAx>
      <c:valAx>
        <c:axId val="-585218400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585217856"/>
        <c:crosses val="max"/>
        <c:crossBetween val="midCat"/>
      </c:valAx>
      <c:valAx>
        <c:axId val="-585217856"/>
        <c:scaling>
          <c:orientation val="minMax"/>
        </c:scaling>
        <c:delete val="1"/>
        <c:axPos val="r"/>
        <c:numFmt formatCode="0%" sourceLinked="1"/>
        <c:majorTickMark val="out"/>
        <c:minorTickMark val="none"/>
        <c:tickLblPos val="nextTo"/>
        <c:crossAx val="-585218400"/>
        <c:crosses val="max"/>
        <c:crossBetween val="midCat"/>
      </c:valAx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>
          <a:extLst>
            <a:ext uri="{FF2B5EF4-FFF2-40B4-BE49-F238E27FC236}">
              <a16:creationId xmlns:a16="http://schemas.microsoft.com/office/drawing/2014/main" id="{00000000-0008-0000-0400-000061280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1333500</xdr:colOff>
      <xdr:row>28</xdr:row>
      <xdr:rowOff>163285</xdr:rowOff>
    </xdr:to>
    <xdr:graphicFrame macro="">
      <xdr:nvGraphicFramePr>
        <xdr:cNvPr id="638038" name="graf 1">
          <a:extLst>
            <a:ext uri="{FF2B5EF4-FFF2-40B4-BE49-F238E27FC236}">
              <a16:creationId xmlns:a16="http://schemas.microsoft.com/office/drawing/2014/main" id="{00000000-0008-0000-2B00-000056BC0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0000000}" name="Tabulka" displayName="Tabulka" ref="A7:S23" totalsRowShown="0" headerRowDxfId="116" tableBorderDxfId="115">
  <autoFilter ref="A7:S23" xr:uid="{00000000-0009-0000-0100-000006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xr3:uid="{00000000-0010-0000-0000-000001000000}" name="kat" dataDxfId="114"/>
    <tableColumn id="2" xr3:uid="{00000000-0010-0000-0000-000002000000}" name="popis" dataDxfId="113"/>
    <tableColumn id="3" xr3:uid="{00000000-0010-0000-0000-000003000000}" name="01 uv_sk" dataDxfId="11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xr3:uid="{00000000-0010-0000-0000-000004000000}" name="02 uv_pla" dataDxfId="11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xr3:uid="{00000000-0010-0000-0000-000005000000}" name="03 uv_pln" dataDxfId="11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xr3:uid="{00000000-0010-0000-0000-000006000000}" name="04 uv_rozd" dataDxfId="10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xr3:uid="{00000000-0010-0000-0000-000007000000}" name="05 h_vram" dataDxfId="10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xr3:uid="{00000000-0010-0000-0000-000008000000}" name="06 h_naduv" dataDxfId="10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xr3:uid="{00000000-0010-0000-0000-000009000000}" name="07 h_nadzk" dataDxfId="10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xr3:uid="{00000000-0010-0000-0000-00000A000000}" name="08 h_oon" dataDxfId="10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xr3:uid="{00000000-0010-0000-0000-00000B000000}" name="09 m_kl" dataDxfId="10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xr3:uid="{00000000-0010-0000-0000-00000C000000}" name="10 m_gr" dataDxfId="10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xr3:uid="{00000000-0010-0000-0000-00000D000000}" name="11 m_jo" dataDxfId="10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xr3:uid="{00000000-0010-0000-0000-00000E000000}" name="12 m_oc" dataDxfId="10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xr3:uid="{00000000-0010-0000-0000-00000F000000}" name="13 m_sk" dataDxfId="10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xr3:uid="{00000000-0010-0000-0000-000011000000}" name="14_vzsk" dataDxfId="9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xr3:uid="{00000000-0010-0000-0000-000012000000}" name="15_vzpl" dataDxfId="9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xr3:uid="{00000000-0010-0000-0000-000013000000}" name="16_vzpln" dataDxfId="97">
      <calculatedColumnFormula>IF(Tabulka[[#This Row],[15_vzpl]]=0,"",Tabulka[[#This Row],[14_vzsk]]/Tabulka[[#This Row],[15_vzpl]])</calculatedColumnFormula>
    </tableColumn>
    <tableColumn id="20" xr3:uid="{00000000-0010-0000-0000-000014000000}" name="17_vzroz" dataDxfId="96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ONData" displayName="ONData" ref="C3:S88" totalsRowShown="0">
  <autoFilter ref="C3:S88" xr:uid="{00000000-0009-0000-0100-000007000000}"/>
  <tableColumns count="17">
    <tableColumn id="1" xr3:uid="{00000000-0010-0000-0100-000001000000}" name="mesic"/>
    <tableColumn id="2" xr3:uid="{00000000-0010-0000-0100-000002000000}" name="kat"/>
    <tableColumn id="3" xr3:uid="{00000000-0010-0000-0100-000003000000}" name="01 uv_sk"/>
    <tableColumn id="4" xr3:uid="{00000000-0010-0000-0100-000004000000}" name="02 uv_pla"/>
    <tableColumn id="5" xr3:uid="{00000000-0010-0000-0100-000005000000}" name="03 uv_pln"/>
    <tableColumn id="6" xr3:uid="{00000000-0010-0000-0100-000006000000}" name="04 uv_rozd"/>
    <tableColumn id="7" xr3:uid="{00000000-0010-0000-0100-000007000000}" name="05 h_vram"/>
    <tableColumn id="8" xr3:uid="{00000000-0010-0000-0100-000008000000}" name="06 h_naduv"/>
    <tableColumn id="9" xr3:uid="{00000000-0010-0000-0100-000009000000}" name="07 h_nadzk"/>
    <tableColumn id="10" xr3:uid="{00000000-0010-0000-0100-00000A000000}" name="08 h_oon"/>
    <tableColumn id="11" xr3:uid="{00000000-0010-0000-0100-00000B000000}" name="09 m_kl"/>
    <tableColumn id="12" xr3:uid="{00000000-0010-0000-0100-00000C000000}" name="10 m_gr"/>
    <tableColumn id="13" xr3:uid="{00000000-0010-0000-0100-00000D000000}" name="11 m_jo"/>
    <tableColumn id="14" xr3:uid="{00000000-0010-0000-0100-00000E000000}" name="12 m_oc"/>
    <tableColumn id="15" xr3:uid="{00000000-0010-0000-0100-00000F000000}" name="13 m_sk"/>
    <tableColumn id="16" xr3:uid="{00000000-0010-0000-0100-000010000000}" name="14_vzsk"/>
    <tableColumn id="17" xr3:uid="{00000000-0010-0000-0100-000011000000}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26">
    <tabColor rgb="FF00B050"/>
    <pageSetUpPr fitToPage="1"/>
  </sheetPr>
  <dimension ref="A1:C37"/>
  <sheetViews>
    <sheetView showGridLines="0" showRowColHeaders="0" tabSelected="1" zoomScaleNormal="100" workbookViewId="0">
      <selection sqref="A1:B1"/>
    </sheetView>
  </sheetViews>
  <sheetFormatPr defaultColWidth="8.85546875" defaultRowHeight="14.45" customHeight="1" x14ac:dyDescent="0.2"/>
  <cols>
    <col min="1" max="1" width="17.85546875" style="247" bestFit="1" customWidth="1"/>
    <col min="2" max="2" width="102.28515625" style="247" bestFit="1" customWidth="1"/>
    <col min="3" max="3" width="16.140625" style="51" hidden="1" customWidth="1"/>
    <col min="4" max="16384" width="8.85546875" style="247"/>
  </cols>
  <sheetData>
    <row r="1" spans="1:3" ht="18.600000000000001" customHeight="1" thickBot="1" x14ac:dyDescent="0.35">
      <c r="A1" s="516" t="s">
        <v>131</v>
      </c>
      <c r="B1" s="516"/>
    </row>
    <row r="2" spans="1:3" ht="14.45" customHeight="1" thickBot="1" x14ac:dyDescent="0.25">
      <c r="A2" s="705" t="s">
        <v>328</v>
      </c>
      <c r="B2" s="50"/>
    </row>
    <row r="3" spans="1:3" ht="14.45" customHeight="1" thickBot="1" x14ac:dyDescent="0.25">
      <c r="A3" s="512" t="s">
        <v>181</v>
      </c>
      <c r="B3" s="513"/>
    </row>
    <row r="4" spans="1:3" ht="14.45" customHeight="1" x14ac:dyDescent="0.2">
      <c r="A4" s="264" t="str">
        <f t="shared" ref="A4:A8" si="0">HYPERLINK("#'"&amp;C4&amp;"'!A1",C4)</f>
        <v>Motivace</v>
      </c>
      <c r="B4" s="178" t="s">
        <v>150</v>
      </c>
      <c r="C4" s="51" t="s">
        <v>151</v>
      </c>
    </row>
    <row r="5" spans="1:3" ht="14.45" customHeight="1" x14ac:dyDescent="0.2">
      <c r="A5" s="265" t="str">
        <f t="shared" si="0"/>
        <v>HI</v>
      </c>
      <c r="B5" s="179" t="s">
        <v>174</v>
      </c>
      <c r="C5" s="51" t="s">
        <v>135</v>
      </c>
    </row>
    <row r="6" spans="1:3" ht="14.45" customHeight="1" x14ac:dyDescent="0.2">
      <c r="A6" s="266" t="str">
        <f t="shared" si="0"/>
        <v>HI Graf</v>
      </c>
      <c r="B6" s="180" t="s">
        <v>127</v>
      </c>
      <c r="C6" s="51" t="s">
        <v>136</v>
      </c>
    </row>
    <row r="7" spans="1:3" ht="14.45" customHeight="1" x14ac:dyDescent="0.2">
      <c r="A7" s="266" t="str">
        <f t="shared" si="0"/>
        <v>Man Tab</v>
      </c>
      <c r="B7" s="180" t="s">
        <v>330</v>
      </c>
      <c r="C7" s="51" t="s">
        <v>137</v>
      </c>
    </row>
    <row r="8" spans="1:3" ht="14.45" customHeight="1" thickBot="1" x14ac:dyDescent="0.25">
      <c r="A8" s="267" t="str">
        <f t="shared" si="0"/>
        <v>HV</v>
      </c>
      <c r="B8" s="181" t="s">
        <v>61</v>
      </c>
      <c r="C8" s="51" t="s">
        <v>66</v>
      </c>
    </row>
    <row r="9" spans="1:3" ht="14.45" customHeight="1" thickBot="1" x14ac:dyDescent="0.25">
      <c r="A9" s="182"/>
      <c r="B9" s="182"/>
    </row>
    <row r="10" spans="1:3" ht="14.45" customHeight="1" thickBot="1" x14ac:dyDescent="0.25">
      <c r="A10" s="514" t="s">
        <v>132</v>
      </c>
      <c r="B10" s="513"/>
    </row>
    <row r="11" spans="1:3" ht="14.45" customHeight="1" x14ac:dyDescent="0.2">
      <c r="A11" s="268" t="str">
        <f t="shared" ref="A11" si="1">HYPERLINK("#'"&amp;C11&amp;"'!A1",C11)</f>
        <v>Léky Žádanky</v>
      </c>
      <c r="B11" s="179" t="s">
        <v>175</v>
      </c>
      <c r="C11" s="51" t="s">
        <v>138</v>
      </c>
    </row>
    <row r="12" spans="1:3" ht="14.45" customHeight="1" x14ac:dyDescent="0.2">
      <c r="A12" s="266" t="str">
        <f t="shared" ref="A12:A23" si="2">HYPERLINK("#'"&amp;C12&amp;"'!A1",C12)</f>
        <v>LŽ Detail</v>
      </c>
      <c r="B12" s="180" t="s">
        <v>204</v>
      </c>
      <c r="C12" s="51" t="s">
        <v>139</v>
      </c>
    </row>
    <row r="13" spans="1:3" ht="28.9" customHeight="1" x14ac:dyDescent="0.2">
      <c r="A13" s="266" t="str">
        <f t="shared" si="2"/>
        <v>LŽ PL</v>
      </c>
      <c r="B13" s="761" t="s">
        <v>205</v>
      </c>
      <c r="C13" s="51" t="s">
        <v>185</v>
      </c>
    </row>
    <row r="14" spans="1:3" ht="14.45" customHeight="1" x14ac:dyDescent="0.2">
      <c r="A14" s="266" t="str">
        <f t="shared" si="2"/>
        <v>LŽ PL Detail</v>
      </c>
      <c r="B14" s="180" t="s">
        <v>1884</v>
      </c>
      <c r="C14" s="51" t="s">
        <v>187</v>
      </c>
    </row>
    <row r="15" spans="1:3" ht="14.45" customHeight="1" x14ac:dyDescent="0.2">
      <c r="A15" s="266" t="str">
        <f t="shared" si="2"/>
        <v>LŽ Statim</v>
      </c>
      <c r="B15" s="398" t="s">
        <v>241</v>
      </c>
      <c r="C15" s="51" t="s">
        <v>251</v>
      </c>
    </row>
    <row r="16" spans="1:3" ht="14.45" customHeight="1" x14ac:dyDescent="0.2">
      <c r="A16" s="266" t="str">
        <f t="shared" si="2"/>
        <v>Léky Recepty</v>
      </c>
      <c r="B16" s="180" t="s">
        <v>176</v>
      </c>
      <c r="C16" s="51" t="s">
        <v>140</v>
      </c>
    </row>
    <row r="17" spans="1:3" ht="14.45" customHeight="1" x14ac:dyDescent="0.2">
      <c r="A17" s="266" t="str">
        <f t="shared" si="2"/>
        <v>LRp Lékaři</v>
      </c>
      <c r="B17" s="180" t="s">
        <v>190</v>
      </c>
      <c r="C17" s="51" t="s">
        <v>191</v>
      </c>
    </row>
    <row r="18" spans="1:3" ht="14.45" customHeight="1" x14ac:dyDescent="0.2">
      <c r="A18" s="266" t="str">
        <f t="shared" si="2"/>
        <v>LRp Detail</v>
      </c>
      <c r="B18" s="180" t="s">
        <v>2978</v>
      </c>
      <c r="C18" s="51" t="s">
        <v>141</v>
      </c>
    </row>
    <row r="19" spans="1:3" ht="28.9" customHeight="1" x14ac:dyDescent="0.2">
      <c r="A19" s="266" t="str">
        <f t="shared" si="2"/>
        <v>LRp PL</v>
      </c>
      <c r="B19" s="761" t="s">
        <v>2979</v>
      </c>
      <c r="C19" s="51" t="s">
        <v>186</v>
      </c>
    </row>
    <row r="20" spans="1:3" ht="14.45" customHeight="1" x14ac:dyDescent="0.2">
      <c r="A20" s="266" t="str">
        <f>HYPERLINK("#'"&amp;C20&amp;"'!A1",C20)</f>
        <v>LRp PL Detail</v>
      </c>
      <c r="B20" s="180" t="s">
        <v>3042</v>
      </c>
      <c r="C20" s="51" t="s">
        <v>188</v>
      </c>
    </row>
    <row r="21" spans="1:3" ht="14.45" customHeight="1" x14ac:dyDescent="0.2">
      <c r="A21" s="268" t="str">
        <f t="shared" ref="A21" si="3">HYPERLINK("#'"&amp;C21&amp;"'!A1",C21)</f>
        <v>Materiál Žádanky</v>
      </c>
      <c r="B21" s="180" t="s">
        <v>177</v>
      </c>
      <c r="C21" s="51" t="s">
        <v>142</v>
      </c>
    </row>
    <row r="22" spans="1:3" ht="14.45" customHeight="1" x14ac:dyDescent="0.2">
      <c r="A22" s="266" t="str">
        <f t="shared" si="2"/>
        <v>MŽ Detail</v>
      </c>
      <c r="B22" s="180" t="s">
        <v>5317</v>
      </c>
      <c r="C22" s="51" t="s">
        <v>143</v>
      </c>
    </row>
    <row r="23" spans="1:3" ht="14.45" customHeight="1" thickBot="1" x14ac:dyDescent="0.25">
      <c r="A23" s="268" t="str">
        <f t="shared" si="2"/>
        <v>Osobní náklady</v>
      </c>
      <c r="B23" s="180" t="s">
        <v>129</v>
      </c>
      <c r="C23" s="51" t="s">
        <v>144</v>
      </c>
    </row>
    <row r="24" spans="1:3" ht="14.45" customHeight="1" thickBot="1" x14ac:dyDescent="0.25">
      <c r="A24" s="183"/>
      <c r="B24" s="183"/>
    </row>
    <row r="25" spans="1:3" ht="14.45" customHeight="1" thickBot="1" x14ac:dyDescent="0.25">
      <c r="A25" s="515" t="s">
        <v>133</v>
      </c>
      <c r="B25" s="513"/>
    </row>
    <row r="26" spans="1:3" ht="14.45" customHeight="1" x14ac:dyDescent="0.2">
      <c r="A26" s="269" t="str">
        <f t="shared" ref="A26:A37" si="4">HYPERLINK("#'"&amp;C26&amp;"'!A1",C26)</f>
        <v>ZV Vykáz.-A</v>
      </c>
      <c r="B26" s="179" t="s">
        <v>5343</v>
      </c>
      <c r="C26" s="51" t="s">
        <v>152</v>
      </c>
    </row>
    <row r="27" spans="1:3" ht="14.45" customHeight="1" x14ac:dyDescent="0.2">
      <c r="A27" s="266" t="str">
        <f t="shared" ref="A27" si="5">HYPERLINK("#'"&amp;C27&amp;"'!A1",C27)</f>
        <v>ZV Vykáz.-A Lékaři</v>
      </c>
      <c r="B27" s="180" t="s">
        <v>5352</v>
      </c>
      <c r="C27" s="51" t="s">
        <v>254</v>
      </c>
    </row>
    <row r="28" spans="1:3" ht="14.45" customHeight="1" x14ac:dyDescent="0.2">
      <c r="A28" s="266" t="str">
        <f t="shared" si="4"/>
        <v>ZV Vykáz.-A Detail</v>
      </c>
      <c r="B28" s="180" t="s">
        <v>5433</v>
      </c>
      <c r="C28" s="51" t="s">
        <v>153</v>
      </c>
    </row>
    <row r="29" spans="1:3" ht="14.45" customHeight="1" x14ac:dyDescent="0.25">
      <c r="A29" s="432" t="str">
        <f>HYPERLINK("#'"&amp;C29&amp;"'!A1",C29)</f>
        <v>ZV Vykáz.-A Det.Lék.</v>
      </c>
      <c r="B29" s="180" t="s">
        <v>5434</v>
      </c>
      <c r="C29" s="51" t="s">
        <v>261</v>
      </c>
    </row>
    <row r="30" spans="1:3" ht="14.45" customHeight="1" x14ac:dyDescent="0.2">
      <c r="A30" s="266" t="str">
        <f t="shared" si="4"/>
        <v>ZV Vykáz.-H</v>
      </c>
      <c r="B30" s="180" t="s">
        <v>156</v>
      </c>
      <c r="C30" s="51" t="s">
        <v>154</v>
      </c>
    </row>
    <row r="31" spans="1:3" ht="14.45" customHeight="1" x14ac:dyDescent="0.2">
      <c r="A31" s="266" t="str">
        <f t="shared" si="4"/>
        <v>ZV Vykáz.-H Detail</v>
      </c>
      <c r="B31" s="180" t="s">
        <v>6145</v>
      </c>
      <c r="C31" s="51" t="s">
        <v>155</v>
      </c>
    </row>
    <row r="32" spans="1:3" ht="14.45" customHeight="1" x14ac:dyDescent="0.2">
      <c r="A32" s="269" t="str">
        <f t="shared" si="4"/>
        <v>CaseMix</v>
      </c>
      <c r="B32" s="180" t="s">
        <v>134</v>
      </c>
      <c r="C32" s="51" t="s">
        <v>145</v>
      </c>
    </row>
    <row r="33" spans="1:3" ht="14.45" customHeight="1" x14ac:dyDescent="0.2">
      <c r="A33" s="266" t="str">
        <f t="shared" si="4"/>
        <v>ALOS</v>
      </c>
      <c r="B33" s="180" t="s">
        <v>114</v>
      </c>
      <c r="C33" s="51" t="s">
        <v>85</v>
      </c>
    </row>
    <row r="34" spans="1:3" ht="14.45" customHeight="1" x14ac:dyDescent="0.2">
      <c r="A34" s="266" t="str">
        <f t="shared" si="4"/>
        <v>Total</v>
      </c>
      <c r="B34" s="180" t="s">
        <v>6279</v>
      </c>
      <c r="C34" s="51" t="s">
        <v>146</v>
      </c>
    </row>
    <row r="35" spans="1:3" ht="14.45" customHeight="1" x14ac:dyDescent="0.2">
      <c r="A35" s="266" t="str">
        <f t="shared" si="4"/>
        <v>ZV Vyžád.</v>
      </c>
      <c r="B35" s="180" t="s">
        <v>157</v>
      </c>
      <c r="C35" s="51" t="s">
        <v>149</v>
      </c>
    </row>
    <row r="36" spans="1:3" ht="14.45" customHeight="1" x14ac:dyDescent="0.2">
      <c r="A36" s="266" t="str">
        <f t="shared" si="4"/>
        <v>ZV Vyžád. Detail</v>
      </c>
      <c r="B36" s="180" t="s">
        <v>6845</v>
      </c>
      <c r="C36" s="51" t="s">
        <v>148</v>
      </c>
    </row>
    <row r="37" spans="1:3" ht="14.45" customHeight="1" x14ac:dyDescent="0.2">
      <c r="A37" s="266" t="str">
        <f t="shared" si="4"/>
        <v>OD TISS</v>
      </c>
      <c r="B37" s="180" t="s">
        <v>180</v>
      </c>
      <c r="C37" s="51" t="s">
        <v>147</v>
      </c>
    </row>
  </sheetData>
  <mergeCells count="4">
    <mergeCell ref="A3:B3"/>
    <mergeCell ref="A10:B10"/>
    <mergeCell ref="A25:B25"/>
    <mergeCell ref="A1:B1"/>
  </mergeCells>
  <hyperlinks>
    <hyperlink ref="A2" location="Obsah!A1" display="Zpět na Obsah  KL 01  1.-4.měsíc" xr:uid="{F027C854-145A-48D5-BA84-E6848875D1F9}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List27">
    <tabColor theme="0" tint="-0.249977111117893"/>
    <pageSetUpPr fitToPage="1"/>
  </sheetPr>
  <dimension ref="A1:M202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ColWidth="8.85546875" defaultRowHeight="14.45" customHeight="1" x14ac:dyDescent="0.2"/>
  <cols>
    <col min="1" max="1" width="5.7109375" style="247" bestFit="1" customWidth="1"/>
    <col min="2" max="2" width="8.85546875" style="247" bestFit="1" customWidth="1"/>
    <col min="3" max="3" width="7" style="247" bestFit="1" customWidth="1"/>
    <col min="4" max="4" width="53.42578125" style="247" bestFit="1" customWidth="1"/>
    <col min="5" max="5" width="28.42578125" style="247" bestFit="1" customWidth="1"/>
    <col min="6" max="6" width="6.7109375" style="329" customWidth="1"/>
    <col min="7" max="7" width="10" style="329" customWidth="1"/>
    <col min="8" max="8" width="6.7109375" style="332" bestFit="1" customWidth="1"/>
    <col min="9" max="9" width="6.7109375" style="329" customWidth="1"/>
    <col min="10" max="10" width="10.85546875" style="329" customWidth="1"/>
    <col min="11" max="11" width="6.7109375" style="332" bestFit="1" customWidth="1"/>
    <col min="12" max="12" width="6.7109375" style="329" customWidth="1"/>
    <col min="13" max="13" width="10.85546875" style="329" customWidth="1"/>
    <col min="14" max="16384" width="8.85546875" style="247"/>
  </cols>
  <sheetData>
    <row r="1" spans="1:13" ht="18.600000000000001" customHeight="1" thickBot="1" x14ac:dyDescent="0.35">
      <c r="A1" s="555" t="s">
        <v>1884</v>
      </c>
      <c r="B1" s="555"/>
      <c r="C1" s="555"/>
      <c r="D1" s="555"/>
      <c r="E1" s="555"/>
      <c r="F1" s="555"/>
      <c r="G1" s="555"/>
      <c r="H1" s="555"/>
      <c r="I1" s="555"/>
      <c r="J1" s="555"/>
      <c r="K1" s="555"/>
      <c r="L1" s="516"/>
      <c r="M1" s="516"/>
    </row>
    <row r="2" spans="1:13" ht="14.45" customHeight="1" thickBot="1" x14ac:dyDescent="0.25">
      <c r="A2" s="705" t="s">
        <v>328</v>
      </c>
      <c r="B2" s="328"/>
      <c r="C2" s="328"/>
      <c r="D2" s="328"/>
      <c r="E2" s="328"/>
      <c r="F2" s="336"/>
      <c r="G2" s="336"/>
      <c r="H2" s="337"/>
      <c r="I2" s="336"/>
      <c r="J2" s="336"/>
      <c r="K2" s="337"/>
      <c r="L2" s="336"/>
    </row>
    <row r="3" spans="1:13" ht="14.45" customHeight="1" thickBot="1" x14ac:dyDescent="0.25">
      <c r="E3" s="104" t="s">
        <v>158</v>
      </c>
      <c r="F3" s="47">
        <f>SUBTOTAL(9,F6:F1048576)</f>
        <v>286</v>
      </c>
      <c r="G3" s="47">
        <f>SUBTOTAL(9,G6:G1048576)</f>
        <v>45204.72</v>
      </c>
      <c r="H3" s="48">
        <f>IF(M3=0,0,G3/M3)</f>
        <v>8.8793101506213695E-2</v>
      </c>
      <c r="I3" s="47">
        <f>SUBTOTAL(9,I6:I1048576)</f>
        <v>2411.0700000000002</v>
      </c>
      <c r="J3" s="47">
        <f>SUBTOTAL(9,J6:J1048576)</f>
        <v>463896.99210582825</v>
      </c>
      <c r="K3" s="48">
        <f>IF(M3=0,0,J3/M3)</f>
        <v>0.911206898493786</v>
      </c>
      <c r="L3" s="47">
        <f>SUBTOTAL(9,L6:L1048576)</f>
        <v>2697.07</v>
      </c>
      <c r="M3" s="49">
        <f>SUBTOTAL(9,M6:M1048576)</f>
        <v>509101.7121058284</v>
      </c>
    </row>
    <row r="4" spans="1:13" ht="14.45" customHeight="1" thickBot="1" x14ac:dyDescent="0.25">
      <c r="A4" s="45"/>
      <c r="B4" s="45"/>
      <c r="C4" s="45"/>
      <c r="D4" s="45"/>
      <c r="E4" s="46"/>
      <c r="F4" s="559" t="s">
        <v>160</v>
      </c>
      <c r="G4" s="560"/>
      <c r="H4" s="561"/>
      <c r="I4" s="562" t="s">
        <v>159</v>
      </c>
      <c r="J4" s="560"/>
      <c r="K4" s="561"/>
      <c r="L4" s="563" t="s">
        <v>3</v>
      </c>
      <c r="M4" s="564"/>
    </row>
    <row r="5" spans="1:13" ht="14.45" customHeight="1" thickBot="1" x14ac:dyDescent="0.25">
      <c r="A5" s="744" t="s">
        <v>161</v>
      </c>
      <c r="B5" s="762" t="s">
        <v>162</v>
      </c>
      <c r="C5" s="762" t="s">
        <v>89</v>
      </c>
      <c r="D5" s="762" t="s">
        <v>163</v>
      </c>
      <c r="E5" s="762" t="s">
        <v>164</v>
      </c>
      <c r="F5" s="763" t="s">
        <v>28</v>
      </c>
      <c r="G5" s="763" t="s">
        <v>14</v>
      </c>
      <c r="H5" s="746" t="s">
        <v>165</v>
      </c>
      <c r="I5" s="745" t="s">
        <v>28</v>
      </c>
      <c r="J5" s="763" t="s">
        <v>14</v>
      </c>
      <c r="K5" s="746" t="s">
        <v>165</v>
      </c>
      <c r="L5" s="745" t="s">
        <v>28</v>
      </c>
      <c r="M5" s="764" t="s">
        <v>14</v>
      </c>
    </row>
    <row r="6" spans="1:13" ht="14.45" customHeight="1" x14ac:dyDescent="0.2">
      <c r="A6" s="723" t="s">
        <v>589</v>
      </c>
      <c r="B6" s="724" t="s">
        <v>1521</v>
      </c>
      <c r="C6" s="724" t="s">
        <v>1522</v>
      </c>
      <c r="D6" s="724" t="s">
        <v>706</v>
      </c>
      <c r="E6" s="724" t="s">
        <v>1523</v>
      </c>
      <c r="F6" s="728"/>
      <c r="G6" s="728"/>
      <c r="H6" s="748">
        <v>0</v>
      </c>
      <c r="I6" s="728">
        <v>12</v>
      </c>
      <c r="J6" s="728">
        <v>515.17000000000007</v>
      </c>
      <c r="K6" s="748">
        <v>1</v>
      </c>
      <c r="L6" s="728">
        <v>12</v>
      </c>
      <c r="M6" s="729">
        <v>515.17000000000007</v>
      </c>
    </row>
    <row r="7" spans="1:13" ht="14.45" customHeight="1" x14ac:dyDescent="0.2">
      <c r="A7" s="730" t="s">
        <v>589</v>
      </c>
      <c r="B7" s="731" t="s">
        <v>1524</v>
      </c>
      <c r="C7" s="731" t="s">
        <v>1525</v>
      </c>
      <c r="D7" s="731" t="s">
        <v>875</v>
      </c>
      <c r="E7" s="731" t="s">
        <v>1526</v>
      </c>
      <c r="F7" s="735"/>
      <c r="G7" s="735"/>
      <c r="H7" s="749">
        <v>0</v>
      </c>
      <c r="I7" s="735">
        <v>1</v>
      </c>
      <c r="J7" s="735">
        <v>122.10999999999999</v>
      </c>
      <c r="K7" s="749">
        <v>1</v>
      </c>
      <c r="L7" s="735">
        <v>1</v>
      </c>
      <c r="M7" s="736">
        <v>122.10999999999999</v>
      </c>
    </row>
    <row r="8" spans="1:13" ht="14.45" customHeight="1" x14ac:dyDescent="0.2">
      <c r="A8" s="730" t="s">
        <v>589</v>
      </c>
      <c r="B8" s="731" t="s">
        <v>1527</v>
      </c>
      <c r="C8" s="731" t="s">
        <v>1528</v>
      </c>
      <c r="D8" s="731" t="s">
        <v>1529</v>
      </c>
      <c r="E8" s="731" t="s">
        <v>1530</v>
      </c>
      <c r="F8" s="735"/>
      <c r="G8" s="735"/>
      <c r="H8" s="749">
        <v>0</v>
      </c>
      <c r="I8" s="735">
        <v>2</v>
      </c>
      <c r="J8" s="735">
        <v>819.18000000000018</v>
      </c>
      <c r="K8" s="749">
        <v>1</v>
      </c>
      <c r="L8" s="735">
        <v>2</v>
      </c>
      <c r="M8" s="736">
        <v>819.18000000000018</v>
      </c>
    </row>
    <row r="9" spans="1:13" ht="14.45" customHeight="1" x14ac:dyDescent="0.2">
      <c r="A9" s="730" t="s">
        <v>589</v>
      </c>
      <c r="B9" s="731" t="s">
        <v>1531</v>
      </c>
      <c r="C9" s="731" t="s">
        <v>1532</v>
      </c>
      <c r="D9" s="731" t="s">
        <v>1533</v>
      </c>
      <c r="E9" s="731" t="s">
        <v>1534</v>
      </c>
      <c r="F9" s="735"/>
      <c r="G9" s="735"/>
      <c r="H9" s="749">
        <v>0</v>
      </c>
      <c r="I9" s="735">
        <v>5</v>
      </c>
      <c r="J9" s="735">
        <v>351.94999999999993</v>
      </c>
      <c r="K9" s="749">
        <v>1</v>
      </c>
      <c r="L9" s="735">
        <v>5</v>
      </c>
      <c r="M9" s="736">
        <v>351.94999999999993</v>
      </c>
    </row>
    <row r="10" spans="1:13" ht="14.45" customHeight="1" x14ac:dyDescent="0.2">
      <c r="A10" s="730" t="s">
        <v>589</v>
      </c>
      <c r="B10" s="731" t="s">
        <v>1531</v>
      </c>
      <c r="C10" s="731" t="s">
        <v>1535</v>
      </c>
      <c r="D10" s="731" t="s">
        <v>1533</v>
      </c>
      <c r="E10" s="731" t="s">
        <v>990</v>
      </c>
      <c r="F10" s="735"/>
      <c r="G10" s="735"/>
      <c r="H10" s="749">
        <v>0</v>
      </c>
      <c r="I10" s="735">
        <v>2</v>
      </c>
      <c r="J10" s="735">
        <v>194.62</v>
      </c>
      <c r="K10" s="749">
        <v>1</v>
      </c>
      <c r="L10" s="735">
        <v>2</v>
      </c>
      <c r="M10" s="736">
        <v>194.62</v>
      </c>
    </row>
    <row r="11" spans="1:13" ht="14.45" customHeight="1" x14ac:dyDescent="0.2">
      <c r="A11" s="730" t="s">
        <v>589</v>
      </c>
      <c r="B11" s="731" t="s">
        <v>1531</v>
      </c>
      <c r="C11" s="731" t="s">
        <v>1536</v>
      </c>
      <c r="D11" s="731" t="s">
        <v>1533</v>
      </c>
      <c r="E11" s="731" t="s">
        <v>1537</v>
      </c>
      <c r="F11" s="735"/>
      <c r="G11" s="735"/>
      <c r="H11" s="749">
        <v>0</v>
      </c>
      <c r="I11" s="735">
        <v>1</v>
      </c>
      <c r="J11" s="735">
        <v>48.93</v>
      </c>
      <c r="K11" s="749">
        <v>1</v>
      </c>
      <c r="L11" s="735">
        <v>1</v>
      </c>
      <c r="M11" s="736">
        <v>48.93</v>
      </c>
    </row>
    <row r="12" spans="1:13" ht="14.45" customHeight="1" x14ac:dyDescent="0.2">
      <c r="A12" s="730" t="s">
        <v>589</v>
      </c>
      <c r="B12" s="731" t="s">
        <v>1531</v>
      </c>
      <c r="C12" s="731" t="s">
        <v>1538</v>
      </c>
      <c r="D12" s="731" t="s">
        <v>1533</v>
      </c>
      <c r="E12" s="731" t="s">
        <v>1539</v>
      </c>
      <c r="F12" s="735"/>
      <c r="G12" s="735"/>
      <c r="H12" s="749">
        <v>0</v>
      </c>
      <c r="I12" s="735">
        <v>3</v>
      </c>
      <c r="J12" s="735">
        <v>242.96999999999997</v>
      </c>
      <c r="K12" s="749">
        <v>1</v>
      </c>
      <c r="L12" s="735">
        <v>3</v>
      </c>
      <c r="M12" s="736">
        <v>242.96999999999997</v>
      </c>
    </row>
    <row r="13" spans="1:13" ht="14.45" customHeight="1" x14ac:dyDescent="0.2">
      <c r="A13" s="730" t="s">
        <v>589</v>
      </c>
      <c r="B13" s="731" t="s">
        <v>1540</v>
      </c>
      <c r="C13" s="731" t="s">
        <v>1541</v>
      </c>
      <c r="D13" s="731" t="s">
        <v>1542</v>
      </c>
      <c r="E13" s="731" t="s">
        <v>1543</v>
      </c>
      <c r="F13" s="735"/>
      <c r="G13" s="735"/>
      <c r="H13" s="749">
        <v>0</v>
      </c>
      <c r="I13" s="735">
        <v>2</v>
      </c>
      <c r="J13" s="735">
        <v>30.979999999999993</v>
      </c>
      <c r="K13" s="749">
        <v>1</v>
      </c>
      <c r="L13" s="735">
        <v>2</v>
      </c>
      <c r="M13" s="736">
        <v>30.979999999999993</v>
      </c>
    </row>
    <row r="14" spans="1:13" ht="14.45" customHeight="1" x14ac:dyDescent="0.2">
      <c r="A14" s="730" t="s">
        <v>589</v>
      </c>
      <c r="B14" s="731" t="s">
        <v>1540</v>
      </c>
      <c r="C14" s="731" t="s">
        <v>1544</v>
      </c>
      <c r="D14" s="731" t="s">
        <v>1542</v>
      </c>
      <c r="E14" s="731" t="s">
        <v>894</v>
      </c>
      <c r="F14" s="735"/>
      <c r="G14" s="735"/>
      <c r="H14" s="749">
        <v>0</v>
      </c>
      <c r="I14" s="735">
        <v>2</v>
      </c>
      <c r="J14" s="735">
        <v>46.439999999999991</v>
      </c>
      <c r="K14" s="749">
        <v>1</v>
      </c>
      <c r="L14" s="735">
        <v>2</v>
      </c>
      <c r="M14" s="736">
        <v>46.439999999999991</v>
      </c>
    </row>
    <row r="15" spans="1:13" ht="14.45" customHeight="1" x14ac:dyDescent="0.2">
      <c r="A15" s="730" t="s">
        <v>589</v>
      </c>
      <c r="B15" s="731" t="s">
        <v>1545</v>
      </c>
      <c r="C15" s="731" t="s">
        <v>1546</v>
      </c>
      <c r="D15" s="731" t="s">
        <v>1547</v>
      </c>
      <c r="E15" s="731" t="s">
        <v>1548</v>
      </c>
      <c r="F15" s="735"/>
      <c r="G15" s="735"/>
      <c r="H15" s="749">
        <v>0</v>
      </c>
      <c r="I15" s="735">
        <v>3</v>
      </c>
      <c r="J15" s="735">
        <v>221.21999999999997</v>
      </c>
      <c r="K15" s="749">
        <v>1</v>
      </c>
      <c r="L15" s="735">
        <v>3</v>
      </c>
      <c r="M15" s="736">
        <v>221.21999999999997</v>
      </c>
    </row>
    <row r="16" spans="1:13" ht="14.45" customHeight="1" x14ac:dyDescent="0.2">
      <c r="A16" s="730" t="s">
        <v>589</v>
      </c>
      <c r="B16" s="731" t="s">
        <v>1545</v>
      </c>
      <c r="C16" s="731" t="s">
        <v>1549</v>
      </c>
      <c r="D16" s="731" t="s">
        <v>1547</v>
      </c>
      <c r="E16" s="731" t="s">
        <v>1550</v>
      </c>
      <c r="F16" s="735"/>
      <c r="G16" s="735"/>
      <c r="H16" s="749">
        <v>0</v>
      </c>
      <c r="I16" s="735">
        <v>1</v>
      </c>
      <c r="J16" s="735">
        <v>137.37</v>
      </c>
      <c r="K16" s="749">
        <v>1</v>
      </c>
      <c r="L16" s="735">
        <v>1</v>
      </c>
      <c r="M16" s="736">
        <v>137.37</v>
      </c>
    </row>
    <row r="17" spans="1:13" ht="14.45" customHeight="1" x14ac:dyDescent="0.2">
      <c r="A17" s="730" t="s">
        <v>589</v>
      </c>
      <c r="B17" s="731" t="s">
        <v>1551</v>
      </c>
      <c r="C17" s="731" t="s">
        <v>1552</v>
      </c>
      <c r="D17" s="731" t="s">
        <v>809</v>
      </c>
      <c r="E17" s="731" t="s">
        <v>1553</v>
      </c>
      <c r="F17" s="735"/>
      <c r="G17" s="735"/>
      <c r="H17" s="749">
        <v>0</v>
      </c>
      <c r="I17" s="735">
        <v>9</v>
      </c>
      <c r="J17" s="735">
        <v>9956.34</v>
      </c>
      <c r="K17" s="749">
        <v>1</v>
      </c>
      <c r="L17" s="735">
        <v>9</v>
      </c>
      <c r="M17" s="736">
        <v>9956.34</v>
      </c>
    </row>
    <row r="18" spans="1:13" ht="14.45" customHeight="1" x14ac:dyDescent="0.2">
      <c r="A18" s="730" t="s">
        <v>589</v>
      </c>
      <c r="B18" s="731" t="s">
        <v>1551</v>
      </c>
      <c r="C18" s="731" t="s">
        <v>1554</v>
      </c>
      <c r="D18" s="731" t="s">
        <v>809</v>
      </c>
      <c r="E18" s="731" t="s">
        <v>1555</v>
      </c>
      <c r="F18" s="735"/>
      <c r="G18" s="735"/>
      <c r="H18" s="749">
        <v>0</v>
      </c>
      <c r="I18" s="735">
        <v>2</v>
      </c>
      <c r="J18" s="735">
        <v>3002.04</v>
      </c>
      <c r="K18" s="749">
        <v>1</v>
      </c>
      <c r="L18" s="735">
        <v>2</v>
      </c>
      <c r="M18" s="736">
        <v>3002.04</v>
      </c>
    </row>
    <row r="19" spans="1:13" ht="14.45" customHeight="1" x14ac:dyDescent="0.2">
      <c r="A19" s="730" t="s">
        <v>589</v>
      </c>
      <c r="B19" s="731" t="s">
        <v>1551</v>
      </c>
      <c r="C19" s="731" t="s">
        <v>1556</v>
      </c>
      <c r="D19" s="731" t="s">
        <v>803</v>
      </c>
      <c r="E19" s="731" t="s">
        <v>1557</v>
      </c>
      <c r="F19" s="735"/>
      <c r="G19" s="735"/>
      <c r="H19" s="749">
        <v>0</v>
      </c>
      <c r="I19" s="735">
        <v>23</v>
      </c>
      <c r="J19" s="735">
        <v>16587.600000000002</v>
      </c>
      <c r="K19" s="749">
        <v>1</v>
      </c>
      <c r="L19" s="735">
        <v>23</v>
      </c>
      <c r="M19" s="736">
        <v>16587.600000000002</v>
      </c>
    </row>
    <row r="20" spans="1:13" ht="14.45" customHeight="1" x14ac:dyDescent="0.2">
      <c r="A20" s="730" t="s">
        <v>589</v>
      </c>
      <c r="B20" s="731" t="s">
        <v>1551</v>
      </c>
      <c r="C20" s="731" t="s">
        <v>1558</v>
      </c>
      <c r="D20" s="731" t="s">
        <v>803</v>
      </c>
      <c r="E20" s="731" t="s">
        <v>1559</v>
      </c>
      <c r="F20" s="735"/>
      <c r="G20" s="735"/>
      <c r="H20" s="749">
        <v>0</v>
      </c>
      <c r="I20" s="735">
        <v>49</v>
      </c>
      <c r="J20" s="735">
        <v>13320.650000000001</v>
      </c>
      <c r="K20" s="749">
        <v>1</v>
      </c>
      <c r="L20" s="735">
        <v>49</v>
      </c>
      <c r="M20" s="736">
        <v>13320.650000000001</v>
      </c>
    </row>
    <row r="21" spans="1:13" ht="14.45" customHeight="1" x14ac:dyDescent="0.2">
      <c r="A21" s="730" t="s">
        <v>589</v>
      </c>
      <c r="B21" s="731" t="s">
        <v>1551</v>
      </c>
      <c r="C21" s="731" t="s">
        <v>1560</v>
      </c>
      <c r="D21" s="731" t="s">
        <v>803</v>
      </c>
      <c r="E21" s="731" t="s">
        <v>1561</v>
      </c>
      <c r="F21" s="735"/>
      <c r="G21" s="735"/>
      <c r="H21" s="749">
        <v>0</v>
      </c>
      <c r="I21" s="735">
        <v>46</v>
      </c>
      <c r="J21" s="735">
        <v>29010.359999999997</v>
      </c>
      <c r="K21" s="749">
        <v>1</v>
      </c>
      <c r="L21" s="735">
        <v>46</v>
      </c>
      <c r="M21" s="736">
        <v>29010.359999999997</v>
      </c>
    </row>
    <row r="22" spans="1:13" ht="14.45" customHeight="1" x14ac:dyDescent="0.2">
      <c r="A22" s="730" t="s">
        <v>589</v>
      </c>
      <c r="B22" s="731" t="s">
        <v>1551</v>
      </c>
      <c r="C22" s="731" t="s">
        <v>1562</v>
      </c>
      <c r="D22" s="731" t="s">
        <v>803</v>
      </c>
      <c r="E22" s="731" t="s">
        <v>1563</v>
      </c>
      <c r="F22" s="735"/>
      <c r="G22" s="735"/>
      <c r="H22" s="749">
        <v>0</v>
      </c>
      <c r="I22" s="735">
        <v>8</v>
      </c>
      <c r="J22" s="735">
        <v>7309.2</v>
      </c>
      <c r="K22" s="749">
        <v>1</v>
      </c>
      <c r="L22" s="735">
        <v>8</v>
      </c>
      <c r="M22" s="736">
        <v>7309.2</v>
      </c>
    </row>
    <row r="23" spans="1:13" ht="14.45" customHeight="1" x14ac:dyDescent="0.2">
      <c r="A23" s="730" t="s">
        <v>589</v>
      </c>
      <c r="B23" s="731" t="s">
        <v>1551</v>
      </c>
      <c r="C23" s="731" t="s">
        <v>1564</v>
      </c>
      <c r="D23" s="731" t="s">
        <v>803</v>
      </c>
      <c r="E23" s="731" t="s">
        <v>1565</v>
      </c>
      <c r="F23" s="735"/>
      <c r="G23" s="735"/>
      <c r="H23" s="749">
        <v>0</v>
      </c>
      <c r="I23" s="735">
        <v>37</v>
      </c>
      <c r="J23" s="735">
        <v>15131.15</v>
      </c>
      <c r="K23" s="749">
        <v>1</v>
      </c>
      <c r="L23" s="735">
        <v>37</v>
      </c>
      <c r="M23" s="736">
        <v>15131.15</v>
      </c>
    </row>
    <row r="24" spans="1:13" ht="14.45" customHeight="1" x14ac:dyDescent="0.2">
      <c r="A24" s="730" t="s">
        <v>589</v>
      </c>
      <c r="B24" s="731" t="s">
        <v>1566</v>
      </c>
      <c r="C24" s="731" t="s">
        <v>1567</v>
      </c>
      <c r="D24" s="731" t="s">
        <v>1568</v>
      </c>
      <c r="E24" s="731" t="s">
        <v>1569</v>
      </c>
      <c r="F24" s="735"/>
      <c r="G24" s="735"/>
      <c r="H24" s="749">
        <v>0</v>
      </c>
      <c r="I24" s="735">
        <v>7</v>
      </c>
      <c r="J24" s="735">
        <v>409.24999999999994</v>
      </c>
      <c r="K24" s="749">
        <v>1</v>
      </c>
      <c r="L24" s="735">
        <v>7</v>
      </c>
      <c r="M24" s="736">
        <v>409.24999999999994</v>
      </c>
    </row>
    <row r="25" spans="1:13" ht="14.45" customHeight="1" x14ac:dyDescent="0.2">
      <c r="A25" s="730" t="s">
        <v>589</v>
      </c>
      <c r="B25" s="731" t="s">
        <v>1566</v>
      </c>
      <c r="C25" s="731" t="s">
        <v>1570</v>
      </c>
      <c r="D25" s="731" t="s">
        <v>1568</v>
      </c>
      <c r="E25" s="731" t="s">
        <v>1571</v>
      </c>
      <c r="F25" s="735"/>
      <c r="G25" s="735"/>
      <c r="H25" s="749">
        <v>0</v>
      </c>
      <c r="I25" s="735">
        <v>4</v>
      </c>
      <c r="J25" s="735">
        <v>555.79999999999995</v>
      </c>
      <c r="K25" s="749">
        <v>1</v>
      </c>
      <c r="L25" s="735">
        <v>4</v>
      </c>
      <c r="M25" s="736">
        <v>555.79999999999995</v>
      </c>
    </row>
    <row r="26" spans="1:13" ht="14.45" customHeight="1" x14ac:dyDescent="0.2">
      <c r="A26" s="730" t="s">
        <v>589</v>
      </c>
      <c r="B26" s="731" t="s">
        <v>1572</v>
      </c>
      <c r="C26" s="731" t="s">
        <v>1573</v>
      </c>
      <c r="D26" s="731" t="s">
        <v>1574</v>
      </c>
      <c r="E26" s="731" t="s">
        <v>1575</v>
      </c>
      <c r="F26" s="735"/>
      <c r="G26" s="735"/>
      <c r="H26" s="749">
        <v>0</v>
      </c>
      <c r="I26" s="735">
        <v>1</v>
      </c>
      <c r="J26" s="735">
        <v>2247.66</v>
      </c>
      <c r="K26" s="749">
        <v>1</v>
      </c>
      <c r="L26" s="735">
        <v>1</v>
      </c>
      <c r="M26" s="736">
        <v>2247.66</v>
      </c>
    </row>
    <row r="27" spans="1:13" ht="14.45" customHeight="1" x14ac:dyDescent="0.2">
      <c r="A27" s="730" t="s">
        <v>589</v>
      </c>
      <c r="B27" s="731" t="s">
        <v>1572</v>
      </c>
      <c r="C27" s="731" t="s">
        <v>1576</v>
      </c>
      <c r="D27" s="731" t="s">
        <v>1574</v>
      </c>
      <c r="E27" s="731" t="s">
        <v>1577</v>
      </c>
      <c r="F27" s="735"/>
      <c r="G27" s="735"/>
      <c r="H27" s="749">
        <v>0</v>
      </c>
      <c r="I27" s="735">
        <v>1</v>
      </c>
      <c r="J27" s="735">
        <v>1506.31</v>
      </c>
      <c r="K27" s="749">
        <v>1</v>
      </c>
      <c r="L27" s="735">
        <v>1</v>
      </c>
      <c r="M27" s="736">
        <v>1506.31</v>
      </c>
    </row>
    <row r="28" spans="1:13" ht="14.45" customHeight="1" x14ac:dyDescent="0.2">
      <c r="A28" s="730" t="s">
        <v>589</v>
      </c>
      <c r="B28" s="731" t="s">
        <v>1578</v>
      </c>
      <c r="C28" s="731" t="s">
        <v>1579</v>
      </c>
      <c r="D28" s="731" t="s">
        <v>712</v>
      </c>
      <c r="E28" s="731" t="s">
        <v>1580</v>
      </c>
      <c r="F28" s="735"/>
      <c r="G28" s="735"/>
      <c r="H28" s="749">
        <v>0</v>
      </c>
      <c r="I28" s="735">
        <v>40</v>
      </c>
      <c r="J28" s="735">
        <v>5139.5</v>
      </c>
      <c r="K28" s="749">
        <v>1</v>
      </c>
      <c r="L28" s="735">
        <v>40</v>
      </c>
      <c r="M28" s="736">
        <v>5139.5</v>
      </c>
    </row>
    <row r="29" spans="1:13" ht="14.45" customHeight="1" x14ac:dyDescent="0.2">
      <c r="A29" s="730" t="s">
        <v>589</v>
      </c>
      <c r="B29" s="731" t="s">
        <v>1578</v>
      </c>
      <c r="C29" s="731" t="s">
        <v>1581</v>
      </c>
      <c r="D29" s="731" t="s">
        <v>712</v>
      </c>
      <c r="E29" s="731" t="s">
        <v>1582</v>
      </c>
      <c r="F29" s="735"/>
      <c r="G29" s="735"/>
      <c r="H29" s="749">
        <v>0</v>
      </c>
      <c r="I29" s="735">
        <v>4</v>
      </c>
      <c r="J29" s="735">
        <v>178.64</v>
      </c>
      <c r="K29" s="749">
        <v>1</v>
      </c>
      <c r="L29" s="735">
        <v>4</v>
      </c>
      <c r="M29" s="736">
        <v>178.64</v>
      </c>
    </row>
    <row r="30" spans="1:13" ht="14.45" customHeight="1" x14ac:dyDescent="0.2">
      <c r="A30" s="730" t="s">
        <v>589</v>
      </c>
      <c r="B30" s="731" t="s">
        <v>1578</v>
      </c>
      <c r="C30" s="731" t="s">
        <v>1583</v>
      </c>
      <c r="D30" s="731" t="s">
        <v>712</v>
      </c>
      <c r="E30" s="731" t="s">
        <v>1584</v>
      </c>
      <c r="F30" s="735"/>
      <c r="G30" s="735"/>
      <c r="H30" s="749">
        <v>0</v>
      </c>
      <c r="I30" s="735">
        <v>19</v>
      </c>
      <c r="J30" s="735">
        <v>1703.3500000000001</v>
      </c>
      <c r="K30" s="749">
        <v>1</v>
      </c>
      <c r="L30" s="735">
        <v>19</v>
      </c>
      <c r="M30" s="736">
        <v>1703.3500000000001</v>
      </c>
    </row>
    <row r="31" spans="1:13" ht="14.45" customHeight="1" x14ac:dyDescent="0.2">
      <c r="A31" s="730" t="s">
        <v>589</v>
      </c>
      <c r="B31" s="731" t="s">
        <v>1585</v>
      </c>
      <c r="C31" s="731" t="s">
        <v>1586</v>
      </c>
      <c r="D31" s="731" t="s">
        <v>1284</v>
      </c>
      <c r="E31" s="731" t="s">
        <v>1587</v>
      </c>
      <c r="F31" s="735"/>
      <c r="G31" s="735"/>
      <c r="H31" s="749">
        <v>0</v>
      </c>
      <c r="I31" s="735">
        <v>51</v>
      </c>
      <c r="J31" s="735">
        <v>2515.3199893447409</v>
      </c>
      <c r="K31" s="749">
        <v>1</v>
      </c>
      <c r="L31" s="735">
        <v>51</v>
      </c>
      <c r="M31" s="736">
        <v>2515.3199893447409</v>
      </c>
    </row>
    <row r="32" spans="1:13" ht="14.45" customHeight="1" x14ac:dyDescent="0.2">
      <c r="A32" s="730" t="s">
        <v>589</v>
      </c>
      <c r="B32" s="731" t="s">
        <v>1588</v>
      </c>
      <c r="C32" s="731" t="s">
        <v>1589</v>
      </c>
      <c r="D32" s="731" t="s">
        <v>813</v>
      </c>
      <c r="E32" s="731" t="s">
        <v>814</v>
      </c>
      <c r="F32" s="735"/>
      <c r="G32" s="735"/>
      <c r="H32" s="749">
        <v>0</v>
      </c>
      <c r="I32" s="735">
        <v>54</v>
      </c>
      <c r="J32" s="735">
        <v>2178.9</v>
      </c>
      <c r="K32" s="749">
        <v>1</v>
      </c>
      <c r="L32" s="735">
        <v>54</v>
      </c>
      <c r="M32" s="736">
        <v>2178.9</v>
      </c>
    </row>
    <row r="33" spans="1:13" ht="14.45" customHeight="1" x14ac:dyDescent="0.2">
      <c r="A33" s="730" t="s">
        <v>589</v>
      </c>
      <c r="B33" s="731" t="s">
        <v>1588</v>
      </c>
      <c r="C33" s="731" t="s">
        <v>1590</v>
      </c>
      <c r="D33" s="731" t="s">
        <v>813</v>
      </c>
      <c r="E33" s="731" t="s">
        <v>814</v>
      </c>
      <c r="F33" s="735"/>
      <c r="G33" s="735"/>
      <c r="H33" s="749">
        <v>0</v>
      </c>
      <c r="I33" s="735">
        <v>26</v>
      </c>
      <c r="J33" s="735">
        <v>1049.6600000000001</v>
      </c>
      <c r="K33" s="749">
        <v>1</v>
      </c>
      <c r="L33" s="735">
        <v>26</v>
      </c>
      <c r="M33" s="736">
        <v>1049.6600000000001</v>
      </c>
    </row>
    <row r="34" spans="1:13" ht="14.45" customHeight="1" x14ac:dyDescent="0.2">
      <c r="A34" s="730" t="s">
        <v>589</v>
      </c>
      <c r="B34" s="731" t="s">
        <v>1588</v>
      </c>
      <c r="C34" s="731" t="s">
        <v>1591</v>
      </c>
      <c r="D34" s="731" t="s">
        <v>811</v>
      </c>
      <c r="E34" s="731" t="s">
        <v>1592</v>
      </c>
      <c r="F34" s="735"/>
      <c r="G34" s="735"/>
      <c r="H34" s="749">
        <v>0</v>
      </c>
      <c r="I34" s="735">
        <v>15</v>
      </c>
      <c r="J34" s="735">
        <v>877.6</v>
      </c>
      <c r="K34" s="749">
        <v>1</v>
      </c>
      <c r="L34" s="735">
        <v>15</v>
      </c>
      <c r="M34" s="736">
        <v>877.6</v>
      </c>
    </row>
    <row r="35" spans="1:13" ht="14.45" customHeight="1" x14ac:dyDescent="0.2">
      <c r="A35" s="730" t="s">
        <v>589</v>
      </c>
      <c r="B35" s="731" t="s">
        <v>1593</v>
      </c>
      <c r="C35" s="731" t="s">
        <v>1594</v>
      </c>
      <c r="D35" s="731" t="s">
        <v>1595</v>
      </c>
      <c r="E35" s="731" t="s">
        <v>1596</v>
      </c>
      <c r="F35" s="735">
        <v>1</v>
      </c>
      <c r="G35" s="735">
        <v>207.48999999999995</v>
      </c>
      <c r="H35" s="749">
        <v>1</v>
      </c>
      <c r="I35" s="735"/>
      <c r="J35" s="735"/>
      <c r="K35" s="749">
        <v>0</v>
      </c>
      <c r="L35" s="735">
        <v>1</v>
      </c>
      <c r="M35" s="736">
        <v>207.48999999999995</v>
      </c>
    </row>
    <row r="36" spans="1:13" ht="14.45" customHeight="1" x14ac:dyDescent="0.2">
      <c r="A36" s="730" t="s">
        <v>589</v>
      </c>
      <c r="B36" s="731" t="s">
        <v>1597</v>
      </c>
      <c r="C36" s="731" t="s">
        <v>1598</v>
      </c>
      <c r="D36" s="731" t="s">
        <v>838</v>
      </c>
      <c r="E36" s="731" t="s">
        <v>1599</v>
      </c>
      <c r="F36" s="735"/>
      <c r="G36" s="735"/>
      <c r="H36" s="749">
        <v>0</v>
      </c>
      <c r="I36" s="735">
        <v>1</v>
      </c>
      <c r="J36" s="735">
        <v>40.980000000000004</v>
      </c>
      <c r="K36" s="749">
        <v>1</v>
      </c>
      <c r="L36" s="735">
        <v>1</v>
      </c>
      <c r="M36" s="736">
        <v>40.980000000000004</v>
      </c>
    </row>
    <row r="37" spans="1:13" ht="14.45" customHeight="1" x14ac:dyDescent="0.2">
      <c r="A37" s="730" t="s">
        <v>589</v>
      </c>
      <c r="B37" s="731" t="s">
        <v>1597</v>
      </c>
      <c r="C37" s="731" t="s">
        <v>1600</v>
      </c>
      <c r="D37" s="731" t="s">
        <v>838</v>
      </c>
      <c r="E37" s="731" t="s">
        <v>1601</v>
      </c>
      <c r="F37" s="735"/>
      <c r="G37" s="735"/>
      <c r="H37" s="749">
        <v>0</v>
      </c>
      <c r="I37" s="735">
        <v>4</v>
      </c>
      <c r="J37" s="735">
        <v>155.4</v>
      </c>
      <c r="K37" s="749">
        <v>1</v>
      </c>
      <c r="L37" s="735">
        <v>4</v>
      </c>
      <c r="M37" s="736">
        <v>155.4</v>
      </c>
    </row>
    <row r="38" spans="1:13" ht="14.45" customHeight="1" x14ac:dyDescent="0.2">
      <c r="A38" s="730" t="s">
        <v>589</v>
      </c>
      <c r="B38" s="731" t="s">
        <v>1602</v>
      </c>
      <c r="C38" s="731" t="s">
        <v>1603</v>
      </c>
      <c r="D38" s="731" t="s">
        <v>1185</v>
      </c>
      <c r="E38" s="731" t="s">
        <v>1604</v>
      </c>
      <c r="F38" s="735"/>
      <c r="G38" s="735"/>
      <c r="H38" s="749">
        <v>0</v>
      </c>
      <c r="I38" s="735">
        <v>2</v>
      </c>
      <c r="J38" s="735">
        <v>216.19999999999993</v>
      </c>
      <c r="K38" s="749">
        <v>1</v>
      </c>
      <c r="L38" s="735">
        <v>2</v>
      </c>
      <c r="M38" s="736">
        <v>216.19999999999993</v>
      </c>
    </row>
    <row r="39" spans="1:13" ht="14.45" customHeight="1" x14ac:dyDescent="0.2">
      <c r="A39" s="730" t="s">
        <v>589</v>
      </c>
      <c r="B39" s="731" t="s">
        <v>1602</v>
      </c>
      <c r="C39" s="731" t="s">
        <v>1605</v>
      </c>
      <c r="D39" s="731" t="s">
        <v>660</v>
      </c>
      <c r="E39" s="731" t="s">
        <v>661</v>
      </c>
      <c r="F39" s="735"/>
      <c r="G39" s="735"/>
      <c r="H39" s="749">
        <v>0</v>
      </c>
      <c r="I39" s="735">
        <v>4</v>
      </c>
      <c r="J39" s="735">
        <v>353.36</v>
      </c>
      <c r="K39" s="749">
        <v>1</v>
      </c>
      <c r="L39" s="735">
        <v>4</v>
      </c>
      <c r="M39" s="736">
        <v>353.36</v>
      </c>
    </row>
    <row r="40" spans="1:13" ht="14.45" customHeight="1" x14ac:dyDescent="0.2">
      <c r="A40" s="730" t="s">
        <v>589</v>
      </c>
      <c r="B40" s="731" t="s">
        <v>1606</v>
      </c>
      <c r="C40" s="731" t="s">
        <v>1607</v>
      </c>
      <c r="D40" s="731" t="s">
        <v>1608</v>
      </c>
      <c r="E40" s="731" t="s">
        <v>1609</v>
      </c>
      <c r="F40" s="735"/>
      <c r="G40" s="735"/>
      <c r="H40" s="749">
        <v>0</v>
      </c>
      <c r="I40" s="735">
        <v>1</v>
      </c>
      <c r="J40" s="735">
        <v>98.469999999999956</v>
      </c>
      <c r="K40" s="749">
        <v>1</v>
      </c>
      <c r="L40" s="735">
        <v>1</v>
      </c>
      <c r="M40" s="736">
        <v>98.469999999999956</v>
      </c>
    </row>
    <row r="41" spans="1:13" ht="14.45" customHeight="1" x14ac:dyDescent="0.2">
      <c r="A41" s="730" t="s">
        <v>589</v>
      </c>
      <c r="B41" s="731" t="s">
        <v>1610</v>
      </c>
      <c r="C41" s="731" t="s">
        <v>1611</v>
      </c>
      <c r="D41" s="731" t="s">
        <v>1612</v>
      </c>
      <c r="E41" s="731" t="s">
        <v>1613</v>
      </c>
      <c r="F41" s="735">
        <v>2</v>
      </c>
      <c r="G41" s="735">
        <v>69.14</v>
      </c>
      <c r="H41" s="749">
        <v>1</v>
      </c>
      <c r="I41" s="735"/>
      <c r="J41" s="735"/>
      <c r="K41" s="749">
        <v>0</v>
      </c>
      <c r="L41" s="735">
        <v>2</v>
      </c>
      <c r="M41" s="736">
        <v>69.14</v>
      </c>
    </row>
    <row r="42" spans="1:13" ht="14.45" customHeight="1" x14ac:dyDescent="0.2">
      <c r="A42" s="730" t="s">
        <v>589</v>
      </c>
      <c r="B42" s="731" t="s">
        <v>1610</v>
      </c>
      <c r="C42" s="731" t="s">
        <v>1614</v>
      </c>
      <c r="D42" s="731" t="s">
        <v>1615</v>
      </c>
      <c r="E42" s="731" t="s">
        <v>676</v>
      </c>
      <c r="F42" s="735">
        <v>2</v>
      </c>
      <c r="G42" s="735">
        <v>40.98</v>
      </c>
      <c r="H42" s="749">
        <v>1</v>
      </c>
      <c r="I42" s="735"/>
      <c r="J42" s="735"/>
      <c r="K42" s="749">
        <v>0</v>
      </c>
      <c r="L42" s="735">
        <v>2</v>
      </c>
      <c r="M42" s="736">
        <v>40.98</v>
      </c>
    </row>
    <row r="43" spans="1:13" ht="14.45" customHeight="1" x14ac:dyDescent="0.2">
      <c r="A43" s="730" t="s">
        <v>589</v>
      </c>
      <c r="B43" s="731" t="s">
        <v>1610</v>
      </c>
      <c r="C43" s="731" t="s">
        <v>1616</v>
      </c>
      <c r="D43" s="731" t="s">
        <v>673</v>
      </c>
      <c r="E43" s="731" t="s">
        <v>676</v>
      </c>
      <c r="F43" s="735"/>
      <c r="G43" s="735"/>
      <c r="H43" s="749">
        <v>0</v>
      </c>
      <c r="I43" s="735">
        <v>17</v>
      </c>
      <c r="J43" s="735">
        <v>449.31</v>
      </c>
      <c r="K43" s="749">
        <v>1</v>
      </c>
      <c r="L43" s="735">
        <v>17</v>
      </c>
      <c r="M43" s="736">
        <v>449.31</v>
      </c>
    </row>
    <row r="44" spans="1:13" ht="14.45" customHeight="1" x14ac:dyDescent="0.2">
      <c r="A44" s="730" t="s">
        <v>589</v>
      </c>
      <c r="B44" s="731" t="s">
        <v>1610</v>
      </c>
      <c r="C44" s="731" t="s">
        <v>1617</v>
      </c>
      <c r="D44" s="731" t="s">
        <v>673</v>
      </c>
      <c r="E44" s="731" t="s">
        <v>705</v>
      </c>
      <c r="F44" s="735"/>
      <c r="G44" s="735"/>
      <c r="H44" s="749">
        <v>0</v>
      </c>
      <c r="I44" s="735">
        <v>2</v>
      </c>
      <c r="J44" s="735">
        <v>174.03999999999996</v>
      </c>
      <c r="K44" s="749">
        <v>1</v>
      </c>
      <c r="L44" s="735">
        <v>2</v>
      </c>
      <c r="M44" s="736">
        <v>174.03999999999996</v>
      </c>
    </row>
    <row r="45" spans="1:13" ht="14.45" customHeight="1" x14ac:dyDescent="0.2">
      <c r="A45" s="730" t="s">
        <v>589</v>
      </c>
      <c r="B45" s="731" t="s">
        <v>1610</v>
      </c>
      <c r="C45" s="731" t="s">
        <v>1618</v>
      </c>
      <c r="D45" s="731" t="s">
        <v>673</v>
      </c>
      <c r="E45" s="731" t="s">
        <v>674</v>
      </c>
      <c r="F45" s="735"/>
      <c r="G45" s="735"/>
      <c r="H45" s="749">
        <v>0</v>
      </c>
      <c r="I45" s="735">
        <v>6</v>
      </c>
      <c r="J45" s="735">
        <v>313.31999999999994</v>
      </c>
      <c r="K45" s="749">
        <v>1</v>
      </c>
      <c r="L45" s="735">
        <v>6</v>
      </c>
      <c r="M45" s="736">
        <v>313.31999999999994</v>
      </c>
    </row>
    <row r="46" spans="1:13" ht="14.45" customHeight="1" x14ac:dyDescent="0.2">
      <c r="A46" s="730" t="s">
        <v>589</v>
      </c>
      <c r="B46" s="731" t="s">
        <v>1619</v>
      </c>
      <c r="C46" s="731" t="s">
        <v>1620</v>
      </c>
      <c r="D46" s="731" t="s">
        <v>1621</v>
      </c>
      <c r="E46" s="731" t="s">
        <v>1622</v>
      </c>
      <c r="F46" s="735"/>
      <c r="G46" s="735"/>
      <c r="H46" s="749">
        <v>0</v>
      </c>
      <c r="I46" s="735">
        <v>2</v>
      </c>
      <c r="J46" s="735">
        <v>141.36000000000004</v>
      </c>
      <c r="K46" s="749">
        <v>1</v>
      </c>
      <c r="L46" s="735">
        <v>2</v>
      </c>
      <c r="M46" s="736">
        <v>141.36000000000004</v>
      </c>
    </row>
    <row r="47" spans="1:13" ht="14.45" customHeight="1" x14ac:dyDescent="0.2">
      <c r="A47" s="730" t="s">
        <v>589</v>
      </c>
      <c r="B47" s="731" t="s">
        <v>1623</v>
      </c>
      <c r="C47" s="731" t="s">
        <v>1624</v>
      </c>
      <c r="D47" s="731" t="s">
        <v>967</v>
      </c>
      <c r="E47" s="731" t="s">
        <v>1625</v>
      </c>
      <c r="F47" s="735"/>
      <c r="G47" s="735"/>
      <c r="H47" s="749">
        <v>0</v>
      </c>
      <c r="I47" s="735">
        <v>5</v>
      </c>
      <c r="J47" s="735">
        <v>944.15</v>
      </c>
      <c r="K47" s="749">
        <v>1</v>
      </c>
      <c r="L47" s="735">
        <v>5</v>
      </c>
      <c r="M47" s="736">
        <v>944.15</v>
      </c>
    </row>
    <row r="48" spans="1:13" ht="14.45" customHeight="1" x14ac:dyDescent="0.2">
      <c r="A48" s="730" t="s">
        <v>589</v>
      </c>
      <c r="B48" s="731" t="s">
        <v>1626</v>
      </c>
      <c r="C48" s="731" t="s">
        <v>1627</v>
      </c>
      <c r="D48" s="731" t="s">
        <v>1628</v>
      </c>
      <c r="E48" s="731" t="s">
        <v>1629</v>
      </c>
      <c r="F48" s="735"/>
      <c r="G48" s="735"/>
      <c r="H48" s="749">
        <v>0</v>
      </c>
      <c r="I48" s="735">
        <v>5</v>
      </c>
      <c r="J48" s="735">
        <v>59.150000000000006</v>
      </c>
      <c r="K48" s="749">
        <v>1</v>
      </c>
      <c r="L48" s="735">
        <v>5</v>
      </c>
      <c r="M48" s="736">
        <v>59.150000000000006</v>
      </c>
    </row>
    <row r="49" spans="1:13" ht="14.45" customHeight="1" x14ac:dyDescent="0.2">
      <c r="A49" s="730" t="s">
        <v>589</v>
      </c>
      <c r="B49" s="731" t="s">
        <v>1630</v>
      </c>
      <c r="C49" s="731" t="s">
        <v>1631</v>
      </c>
      <c r="D49" s="731" t="s">
        <v>1632</v>
      </c>
      <c r="E49" s="731" t="s">
        <v>1633</v>
      </c>
      <c r="F49" s="735">
        <v>1</v>
      </c>
      <c r="G49" s="735">
        <v>197.27</v>
      </c>
      <c r="H49" s="749">
        <v>1</v>
      </c>
      <c r="I49" s="735"/>
      <c r="J49" s="735"/>
      <c r="K49" s="749">
        <v>0</v>
      </c>
      <c r="L49" s="735">
        <v>1</v>
      </c>
      <c r="M49" s="736">
        <v>197.27</v>
      </c>
    </row>
    <row r="50" spans="1:13" ht="14.45" customHeight="1" x14ac:dyDescent="0.2">
      <c r="A50" s="730" t="s">
        <v>589</v>
      </c>
      <c r="B50" s="731" t="s">
        <v>1634</v>
      </c>
      <c r="C50" s="731" t="s">
        <v>1635</v>
      </c>
      <c r="D50" s="731" t="s">
        <v>1636</v>
      </c>
      <c r="E50" s="731" t="s">
        <v>1637</v>
      </c>
      <c r="F50" s="735"/>
      <c r="G50" s="735"/>
      <c r="H50" s="749">
        <v>0</v>
      </c>
      <c r="I50" s="735">
        <v>1</v>
      </c>
      <c r="J50" s="735">
        <v>207.27</v>
      </c>
      <c r="K50" s="749">
        <v>1</v>
      </c>
      <c r="L50" s="735">
        <v>1</v>
      </c>
      <c r="M50" s="736">
        <v>207.27</v>
      </c>
    </row>
    <row r="51" spans="1:13" ht="14.45" customHeight="1" x14ac:dyDescent="0.2">
      <c r="A51" s="730" t="s">
        <v>589</v>
      </c>
      <c r="B51" s="731" t="s">
        <v>1634</v>
      </c>
      <c r="C51" s="731" t="s">
        <v>1638</v>
      </c>
      <c r="D51" s="731" t="s">
        <v>1639</v>
      </c>
      <c r="E51" s="731" t="s">
        <v>1640</v>
      </c>
      <c r="F51" s="735">
        <v>2</v>
      </c>
      <c r="G51" s="735">
        <v>213.24</v>
      </c>
      <c r="H51" s="749">
        <v>1</v>
      </c>
      <c r="I51" s="735"/>
      <c r="J51" s="735"/>
      <c r="K51" s="749">
        <v>0</v>
      </c>
      <c r="L51" s="735">
        <v>2</v>
      </c>
      <c r="M51" s="736">
        <v>213.24</v>
      </c>
    </row>
    <row r="52" spans="1:13" ht="14.45" customHeight="1" x14ac:dyDescent="0.2">
      <c r="A52" s="730" t="s">
        <v>589</v>
      </c>
      <c r="B52" s="731" t="s">
        <v>1641</v>
      </c>
      <c r="C52" s="731" t="s">
        <v>1642</v>
      </c>
      <c r="D52" s="731" t="s">
        <v>800</v>
      </c>
      <c r="E52" s="731" t="s">
        <v>1643</v>
      </c>
      <c r="F52" s="735"/>
      <c r="G52" s="735"/>
      <c r="H52" s="749">
        <v>0</v>
      </c>
      <c r="I52" s="735">
        <v>1</v>
      </c>
      <c r="J52" s="735">
        <v>74.430000000000007</v>
      </c>
      <c r="K52" s="749">
        <v>1</v>
      </c>
      <c r="L52" s="735">
        <v>1</v>
      </c>
      <c r="M52" s="736">
        <v>74.430000000000007</v>
      </c>
    </row>
    <row r="53" spans="1:13" ht="14.45" customHeight="1" x14ac:dyDescent="0.2">
      <c r="A53" s="730" t="s">
        <v>589</v>
      </c>
      <c r="B53" s="731" t="s">
        <v>1641</v>
      </c>
      <c r="C53" s="731" t="s">
        <v>1644</v>
      </c>
      <c r="D53" s="731" t="s">
        <v>800</v>
      </c>
      <c r="E53" s="731" t="s">
        <v>1645</v>
      </c>
      <c r="F53" s="735"/>
      <c r="G53" s="735"/>
      <c r="H53" s="749">
        <v>0</v>
      </c>
      <c r="I53" s="735">
        <v>2</v>
      </c>
      <c r="J53" s="735">
        <v>448.01</v>
      </c>
      <c r="K53" s="749">
        <v>1</v>
      </c>
      <c r="L53" s="735">
        <v>2</v>
      </c>
      <c r="M53" s="736">
        <v>448.01</v>
      </c>
    </row>
    <row r="54" spans="1:13" ht="14.45" customHeight="1" x14ac:dyDescent="0.2">
      <c r="A54" s="730" t="s">
        <v>589</v>
      </c>
      <c r="B54" s="731" t="s">
        <v>1646</v>
      </c>
      <c r="C54" s="731" t="s">
        <v>1647</v>
      </c>
      <c r="D54" s="731" t="s">
        <v>993</v>
      </c>
      <c r="E54" s="731" t="s">
        <v>1648</v>
      </c>
      <c r="F54" s="735"/>
      <c r="G54" s="735"/>
      <c r="H54" s="749">
        <v>0</v>
      </c>
      <c r="I54" s="735">
        <v>2</v>
      </c>
      <c r="J54" s="735">
        <v>343.32</v>
      </c>
      <c r="K54" s="749">
        <v>1</v>
      </c>
      <c r="L54" s="735">
        <v>2</v>
      </c>
      <c r="M54" s="736">
        <v>343.32</v>
      </c>
    </row>
    <row r="55" spans="1:13" ht="14.45" customHeight="1" x14ac:dyDescent="0.2">
      <c r="A55" s="730" t="s">
        <v>589</v>
      </c>
      <c r="B55" s="731" t="s">
        <v>1646</v>
      </c>
      <c r="C55" s="731" t="s">
        <v>1649</v>
      </c>
      <c r="D55" s="731" t="s">
        <v>993</v>
      </c>
      <c r="E55" s="731" t="s">
        <v>1650</v>
      </c>
      <c r="F55" s="735"/>
      <c r="G55" s="735"/>
      <c r="H55" s="749">
        <v>0</v>
      </c>
      <c r="I55" s="735">
        <v>8</v>
      </c>
      <c r="J55" s="735">
        <v>519.19999999999993</v>
      </c>
      <c r="K55" s="749">
        <v>1</v>
      </c>
      <c r="L55" s="735">
        <v>8</v>
      </c>
      <c r="M55" s="736">
        <v>519.19999999999993</v>
      </c>
    </row>
    <row r="56" spans="1:13" ht="14.45" customHeight="1" x14ac:dyDescent="0.2">
      <c r="A56" s="730" t="s">
        <v>589</v>
      </c>
      <c r="B56" s="731" t="s">
        <v>1651</v>
      </c>
      <c r="C56" s="731" t="s">
        <v>1652</v>
      </c>
      <c r="D56" s="731" t="s">
        <v>1653</v>
      </c>
      <c r="E56" s="731" t="s">
        <v>1654</v>
      </c>
      <c r="F56" s="735"/>
      <c r="G56" s="735"/>
      <c r="H56" s="749">
        <v>0</v>
      </c>
      <c r="I56" s="735">
        <v>2</v>
      </c>
      <c r="J56" s="735">
        <v>125.20000000000002</v>
      </c>
      <c r="K56" s="749">
        <v>1</v>
      </c>
      <c r="L56" s="735">
        <v>2</v>
      </c>
      <c r="M56" s="736">
        <v>125.20000000000002</v>
      </c>
    </row>
    <row r="57" spans="1:13" ht="14.45" customHeight="1" x14ac:dyDescent="0.2">
      <c r="A57" s="730" t="s">
        <v>589</v>
      </c>
      <c r="B57" s="731" t="s">
        <v>1651</v>
      </c>
      <c r="C57" s="731" t="s">
        <v>1655</v>
      </c>
      <c r="D57" s="731" t="s">
        <v>786</v>
      </c>
      <c r="E57" s="731" t="s">
        <v>789</v>
      </c>
      <c r="F57" s="735"/>
      <c r="G57" s="735"/>
      <c r="H57" s="749">
        <v>0</v>
      </c>
      <c r="I57" s="735">
        <v>2</v>
      </c>
      <c r="J57" s="735">
        <v>157.34</v>
      </c>
      <c r="K57" s="749">
        <v>1</v>
      </c>
      <c r="L57" s="735">
        <v>2</v>
      </c>
      <c r="M57" s="736">
        <v>157.34</v>
      </c>
    </row>
    <row r="58" spans="1:13" ht="14.45" customHeight="1" x14ac:dyDescent="0.2">
      <c r="A58" s="730" t="s">
        <v>589</v>
      </c>
      <c r="B58" s="731" t="s">
        <v>1651</v>
      </c>
      <c r="C58" s="731" t="s">
        <v>1656</v>
      </c>
      <c r="D58" s="731" t="s">
        <v>786</v>
      </c>
      <c r="E58" s="731" t="s">
        <v>788</v>
      </c>
      <c r="F58" s="735"/>
      <c r="G58" s="735"/>
      <c r="H58" s="749">
        <v>0</v>
      </c>
      <c r="I58" s="735">
        <v>2</v>
      </c>
      <c r="J58" s="735">
        <v>155.35999999999999</v>
      </c>
      <c r="K58" s="749">
        <v>1</v>
      </c>
      <c r="L58" s="735">
        <v>2</v>
      </c>
      <c r="M58" s="736">
        <v>155.35999999999999</v>
      </c>
    </row>
    <row r="59" spans="1:13" ht="14.45" customHeight="1" x14ac:dyDescent="0.2">
      <c r="A59" s="730" t="s">
        <v>589</v>
      </c>
      <c r="B59" s="731" t="s">
        <v>1651</v>
      </c>
      <c r="C59" s="731" t="s">
        <v>1657</v>
      </c>
      <c r="D59" s="731" t="s">
        <v>786</v>
      </c>
      <c r="E59" s="731" t="s">
        <v>787</v>
      </c>
      <c r="F59" s="735"/>
      <c r="G59" s="735"/>
      <c r="H59" s="749">
        <v>0</v>
      </c>
      <c r="I59" s="735">
        <v>1</v>
      </c>
      <c r="J59" s="735">
        <v>131.00999999999996</v>
      </c>
      <c r="K59" s="749">
        <v>1</v>
      </c>
      <c r="L59" s="735">
        <v>1</v>
      </c>
      <c r="M59" s="736">
        <v>131.00999999999996</v>
      </c>
    </row>
    <row r="60" spans="1:13" ht="14.45" customHeight="1" x14ac:dyDescent="0.2">
      <c r="A60" s="730" t="s">
        <v>589</v>
      </c>
      <c r="B60" s="731" t="s">
        <v>1651</v>
      </c>
      <c r="C60" s="731" t="s">
        <v>1658</v>
      </c>
      <c r="D60" s="731" t="s">
        <v>786</v>
      </c>
      <c r="E60" s="731" t="s">
        <v>1659</v>
      </c>
      <c r="F60" s="735"/>
      <c r="G60" s="735"/>
      <c r="H60" s="749">
        <v>0</v>
      </c>
      <c r="I60" s="735">
        <v>2</v>
      </c>
      <c r="J60" s="735">
        <v>122.34</v>
      </c>
      <c r="K60" s="749">
        <v>1</v>
      </c>
      <c r="L60" s="735">
        <v>2</v>
      </c>
      <c r="M60" s="736">
        <v>122.34</v>
      </c>
    </row>
    <row r="61" spans="1:13" ht="14.45" customHeight="1" x14ac:dyDescent="0.2">
      <c r="A61" s="730" t="s">
        <v>589</v>
      </c>
      <c r="B61" s="731" t="s">
        <v>1660</v>
      </c>
      <c r="C61" s="731" t="s">
        <v>1661</v>
      </c>
      <c r="D61" s="731" t="s">
        <v>1662</v>
      </c>
      <c r="E61" s="731" t="s">
        <v>1663</v>
      </c>
      <c r="F61" s="735"/>
      <c r="G61" s="735"/>
      <c r="H61" s="749">
        <v>0</v>
      </c>
      <c r="I61" s="735">
        <v>4</v>
      </c>
      <c r="J61" s="735">
        <v>8950.92</v>
      </c>
      <c r="K61" s="749">
        <v>1</v>
      </c>
      <c r="L61" s="735">
        <v>4</v>
      </c>
      <c r="M61" s="736">
        <v>8950.92</v>
      </c>
    </row>
    <row r="62" spans="1:13" ht="14.45" customHeight="1" x14ac:dyDescent="0.2">
      <c r="A62" s="730" t="s">
        <v>589</v>
      </c>
      <c r="B62" s="731" t="s">
        <v>1664</v>
      </c>
      <c r="C62" s="731" t="s">
        <v>1665</v>
      </c>
      <c r="D62" s="731" t="s">
        <v>1666</v>
      </c>
      <c r="E62" s="731" t="s">
        <v>1667</v>
      </c>
      <c r="F62" s="735">
        <v>1</v>
      </c>
      <c r="G62" s="735">
        <v>416.78000000000009</v>
      </c>
      <c r="H62" s="749">
        <v>1</v>
      </c>
      <c r="I62" s="735"/>
      <c r="J62" s="735"/>
      <c r="K62" s="749">
        <v>0</v>
      </c>
      <c r="L62" s="735">
        <v>1</v>
      </c>
      <c r="M62" s="736">
        <v>416.78000000000009</v>
      </c>
    </row>
    <row r="63" spans="1:13" ht="14.45" customHeight="1" x14ac:dyDescent="0.2">
      <c r="A63" s="730" t="s">
        <v>589</v>
      </c>
      <c r="B63" s="731" t="s">
        <v>1668</v>
      </c>
      <c r="C63" s="731" t="s">
        <v>1669</v>
      </c>
      <c r="D63" s="731" t="s">
        <v>1670</v>
      </c>
      <c r="E63" s="731" t="s">
        <v>1671</v>
      </c>
      <c r="F63" s="735"/>
      <c r="G63" s="735"/>
      <c r="H63" s="749">
        <v>0</v>
      </c>
      <c r="I63" s="735">
        <v>4</v>
      </c>
      <c r="J63" s="735">
        <v>784.07999999999993</v>
      </c>
      <c r="K63" s="749">
        <v>1</v>
      </c>
      <c r="L63" s="735">
        <v>4</v>
      </c>
      <c r="M63" s="736">
        <v>784.07999999999993</v>
      </c>
    </row>
    <row r="64" spans="1:13" ht="14.45" customHeight="1" x14ac:dyDescent="0.2">
      <c r="A64" s="730" t="s">
        <v>589</v>
      </c>
      <c r="B64" s="731" t="s">
        <v>1672</v>
      </c>
      <c r="C64" s="731" t="s">
        <v>1673</v>
      </c>
      <c r="D64" s="731" t="s">
        <v>1674</v>
      </c>
      <c r="E64" s="731" t="s">
        <v>1675</v>
      </c>
      <c r="F64" s="735">
        <v>160</v>
      </c>
      <c r="G64" s="735">
        <v>5344</v>
      </c>
      <c r="H64" s="749">
        <v>1</v>
      </c>
      <c r="I64" s="735"/>
      <c r="J64" s="735"/>
      <c r="K64" s="749">
        <v>0</v>
      </c>
      <c r="L64" s="735">
        <v>160</v>
      </c>
      <c r="M64" s="736">
        <v>5344</v>
      </c>
    </row>
    <row r="65" spans="1:13" ht="14.45" customHeight="1" x14ac:dyDescent="0.2">
      <c r="A65" s="730" t="s">
        <v>589</v>
      </c>
      <c r="B65" s="731" t="s">
        <v>1676</v>
      </c>
      <c r="C65" s="731" t="s">
        <v>1677</v>
      </c>
      <c r="D65" s="731" t="s">
        <v>1678</v>
      </c>
      <c r="E65" s="731" t="s">
        <v>1679</v>
      </c>
      <c r="F65" s="735">
        <v>13</v>
      </c>
      <c r="G65" s="735">
        <v>4862</v>
      </c>
      <c r="H65" s="749">
        <v>1</v>
      </c>
      <c r="I65" s="735"/>
      <c r="J65" s="735"/>
      <c r="K65" s="749">
        <v>0</v>
      </c>
      <c r="L65" s="735">
        <v>13</v>
      </c>
      <c r="M65" s="736">
        <v>4862</v>
      </c>
    </row>
    <row r="66" spans="1:13" ht="14.45" customHeight="1" x14ac:dyDescent="0.2">
      <c r="A66" s="730" t="s">
        <v>589</v>
      </c>
      <c r="B66" s="731" t="s">
        <v>1680</v>
      </c>
      <c r="C66" s="731" t="s">
        <v>1681</v>
      </c>
      <c r="D66" s="731" t="s">
        <v>1129</v>
      </c>
      <c r="E66" s="731" t="s">
        <v>1130</v>
      </c>
      <c r="F66" s="735"/>
      <c r="G66" s="735"/>
      <c r="H66" s="749">
        <v>0</v>
      </c>
      <c r="I66" s="735">
        <v>6</v>
      </c>
      <c r="J66" s="735">
        <v>4950.4800000000005</v>
      </c>
      <c r="K66" s="749">
        <v>1</v>
      </c>
      <c r="L66" s="735">
        <v>6</v>
      </c>
      <c r="M66" s="736">
        <v>4950.4800000000005</v>
      </c>
    </row>
    <row r="67" spans="1:13" ht="14.45" customHeight="1" x14ac:dyDescent="0.2">
      <c r="A67" s="730" t="s">
        <v>589</v>
      </c>
      <c r="B67" s="731" t="s">
        <v>1682</v>
      </c>
      <c r="C67" s="731" t="s">
        <v>1683</v>
      </c>
      <c r="D67" s="731" t="s">
        <v>669</v>
      </c>
      <c r="E67" s="731" t="s">
        <v>670</v>
      </c>
      <c r="F67" s="735">
        <v>2</v>
      </c>
      <c r="G67" s="735">
        <v>207.16</v>
      </c>
      <c r="H67" s="749">
        <v>1</v>
      </c>
      <c r="I67" s="735"/>
      <c r="J67" s="735"/>
      <c r="K67" s="749">
        <v>0</v>
      </c>
      <c r="L67" s="735">
        <v>2</v>
      </c>
      <c r="M67" s="736">
        <v>207.16</v>
      </c>
    </row>
    <row r="68" spans="1:13" ht="14.45" customHeight="1" x14ac:dyDescent="0.2">
      <c r="A68" s="730" t="s">
        <v>589</v>
      </c>
      <c r="B68" s="731" t="s">
        <v>1684</v>
      </c>
      <c r="C68" s="731" t="s">
        <v>1685</v>
      </c>
      <c r="D68" s="731" t="s">
        <v>1686</v>
      </c>
      <c r="E68" s="731" t="s">
        <v>1687</v>
      </c>
      <c r="F68" s="735"/>
      <c r="G68" s="735"/>
      <c r="H68" s="749">
        <v>0</v>
      </c>
      <c r="I68" s="735">
        <v>8</v>
      </c>
      <c r="J68" s="735">
        <v>1205.5999999999999</v>
      </c>
      <c r="K68" s="749">
        <v>1</v>
      </c>
      <c r="L68" s="735">
        <v>8</v>
      </c>
      <c r="M68" s="736">
        <v>1205.5999999999999</v>
      </c>
    </row>
    <row r="69" spans="1:13" ht="14.45" customHeight="1" x14ac:dyDescent="0.2">
      <c r="A69" s="730" t="s">
        <v>589</v>
      </c>
      <c r="B69" s="731" t="s">
        <v>1684</v>
      </c>
      <c r="C69" s="731" t="s">
        <v>1688</v>
      </c>
      <c r="D69" s="731" t="s">
        <v>1686</v>
      </c>
      <c r="E69" s="731" t="s">
        <v>1689</v>
      </c>
      <c r="F69" s="735"/>
      <c r="G69" s="735"/>
      <c r="H69" s="749">
        <v>0</v>
      </c>
      <c r="I69" s="735">
        <v>10</v>
      </c>
      <c r="J69" s="735">
        <v>2640</v>
      </c>
      <c r="K69" s="749">
        <v>1</v>
      </c>
      <c r="L69" s="735">
        <v>10</v>
      </c>
      <c r="M69" s="736">
        <v>2640</v>
      </c>
    </row>
    <row r="70" spans="1:13" ht="14.45" customHeight="1" x14ac:dyDescent="0.2">
      <c r="A70" s="730" t="s">
        <v>589</v>
      </c>
      <c r="B70" s="731" t="s">
        <v>1690</v>
      </c>
      <c r="C70" s="731" t="s">
        <v>1691</v>
      </c>
      <c r="D70" s="731" t="s">
        <v>1692</v>
      </c>
      <c r="E70" s="731" t="s">
        <v>1693</v>
      </c>
      <c r="F70" s="735"/>
      <c r="G70" s="735"/>
      <c r="H70" s="749">
        <v>0</v>
      </c>
      <c r="I70" s="735">
        <v>50</v>
      </c>
      <c r="J70" s="735">
        <v>1669.3999999999999</v>
      </c>
      <c r="K70" s="749">
        <v>1</v>
      </c>
      <c r="L70" s="735">
        <v>50</v>
      </c>
      <c r="M70" s="736">
        <v>1669.3999999999999</v>
      </c>
    </row>
    <row r="71" spans="1:13" ht="14.45" customHeight="1" x14ac:dyDescent="0.2">
      <c r="A71" s="730" t="s">
        <v>589</v>
      </c>
      <c r="B71" s="731" t="s">
        <v>1690</v>
      </c>
      <c r="C71" s="731" t="s">
        <v>1694</v>
      </c>
      <c r="D71" s="731" t="s">
        <v>1692</v>
      </c>
      <c r="E71" s="731" t="s">
        <v>1695</v>
      </c>
      <c r="F71" s="735"/>
      <c r="G71" s="735"/>
      <c r="H71" s="749">
        <v>0</v>
      </c>
      <c r="I71" s="735">
        <v>70</v>
      </c>
      <c r="J71" s="735">
        <v>3701.6000000000008</v>
      </c>
      <c r="K71" s="749">
        <v>1</v>
      </c>
      <c r="L71" s="735">
        <v>70</v>
      </c>
      <c r="M71" s="736">
        <v>3701.6000000000008</v>
      </c>
    </row>
    <row r="72" spans="1:13" ht="14.45" customHeight="1" x14ac:dyDescent="0.2">
      <c r="A72" s="730" t="s">
        <v>589</v>
      </c>
      <c r="B72" s="731" t="s">
        <v>1696</v>
      </c>
      <c r="C72" s="731" t="s">
        <v>1697</v>
      </c>
      <c r="D72" s="731" t="s">
        <v>1131</v>
      </c>
      <c r="E72" s="731" t="s">
        <v>1698</v>
      </c>
      <c r="F72" s="735">
        <v>3</v>
      </c>
      <c r="G72" s="735">
        <v>565.37999999999988</v>
      </c>
      <c r="H72" s="749">
        <v>1</v>
      </c>
      <c r="I72" s="735"/>
      <c r="J72" s="735"/>
      <c r="K72" s="749">
        <v>0</v>
      </c>
      <c r="L72" s="735">
        <v>3</v>
      </c>
      <c r="M72" s="736">
        <v>565.37999999999988</v>
      </c>
    </row>
    <row r="73" spans="1:13" ht="14.45" customHeight="1" x14ac:dyDescent="0.2">
      <c r="A73" s="730" t="s">
        <v>589</v>
      </c>
      <c r="B73" s="731" t="s">
        <v>1699</v>
      </c>
      <c r="C73" s="731" t="s">
        <v>1700</v>
      </c>
      <c r="D73" s="731" t="s">
        <v>1701</v>
      </c>
      <c r="E73" s="731" t="s">
        <v>1702</v>
      </c>
      <c r="F73" s="735"/>
      <c r="G73" s="735"/>
      <c r="H73" s="749"/>
      <c r="I73" s="735">
        <v>0</v>
      </c>
      <c r="J73" s="735">
        <v>0</v>
      </c>
      <c r="K73" s="749"/>
      <c r="L73" s="735">
        <v>0</v>
      </c>
      <c r="M73" s="736">
        <v>0</v>
      </c>
    </row>
    <row r="74" spans="1:13" ht="14.45" customHeight="1" x14ac:dyDescent="0.2">
      <c r="A74" s="730" t="s">
        <v>589</v>
      </c>
      <c r="B74" s="731" t="s">
        <v>1703</v>
      </c>
      <c r="C74" s="731" t="s">
        <v>1704</v>
      </c>
      <c r="D74" s="731" t="s">
        <v>626</v>
      </c>
      <c r="E74" s="731" t="s">
        <v>628</v>
      </c>
      <c r="F74" s="735"/>
      <c r="G74" s="735"/>
      <c r="H74" s="749">
        <v>0</v>
      </c>
      <c r="I74" s="735">
        <v>3</v>
      </c>
      <c r="J74" s="735">
        <v>161.82000000000002</v>
      </c>
      <c r="K74" s="749">
        <v>1</v>
      </c>
      <c r="L74" s="735">
        <v>3</v>
      </c>
      <c r="M74" s="736">
        <v>161.82000000000002</v>
      </c>
    </row>
    <row r="75" spans="1:13" ht="14.45" customHeight="1" x14ac:dyDescent="0.2">
      <c r="A75" s="730" t="s">
        <v>589</v>
      </c>
      <c r="B75" s="731" t="s">
        <v>1703</v>
      </c>
      <c r="C75" s="731" t="s">
        <v>1705</v>
      </c>
      <c r="D75" s="731" t="s">
        <v>626</v>
      </c>
      <c r="E75" s="731" t="s">
        <v>627</v>
      </c>
      <c r="F75" s="735"/>
      <c r="G75" s="735"/>
      <c r="H75" s="749">
        <v>0</v>
      </c>
      <c r="I75" s="735">
        <v>1</v>
      </c>
      <c r="J75" s="735">
        <v>48.13</v>
      </c>
      <c r="K75" s="749">
        <v>1</v>
      </c>
      <c r="L75" s="735">
        <v>1</v>
      </c>
      <c r="M75" s="736">
        <v>48.13</v>
      </c>
    </row>
    <row r="76" spans="1:13" ht="14.45" customHeight="1" x14ac:dyDescent="0.2">
      <c r="A76" s="730" t="s">
        <v>589</v>
      </c>
      <c r="B76" s="731" t="s">
        <v>1706</v>
      </c>
      <c r="C76" s="731" t="s">
        <v>1707</v>
      </c>
      <c r="D76" s="731" t="s">
        <v>1708</v>
      </c>
      <c r="E76" s="731" t="s">
        <v>1709</v>
      </c>
      <c r="F76" s="735"/>
      <c r="G76" s="735"/>
      <c r="H76" s="749">
        <v>0</v>
      </c>
      <c r="I76" s="735">
        <v>15</v>
      </c>
      <c r="J76" s="735">
        <v>986.7</v>
      </c>
      <c r="K76" s="749">
        <v>1</v>
      </c>
      <c r="L76" s="735">
        <v>15</v>
      </c>
      <c r="M76" s="736">
        <v>986.7</v>
      </c>
    </row>
    <row r="77" spans="1:13" ht="14.45" customHeight="1" x14ac:dyDescent="0.2">
      <c r="A77" s="730" t="s">
        <v>589</v>
      </c>
      <c r="B77" s="731" t="s">
        <v>1710</v>
      </c>
      <c r="C77" s="731" t="s">
        <v>1711</v>
      </c>
      <c r="D77" s="731" t="s">
        <v>946</v>
      </c>
      <c r="E77" s="731" t="s">
        <v>947</v>
      </c>
      <c r="F77" s="735"/>
      <c r="G77" s="735"/>
      <c r="H77" s="749">
        <v>0</v>
      </c>
      <c r="I77" s="735">
        <v>17</v>
      </c>
      <c r="J77" s="735">
        <v>566.58300000000008</v>
      </c>
      <c r="K77" s="749">
        <v>1</v>
      </c>
      <c r="L77" s="735">
        <v>17</v>
      </c>
      <c r="M77" s="736">
        <v>566.58300000000008</v>
      </c>
    </row>
    <row r="78" spans="1:13" ht="14.45" customHeight="1" x14ac:dyDescent="0.2">
      <c r="A78" s="730" t="s">
        <v>589</v>
      </c>
      <c r="B78" s="731" t="s">
        <v>1710</v>
      </c>
      <c r="C78" s="731" t="s">
        <v>1712</v>
      </c>
      <c r="D78" s="731" t="s">
        <v>946</v>
      </c>
      <c r="E78" s="731" t="s">
        <v>1713</v>
      </c>
      <c r="F78" s="735"/>
      <c r="G78" s="735"/>
      <c r="H78" s="749">
        <v>0</v>
      </c>
      <c r="I78" s="735">
        <v>5</v>
      </c>
      <c r="J78" s="735">
        <v>234.46</v>
      </c>
      <c r="K78" s="749">
        <v>1</v>
      </c>
      <c r="L78" s="735">
        <v>5</v>
      </c>
      <c r="M78" s="736">
        <v>234.46</v>
      </c>
    </row>
    <row r="79" spans="1:13" ht="14.45" customHeight="1" x14ac:dyDescent="0.2">
      <c r="A79" s="730" t="s">
        <v>589</v>
      </c>
      <c r="B79" s="731" t="s">
        <v>1710</v>
      </c>
      <c r="C79" s="731" t="s">
        <v>1714</v>
      </c>
      <c r="D79" s="731" t="s">
        <v>946</v>
      </c>
      <c r="E79" s="731" t="s">
        <v>1715</v>
      </c>
      <c r="F79" s="735"/>
      <c r="G79" s="735"/>
      <c r="H79" s="749">
        <v>0</v>
      </c>
      <c r="I79" s="735">
        <v>34</v>
      </c>
      <c r="J79" s="735">
        <v>1534.3600000000001</v>
      </c>
      <c r="K79" s="749">
        <v>1</v>
      </c>
      <c r="L79" s="735">
        <v>34</v>
      </c>
      <c r="M79" s="736">
        <v>1534.3600000000001</v>
      </c>
    </row>
    <row r="80" spans="1:13" ht="14.45" customHeight="1" x14ac:dyDescent="0.2">
      <c r="A80" s="730" t="s">
        <v>589</v>
      </c>
      <c r="B80" s="731" t="s">
        <v>1716</v>
      </c>
      <c r="C80" s="731" t="s">
        <v>1717</v>
      </c>
      <c r="D80" s="731" t="s">
        <v>1718</v>
      </c>
      <c r="E80" s="731" t="s">
        <v>1719</v>
      </c>
      <c r="F80" s="735"/>
      <c r="G80" s="735"/>
      <c r="H80" s="749">
        <v>0</v>
      </c>
      <c r="I80" s="735">
        <v>2</v>
      </c>
      <c r="J80" s="735">
        <v>308</v>
      </c>
      <c r="K80" s="749">
        <v>1</v>
      </c>
      <c r="L80" s="735">
        <v>2</v>
      </c>
      <c r="M80" s="736">
        <v>308</v>
      </c>
    </row>
    <row r="81" spans="1:13" ht="14.45" customHeight="1" x14ac:dyDescent="0.2">
      <c r="A81" s="730" t="s">
        <v>589</v>
      </c>
      <c r="B81" s="731" t="s">
        <v>1720</v>
      </c>
      <c r="C81" s="731" t="s">
        <v>1721</v>
      </c>
      <c r="D81" s="731" t="s">
        <v>1722</v>
      </c>
      <c r="E81" s="731" t="s">
        <v>1723</v>
      </c>
      <c r="F81" s="735"/>
      <c r="G81" s="735"/>
      <c r="H81" s="749">
        <v>0</v>
      </c>
      <c r="I81" s="735">
        <v>1</v>
      </c>
      <c r="J81" s="735">
        <v>125.86</v>
      </c>
      <c r="K81" s="749">
        <v>1</v>
      </c>
      <c r="L81" s="735">
        <v>1</v>
      </c>
      <c r="M81" s="736">
        <v>125.86</v>
      </c>
    </row>
    <row r="82" spans="1:13" ht="14.45" customHeight="1" x14ac:dyDescent="0.2">
      <c r="A82" s="730" t="s">
        <v>589</v>
      </c>
      <c r="B82" s="731" t="s">
        <v>1720</v>
      </c>
      <c r="C82" s="731" t="s">
        <v>1724</v>
      </c>
      <c r="D82" s="731" t="s">
        <v>1725</v>
      </c>
      <c r="E82" s="731" t="s">
        <v>1726</v>
      </c>
      <c r="F82" s="735"/>
      <c r="G82" s="735"/>
      <c r="H82" s="749">
        <v>0</v>
      </c>
      <c r="I82" s="735">
        <v>1</v>
      </c>
      <c r="J82" s="735">
        <v>58.6</v>
      </c>
      <c r="K82" s="749">
        <v>1</v>
      </c>
      <c r="L82" s="735">
        <v>1</v>
      </c>
      <c r="M82" s="736">
        <v>58.6</v>
      </c>
    </row>
    <row r="83" spans="1:13" ht="14.45" customHeight="1" x14ac:dyDescent="0.2">
      <c r="A83" s="730" t="s">
        <v>589</v>
      </c>
      <c r="B83" s="731" t="s">
        <v>1727</v>
      </c>
      <c r="C83" s="731" t="s">
        <v>1728</v>
      </c>
      <c r="D83" s="731" t="s">
        <v>1729</v>
      </c>
      <c r="E83" s="731" t="s">
        <v>1730</v>
      </c>
      <c r="F83" s="735"/>
      <c r="G83" s="735"/>
      <c r="H83" s="749">
        <v>0</v>
      </c>
      <c r="I83" s="735">
        <v>1</v>
      </c>
      <c r="J83" s="735">
        <v>593.65</v>
      </c>
      <c r="K83" s="749">
        <v>1</v>
      </c>
      <c r="L83" s="735">
        <v>1</v>
      </c>
      <c r="M83" s="736">
        <v>593.65</v>
      </c>
    </row>
    <row r="84" spans="1:13" ht="14.45" customHeight="1" x14ac:dyDescent="0.2">
      <c r="A84" s="730" t="s">
        <v>589</v>
      </c>
      <c r="B84" s="731" t="s">
        <v>1727</v>
      </c>
      <c r="C84" s="731" t="s">
        <v>1731</v>
      </c>
      <c r="D84" s="731" t="s">
        <v>1732</v>
      </c>
      <c r="E84" s="731" t="s">
        <v>1733</v>
      </c>
      <c r="F84" s="735"/>
      <c r="G84" s="735"/>
      <c r="H84" s="749">
        <v>0</v>
      </c>
      <c r="I84" s="735">
        <v>1</v>
      </c>
      <c r="J84" s="735">
        <v>254.94999999999993</v>
      </c>
      <c r="K84" s="749">
        <v>1</v>
      </c>
      <c r="L84" s="735">
        <v>1</v>
      </c>
      <c r="M84" s="736">
        <v>254.94999999999993</v>
      </c>
    </row>
    <row r="85" spans="1:13" ht="14.45" customHeight="1" x14ac:dyDescent="0.2">
      <c r="A85" s="730" t="s">
        <v>589</v>
      </c>
      <c r="B85" s="731" t="s">
        <v>1734</v>
      </c>
      <c r="C85" s="731" t="s">
        <v>1735</v>
      </c>
      <c r="D85" s="731" t="s">
        <v>1736</v>
      </c>
      <c r="E85" s="731" t="s">
        <v>1737</v>
      </c>
      <c r="F85" s="735"/>
      <c r="G85" s="735"/>
      <c r="H85" s="749">
        <v>0</v>
      </c>
      <c r="I85" s="735">
        <v>15</v>
      </c>
      <c r="J85" s="735">
        <v>136.80000000000001</v>
      </c>
      <c r="K85" s="749">
        <v>1</v>
      </c>
      <c r="L85" s="735">
        <v>15</v>
      </c>
      <c r="M85" s="736">
        <v>136.80000000000001</v>
      </c>
    </row>
    <row r="86" spans="1:13" ht="14.45" customHeight="1" x14ac:dyDescent="0.2">
      <c r="A86" s="730" t="s">
        <v>589</v>
      </c>
      <c r="B86" s="731" t="s">
        <v>1738</v>
      </c>
      <c r="C86" s="731" t="s">
        <v>1739</v>
      </c>
      <c r="D86" s="731" t="s">
        <v>1740</v>
      </c>
      <c r="E86" s="731" t="s">
        <v>1741</v>
      </c>
      <c r="F86" s="735"/>
      <c r="G86" s="735"/>
      <c r="H86" s="749">
        <v>0</v>
      </c>
      <c r="I86" s="735">
        <v>11</v>
      </c>
      <c r="J86" s="735">
        <v>741.29</v>
      </c>
      <c r="K86" s="749">
        <v>1</v>
      </c>
      <c r="L86" s="735">
        <v>11</v>
      </c>
      <c r="M86" s="736">
        <v>741.29</v>
      </c>
    </row>
    <row r="87" spans="1:13" ht="14.45" customHeight="1" x14ac:dyDescent="0.2">
      <c r="A87" s="730" t="s">
        <v>589</v>
      </c>
      <c r="B87" s="731" t="s">
        <v>1738</v>
      </c>
      <c r="C87" s="731" t="s">
        <v>1742</v>
      </c>
      <c r="D87" s="731" t="s">
        <v>1740</v>
      </c>
      <c r="E87" s="731" t="s">
        <v>1743</v>
      </c>
      <c r="F87" s="735"/>
      <c r="G87" s="735"/>
      <c r="H87" s="749">
        <v>0</v>
      </c>
      <c r="I87" s="735">
        <v>8</v>
      </c>
      <c r="J87" s="735">
        <v>1244.4960000000001</v>
      </c>
      <c r="K87" s="749">
        <v>1</v>
      </c>
      <c r="L87" s="735">
        <v>8</v>
      </c>
      <c r="M87" s="736">
        <v>1244.4960000000001</v>
      </c>
    </row>
    <row r="88" spans="1:13" ht="14.45" customHeight="1" x14ac:dyDescent="0.2">
      <c r="A88" s="730" t="s">
        <v>589</v>
      </c>
      <c r="B88" s="731" t="s">
        <v>1744</v>
      </c>
      <c r="C88" s="731" t="s">
        <v>1745</v>
      </c>
      <c r="D88" s="731" t="s">
        <v>1066</v>
      </c>
      <c r="E88" s="731" t="s">
        <v>1746</v>
      </c>
      <c r="F88" s="735"/>
      <c r="G88" s="735"/>
      <c r="H88" s="749">
        <v>0</v>
      </c>
      <c r="I88" s="735">
        <v>8</v>
      </c>
      <c r="J88" s="735">
        <v>364.17999999999995</v>
      </c>
      <c r="K88" s="749">
        <v>1</v>
      </c>
      <c r="L88" s="735">
        <v>8</v>
      </c>
      <c r="M88" s="736">
        <v>364.17999999999995</v>
      </c>
    </row>
    <row r="89" spans="1:13" ht="14.45" customHeight="1" x14ac:dyDescent="0.2">
      <c r="A89" s="730" t="s">
        <v>589</v>
      </c>
      <c r="B89" s="731" t="s">
        <v>1747</v>
      </c>
      <c r="C89" s="731" t="s">
        <v>1748</v>
      </c>
      <c r="D89" s="731" t="s">
        <v>1749</v>
      </c>
      <c r="E89" s="731" t="s">
        <v>1750</v>
      </c>
      <c r="F89" s="735"/>
      <c r="G89" s="735"/>
      <c r="H89" s="749">
        <v>0</v>
      </c>
      <c r="I89" s="735">
        <v>1</v>
      </c>
      <c r="J89" s="735">
        <v>91.43</v>
      </c>
      <c r="K89" s="749">
        <v>1</v>
      </c>
      <c r="L89" s="735">
        <v>1</v>
      </c>
      <c r="M89" s="736">
        <v>91.43</v>
      </c>
    </row>
    <row r="90" spans="1:13" ht="14.45" customHeight="1" x14ac:dyDescent="0.2">
      <c r="A90" s="730" t="s">
        <v>589</v>
      </c>
      <c r="B90" s="731" t="s">
        <v>1751</v>
      </c>
      <c r="C90" s="731" t="s">
        <v>1752</v>
      </c>
      <c r="D90" s="731" t="s">
        <v>1043</v>
      </c>
      <c r="E90" s="731" t="s">
        <v>1044</v>
      </c>
      <c r="F90" s="735">
        <v>5</v>
      </c>
      <c r="G90" s="735">
        <v>250.32999999999998</v>
      </c>
      <c r="H90" s="749">
        <v>1</v>
      </c>
      <c r="I90" s="735"/>
      <c r="J90" s="735"/>
      <c r="K90" s="749">
        <v>0</v>
      </c>
      <c r="L90" s="735">
        <v>5</v>
      </c>
      <c r="M90" s="736">
        <v>250.32999999999998</v>
      </c>
    </row>
    <row r="91" spans="1:13" ht="14.45" customHeight="1" x14ac:dyDescent="0.2">
      <c r="A91" s="730" t="s">
        <v>589</v>
      </c>
      <c r="B91" s="731" t="s">
        <v>1751</v>
      </c>
      <c r="C91" s="731" t="s">
        <v>1753</v>
      </c>
      <c r="D91" s="731" t="s">
        <v>1041</v>
      </c>
      <c r="E91" s="731" t="s">
        <v>1042</v>
      </c>
      <c r="F91" s="735"/>
      <c r="G91" s="735"/>
      <c r="H91" s="749">
        <v>0</v>
      </c>
      <c r="I91" s="735">
        <v>15</v>
      </c>
      <c r="J91" s="735">
        <v>1216.8999999999999</v>
      </c>
      <c r="K91" s="749">
        <v>1</v>
      </c>
      <c r="L91" s="735">
        <v>15</v>
      </c>
      <c r="M91" s="736">
        <v>1216.8999999999999</v>
      </c>
    </row>
    <row r="92" spans="1:13" ht="14.45" customHeight="1" x14ac:dyDescent="0.2">
      <c r="A92" s="730" t="s">
        <v>589</v>
      </c>
      <c r="B92" s="731" t="s">
        <v>1751</v>
      </c>
      <c r="C92" s="731" t="s">
        <v>1754</v>
      </c>
      <c r="D92" s="731" t="s">
        <v>1043</v>
      </c>
      <c r="E92" s="731" t="s">
        <v>1044</v>
      </c>
      <c r="F92" s="735"/>
      <c r="G92" s="735"/>
      <c r="H92" s="749">
        <v>0</v>
      </c>
      <c r="I92" s="735">
        <v>2</v>
      </c>
      <c r="J92" s="735">
        <v>99.520000000000024</v>
      </c>
      <c r="K92" s="749">
        <v>1</v>
      </c>
      <c r="L92" s="735">
        <v>2</v>
      </c>
      <c r="M92" s="736">
        <v>99.520000000000024</v>
      </c>
    </row>
    <row r="93" spans="1:13" ht="14.45" customHeight="1" x14ac:dyDescent="0.2">
      <c r="A93" s="730" t="s">
        <v>589</v>
      </c>
      <c r="B93" s="731" t="s">
        <v>1755</v>
      </c>
      <c r="C93" s="731" t="s">
        <v>1756</v>
      </c>
      <c r="D93" s="731" t="s">
        <v>927</v>
      </c>
      <c r="E93" s="731" t="s">
        <v>1757</v>
      </c>
      <c r="F93" s="735"/>
      <c r="G93" s="735"/>
      <c r="H93" s="749">
        <v>0</v>
      </c>
      <c r="I93" s="735">
        <v>3</v>
      </c>
      <c r="J93" s="735">
        <v>158.16999999999999</v>
      </c>
      <c r="K93" s="749">
        <v>1</v>
      </c>
      <c r="L93" s="735">
        <v>3</v>
      </c>
      <c r="M93" s="736">
        <v>158.16999999999999</v>
      </c>
    </row>
    <row r="94" spans="1:13" ht="14.45" customHeight="1" x14ac:dyDescent="0.2">
      <c r="A94" s="730" t="s">
        <v>589</v>
      </c>
      <c r="B94" s="731" t="s">
        <v>1755</v>
      </c>
      <c r="C94" s="731" t="s">
        <v>1758</v>
      </c>
      <c r="D94" s="731" t="s">
        <v>927</v>
      </c>
      <c r="E94" s="731" t="s">
        <v>1759</v>
      </c>
      <c r="F94" s="735"/>
      <c r="G94" s="735"/>
      <c r="H94" s="749">
        <v>0</v>
      </c>
      <c r="I94" s="735">
        <v>21</v>
      </c>
      <c r="J94" s="735">
        <v>1706.05</v>
      </c>
      <c r="K94" s="749">
        <v>1</v>
      </c>
      <c r="L94" s="735">
        <v>21</v>
      </c>
      <c r="M94" s="736">
        <v>1706.05</v>
      </c>
    </row>
    <row r="95" spans="1:13" ht="14.45" customHeight="1" x14ac:dyDescent="0.2">
      <c r="A95" s="730" t="s">
        <v>589</v>
      </c>
      <c r="B95" s="731" t="s">
        <v>1755</v>
      </c>
      <c r="C95" s="731" t="s">
        <v>1760</v>
      </c>
      <c r="D95" s="731" t="s">
        <v>927</v>
      </c>
      <c r="E95" s="731" t="s">
        <v>1761</v>
      </c>
      <c r="F95" s="735"/>
      <c r="G95" s="735"/>
      <c r="H95" s="749">
        <v>0</v>
      </c>
      <c r="I95" s="735">
        <v>1</v>
      </c>
      <c r="J95" s="735">
        <v>135.88999999999996</v>
      </c>
      <c r="K95" s="749">
        <v>1</v>
      </c>
      <c r="L95" s="735">
        <v>1</v>
      </c>
      <c r="M95" s="736">
        <v>135.88999999999996</v>
      </c>
    </row>
    <row r="96" spans="1:13" ht="14.45" customHeight="1" x14ac:dyDescent="0.2">
      <c r="A96" s="730" t="s">
        <v>589</v>
      </c>
      <c r="B96" s="731" t="s">
        <v>1762</v>
      </c>
      <c r="C96" s="731" t="s">
        <v>1763</v>
      </c>
      <c r="D96" s="731" t="s">
        <v>1061</v>
      </c>
      <c r="E96" s="731" t="s">
        <v>1764</v>
      </c>
      <c r="F96" s="735"/>
      <c r="G96" s="735"/>
      <c r="H96" s="749">
        <v>0</v>
      </c>
      <c r="I96" s="735">
        <v>2</v>
      </c>
      <c r="J96" s="735">
        <v>150.37</v>
      </c>
      <c r="K96" s="749">
        <v>1</v>
      </c>
      <c r="L96" s="735">
        <v>2</v>
      </c>
      <c r="M96" s="736">
        <v>150.37</v>
      </c>
    </row>
    <row r="97" spans="1:13" ht="14.45" customHeight="1" x14ac:dyDescent="0.2">
      <c r="A97" s="730" t="s">
        <v>589</v>
      </c>
      <c r="B97" s="731" t="s">
        <v>1762</v>
      </c>
      <c r="C97" s="731" t="s">
        <v>1765</v>
      </c>
      <c r="D97" s="731" t="s">
        <v>1061</v>
      </c>
      <c r="E97" s="731" t="s">
        <v>1766</v>
      </c>
      <c r="F97" s="735"/>
      <c r="G97" s="735"/>
      <c r="H97" s="749">
        <v>0</v>
      </c>
      <c r="I97" s="735">
        <v>2</v>
      </c>
      <c r="J97" s="735">
        <v>199.78000000000003</v>
      </c>
      <c r="K97" s="749">
        <v>1</v>
      </c>
      <c r="L97" s="735">
        <v>2</v>
      </c>
      <c r="M97" s="736">
        <v>199.78000000000003</v>
      </c>
    </row>
    <row r="98" spans="1:13" ht="14.45" customHeight="1" x14ac:dyDescent="0.2">
      <c r="A98" s="730" t="s">
        <v>589</v>
      </c>
      <c r="B98" s="731" t="s">
        <v>1767</v>
      </c>
      <c r="C98" s="731" t="s">
        <v>1768</v>
      </c>
      <c r="D98" s="731" t="s">
        <v>1082</v>
      </c>
      <c r="E98" s="731" t="s">
        <v>1769</v>
      </c>
      <c r="F98" s="735"/>
      <c r="G98" s="735"/>
      <c r="H98" s="749">
        <v>0</v>
      </c>
      <c r="I98" s="735">
        <v>1</v>
      </c>
      <c r="J98" s="735">
        <v>195.74999999999997</v>
      </c>
      <c r="K98" s="749">
        <v>1</v>
      </c>
      <c r="L98" s="735">
        <v>1</v>
      </c>
      <c r="M98" s="736">
        <v>195.74999999999997</v>
      </c>
    </row>
    <row r="99" spans="1:13" ht="14.45" customHeight="1" x14ac:dyDescent="0.2">
      <c r="A99" s="730" t="s">
        <v>589</v>
      </c>
      <c r="B99" s="731" t="s">
        <v>1767</v>
      </c>
      <c r="C99" s="731" t="s">
        <v>1770</v>
      </c>
      <c r="D99" s="731" t="s">
        <v>1075</v>
      </c>
      <c r="E99" s="731" t="s">
        <v>1771</v>
      </c>
      <c r="F99" s="735"/>
      <c r="G99" s="735"/>
      <c r="H99" s="749">
        <v>0</v>
      </c>
      <c r="I99" s="735">
        <v>1</v>
      </c>
      <c r="J99" s="735">
        <v>96.55</v>
      </c>
      <c r="K99" s="749">
        <v>1</v>
      </c>
      <c r="L99" s="735">
        <v>1</v>
      </c>
      <c r="M99" s="736">
        <v>96.55</v>
      </c>
    </row>
    <row r="100" spans="1:13" ht="14.45" customHeight="1" x14ac:dyDescent="0.2">
      <c r="A100" s="730" t="s">
        <v>589</v>
      </c>
      <c r="B100" s="731" t="s">
        <v>1767</v>
      </c>
      <c r="C100" s="731" t="s">
        <v>1772</v>
      </c>
      <c r="D100" s="731" t="s">
        <v>1079</v>
      </c>
      <c r="E100" s="731" t="s">
        <v>1080</v>
      </c>
      <c r="F100" s="735"/>
      <c r="G100" s="735"/>
      <c r="H100" s="749">
        <v>0</v>
      </c>
      <c r="I100" s="735">
        <v>1</v>
      </c>
      <c r="J100" s="735">
        <v>125.36000198765743</v>
      </c>
      <c r="K100" s="749">
        <v>1</v>
      </c>
      <c r="L100" s="735">
        <v>1</v>
      </c>
      <c r="M100" s="736">
        <v>125.36000198765743</v>
      </c>
    </row>
    <row r="101" spans="1:13" ht="14.45" customHeight="1" x14ac:dyDescent="0.2">
      <c r="A101" s="730" t="s">
        <v>589</v>
      </c>
      <c r="B101" s="731" t="s">
        <v>1767</v>
      </c>
      <c r="C101" s="731" t="s">
        <v>1773</v>
      </c>
      <c r="D101" s="731" t="s">
        <v>1077</v>
      </c>
      <c r="E101" s="731" t="s">
        <v>1078</v>
      </c>
      <c r="F101" s="735"/>
      <c r="G101" s="735"/>
      <c r="H101" s="749">
        <v>0</v>
      </c>
      <c r="I101" s="735">
        <v>6</v>
      </c>
      <c r="J101" s="735">
        <v>188.10000000000002</v>
      </c>
      <c r="K101" s="749">
        <v>1</v>
      </c>
      <c r="L101" s="735">
        <v>6</v>
      </c>
      <c r="M101" s="736">
        <v>188.10000000000002</v>
      </c>
    </row>
    <row r="102" spans="1:13" ht="14.45" customHeight="1" x14ac:dyDescent="0.2">
      <c r="A102" s="730" t="s">
        <v>594</v>
      </c>
      <c r="B102" s="731" t="s">
        <v>1751</v>
      </c>
      <c r="C102" s="731" t="s">
        <v>1752</v>
      </c>
      <c r="D102" s="731" t="s">
        <v>1043</v>
      </c>
      <c r="E102" s="731" t="s">
        <v>1044</v>
      </c>
      <c r="F102" s="735">
        <v>1</v>
      </c>
      <c r="G102" s="735">
        <v>50.27</v>
      </c>
      <c r="H102" s="749">
        <v>1</v>
      </c>
      <c r="I102" s="735"/>
      <c r="J102" s="735"/>
      <c r="K102" s="749">
        <v>0</v>
      </c>
      <c r="L102" s="735">
        <v>1</v>
      </c>
      <c r="M102" s="736">
        <v>50.27</v>
      </c>
    </row>
    <row r="103" spans="1:13" ht="14.45" customHeight="1" x14ac:dyDescent="0.2">
      <c r="A103" s="730" t="s">
        <v>597</v>
      </c>
      <c r="B103" s="731" t="s">
        <v>1521</v>
      </c>
      <c r="C103" s="731" t="s">
        <v>1774</v>
      </c>
      <c r="D103" s="731" t="s">
        <v>706</v>
      </c>
      <c r="E103" s="731" t="s">
        <v>1775</v>
      </c>
      <c r="F103" s="735"/>
      <c r="G103" s="735"/>
      <c r="H103" s="749">
        <v>0</v>
      </c>
      <c r="I103" s="735">
        <v>260</v>
      </c>
      <c r="J103" s="735">
        <v>4308.3</v>
      </c>
      <c r="K103" s="749">
        <v>1</v>
      </c>
      <c r="L103" s="735">
        <v>260</v>
      </c>
      <c r="M103" s="736">
        <v>4308.3</v>
      </c>
    </row>
    <row r="104" spans="1:13" ht="14.45" customHeight="1" x14ac:dyDescent="0.2">
      <c r="A104" s="730" t="s">
        <v>597</v>
      </c>
      <c r="B104" s="731" t="s">
        <v>1776</v>
      </c>
      <c r="C104" s="731" t="s">
        <v>1777</v>
      </c>
      <c r="D104" s="731" t="s">
        <v>1778</v>
      </c>
      <c r="E104" s="731" t="s">
        <v>1779</v>
      </c>
      <c r="F104" s="735"/>
      <c r="G104" s="735"/>
      <c r="H104" s="749">
        <v>0</v>
      </c>
      <c r="I104" s="735">
        <v>5</v>
      </c>
      <c r="J104" s="735">
        <v>1369.5</v>
      </c>
      <c r="K104" s="749">
        <v>1</v>
      </c>
      <c r="L104" s="735">
        <v>5</v>
      </c>
      <c r="M104" s="736">
        <v>1369.5</v>
      </c>
    </row>
    <row r="105" spans="1:13" ht="14.45" customHeight="1" x14ac:dyDescent="0.2">
      <c r="A105" s="730" t="s">
        <v>597</v>
      </c>
      <c r="B105" s="731" t="s">
        <v>1527</v>
      </c>
      <c r="C105" s="731" t="s">
        <v>1528</v>
      </c>
      <c r="D105" s="731" t="s">
        <v>1529</v>
      </c>
      <c r="E105" s="731" t="s">
        <v>1530</v>
      </c>
      <c r="F105" s="735"/>
      <c r="G105" s="735"/>
      <c r="H105" s="749">
        <v>0</v>
      </c>
      <c r="I105" s="735">
        <v>6</v>
      </c>
      <c r="J105" s="735">
        <v>2441.38</v>
      </c>
      <c r="K105" s="749">
        <v>1</v>
      </c>
      <c r="L105" s="735">
        <v>6</v>
      </c>
      <c r="M105" s="736">
        <v>2441.38</v>
      </c>
    </row>
    <row r="106" spans="1:13" ht="14.45" customHeight="1" x14ac:dyDescent="0.2">
      <c r="A106" s="730" t="s">
        <v>597</v>
      </c>
      <c r="B106" s="731" t="s">
        <v>1531</v>
      </c>
      <c r="C106" s="731" t="s">
        <v>1536</v>
      </c>
      <c r="D106" s="731" t="s">
        <v>1533</v>
      </c>
      <c r="E106" s="731" t="s">
        <v>1537</v>
      </c>
      <c r="F106" s="735"/>
      <c r="G106" s="735"/>
      <c r="H106" s="749">
        <v>0</v>
      </c>
      <c r="I106" s="735">
        <v>1</v>
      </c>
      <c r="J106" s="735">
        <v>48.929999999999993</v>
      </c>
      <c r="K106" s="749">
        <v>1</v>
      </c>
      <c r="L106" s="735">
        <v>1</v>
      </c>
      <c r="M106" s="736">
        <v>48.929999999999993</v>
      </c>
    </row>
    <row r="107" spans="1:13" ht="14.45" customHeight="1" x14ac:dyDescent="0.2">
      <c r="A107" s="730" t="s">
        <v>597</v>
      </c>
      <c r="B107" s="731" t="s">
        <v>1551</v>
      </c>
      <c r="C107" s="731" t="s">
        <v>1558</v>
      </c>
      <c r="D107" s="731" t="s">
        <v>803</v>
      </c>
      <c r="E107" s="731" t="s">
        <v>1559</v>
      </c>
      <c r="F107" s="735"/>
      <c r="G107" s="735"/>
      <c r="H107" s="749">
        <v>0</v>
      </c>
      <c r="I107" s="735">
        <v>63</v>
      </c>
      <c r="J107" s="735">
        <v>17126.55</v>
      </c>
      <c r="K107" s="749">
        <v>1</v>
      </c>
      <c r="L107" s="735">
        <v>63</v>
      </c>
      <c r="M107" s="736">
        <v>17126.55</v>
      </c>
    </row>
    <row r="108" spans="1:13" ht="14.45" customHeight="1" x14ac:dyDescent="0.2">
      <c r="A108" s="730" t="s">
        <v>597</v>
      </c>
      <c r="B108" s="731" t="s">
        <v>1551</v>
      </c>
      <c r="C108" s="731" t="s">
        <v>1560</v>
      </c>
      <c r="D108" s="731" t="s">
        <v>803</v>
      </c>
      <c r="E108" s="731" t="s">
        <v>1561</v>
      </c>
      <c r="F108" s="735"/>
      <c r="G108" s="735"/>
      <c r="H108" s="749">
        <v>0</v>
      </c>
      <c r="I108" s="735">
        <v>10</v>
      </c>
      <c r="J108" s="735">
        <v>6306.6</v>
      </c>
      <c r="K108" s="749">
        <v>1</v>
      </c>
      <c r="L108" s="735">
        <v>10</v>
      </c>
      <c r="M108" s="736">
        <v>6306.6</v>
      </c>
    </row>
    <row r="109" spans="1:13" ht="14.45" customHeight="1" x14ac:dyDescent="0.2">
      <c r="A109" s="730" t="s">
        <v>597</v>
      </c>
      <c r="B109" s="731" t="s">
        <v>1551</v>
      </c>
      <c r="C109" s="731" t="s">
        <v>1564</v>
      </c>
      <c r="D109" s="731" t="s">
        <v>803</v>
      </c>
      <c r="E109" s="731" t="s">
        <v>1565</v>
      </c>
      <c r="F109" s="735"/>
      <c r="G109" s="735"/>
      <c r="H109" s="749">
        <v>0</v>
      </c>
      <c r="I109" s="735">
        <v>31</v>
      </c>
      <c r="J109" s="735">
        <v>12677.45</v>
      </c>
      <c r="K109" s="749">
        <v>1</v>
      </c>
      <c r="L109" s="735">
        <v>31</v>
      </c>
      <c r="M109" s="736">
        <v>12677.45</v>
      </c>
    </row>
    <row r="110" spans="1:13" ht="14.45" customHeight="1" x14ac:dyDescent="0.2">
      <c r="A110" s="730" t="s">
        <v>597</v>
      </c>
      <c r="B110" s="731" t="s">
        <v>1566</v>
      </c>
      <c r="C110" s="731" t="s">
        <v>1570</v>
      </c>
      <c r="D110" s="731" t="s">
        <v>1568</v>
      </c>
      <c r="E110" s="731" t="s">
        <v>1571</v>
      </c>
      <c r="F110" s="735"/>
      <c r="G110" s="735"/>
      <c r="H110" s="749">
        <v>0</v>
      </c>
      <c r="I110" s="735">
        <v>1</v>
      </c>
      <c r="J110" s="735">
        <v>138.94999999999996</v>
      </c>
      <c r="K110" s="749">
        <v>1</v>
      </c>
      <c r="L110" s="735">
        <v>1</v>
      </c>
      <c r="M110" s="736">
        <v>138.94999999999996</v>
      </c>
    </row>
    <row r="111" spans="1:13" ht="14.45" customHeight="1" x14ac:dyDescent="0.2">
      <c r="A111" s="730" t="s">
        <v>597</v>
      </c>
      <c r="B111" s="731" t="s">
        <v>1572</v>
      </c>
      <c r="C111" s="731" t="s">
        <v>1780</v>
      </c>
      <c r="D111" s="731" t="s">
        <v>1574</v>
      </c>
      <c r="E111" s="731" t="s">
        <v>1781</v>
      </c>
      <c r="F111" s="735"/>
      <c r="G111" s="735"/>
      <c r="H111" s="749">
        <v>0</v>
      </c>
      <c r="I111" s="735">
        <v>1</v>
      </c>
      <c r="J111" s="735">
        <v>393.33</v>
      </c>
      <c r="K111" s="749">
        <v>1</v>
      </c>
      <c r="L111" s="735">
        <v>1</v>
      </c>
      <c r="M111" s="736">
        <v>393.33</v>
      </c>
    </row>
    <row r="112" spans="1:13" ht="14.45" customHeight="1" x14ac:dyDescent="0.2">
      <c r="A112" s="730" t="s">
        <v>597</v>
      </c>
      <c r="B112" s="731" t="s">
        <v>1572</v>
      </c>
      <c r="C112" s="731" t="s">
        <v>1576</v>
      </c>
      <c r="D112" s="731" t="s">
        <v>1574</v>
      </c>
      <c r="E112" s="731" t="s">
        <v>1577</v>
      </c>
      <c r="F112" s="735"/>
      <c r="G112" s="735"/>
      <c r="H112" s="749">
        <v>0</v>
      </c>
      <c r="I112" s="735">
        <v>1</v>
      </c>
      <c r="J112" s="735">
        <v>1505.8700000000001</v>
      </c>
      <c r="K112" s="749">
        <v>1</v>
      </c>
      <c r="L112" s="735">
        <v>1</v>
      </c>
      <c r="M112" s="736">
        <v>1505.8700000000001</v>
      </c>
    </row>
    <row r="113" spans="1:13" ht="14.45" customHeight="1" x14ac:dyDescent="0.2">
      <c r="A113" s="730" t="s">
        <v>597</v>
      </c>
      <c r="B113" s="731" t="s">
        <v>1578</v>
      </c>
      <c r="C113" s="731" t="s">
        <v>1579</v>
      </c>
      <c r="D113" s="731" t="s">
        <v>712</v>
      </c>
      <c r="E113" s="731" t="s">
        <v>1580</v>
      </c>
      <c r="F113" s="735"/>
      <c r="G113" s="735"/>
      <c r="H113" s="749">
        <v>0</v>
      </c>
      <c r="I113" s="735">
        <v>57</v>
      </c>
      <c r="J113" s="735">
        <v>7314.1100000000006</v>
      </c>
      <c r="K113" s="749">
        <v>1</v>
      </c>
      <c r="L113" s="735">
        <v>57</v>
      </c>
      <c r="M113" s="736">
        <v>7314.1100000000006</v>
      </c>
    </row>
    <row r="114" spans="1:13" ht="14.45" customHeight="1" x14ac:dyDescent="0.2">
      <c r="A114" s="730" t="s">
        <v>597</v>
      </c>
      <c r="B114" s="731" t="s">
        <v>1585</v>
      </c>
      <c r="C114" s="731" t="s">
        <v>1782</v>
      </c>
      <c r="D114" s="731" t="s">
        <v>1284</v>
      </c>
      <c r="E114" s="731" t="s">
        <v>1783</v>
      </c>
      <c r="F114" s="735"/>
      <c r="G114" s="735"/>
      <c r="H114" s="749">
        <v>0</v>
      </c>
      <c r="I114" s="735">
        <v>107</v>
      </c>
      <c r="J114" s="735">
        <v>26386.200115656909</v>
      </c>
      <c r="K114" s="749">
        <v>1</v>
      </c>
      <c r="L114" s="735">
        <v>107</v>
      </c>
      <c r="M114" s="736">
        <v>26386.200115656909</v>
      </c>
    </row>
    <row r="115" spans="1:13" ht="14.45" customHeight="1" x14ac:dyDescent="0.2">
      <c r="A115" s="730" t="s">
        <v>597</v>
      </c>
      <c r="B115" s="731" t="s">
        <v>1585</v>
      </c>
      <c r="C115" s="731" t="s">
        <v>1586</v>
      </c>
      <c r="D115" s="731" t="s">
        <v>1284</v>
      </c>
      <c r="E115" s="731" t="s">
        <v>1587</v>
      </c>
      <c r="F115" s="735"/>
      <c r="G115" s="735"/>
      <c r="H115" s="749">
        <v>0</v>
      </c>
      <c r="I115" s="735">
        <v>95</v>
      </c>
      <c r="J115" s="735">
        <v>4685.3999999999996</v>
      </c>
      <c r="K115" s="749">
        <v>1</v>
      </c>
      <c r="L115" s="735">
        <v>95</v>
      </c>
      <c r="M115" s="736">
        <v>4685.3999999999996</v>
      </c>
    </row>
    <row r="116" spans="1:13" ht="14.45" customHeight="1" x14ac:dyDescent="0.2">
      <c r="A116" s="730" t="s">
        <v>597</v>
      </c>
      <c r="B116" s="731" t="s">
        <v>1588</v>
      </c>
      <c r="C116" s="731" t="s">
        <v>1589</v>
      </c>
      <c r="D116" s="731" t="s">
        <v>813</v>
      </c>
      <c r="E116" s="731" t="s">
        <v>814</v>
      </c>
      <c r="F116" s="735"/>
      <c r="G116" s="735"/>
      <c r="H116" s="749">
        <v>0</v>
      </c>
      <c r="I116" s="735">
        <v>137</v>
      </c>
      <c r="J116" s="735">
        <v>5528.3899999999994</v>
      </c>
      <c r="K116" s="749">
        <v>1</v>
      </c>
      <c r="L116" s="735">
        <v>137</v>
      </c>
      <c r="M116" s="736">
        <v>5528.3899999999994</v>
      </c>
    </row>
    <row r="117" spans="1:13" ht="14.45" customHeight="1" x14ac:dyDescent="0.2">
      <c r="A117" s="730" t="s">
        <v>597</v>
      </c>
      <c r="B117" s="731" t="s">
        <v>1588</v>
      </c>
      <c r="C117" s="731" t="s">
        <v>1590</v>
      </c>
      <c r="D117" s="731" t="s">
        <v>813</v>
      </c>
      <c r="E117" s="731" t="s">
        <v>814</v>
      </c>
      <c r="F117" s="735"/>
      <c r="G117" s="735"/>
      <c r="H117" s="749">
        <v>0</v>
      </c>
      <c r="I117" s="735">
        <v>81</v>
      </c>
      <c r="J117" s="735">
        <v>3270.95</v>
      </c>
      <c r="K117" s="749">
        <v>1</v>
      </c>
      <c r="L117" s="735">
        <v>81</v>
      </c>
      <c r="M117" s="736">
        <v>3270.95</v>
      </c>
    </row>
    <row r="118" spans="1:13" ht="14.45" customHeight="1" x14ac:dyDescent="0.2">
      <c r="A118" s="730" t="s">
        <v>597</v>
      </c>
      <c r="B118" s="731" t="s">
        <v>1588</v>
      </c>
      <c r="C118" s="731" t="s">
        <v>1784</v>
      </c>
      <c r="D118" s="731" t="s">
        <v>811</v>
      </c>
      <c r="E118" s="731" t="s">
        <v>1785</v>
      </c>
      <c r="F118" s="735"/>
      <c r="G118" s="735"/>
      <c r="H118" s="749">
        <v>0</v>
      </c>
      <c r="I118" s="735">
        <v>3</v>
      </c>
      <c r="J118" s="735">
        <v>94.559999999999988</v>
      </c>
      <c r="K118" s="749">
        <v>1</v>
      </c>
      <c r="L118" s="735">
        <v>3</v>
      </c>
      <c r="M118" s="736">
        <v>94.559999999999988</v>
      </c>
    </row>
    <row r="119" spans="1:13" ht="14.45" customHeight="1" x14ac:dyDescent="0.2">
      <c r="A119" s="730" t="s">
        <v>597</v>
      </c>
      <c r="B119" s="731" t="s">
        <v>1597</v>
      </c>
      <c r="C119" s="731" t="s">
        <v>1598</v>
      </c>
      <c r="D119" s="731" t="s">
        <v>838</v>
      </c>
      <c r="E119" s="731" t="s">
        <v>1599</v>
      </c>
      <c r="F119" s="735"/>
      <c r="G119" s="735"/>
      <c r="H119" s="749">
        <v>0</v>
      </c>
      <c r="I119" s="735">
        <v>8</v>
      </c>
      <c r="J119" s="735">
        <v>313.19999999999993</v>
      </c>
      <c r="K119" s="749">
        <v>1</v>
      </c>
      <c r="L119" s="735">
        <v>8</v>
      </c>
      <c r="M119" s="736">
        <v>313.19999999999993</v>
      </c>
    </row>
    <row r="120" spans="1:13" ht="14.45" customHeight="1" x14ac:dyDescent="0.2">
      <c r="A120" s="730" t="s">
        <v>597</v>
      </c>
      <c r="B120" s="731" t="s">
        <v>1602</v>
      </c>
      <c r="C120" s="731" t="s">
        <v>1786</v>
      </c>
      <c r="D120" s="731" t="s">
        <v>1331</v>
      </c>
      <c r="E120" s="731" t="s">
        <v>1787</v>
      </c>
      <c r="F120" s="735">
        <v>2</v>
      </c>
      <c r="G120" s="735">
        <v>155.53999999999996</v>
      </c>
      <c r="H120" s="749">
        <v>1</v>
      </c>
      <c r="I120" s="735"/>
      <c r="J120" s="735"/>
      <c r="K120" s="749">
        <v>0</v>
      </c>
      <c r="L120" s="735">
        <v>2</v>
      </c>
      <c r="M120" s="736">
        <v>155.53999999999996</v>
      </c>
    </row>
    <row r="121" spans="1:13" ht="14.45" customHeight="1" x14ac:dyDescent="0.2">
      <c r="A121" s="730" t="s">
        <v>597</v>
      </c>
      <c r="B121" s="731" t="s">
        <v>1602</v>
      </c>
      <c r="C121" s="731" t="s">
        <v>1788</v>
      </c>
      <c r="D121" s="731" t="s">
        <v>1185</v>
      </c>
      <c r="E121" s="731" t="s">
        <v>1187</v>
      </c>
      <c r="F121" s="735"/>
      <c r="G121" s="735"/>
      <c r="H121" s="749">
        <v>0</v>
      </c>
      <c r="I121" s="735">
        <v>1</v>
      </c>
      <c r="J121" s="735">
        <v>207.22999999999996</v>
      </c>
      <c r="K121" s="749">
        <v>1</v>
      </c>
      <c r="L121" s="735">
        <v>1</v>
      </c>
      <c r="M121" s="736">
        <v>207.22999999999996</v>
      </c>
    </row>
    <row r="122" spans="1:13" ht="14.45" customHeight="1" x14ac:dyDescent="0.2">
      <c r="A122" s="730" t="s">
        <v>597</v>
      </c>
      <c r="B122" s="731" t="s">
        <v>1602</v>
      </c>
      <c r="C122" s="731" t="s">
        <v>1789</v>
      </c>
      <c r="D122" s="731" t="s">
        <v>1185</v>
      </c>
      <c r="E122" s="731" t="s">
        <v>1186</v>
      </c>
      <c r="F122" s="735"/>
      <c r="G122" s="735"/>
      <c r="H122" s="749">
        <v>0</v>
      </c>
      <c r="I122" s="735">
        <v>1</v>
      </c>
      <c r="J122" s="735">
        <v>249.59</v>
      </c>
      <c r="K122" s="749">
        <v>1</v>
      </c>
      <c r="L122" s="735">
        <v>1</v>
      </c>
      <c r="M122" s="736">
        <v>249.59</v>
      </c>
    </row>
    <row r="123" spans="1:13" ht="14.45" customHeight="1" x14ac:dyDescent="0.2">
      <c r="A123" s="730" t="s">
        <v>597</v>
      </c>
      <c r="B123" s="731" t="s">
        <v>1602</v>
      </c>
      <c r="C123" s="731" t="s">
        <v>1790</v>
      </c>
      <c r="D123" s="731" t="s">
        <v>1221</v>
      </c>
      <c r="E123" s="731" t="s">
        <v>1791</v>
      </c>
      <c r="F123" s="735">
        <v>1</v>
      </c>
      <c r="G123" s="735">
        <v>109.00000000000003</v>
      </c>
      <c r="H123" s="749">
        <v>1</v>
      </c>
      <c r="I123" s="735"/>
      <c r="J123" s="735"/>
      <c r="K123" s="749">
        <v>0</v>
      </c>
      <c r="L123" s="735">
        <v>1</v>
      </c>
      <c r="M123" s="736">
        <v>109.00000000000003</v>
      </c>
    </row>
    <row r="124" spans="1:13" ht="14.45" customHeight="1" x14ac:dyDescent="0.2">
      <c r="A124" s="730" t="s">
        <v>597</v>
      </c>
      <c r="B124" s="731" t="s">
        <v>1610</v>
      </c>
      <c r="C124" s="731" t="s">
        <v>1617</v>
      </c>
      <c r="D124" s="731" t="s">
        <v>673</v>
      </c>
      <c r="E124" s="731" t="s">
        <v>705</v>
      </c>
      <c r="F124" s="735"/>
      <c r="G124" s="735"/>
      <c r="H124" s="749">
        <v>0</v>
      </c>
      <c r="I124" s="735">
        <v>1</v>
      </c>
      <c r="J124" s="735">
        <v>87.02</v>
      </c>
      <c r="K124" s="749">
        <v>1</v>
      </c>
      <c r="L124" s="735">
        <v>1</v>
      </c>
      <c r="M124" s="736">
        <v>87.02</v>
      </c>
    </row>
    <row r="125" spans="1:13" ht="14.45" customHeight="1" x14ac:dyDescent="0.2">
      <c r="A125" s="730" t="s">
        <v>597</v>
      </c>
      <c r="B125" s="731" t="s">
        <v>1610</v>
      </c>
      <c r="C125" s="731" t="s">
        <v>1618</v>
      </c>
      <c r="D125" s="731" t="s">
        <v>673</v>
      </c>
      <c r="E125" s="731" t="s">
        <v>674</v>
      </c>
      <c r="F125" s="735"/>
      <c r="G125" s="735"/>
      <c r="H125" s="749">
        <v>0</v>
      </c>
      <c r="I125" s="735">
        <v>3</v>
      </c>
      <c r="J125" s="735">
        <v>156.65999999999997</v>
      </c>
      <c r="K125" s="749">
        <v>1</v>
      </c>
      <c r="L125" s="735">
        <v>3</v>
      </c>
      <c r="M125" s="736">
        <v>156.65999999999997</v>
      </c>
    </row>
    <row r="126" spans="1:13" ht="14.45" customHeight="1" x14ac:dyDescent="0.2">
      <c r="A126" s="730" t="s">
        <v>597</v>
      </c>
      <c r="B126" s="731" t="s">
        <v>1792</v>
      </c>
      <c r="C126" s="731" t="s">
        <v>1793</v>
      </c>
      <c r="D126" s="731" t="s">
        <v>1794</v>
      </c>
      <c r="E126" s="731" t="s">
        <v>1795</v>
      </c>
      <c r="F126" s="735"/>
      <c r="G126" s="735"/>
      <c r="H126" s="749">
        <v>0</v>
      </c>
      <c r="I126" s="735">
        <v>1</v>
      </c>
      <c r="J126" s="735">
        <v>53.97</v>
      </c>
      <c r="K126" s="749">
        <v>1</v>
      </c>
      <c r="L126" s="735">
        <v>1</v>
      </c>
      <c r="M126" s="736">
        <v>53.97</v>
      </c>
    </row>
    <row r="127" spans="1:13" ht="14.45" customHeight="1" x14ac:dyDescent="0.2">
      <c r="A127" s="730" t="s">
        <v>597</v>
      </c>
      <c r="B127" s="731" t="s">
        <v>1634</v>
      </c>
      <c r="C127" s="731" t="s">
        <v>1796</v>
      </c>
      <c r="D127" s="731" t="s">
        <v>1639</v>
      </c>
      <c r="E127" s="731" t="s">
        <v>1797</v>
      </c>
      <c r="F127" s="735"/>
      <c r="G127" s="735"/>
      <c r="H127" s="749">
        <v>0</v>
      </c>
      <c r="I127" s="735">
        <v>1</v>
      </c>
      <c r="J127" s="735">
        <v>163.99</v>
      </c>
      <c r="K127" s="749">
        <v>1</v>
      </c>
      <c r="L127" s="735">
        <v>1</v>
      </c>
      <c r="M127" s="736">
        <v>163.99</v>
      </c>
    </row>
    <row r="128" spans="1:13" ht="14.45" customHeight="1" x14ac:dyDescent="0.2">
      <c r="A128" s="730" t="s">
        <v>597</v>
      </c>
      <c r="B128" s="731" t="s">
        <v>1646</v>
      </c>
      <c r="C128" s="731" t="s">
        <v>1798</v>
      </c>
      <c r="D128" s="731" t="s">
        <v>993</v>
      </c>
      <c r="E128" s="731" t="s">
        <v>1799</v>
      </c>
      <c r="F128" s="735"/>
      <c r="G128" s="735"/>
      <c r="H128" s="749">
        <v>0</v>
      </c>
      <c r="I128" s="735">
        <v>1</v>
      </c>
      <c r="J128" s="735">
        <v>70.330000000000013</v>
      </c>
      <c r="K128" s="749">
        <v>1</v>
      </c>
      <c r="L128" s="735">
        <v>1</v>
      </c>
      <c r="M128" s="736">
        <v>70.330000000000013</v>
      </c>
    </row>
    <row r="129" spans="1:13" ht="14.45" customHeight="1" x14ac:dyDescent="0.2">
      <c r="A129" s="730" t="s">
        <v>597</v>
      </c>
      <c r="B129" s="731" t="s">
        <v>1646</v>
      </c>
      <c r="C129" s="731" t="s">
        <v>1800</v>
      </c>
      <c r="D129" s="731" t="s">
        <v>993</v>
      </c>
      <c r="E129" s="731" t="s">
        <v>1801</v>
      </c>
      <c r="F129" s="735"/>
      <c r="G129" s="735"/>
      <c r="H129" s="749">
        <v>0</v>
      </c>
      <c r="I129" s="735">
        <v>12</v>
      </c>
      <c r="J129" s="735">
        <v>2044.0800000000002</v>
      </c>
      <c r="K129" s="749">
        <v>1</v>
      </c>
      <c r="L129" s="735">
        <v>12</v>
      </c>
      <c r="M129" s="736">
        <v>2044.0800000000002</v>
      </c>
    </row>
    <row r="130" spans="1:13" ht="14.45" customHeight="1" x14ac:dyDescent="0.2">
      <c r="A130" s="730" t="s">
        <v>597</v>
      </c>
      <c r="B130" s="731" t="s">
        <v>1651</v>
      </c>
      <c r="C130" s="731" t="s">
        <v>1802</v>
      </c>
      <c r="D130" s="731" t="s">
        <v>1653</v>
      </c>
      <c r="E130" s="731" t="s">
        <v>1803</v>
      </c>
      <c r="F130" s="735"/>
      <c r="G130" s="735"/>
      <c r="H130" s="749">
        <v>0</v>
      </c>
      <c r="I130" s="735">
        <v>1</v>
      </c>
      <c r="J130" s="735">
        <v>92.69</v>
      </c>
      <c r="K130" s="749">
        <v>1</v>
      </c>
      <c r="L130" s="735">
        <v>1</v>
      </c>
      <c r="M130" s="736">
        <v>92.69</v>
      </c>
    </row>
    <row r="131" spans="1:13" ht="14.45" customHeight="1" x14ac:dyDescent="0.2">
      <c r="A131" s="730" t="s">
        <v>597</v>
      </c>
      <c r="B131" s="731" t="s">
        <v>1651</v>
      </c>
      <c r="C131" s="731" t="s">
        <v>1652</v>
      </c>
      <c r="D131" s="731" t="s">
        <v>1653</v>
      </c>
      <c r="E131" s="731" t="s">
        <v>1654</v>
      </c>
      <c r="F131" s="735"/>
      <c r="G131" s="735"/>
      <c r="H131" s="749">
        <v>0</v>
      </c>
      <c r="I131" s="735">
        <v>1</v>
      </c>
      <c r="J131" s="735">
        <v>62.589999999999996</v>
      </c>
      <c r="K131" s="749">
        <v>1</v>
      </c>
      <c r="L131" s="735">
        <v>1</v>
      </c>
      <c r="M131" s="736">
        <v>62.589999999999996</v>
      </c>
    </row>
    <row r="132" spans="1:13" ht="14.45" customHeight="1" x14ac:dyDescent="0.2">
      <c r="A132" s="730" t="s">
        <v>597</v>
      </c>
      <c r="B132" s="731" t="s">
        <v>1664</v>
      </c>
      <c r="C132" s="731" t="s">
        <v>1665</v>
      </c>
      <c r="D132" s="731" t="s">
        <v>1666</v>
      </c>
      <c r="E132" s="731" t="s">
        <v>1667</v>
      </c>
      <c r="F132" s="735">
        <v>5</v>
      </c>
      <c r="G132" s="735">
        <v>2083.8999999999996</v>
      </c>
      <c r="H132" s="749">
        <v>1</v>
      </c>
      <c r="I132" s="735"/>
      <c r="J132" s="735"/>
      <c r="K132" s="749">
        <v>0</v>
      </c>
      <c r="L132" s="735">
        <v>5</v>
      </c>
      <c r="M132" s="736">
        <v>2083.8999999999996</v>
      </c>
    </row>
    <row r="133" spans="1:13" ht="14.45" customHeight="1" x14ac:dyDescent="0.2">
      <c r="A133" s="730" t="s">
        <v>597</v>
      </c>
      <c r="B133" s="731" t="s">
        <v>1668</v>
      </c>
      <c r="C133" s="731" t="s">
        <v>1669</v>
      </c>
      <c r="D133" s="731" t="s">
        <v>1670</v>
      </c>
      <c r="E133" s="731" t="s">
        <v>1671</v>
      </c>
      <c r="F133" s="735"/>
      <c r="G133" s="735"/>
      <c r="H133" s="749">
        <v>0</v>
      </c>
      <c r="I133" s="735">
        <v>1.5</v>
      </c>
      <c r="J133" s="735">
        <v>294.03000000000003</v>
      </c>
      <c r="K133" s="749">
        <v>1</v>
      </c>
      <c r="L133" s="735">
        <v>1.5</v>
      </c>
      <c r="M133" s="736">
        <v>294.03000000000003</v>
      </c>
    </row>
    <row r="134" spans="1:13" ht="14.45" customHeight="1" x14ac:dyDescent="0.2">
      <c r="A134" s="730" t="s">
        <v>597</v>
      </c>
      <c r="B134" s="731" t="s">
        <v>1672</v>
      </c>
      <c r="C134" s="731" t="s">
        <v>1673</v>
      </c>
      <c r="D134" s="731" t="s">
        <v>1674</v>
      </c>
      <c r="E134" s="731" t="s">
        <v>1675</v>
      </c>
      <c r="F134" s="735">
        <v>50</v>
      </c>
      <c r="G134" s="735">
        <v>1670</v>
      </c>
      <c r="H134" s="749">
        <v>1</v>
      </c>
      <c r="I134" s="735"/>
      <c r="J134" s="735"/>
      <c r="K134" s="749">
        <v>0</v>
      </c>
      <c r="L134" s="735">
        <v>50</v>
      </c>
      <c r="M134" s="736">
        <v>1670</v>
      </c>
    </row>
    <row r="135" spans="1:13" ht="14.45" customHeight="1" x14ac:dyDescent="0.2">
      <c r="A135" s="730" t="s">
        <v>597</v>
      </c>
      <c r="B135" s="731" t="s">
        <v>1676</v>
      </c>
      <c r="C135" s="731" t="s">
        <v>1677</v>
      </c>
      <c r="D135" s="731" t="s">
        <v>1678</v>
      </c>
      <c r="E135" s="731" t="s">
        <v>1679</v>
      </c>
      <c r="F135" s="735">
        <v>1</v>
      </c>
      <c r="G135" s="735">
        <v>374</v>
      </c>
      <c r="H135" s="749">
        <v>1</v>
      </c>
      <c r="I135" s="735"/>
      <c r="J135" s="735"/>
      <c r="K135" s="749">
        <v>0</v>
      </c>
      <c r="L135" s="735">
        <v>1</v>
      </c>
      <c r="M135" s="736">
        <v>374</v>
      </c>
    </row>
    <row r="136" spans="1:13" ht="14.45" customHeight="1" x14ac:dyDescent="0.2">
      <c r="A136" s="730" t="s">
        <v>597</v>
      </c>
      <c r="B136" s="731" t="s">
        <v>1680</v>
      </c>
      <c r="C136" s="731" t="s">
        <v>1681</v>
      </c>
      <c r="D136" s="731" t="s">
        <v>1129</v>
      </c>
      <c r="E136" s="731" t="s">
        <v>1130</v>
      </c>
      <c r="F136" s="735"/>
      <c r="G136" s="735"/>
      <c r="H136" s="749">
        <v>0</v>
      </c>
      <c r="I136" s="735">
        <v>8</v>
      </c>
      <c r="J136" s="735">
        <v>6600.6400000000012</v>
      </c>
      <c r="K136" s="749">
        <v>1</v>
      </c>
      <c r="L136" s="735">
        <v>8</v>
      </c>
      <c r="M136" s="736">
        <v>6600.6400000000012</v>
      </c>
    </row>
    <row r="137" spans="1:13" ht="14.45" customHeight="1" x14ac:dyDescent="0.2">
      <c r="A137" s="730" t="s">
        <v>597</v>
      </c>
      <c r="B137" s="731" t="s">
        <v>1804</v>
      </c>
      <c r="C137" s="731" t="s">
        <v>1805</v>
      </c>
      <c r="D137" s="731" t="s">
        <v>1806</v>
      </c>
      <c r="E137" s="731" t="s">
        <v>1807</v>
      </c>
      <c r="F137" s="735"/>
      <c r="G137" s="735"/>
      <c r="H137" s="749">
        <v>0</v>
      </c>
      <c r="I137" s="735">
        <v>7</v>
      </c>
      <c r="J137" s="735">
        <v>292.01</v>
      </c>
      <c r="K137" s="749">
        <v>1</v>
      </c>
      <c r="L137" s="735">
        <v>7</v>
      </c>
      <c r="M137" s="736">
        <v>292.01</v>
      </c>
    </row>
    <row r="138" spans="1:13" ht="14.45" customHeight="1" x14ac:dyDescent="0.2">
      <c r="A138" s="730" t="s">
        <v>597</v>
      </c>
      <c r="B138" s="731" t="s">
        <v>1808</v>
      </c>
      <c r="C138" s="731" t="s">
        <v>1809</v>
      </c>
      <c r="D138" s="731" t="s">
        <v>1810</v>
      </c>
      <c r="E138" s="731" t="s">
        <v>1811</v>
      </c>
      <c r="F138" s="735"/>
      <c r="G138" s="735"/>
      <c r="H138" s="749">
        <v>0</v>
      </c>
      <c r="I138" s="735">
        <v>1</v>
      </c>
      <c r="J138" s="735">
        <v>544.39</v>
      </c>
      <c r="K138" s="749">
        <v>1</v>
      </c>
      <c r="L138" s="735">
        <v>1</v>
      </c>
      <c r="M138" s="736">
        <v>544.39</v>
      </c>
    </row>
    <row r="139" spans="1:13" ht="14.45" customHeight="1" x14ac:dyDescent="0.2">
      <c r="A139" s="730" t="s">
        <v>597</v>
      </c>
      <c r="B139" s="731" t="s">
        <v>1690</v>
      </c>
      <c r="C139" s="731" t="s">
        <v>1691</v>
      </c>
      <c r="D139" s="731" t="s">
        <v>1692</v>
      </c>
      <c r="E139" s="731" t="s">
        <v>1693</v>
      </c>
      <c r="F139" s="735"/>
      <c r="G139" s="735"/>
      <c r="H139" s="749">
        <v>0</v>
      </c>
      <c r="I139" s="735">
        <v>15</v>
      </c>
      <c r="J139" s="735">
        <v>467.46</v>
      </c>
      <c r="K139" s="749">
        <v>1</v>
      </c>
      <c r="L139" s="735">
        <v>15</v>
      </c>
      <c r="M139" s="736">
        <v>467.46</v>
      </c>
    </row>
    <row r="140" spans="1:13" ht="14.45" customHeight="1" x14ac:dyDescent="0.2">
      <c r="A140" s="730" t="s">
        <v>597</v>
      </c>
      <c r="B140" s="731" t="s">
        <v>1690</v>
      </c>
      <c r="C140" s="731" t="s">
        <v>1694</v>
      </c>
      <c r="D140" s="731" t="s">
        <v>1692</v>
      </c>
      <c r="E140" s="731" t="s">
        <v>1695</v>
      </c>
      <c r="F140" s="735"/>
      <c r="G140" s="735"/>
      <c r="H140" s="749">
        <v>0</v>
      </c>
      <c r="I140" s="735">
        <v>10</v>
      </c>
      <c r="J140" s="735">
        <v>528.80000000000007</v>
      </c>
      <c r="K140" s="749">
        <v>1</v>
      </c>
      <c r="L140" s="735">
        <v>10</v>
      </c>
      <c r="M140" s="736">
        <v>528.80000000000007</v>
      </c>
    </row>
    <row r="141" spans="1:13" ht="14.45" customHeight="1" x14ac:dyDescent="0.2">
      <c r="A141" s="730" t="s">
        <v>597</v>
      </c>
      <c r="B141" s="731" t="s">
        <v>1696</v>
      </c>
      <c r="C141" s="731" t="s">
        <v>1697</v>
      </c>
      <c r="D141" s="731" t="s">
        <v>1131</v>
      </c>
      <c r="E141" s="731" t="s">
        <v>1698</v>
      </c>
      <c r="F141" s="735">
        <v>1</v>
      </c>
      <c r="G141" s="735">
        <v>188.46</v>
      </c>
      <c r="H141" s="749">
        <v>1</v>
      </c>
      <c r="I141" s="735"/>
      <c r="J141" s="735"/>
      <c r="K141" s="749">
        <v>0</v>
      </c>
      <c r="L141" s="735">
        <v>1</v>
      </c>
      <c r="M141" s="736">
        <v>188.46</v>
      </c>
    </row>
    <row r="142" spans="1:13" ht="14.45" customHeight="1" x14ac:dyDescent="0.2">
      <c r="A142" s="730" t="s">
        <v>597</v>
      </c>
      <c r="B142" s="731" t="s">
        <v>1812</v>
      </c>
      <c r="C142" s="731" t="s">
        <v>1813</v>
      </c>
      <c r="D142" s="731" t="s">
        <v>1401</v>
      </c>
      <c r="E142" s="731" t="s">
        <v>1814</v>
      </c>
      <c r="F142" s="735"/>
      <c r="G142" s="735"/>
      <c r="H142" s="749">
        <v>0</v>
      </c>
      <c r="I142" s="735">
        <v>0.4</v>
      </c>
      <c r="J142" s="735">
        <v>453.95200000000006</v>
      </c>
      <c r="K142" s="749">
        <v>1</v>
      </c>
      <c r="L142" s="735">
        <v>0.4</v>
      </c>
      <c r="M142" s="736">
        <v>453.95200000000006</v>
      </c>
    </row>
    <row r="143" spans="1:13" ht="14.45" customHeight="1" x14ac:dyDescent="0.2">
      <c r="A143" s="730" t="s">
        <v>597</v>
      </c>
      <c r="B143" s="731" t="s">
        <v>1699</v>
      </c>
      <c r="C143" s="731" t="s">
        <v>1815</v>
      </c>
      <c r="D143" s="731" t="s">
        <v>1701</v>
      </c>
      <c r="E143" s="731" t="s">
        <v>1816</v>
      </c>
      <c r="F143" s="735"/>
      <c r="G143" s="735"/>
      <c r="H143" s="749">
        <v>0</v>
      </c>
      <c r="I143" s="735">
        <v>1</v>
      </c>
      <c r="J143" s="735">
        <v>319</v>
      </c>
      <c r="K143" s="749">
        <v>1</v>
      </c>
      <c r="L143" s="735">
        <v>1</v>
      </c>
      <c r="M143" s="736">
        <v>319</v>
      </c>
    </row>
    <row r="144" spans="1:13" ht="14.45" customHeight="1" x14ac:dyDescent="0.2">
      <c r="A144" s="730" t="s">
        <v>597</v>
      </c>
      <c r="B144" s="731" t="s">
        <v>1817</v>
      </c>
      <c r="C144" s="731" t="s">
        <v>1818</v>
      </c>
      <c r="D144" s="731" t="s">
        <v>1819</v>
      </c>
      <c r="E144" s="731" t="s">
        <v>1820</v>
      </c>
      <c r="F144" s="735"/>
      <c r="G144" s="735"/>
      <c r="H144" s="749">
        <v>0</v>
      </c>
      <c r="I144" s="735">
        <v>3</v>
      </c>
      <c r="J144" s="735">
        <v>3303.63</v>
      </c>
      <c r="K144" s="749">
        <v>1</v>
      </c>
      <c r="L144" s="735">
        <v>3</v>
      </c>
      <c r="M144" s="736">
        <v>3303.63</v>
      </c>
    </row>
    <row r="145" spans="1:13" ht="14.45" customHeight="1" x14ac:dyDescent="0.2">
      <c r="A145" s="730" t="s">
        <v>597</v>
      </c>
      <c r="B145" s="731" t="s">
        <v>1821</v>
      </c>
      <c r="C145" s="731" t="s">
        <v>1822</v>
      </c>
      <c r="D145" s="731" t="s">
        <v>1206</v>
      </c>
      <c r="E145" s="731" t="s">
        <v>1207</v>
      </c>
      <c r="F145" s="735"/>
      <c r="G145" s="735"/>
      <c r="H145" s="749">
        <v>0</v>
      </c>
      <c r="I145" s="735">
        <v>2</v>
      </c>
      <c r="J145" s="735">
        <v>1093.6399999999994</v>
      </c>
      <c r="K145" s="749">
        <v>1</v>
      </c>
      <c r="L145" s="735">
        <v>2</v>
      </c>
      <c r="M145" s="736">
        <v>1093.6399999999994</v>
      </c>
    </row>
    <row r="146" spans="1:13" ht="14.45" customHeight="1" x14ac:dyDescent="0.2">
      <c r="A146" s="730" t="s">
        <v>597</v>
      </c>
      <c r="B146" s="731" t="s">
        <v>1823</v>
      </c>
      <c r="C146" s="731" t="s">
        <v>1824</v>
      </c>
      <c r="D146" s="731" t="s">
        <v>1825</v>
      </c>
      <c r="E146" s="731" t="s">
        <v>1826</v>
      </c>
      <c r="F146" s="735"/>
      <c r="G146" s="735"/>
      <c r="H146" s="749">
        <v>0</v>
      </c>
      <c r="I146" s="735">
        <v>1</v>
      </c>
      <c r="J146" s="735">
        <v>533.62000000000012</v>
      </c>
      <c r="K146" s="749">
        <v>1</v>
      </c>
      <c r="L146" s="735">
        <v>1</v>
      </c>
      <c r="M146" s="736">
        <v>533.62000000000012</v>
      </c>
    </row>
    <row r="147" spans="1:13" ht="14.45" customHeight="1" x14ac:dyDescent="0.2">
      <c r="A147" s="730" t="s">
        <v>597</v>
      </c>
      <c r="B147" s="731" t="s">
        <v>1827</v>
      </c>
      <c r="C147" s="731" t="s">
        <v>1828</v>
      </c>
      <c r="D147" s="731" t="s">
        <v>1248</v>
      </c>
      <c r="E147" s="731" t="s">
        <v>1249</v>
      </c>
      <c r="F147" s="735"/>
      <c r="G147" s="735"/>
      <c r="H147" s="749">
        <v>0</v>
      </c>
      <c r="I147" s="735">
        <v>1</v>
      </c>
      <c r="J147" s="735">
        <v>364.52</v>
      </c>
      <c r="K147" s="749">
        <v>1</v>
      </c>
      <c r="L147" s="735">
        <v>1</v>
      </c>
      <c r="M147" s="736">
        <v>364.52</v>
      </c>
    </row>
    <row r="148" spans="1:13" ht="14.45" customHeight="1" x14ac:dyDescent="0.2">
      <c r="A148" s="730" t="s">
        <v>597</v>
      </c>
      <c r="B148" s="731" t="s">
        <v>1829</v>
      </c>
      <c r="C148" s="731" t="s">
        <v>1830</v>
      </c>
      <c r="D148" s="731" t="s">
        <v>1302</v>
      </c>
      <c r="E148" s="731" t="s">
        <v>1303</v>
      </c>
      <c r="F148" s="735"/>
      <c r="G148" s="735"/>
      <c r="H148" s="749">
        <v>0</v>
      </c>
      <c r="I148" s="735">
        <v>4</v>
      </c>
      <c r="J148" s="735">
        <v>1980.0000000000002</v>
      </c>
      <c r="K148" s="749">
        <v>1</v>
      </c>
      <c r="L148" s="735">
        <v>4</v>
      </c>
      <c r="M148" s="736">
        <v>1980.0000000000002</v>
      </c>
    </row>
    <row r="149" spans="1:13" ht="14.45" customHeight="1" x14ac:dyDescent="0.2">
      <c r="A149" s="730" t="s">
        <v>597</v>
      </c>
      <c r="B149" s="731" t="s">
        <v>1706</v>
      </c>
      <c r="C149" s="731" t="s">
        <v>1707</v>
      </c>
      <c r="D149" s="731" t="s">
        <v>1708</v>
      </c>
      <c r="E149" s="731" t="s">
        <v>1709</v>
      </c>
      <c r="F149" s="735"/>
      <c r="G149" s="735"/>
      <c r="H149" s="749">
        <v>0</v>
      </c>
      <c r="I149" s="735">
        <v>10</v>
      </c>
      <c r="J149" s="735">
        <v>657.8</v>
      </c>
      <c r="K149" s="749">
        <v>1</v>
      </c>
      <c r="L149" s="735">
        <v>10</v>
      </c>
      <c r="M149" s="736">
        <v>657.8</v>
      </c>
    </row>
    <row r="150" spans="1:13" ht="14.45" customHeight="1" x14ac:dyDescent="0.2">
      <c r="A150" s="730" t="s">
        <v>597</v>
      </c>
      <c r="B150" s="731" t="s">
        <v>1706</v>
      </c>
      <c r="C150" s="731" t="s">
        <v>1831</v>
      </c>
      <c r="D150" s="731" t="s">
        <v>1708</v>
      </c>
      <c r="E150" s="731" t="s">
        <v>1832</v>
      </c>
      <c r="F150" s="735"/>
      <c r="G150" s="735"/>
      <c r="H150" s="749">
        <v>0</v>
      </c>
      <c r="I150" s="735">
        <v>17</v>
      </c>
      <c r="J150" s="735">
        <v>6638.5</v>
      </c>
      <c r="K150" s="749">
        <v>1</v>
      </c>
      <c r="L150" s="735">
        <v>17</v>
      </c>
      <c r="M150" s="736">
        <v>6638.5</v>
      </c>
    </row>
    <row r="151" spans="1:13" ht="14.45" customHeight="1" x14ac:dyDescent="0.2">
      <c r="A151" s="730" t="s">
        <v>597</v>
      </c>
      <c r="B151" s="731" t="s">
        <v>1706</v>
      </c>
      <c r="C151" s="731" t="s">
        <v>1833</v>
      </c>
      <c r="D151" s="731" t="s">
        <v>1708</v>
      </c>
      <c r="E151" s="731" t="s">
        <v>1834</v>
      </c>
      <c r="F151" s="735"/>
      <c r="G151" s="735"/>
      <c r="H151" s="749">
        <v>0</v>
      </c>
      <c r="I151" s="735">
        <v>20</v>
      </c>
      <c r="J151" s="735">
        <v>12540</v>
      </c>
      <c r="K151" s="749">
        <v>1</v>
      </c>
      <c r="L151" s="735">
        <v>20</v>
      </c>
      <c r="M151" s="736">
        <v>12540</v>
      </c>
    </row>
    <row r="152" spans="1:13" ht="14.45" customHeight="1" x14ac:dyDescent="0.2">
      <c r="A152" s="730" t="s">
        <v>597</v>
      </c>
      <c r="B152" s="731" t="s">
        <v>1835</v>
      </c>
      <c r="C152" s="731" t="s">
        <v>1836</v>
      </c>
      <c r="D152" s="731" t="s">
        <v>1837</v>
      </c>
      <c r="E152" s="731" t="s">
        <v>1838</v>
      </c>
      <c r="F152" s="735"/>
      <c r="G152" s="735"/>
      <c r="H152" s="749">
        <v>0</v>
      </c>
      <c r="I152" s="735">
        <v>7</v>
      </c>
      <c r="J152" s="735">
        <v>770</v>
      </c>
      <c r="K152" s="749">
        <v>1</v>
      </c>
      <c r="L152" s="735">
        <v>7</v>
      </c>
      <c r="M152" s="736">
        <v>770</v>
      </c>
    </row>
    <row r="153" spans="1:13" ht="14.45" customHeight="1" x14ac:dyDescent="0.2">
      <c r="A153" s="730" t="s">
        <v>597</v>
      </c>
      <c r="B153" s="731" t="s">
        <v>1710</v>
      </c>
      <c r="C153" s="731" t="s">
        <v>1711</v>
      </c>
      <c r="D153" s="731" t="s">
        <v>946</v>
      </c>
      <c r="E153" s="731" t="s">
        <v>947</v>
      </c>
      <c r="F153" s="735"/>
      <c r="G153" s="735"/>
      <c r="H153" s="749">
        <v>0</v>
      </c>
      <c r="I153" s="735">
        <v>5</v>
      </c>
      <c r="J153" s="735">
        <v>165.05499883885079</v>
      </c>
      <c r="K153" s="749">
        <v>1</v>
      </c>
      <c r="L153" s="735">
        <v>5</v>
      </c>
      <c r="M153" s="736">
        <v>165.05499883885079</v>
      </c>
    </row>
    <row r="154" spans="1:13" ht="14.45" customHeight="1" x14ac:dyDescent="0.2">
      <c r="A154" s="730" t="s">
        <v>597</v>
      </c>
      <c r="B154" s="731" t="s">
        <v>1710</v>
      </c>
      <c r="C154" s="731" t="s">
        <v>1714</v>
      </c>
      <c r="D154" s="731" t="s">
        <v>946</v>
      </c>
      <c r="E154" s="731" t="s">
        <v>1715</v>
      </c>
      <c r="F154" s="735"/>
      <c r="G154" s="735"/>
      <c r="H154" s="749">
        <v>0</v>
      </c>
      <c r="I154" s="735">
        <v>128</v>
      </c>
      <c r="J154" s="735">
        <v>5742.1900000000005</v>
      </c>
      <c r="K154" s="749">
        <v>1</v>
      </c>
      <c r="L154" s="735">
        <v>128</v>
      </c>
      <c r="M154" s="736">
        <v>5742.1900000000005</v>
      </c>
    </row>
    <row r="155" spans="1:13" ht="14.45" customHeight="1" x14ac:dyDescent="0.2">
      <c r="A155" s="730" t="s">
        <v>597</v>
      </c>
      <c r="B155" s="731" t="s">
        <v>1716</v>
      </c>
      <c r="C155" s="731" t="s">
        <v>1717</v>
      </c>
      <c r="D155" s="731" t="s">
        <v>1718</v>
      </c>
      <c r="E155" s="731" t="s">
        <v>1719</v>
      </c>
      <c r="F155" s="735"/>
      <c r="G155" s="735"/>
      <c r="H155" s="749">
        <v>0</v>
      </c>
      <c r="I155" s="735">
        <v>5</v>
      </c>
      <c r="J155" s="735">
        <v>770</v>
      </c>
      <c r="K155" s="749">
        <v>1</v>
      </c>
      <c r="L155" s="735">
        <v>5</v>
      </c>
      <c r="M155" s="736">
        <v>770</v>
      </c>
    </row>
    <row r="156" spans="1:13" ht="14.45" customHeight="1" x14ac:dyDescent="0.2">
      <c r="A156" s="730" t="s">
        <v>597</v>
      </c>
      <c r="B156" s="731" t="s">
        <v>1720</v>
      </c>
      <c r="C156" s="731" t="s">
        <v>1839</v>
      </c>
      <c r="D156" s="731" t="s">
        <v>1725</v>
      </c>
      <c r="E156" s="731" t="s">
        <v>1840</v>
      </c>
      <c r="F156" s="735"/>
      <c r="G156" s="735"/>
      <c r="H156" s="749">
        <v>0</v>
      </c>
      <c r="I156" s="735">
        <v>1</v>
      </c>
      <c r="J156" s="735">
        <v>238.21999999999997</v>
      </c>
      <c r="K156" s="749">
        <v>1</v>
      </c>
      <c r="L156" s="735">
        <v>1</v>
      </c>
      <c r="M156" s="736">
        <v>238.21999999999997</v>
      </c>
    </row>
    <row r="157" spans="1:13" ht="14.45" customHeight="1" x14ac:dyDescent="0.2">
      <c r="A157" s="730" t="s">
        <v>597</v>
      </c>
      <c r="B157" s="731" t="s">
        <v>1727</v>
      </c>
      <c r="C157" s="731" t="s">
        <v>1841</v>
      </c>
      <c r="D157" s="731" t="s">
        <v>1732</v>
      </c>
      <c r="E157" s="731" t="s">
        <v>1842</v>
      </c>
      <c r="F157" s="735"/>
      <c r="G157" s="735"/>
      <c r="H157" s="749">
        <v>0</v>
      </c>
      <c r="I157" s="735">
        <v>2</v>
      </c>
      <c r="J157" s="735">
        <v>252.4</v>
      </c>
      <c r="K157" s="749">
        <v>1</v>
      </c>
      <c r="L157" s="735">
        <v>2</v>
      </c>
      <c r="M157" s="736">
        <v>252.4</v>
      </c>
    </row>
    <row r="158" spans="1:13" ht="14.45" customHeight="1" x14ac:dyDescent="0.2">
      <c r="A158" s="730" t="s">
        <v>597</v>
      </c>
      <c r="B158" s="731" t="s">
        <v>1734</v>
      </c>
      <c r="C158" s="731" t="s">
        <v>1843</v>
      </c>
      <c r="D158" s="731" t="s">
        <v>1736</v>
      </c>
      <c r="E158" s="731" t="s">
        <v>1844</v>
      </c>
      <c r="F158" s="735"/>
      <c r="G158" s="735"/>
      <c r="H158" s="749">
        <v>0</v>
      </c>
      <c r="I158" s="735">
        <v>1</v>
      </c>
      <c r="J158" s="735">
        <v>19.5</v>
      </c>
      <c r="K158" s="749">
        <v>1</v>
      </c>
      <c r="L158" s="735">
        <v>1</v>
      </c>
      <c r="M158" s="736">
        <v>19.5</v>
      </c>
    </row>
    <row r="159" spans="1:13" ht="14.45" customHeight="1" x14ac:dyDescent="0.2">
      <c r="A159" s="730" t="s">
        <v>597</v>
      </c>
      <c r="B159" s="731" t="s">
        <v>1738</v>
      </c>
      <c r="C159" s="731" t="s">
        <v>1739</v>
      </c>
      <c r="D159" s="731" t="s">
        <v>1740</v>
      </c>
      <c r="E159" s="731" t="s">
        <v>1741</v>
      </c>
      <c r="F159" s="735"/>
      <c r="G159" s="735"/>
      <c r="H159" s="749">
        <v>0</v>
      </c>
      <c r="I159" s="735">
        <v>4</v>
      </c>
      <c r="J159" s="735">
        <v>269.56</v>
      </c>
      <c r="K159" s="749">
        <v>1</v>
      </c>
      <c r="L159" s="735">
        <v>4</v>
      </c>
      <c r="M159" s="736">
        <v>269.56</v>
      </c>
    </row>
    <row r="160" spans="1:13" ht="14.45" customHeight="1" x14ac:dyDescent="0.2">
      <c r="A160" s="730" t="s">
        <v>597</v>
      </c>
      <c r="B160" s="731" t="s">
        <v>1738</v>
      </c>
      <c r="C160" s="731" t="s">
        <v>1845</v>
      </c>
      <c r="D160" s="731" t="s">
        <v>1740</v>
      </c>
      <c r="E160" s="731" t="s">
        <v>1846</v>
      </c>
      <c r="F160" s="735"/>
      <c r="G160" s="735"/>
      <c r="H160" s="749">
        <v>0</v>
      </c>
      <c r="I160" s="735">
        <v>17</v>
      </c>
      <c r="J160" s="735">
        <v>7933.56</v>
      </c>
      <c r="K160" s="749">
        <v>1</v>
      </c>
      <c r="L160" s="735">
        <v>17</v>
      </c>
      <c r="M160" s="736">
        <v>7933.56</v>
      </c>
    </row>
    <row r="161" spans="1:13" ht="14.45" customHeight="1" x14ac:dyDescent="0.2">
      <c r="A161" s="730" t="s">
        <v>597</v>
      </c>
      <c r="B161" s="731" t="s">
        <v>1738</v>
      </c>
      <c r="C161" s="731" t="s">
        <v>1847</v>
      </c>
      <c r="D161" s="731" t="s">
        <v>1740</v>
      </c>
      <c r="E161" s="731" t="s">
        <v>1741</v>
      </c>
      <c r="F161" s="735"/>
      <c r="G161" s="735"/>
      <c r="H161" s="749">
        <v>0</v>
      </c>
      <c r="I161" s="735">
        <v>3</v>
      </c>
      <c r="J161" s="735">
        <v>710.34</v>
      </c>
      <c r="K161" s="749">
        <v>1</v>
      </c>
      <c r="L161" s="735">
        <v>3</v>
      </c>
      <c r="M161" s="736">
        <v>710.34</v>
      </c>
    </row>
    <row r="162" spans="1:13" ht="14.45" customHeight="1" x14ac:dyDescent="0.2">
      <c r="A162" s="730" t="s">
        <v>597</v>
      </c>
      <c r="B162" s="731" t="s">
        <v>1744</v>
      </c>
      <c r="C162" s="731" t="s">
        <v>1848</v>
      </c>
      <c r="D162" s="731" t="s">
        <v>1066</v>
      </c>
      <c r="E162" s="731" t="s">
        <v>1849</v>
      </c>
      <c r="F162" s="735"/>
      <c r="G162" s="735"/>
      <c r="H162" s="749">
        <v>0</v>
      </c>
      <c r="I162" s="735">
        <v>3</v>
      </c>
      <c r="J162" s="735">
        <v>65.88</v>
      </c>
      <c r="K162" s="749">
        <v>1</v>
      </c>
      <c r="L162" s="735">
        <v>3</v>
      </c>
      <c r="M162" s="736">
        <v>65.88</v>
      </c>
    </row>
    <row r="163" spans="1:13" ht="14.45" customHeight="1" x14ac:dyDescent="0.2">
      <c r="A163" s="730" t="s">
        <v>597</v>
      </c>
      <c r="B163" s="731" t="s">
        <v>1744</v>
      </c>
      <c r="C163" s="731" t="s">
        <v>1745</v>
      </c>
      <c r="D163" s="731" t="s">
        <v>1066</v>
      </c>
      <c r="E163" s="731" t="s">
        <v>1746</v>
      </c>
      <c r="F163" s="735"/>
      <c r="G163" s="735"/>
      <c r="H163" s="749">
        <v>0</v>
      </c>
      <c r="I163" s="735">
        <v>2</v>
      </c>
      <c r="J163" s="735">
        <v>90.44</v>
      </c>
      <c r="K163" s="749">
        <v>1</v>
      </c>
      <c r="L163" s="735">
        <v>2</v>
      </c>
      <c r="M163" s="736">
        <v>90.44</v>
      </c>
    </row>
    <row r="164" spans="1:13" ht="14.45" customHeight="1" x14ac:dyDescent="0.2">
      <c r="A164" s="730" t="s">
        <v>597</v>
      </c>
      <c r="B164" s="731" t="s">
        <v>1850</v>
      </c>
      <c r="C164" s="731" t="s">
        <v>1851</v>
      </c>
      <c r="D164" s="731" t="s">
        <v>1210</v>
      </c>
      <c r="E164" s="731" t="s">
        <v>1211</v>
      </c>
      <c r="F164" s="735"/>
      <c r="G164" s="735"/>
      <c r="H164" s="749">
        <v>0</v>
      </c>
      <c r="I164" s="735">
        <v>8</v>
      </c>
      <c r="J164" s="735">
        <v>44431.199999999997</v>
      </c>
      <c r="K164" s="749">
        <v>1</v>
      </c>
      <c r="L164" s="735">
        <v>8</v>
      </c>
      <c r="M164" s="736">
        <v>44431.199999999997</v>
      </c>
    </row>
    <row r="165" spans="1:13" ht="14.45" customHeight="1" x14ac:dyDescent="0.2">
      <c r="A165" s="730" t="s">
        <v>597</v>
      </c>
      <c r="B165" s="731" t="s">
        <v>1852</v>
      </c>
      <c r="C165" s="731" t="s">
        <v>1853</v>
      </c>
      <c r="D165" s="731" t="s">
        <v>1171</v>
      </c>
      <c r="E165" s="731" t="s">
        <v>1854</v>
      </c>
      <c r="F165" s="735"/>
      <c r="G165" s="735"/>
      <c r="H165" s="749">
        <v>0</v>
      </c>
      <c r="I165" s="735">
        <v>1</v>
      </c>
      <c r="J165" s="735">
        <v>98.15</v>
      </c>
      <c r="K165" s="749">
        <v>1</v>
      </c>
      <c r="L165" s="735">
        <v>1</v>
      </c>
      <c r="M165" s="736">
        <v>98.15</v>
      </c>
    </row>
    <row r="166" spans="1:13" ht="14.45" customHeight="1" x14ac:dyDescent="0.2">
      <c r="A166" s="730" t="s">
        <v>597</v>
      </c>
      <c r="B166" s="731" t="s">
        <v>1751</v>
      </c>
      <c r="C166" s="731" t="s">
        <v>1753</v>
      </c>
      <c r="D166" s="731" t="s">
        <v>1041</v>
      </c>
      <c r="E166" s="731" t="s">
        <v>1042</v>
      </c>
      <c r="F166" s="735"/>
      <c r="G166" s="735"/>
      <c r="H166" s="749">
        <v>0</v>
      </c>
      <c r="I166" s="735">
        <v>7</v>
      </c>
      <c r="J166" s="735">
        <v>567.69999999999993</v>
      </c>
      <c r="K166" s="749">
        <v>1</v>
      </c>
      <c r="L166" s="735">
        <v>7</v>
      </c>
      <c r="M166" s="736">
        <v>567.69999999999993</v>
      </c>
    </row>
    <row r="167" spans="1:13" ht="14.45" customHeight="1" x14ac:dyDescent="0.2">
      <c r="A167" s="730" t="s">
        <v>597</v>
      </c>
      <c r="B167" s="731" t="s">
        <v>1755</v>
      </c>
      <c r="C167" s="731" t="s">
        <v>1758</v>
      </c>
      <c r="D167" s="731" t="s">
        <v>927</v>
      </c>
      <c r="E167" s="731" t="s">
        <v>1759</v>
      </c>
      <c r="F167" s="735"/>
      <c r="G167" s="735"/>
      <c r="H167" s="749">
        <v>0</v>
      </c>
      <c r="I167" s="735">
        <v>2</v>
      </c>
      <c r="J167" s="735">
        <v>154.42000000000002</v>
      </c>
      <c r="K167" s="749">
        <v>1</v>
      </c>
      <c r="L167" s="735">
        <v>2</v>
      </c>
      <c r="M167" s="736">
        <v>154.42000000000002</v>
      </c>
    </row>
    <row r="168" spans="1:13" ht="14.45" customHeight="1" x14ac:dyDescent="0.2">
      <c r="A168" s="730" t="s">
        <v>597</v>
      </c>
      <c r="B168" s="731" t="s">
        <v>1762</v>
      </c>
      <c r="C168" s="731" t="s">
        <v>1763</v>
      </c>
      <c r="D168" s="731" t="s">
        <v>1061</v>
      </c>
      <c r="E168" s="731" t="s">
        <v>1764</v>
      </c>
      <c r="F168" s="735"/>
      <c r="G168" s="735"/>
      <c r="H168" s="749">
        <v>0</v>
      </c>
      <c r="I168" s="735">
        <v>2</v>
      </c>
      <c r="J168" s="735">
        <v>150.37</v>
      </c>
      <c r="K168" s="749">
        <v>1</v>
      </c>
      <c r="L168" s="735">
        <v>2</v>
      </c>
      <c r="M168" s="736">
        <v>150.37</v>
      </c>
    </row>
    <row r="169" spans="1:13" ht="14.45" customHeight="1" x14ac:dyDescent="0.2">
      <c r="A169" s="730" t="s">
        <v>597</v>
      </c>
      <c r="B169" s="731" t="s">
        <v>1767</v>
      </c>
      <c r="C169" s="731" t="s">
        <v>1855</v>
      </c>
      <c r="D169" s="731" t="s">
        <v>1346</v>
      </c>
      <c r="E169" s="731" t="s">
        <v>1080</v>
      </c>
      <c r="F169" s="735"/>
      <c r="G169" s="735"/>
      <c r="H169" s="749">
        <v>0</v>
      </c>
      <c r="I169" s="735">
        <v>1</v>
      </c>
      <c r="J169" s="735">
        <v>131.14999999999998</v>
      </c>
      <c r="K169" s="749">
        <v>1</v>
      </c>
      <c r="L169" s="735">
        <v>1</v>
      </c>
      <c r="M169" s="736">
        <v>131.14999999999998</v>
      </c>
    </row>
    <row r="170" spans="1:13" ht="14.45" customHeight="1" x14ac:dyDescent="0.2">
      <c r="A170" s="730" t="s">
        <v>597</v>
      </c>
      <c r="B170" s="731" t="s">
        <v>1767</v>
      </c>
      <c r="C170" s="731" t="s">
        <v>1856</v>
      </c>
      <c r="D170" s="731" t="s">
        <v>1347</v>
      </c>
      <c r="E170" s="731" t="s">
        <v>1080</v>
      </c>
      <c r="F170" s="735"/>
      <c r="G170" s="735"/>
      <c r="H170" s="749">
        <v>0</v>
      </c>
      <c r="I170" s="735">
        <v>1</v>
      </c>
      <c r="J170" s="735">
        <v>131.15</v>
      </c>
      <c r="K170" s="749">
        <v>1</v>
      </c>
      <c r="L170" s="735">
        <v>1</v>
      </c>
      <c r="M170" s="736">
        <v>131.15</v>
      </c>
    </row>
    <row r="171" spans="1:13" ht="14.45" customHeight="1" x14ac:dyDescent="0.2">
      <c r="A171" s="730" t="s">
        <v>597</v>
      </c>
      <c r="B171" s="731" t="s">
        <v>1767</v>
      </c>
      <c r="C171" s="731" t="s">
        <v>1857</v>
      </c>
      <c r="D171" s="731" t="s">
        <v>1349</v>
      </c>
      <c r="E171" s="731" t="s">
        <v>1078</v>
      </c>
      <c r="F171" s="735"/>
      <c r="G171" s="735"/>
      <c r="H171" s="749">
        <v>0</v>
      </c>
      <c r="I171" s="735">
        <v>26</v>
      </c>
      <c r="J171" s="735">
        <v>1086.8000000000002</v>
      </c>
      <c r="K171" s="749">
        <v>1</v>
      </c>
      <c r="L171" s="735">
        <v>26</v>
      </c>
      <c r="M171" s="736">
        <v>1086.8000000000002</v>
      </c>
    </row>
    <row r="172" spans="1:13" ht="14.45" customHeight="1" x14ac:dyDescent="0.2">
      <c r="A172" s="730" t="s">
        <v>597</v>
      </c>
      <c r="B172" s="731" t="s">
        <v>1767</v>
      </c>
      <c r="C172" s="731" t="s">
        <v>1858</v>
      </c>
      <c r="D172" s="731" t="s">
        <v>1350</v>
      </c>
      <c r="E172" s="731" t="s">
        <v>1078</v>
      </c>
      <c r="F172" s="735"/>
      <c r="G172" s="735"/>
      <c r="H172" s="749">
        <v>0</v>
      </c>
      <c r="I172" s="735">
        <v>26</v>
      </c>
      <c r="J172" s="735">
        <v>1084.1999999999998</v>
      </c>
      <c r="K172" s="749">
        <v>1</v>
      </c>
      <c r="L172" s="735">
        <v>26</v>
      </c>
      <c r="M172" s="736">
        <v>1084.1999999999998</v>
      </c>
    </row>
    <row r="173" spans="1:13" ht="14.45" customHeight="1" x14ac:dyDescent="0.2">
      <c r="A173" s="730" t="s">
        <v>597</v>
      </c>
      <c r="B173" s="731" t="s">
        <v>1767</v>
      </c>
      <c r="C173" s="731" t="s">
        <v>1859</v>
      </c>
      <c r="D173" s="731" t="s">
        <v>1366</v>
      </c>
      <c r="E173" s="731" t="s">
        <v>1365</v>
      </c>
      <c r="F173" s="735"/>
      <c r="G173" s="735"/>
      <c r="H173" s="749">
        <v>0</v>
      </c>
      <c r="I173" s="735">
        <v>7</v>
      </c>
      <c r="J173" s="735">
        <v>2078.0899999999997</v>
      </c>
      <c r="K173" s="749">
        <v>1</v>
      </c>
      <c r="L173" s="735">
        <v>7</v>
      </c>
      <c r="M173" s="736">
        <v>2078.0899999999997</v>
      </c>
    </row>
    <row r="174" spans="1:13" ht="14.45" customHeight="1" x14ac:dyDescent="0.2">
      <c r="A174" s="730" t="s">
        <v>597</v>
      </c>
      <c r="B174" s="731" t="s">
        <v>1767</v>
      </c>
      <c r="C174" s="731" t="s">
        <v>1860</v>
      </c>
      <c r="D174" s="731" t="s">
        <v>1364</v>
      </c>
      <c r="E174" s="731" t="s">
        <v>1365</v>
      </c>
      <c r="F174" s="735"/>
      <c r="G174" s="735"/>
      <c r="H174" s="749">
        <v>0</v>
      </c>
      <c r="I174" s="735">
        <v>8</v>
      </c>
      <c r="J174" s="735">
        <v>2596.88</v>
      </c>
      <c r="K174" s="749">
        <v>1</v>
      </c>
      <c r="L174" s="735">
        <v>8</v>
      </c>
      <c r="M174" s="736">
        <v>2596.88</v>
      </c>
    </row>
    <row r="175" spans="1:13" ht="14.45" customHeight="1" x14ac:dyDescent="0.2">
      <c r="A175" s="730" t="s">
        <v>597</v>
      </c>
      <c r="B175" s="731" t="s">
        <v>1767</v>
      </c>
      <c r="C175" s="731" t="s">
        <v>1861</v>
      </c>
      <c r="D175" s="731" t="s">
        <v>1358</v>
      </c>
      <c r="E175" s="731" t="s">
        <v>1771</v>
      </c>
      <c r="F175" s="735"/>
      <c r="G175" s="735"/>
      <c r="H175" s="749">
        <v>0</v>
      </c>
      <c r="I175" s="735">
        <v>4</v>
      </c>
      <c r="J175" s="735">
        <v>386.2</v>
      </c>
      <c r="K175" s="749">
        <v>1</v>
      </c>
      <c r="L175" s="735">
        <v>4</v>
      </c>
      <c r="M175" s="736">
        <v>386.2</v>
      </c>
    </row>
    <row r="176" spans="1:13" ht="14.45" customHeight="1" x14ac:dyDescent="0.2">
      <c r="A176" s="730" t="s">
        <v>597</v>
      </c>
      <c r="B176" s="731" t="s">
        <v>1767</v>
      </c>
      <c r="C176" s="731" t="s">
        <v>1862</v>
      </c>
      <c r="D176" s="731" t="s">
        <v>1357</v>
      </c>
      <c r="E176" s="731" t="s">
        <v>1771</v>
      </c>
      <c r="F176" s="735"/>
      <c r="G176" s="735"/>
      <c r="H176" s="749">
        <v>0</v>
      </c>
      <c r="I176" s="735">
        <v>3</v>
      </c>
      <c r="J176" s="735">
        <v>289.64999999999998</v>
      </c>
      <c r="K176" s="749">
        <v>1</v>
      </c>
      <c r="L176" s="735">
        <v>3</v>
      </c>
      <c r="M176" s="736">
        <v>289.64999999999998</v>
      </c>
    </row>
    <row r="177" spans="1:13" ht="14.45" customHeight="1" x14ac:dyDescent="0.2">
      <c r="A177" s="730" t="s">
        <v>597</v>
      </c>
      <c r="B177" s="731" t="s">
        <v>1767</v>
      </c>
      <c r="C177" s="731" t="s">
        <v>1863</v>
      </c>
      <c r="D177" s="731" t="s">
        <v>1348</v>
      </c>
      <c r="E177" s="731" t="s">
        <v>1080</v>
      </c>
      <c r="F177" s="735"/>
      <c r="G177" s="735"/>
      <c r="H177" s="749">
        <v>0</v>
      </c>
      <c r="I177" s="735">
        <v>7</v>
      </c>
      <c r="J177" s="735">
        <v>1170.54</v>
      </c>
      <c r="K177" s="749">
        <v>1</v>
      </c>
      <c r="L177" s="735">
        <v>7</v>
      </c>
      <c r="M177" s="736">
        <v>1170.54</v>
      </c>
    </row>
    <row r="178" spans="1:13" ht="14.45" customHeight="1" x14ac:dyDescent="0.2">
      <c r="A178" s="730" t="s">
        <v>597</v>
      </c>
      <c r="B178" s="731" t="s">
        <v>1767</v>
      </c>
      <c r="C178" s="731" t="s">
        <v>1864</v>
      </c>
      <c r="D178" s="731" t="s">
        <v>1361</v>
      </c>
      <c r="E178" s="731" t="s">
        <v>1080</v>
      </c>
      <c r="F178" s="735"/>
      <c r="G178" s="735"/>
      <c r="H178" s="749">
        <v>0</v>
      </c>
      <c r="I178" s="735">
        <v>2</v>
      </c>
      <c r="J178" s="735">
        <v>250.72000000000003</v>
      </c>
      <c r="K178" s="749">
        <v>1</v>
      </c>
      <c r="L178" s="735">
        <v>2</v>
      </c>
      <c r="M178" s="736">
        <v>250.72000000000003</v>
      </c>
    </row>
    <row r="179" spans="1:13" ht="14.45" customHeight="1" x14ac:dyDescent="0.2">
      <c r="A179" s="730" t="s">
        <v>597</v>
      </c>
      <c r="B179" s="731" t="s">
        <v>1767</v>
      </c>
      <c r="C179" s="731" t="s">
        <v>1865</v>
      </c>
      <c r="D179" s="731" t="s">
        <v>1866</v>
      </c>
      <c r="E179" s="731" t="s">
        <v>1354</v>
      </c>
      <c r="F179" s="735"/>
      <c r="G179" s="735"/>
      <c r="H179" s="749">
        <v>0</v>
      </c>
      <c r="I179" s="735">
        <v>5</v>
      </c>
      <c r="J179" s="735">
        <v>915.75</v>
      </c>
      <c r="K179" s="749">
        <v>1</v>
      </c>
      <c r="L179" s="735">
        <v>5</v>
      </c>
      <c r="M179" s="736">
        <v>915.75</v>
      </c>
    </row>
    <row r="180" spans="1:13" ht="14.45" customHeight="1" x14ac:dyDescent="0.2">
      <c r="A180" s="730" t="s">
        <v>597</v>
      </c>
      <c r="B180" s="731" t="s">
        <v>1767</v>
      </c>
      <c r="C180" s="731" t="s">
        <v>1867</v>
      </c>
      <c r="D180" s="731" t="s">
        <v>1362</v>
      </c>
      <c r="E180" s="731" t="s">
        <v>1080</v>
      </c>
      <c r="F180" s="735"/>
      <c r="G180" s="735"/>
      <c r="H180" s="749">
        <v>0</v>
      </c>
      <c r="I180" s="735">
        <v>1</v>
      </c>
      <c r="J180" s="735">
        <v>132.79000000000002</v>
      </c>
      <c r="K180" s="749">
        <v>1</v>
      </c>
      <c r="L180" s="735">
        <v>1</v>
      </c>
      <c r="M180" s="736">
        <v>132.79000000000002</v>
      </c>
    </row>
    <row r="181" spans="1:13" ht="14.45" customHeight="1" x14ac:dyDescent="0.2">
      <c r="A181" s="730" t="s">
        <v>597</v>
      </c>
      <c r="B181" s="731" t="s">
        <v>1767</v>
      </c>
      <c r="C181" s="731" t="s">
        <v>1868</v>
      </c>
      <c r="D181" s="731" t="s">
        <v>1363</v>
      </c>
      <c r="E181" s="731" t="s">
        <v>1080</v>
      </c>
      <c r="F181" s="735"/>
      <c r="G181" s="735"/>
      <c r="H181" s="749">
        <v>0</v>
      </c>
      <c r="I181" s="735">
        <v>1</v>
      </c>
      <c r="J181" s="735">
        <v>132.79</v>
      </c>
      <c r="K181" s="749">
        <v>1</v>
      </c>
      <c r="L181" s="735">
        <v>1</v>
      </c>
      <c r="M181" s="736">
        <v>132.79</v>
      </c>
    </row>
    <row r="182" spans="1:13" ht="14.45" customHeight="1" x14ac:dyDescent="0.2">
      <c r="A182" s="730" t="s">
        <v>597</v>
      </c>
      <c r="B182" s="731" t="s">
        <v>1767</v>
      </c>
      <c r="C182" s="731" t="s">
        <v>1869</v>
      </c>
      <c r="D182" s="731" t="s">
        <v>1360</v>
      </c>
      <c r="E182" s="731" t="s">
        <v>1080</v>
      </c>
      <c r="F182" s="735"/>
      <c r="G182" s="735"/>
      <c r="H182" s="749">
        <v>0</v>
      </c>
      <c r="I182" s="735">
        <v>6</v>
      </c>
      <c r="J182" s="735">
        <v>848.52</v>
      </c>
      <c r="K182" s="749">
        <v>1</v>
      </c>
      <c r="L182" s="735">
        <v>6</v>
      </c>
      <c r="M182" s="736">
        <v>848.52</v>
      </c>
    </row>
    <row r="183" spans="1:13" ht="14.45" customHeight="1" x14ac:dyDescent="0.2">
      <c r="A183" s="730" t="s">
        <v>597</v>
      </c>
      <c r="B183" s="731" t="s">
        <v>1767</v>
      </c>
      <c r="C183" s="731" t="s">
        <v>1870</v>
      </c>
      <c r="D183" s="731" t="s">
        <v>1359</v>
      </c>
      <c r="E183" s="731" t="s">
        <v>1080</v>
      </c>
      <c r="F183" s="735"/>
      <c r="G183" s="735"/>
      <c r="H183" s="749">
        <v>0</v>
      </c>
      <c r="I183" s="735">
        <v>4</v>
      </c>
      <c r="J183" s="735">
        <v>565.67999999999995</v>
      </c>
      <c r="K183" s="749">
        <v>1</v>
      </c>
      <c r="L183" s="735">
        <v>4</v>
      </c>
      <c r="M183" s="736">
        <v>565.67999999999995</v>
      </c>
    </row>
    <row r="184" spans="1:13" ht="14.45" customHeight="1" x14ac:dyDescent="0.2">
      <c r="A184" s="730" t="s">
        <v>597</v>
      </c>
      <c r="B184" s="731" t="s">
        <v>1767</v>
      </c>
      <c r="C184" s="731" t="s">
        <v>1871</v>
      </c>
      <c r="D184" s="731" t="s">
        <v>1355</v>
      </c>
      <c r="E184" s="731" t="s">
        <v>1356</v>
      </c>
      <c r="F184" s="735"/>
      <c r="G184" s="735"/>
      <c r="H184" s="749">
        <v>0</v>
      </c>
      <c r="I184" s="735">
        <v>4</v>
      </c>
      <c r="J184" s="735">
        <v>554.16</v>
      </c>
      <c r="K184" s="749">
        <v>1</v>
      </c>
      <c r="L184" s="735">
        <v>4</v>
      </c>
      <c r="M184" s="736">
        <v>554.16</v>
      </c>
    </row>
    <row r="185" spans="1:13" ht="14.45" customHeight="1" x14ac:dyDescent="0.2">
      <c r="A185" s="730" t="s">
        <v>600</v>
      </c>
      <c r="B185" s="731" t="s">
        <v>1776</v>
      </c>
      <c r="C185" s="731" t="s">
        <v>1777</v>
      </c>
      <c r="D185" s="731" t="s">
        <v>1778</v>
      </c>
      <c r="E185" s="731" t="s">
        <v>1779</v>
      </c>
      <c r="F185" s="735"/>
      <c r="G185" s="735"/>
      <c r="H185" s="749">
        <v>0</v>
      </c>
      <c r="I185" s="735">
        <v>2</v>
      </c>
      <c r="J185" s="735">
        <v>547.79999999999995</v>
      </c>
      <c r="K185" s="749">
        <v>1</v>
      </c>
      <c r="L185" s="735">
        <v>2</v>
      </c>
      <c r="M185" s="736">
        <v>547.79999999999995</v>
      </c>
    </row>
    <row r="186" spans="1:13" ht="14.45" customHeight="1" x14ac:dyDescent="0.2">
      <c r="A186" s="730" t="s">
        <v>600</v>
      </c>
      <c r="B186" s="731" t="s">
        <v>1578</v>
      </c>
      <c r="C186" s="731" t="s">
        <v>1579</v>
      </c>
      <c r="D186" s="731" t="s">
        <v>712</v>
      </c>
      <c r="E186" s="731" t="s">
        <v>1580</v>
      </c>
      <c r="F186" s="735"/>
      <c r="G186" s="735"/>
      <c r="H186" s="749">
        <v>0</v>
      </c>
      <c r="I186" s="735">
        <v>1</v>
      </c>
      <c r="J186" s="735">
        <v>128.28000000000003</v>
      </c>
      <c r="K186" s="749">
        <v>1</v>
      </c>
      <c r="L186" s="735">
        <v>1</v>
      </c>
      <c r="M186" s="736">
        <v>128.28000000000003</v>
      </c>
    </row>
    <row r="187" spans="1:13" ht="14.45" customHeight="1" x14ac:dyDescent="0.2">
      <c r="A187" s="730" t="s">
        <v>600</v>
      </c>
      <c r="B187" s="731" t="s">
        <v>1585</v>
      </c>
      <c r="C187" s="731" t="s">
        <v>1586</v>
      </c>
      <c r="D187" s="731" t="s">
        <v>1284</v>
      </c>
      <c r="E187" s="731" t="s">
        <v>1587</v>
      </c>
      <c r="F187" s="735"/>
      <c r="G187" s="735"/>
      <c r="H187" s="749">
        <v>0</v>
      </c>
      <c r="I187" s="735">
        <v>176</v>
      </c>
      <c r="J187" s="735">
        <v>8680.32</v>
      </c>
      <c r="K187" s="749">
        <v>1</v>
      </c>
      <c r="L187" s="735">
        <v>176</v>
      </c>
      <c r="M187" s="736">
        <v>8680.32</v>
      </c>
    </row>
    <row r="188" spans="1:13" ht="14.45" customHeight="1" x14ac:dyDescent="0.2">
      <c r="A188" s="730" t="s">
        <v>600</v>
      </c>
      <c r="B188" s="731" t="s">
        <v>1588</v>
      </c>
      <c r="C188" s="731" t="s">
        <v>1589</v>
      </c>
      <c r="D188" s="731" t="s">
        <v>813</v>
      </c>
      <c r="E188" s="731" t="s">
        <v>814</v>
      </c>
      <c r="F188" s="735"/>
      <c r="G188" s="735"/>
      <c r="H188" s="749">
        <v>0</v>
      </c>
      <c r="I188" s="735">
        <v>5</v>
      </c>
      <c r="J188" s="735">
        <v>201.83</v>
      </c>
      <c r="K188" s="749">
        <v>1</v>
      </c>
      <c r="L188" s="735">
        <v>5</v>
      </c>
      <c r="M188" s="736">
        <v>201.83</v>
      </c>
    </row>
    <row r="189" spans="1:13" ht="14.45" customHeight="1" x14ac:dyDescent="0.2">
      <c r="A189" s="730" t="s">
        <v>600</v>
      </c>
      <c r="B189" s="731" t="s">
        <v>1602</v>
      </c>
      <c r="C189" s="731" t="s">
        <v>1605</v>
      </c>
      <c r="D189" s="731" t="s">
        <v>660</v>
      </c>
      <c r="E189" s="731" t="s">
        <v>661</v>
      </c>
      <c r="F189" s="735"/>
      <c r="G189" s="735"/>
      <c r="H189" s="749">
        <v>0</v>
      </c>
      <c r="I189" s="735">
        <v>1</v>
      </c>
      <c r="J189" s="735">
        <v>94.01</v>
      </c>
      <c r="K189" s="749">
        <v>1</v>
      </c>
      <c r="L189" s="735">
        <v>1</v>
      </c>
      <c r="M189" s="736">
        <v>94.01</v>
      </c>
    </row>
    <row r="190" spans="1:13" ht="14.45" customHeight="1" x14ac:dyDescent="0.2">
      <c r="A190" s="730" t="s">
        <v>600</v>
      </c>
      <c r="B190" s="731" t="s">
        <v>1646</v>
      </c>
      <c r="C190" s="731" t="s">
        <v>1800</v>
      </c>
      <c r="D190" s="731" t="s">
        <v>993</v>
      </c>
      <c r="E190" s="731" t="s">
        <v>1801</v>
      </c>
      <c r="F190" s="735"/>
      <c r="G190" s="735"/>
      <c r="H190" s="749">
        <v>0</v>
      </c>
      <c r="I190" s="735">
        <v>6</v>
      </c>
      <c r="J190" s="735">
        <v>1027.05</v>
      </c>
      <c r="K190" s="749">
        <v>1</v>
      </c>
      <c r="L190" s="735">
        <v>6</v>
      </c>
      <c r="M190" s="736">
        <v>1027.05</v>
      </c>
    </row>
    <row r="191" spans="1:13" ht="14.45" customHeight="1" x14ac:dyDescent="0.2">
      <c r="A191" s="730" t="s">
        <v>600</v>
      </c>
      <c r="B191" s="731" t="s">
        <v>1829</v>
      </c>
      <c r="C191" s="731" t="s">
        <v>1872</v>
      </c>
      <c r="D191" s="731" t="s">
        <v>1873</v>
      </c>
      <c r="E191" s="731" t="s">
        <v>1303</v>
      </c>
      <c r="F191" s="735">
        <v>15</v>
      </c>
      <c r="G191" s="735">
        <v>10725</v>
      </c>
      <c r="H191" s="749">
        <v>1</v>
      </c>
      <c r="I191" s="735"/>
      <c r="J191" s="735"/>
      <c r="K191" s="749">
        <v>0</v>
      </c>
      <c r="L191" s="735">
        <v>15</v>
      </c>
      <c r="M191" s="736">
        <v>10725</v>
      </c>
    </row>
    <row r="192" spans="1:13" ht="14.45" customHeight="1" x14ac:dyDescent="0.2">
      <c r="A192" s="730" t="s">
        <v>600</v>
      </c>
      <c r="B192" s="731" t="s">
        <v>1829</v>
      </c>
      <c r="C192" s="731" t="s">
        <v>1830</v>
      </c>
      <c r="D192" s="731" t="s">
        <v>1302</v>
      </c>
      <c r="E192" s="731" t="s">
        <v>1303</v>
      </c>
      <c r="F192" s="735"/>
      <c r="G192" s="735"/>
      <c r="H192" s="749">
        <v>0</v>
      </c>
      <c r="I192" s="735">
        <v>44</v>
      </c>
      <c r="J192" s="735">
        <v>22330</v>
      </c>
      <c r="K192" s="749">
        <v>1</v>
      </c>
      <c r="L192" s="735">
        <v>44</v>
      </c>
      <c r="M192" s="736">
        <v>22330</v>
      </c>
    </row>
    <row r="193" spans="1:13" ht="14.45" customHeight="1" x14ac:dyDescent="0.2">
      <c r="A193" s="730" t="s">
        <v>600</v>
      </c>
      <c r="B193" s="731" t="s">
        <v>1829</v>
      </c>
      <c r="C193" s="731" t="s">
        <v>1874</v>
      </c>
      <c r="D193" s="731" t="s">
        <v>1417</v>
      </c>
      <c r="E193" s="731" t="s">
        <v>1303</v>
      </c>
      <c r="F193" s="735">
        <v>12</v>
      </c>
      <c r="G193" s="735">
        <v>11308.800000000001</v>
      </c>
      <c r="H193" s="749">
        <v>1</v>
      </c>
      <c r="I193" s="735"/>
      <c r="J193" s="735"/>
      <c r="K193" s="749">
        <v>0</v>
      </c>
      <c r="L193" s="735">
        <v>12</v>
      </c>
      <c r="M193" s="736">
        <v>11308.800000000001</v>
      </c>
    </row>
    <row r="194" spans="1:13" ht="14.45" customHeight="1" x14ac:dyDescent="0.2">
      <c r="A194" s="730" t="s">
        <v>600</v>
      </c>
      <c r="B194" s="731" t="s">
        <v>1829</v>
      </c>
      <c r="C194" s="731" t="s">
        <v>1875</v>
      </c>
      <c r="D194" s="731" t="s">
        <v>1873</v>
      </c>
      <c r="E194" s="731" t="s">
        <v>1876</v>
      </c>
      <c r="F194" s="735">
        <v>4</v>
      </c>
      <c r="G194" s="735">
        <v>5720</v>
      </c>
      <c r="H194" s="749">
        <v>1</v>
      </c>
      <c r="I194" s="735"/>
      <c r="J194" s="735"/>
      <c r="K194" s="749">
        <v>0</v>
      </c>
      <c r="L194" s="735">
        <v>4</v>
      </c>
      <c r="M194" s="736">
        <v>5720</v>
      </c>
    </row>
    <row r="195" spans="1:13" ht="14.45" customHeight="1" x14ac:dyDescent="0.2">
      <c r="A195" s="730" t="s">
        <v>600</v>
      </c>
      <c r="B195" s="731" t="s">
        <v>1877</v>
      </c>
      <c r="C195" s="731" t="s">
        <v>1878</v>
      </c>
      <c r="D195" s="731" t="s">
        <v>1879</v>
      </c>
      <c r="E195" s="731" t="s">
        <v>1880</v>
      </c>
      <c r="F195" s="735"/>
      <c r="G195" s="735"/>
      <c r="H195" s="749">
        <v>0</v>
      </c>
      <c r="I195" s="735">
        <v>3.17</v>
      </c>
      <c r="J195" s="735">
        <v>47257.056000000004</v>
      </c>
      <c r="K195" s="749">
        <v>1</v>
      </c>
      <c r="L195" s="735">
        <v>3.17</v>
      </c>
      <c r="M195" s="736">
        <v>47257.056000000004</v>
      </c>
    </row>
    <row r="196" spans="1:13" ht="14.45" customHeight="1" x14ac:dyDescent="0.2">
      <c r="A196" s="730" t="s">
        <v>600</v>
      </c>
      <c r="B196" s="731" t="s">
        <v>1706</v>
      </c>
      <c r="C196" s="731" t="s">
        <v>1831</v>
      </c>
      <c r="D196" s="731" t="s">
        <v>1708</v>
      </c>
      <c r="E196" s="731" t="s">
        <v>1832</v>
      </c>
      <c r="F196" s="735"/>
      <c r="G196" s="735"/>
      <c r="H196" s="749">
        <v>0</v>
      </c>
      <c r="I196" s="735">
        <v>14</v>
      </c>
      <c r="J196" s="735">
        <v>5467</v>
      </c>
      <c r="K196" s="749">
        <v>1</v>
      </c>
      <c r="L196" s="735">
        <v>14</v>
      </c>
      <c r="M196" s="736">
        <v>5467</v>
      </c>
    </row>
    <row r="197" spans="1:13" ht="14.45" customHeight="1" x14ac:dyDescent="0.2">
      <c r="A197" s="730" t="s">
        <v>600</v>
      </c>
      <c r="B197" s="731" t="s">
        <v>1706</v>
      </c>
      <c r="C197" s="731" t="s">
        <v>1833</v>
      </c>
      <c r="D197" s="731" t="s">
        <v>1708</v>
      </c>
      <c r="E197" s="731" t="s">
        <v>1834</v>
      </c>
      <c r="F197" s="735"/>
      <c r="G197" s="735"/>
      <c r="H197" s="749">
        <v>0</v>
      </c>
      <c r="I197" s="735">
        <v>7</v>
      </c>
      <c r="J197" s="735">
        <v>4389</v>
      </c>
      <c r="K197" s="749">
        <v>1</v>
      </c>
      <c r="L197" s="735">
        <v>7</v>
      </c>
      <c r="M197" s="736">
        <v>4389</v>
      </c>
    </row>
    <row r="198" spans="1:13" ht="14.45" customHeight="1" x14ac:dyDescent="0.2">
      <c r="A198" s="730" t="s">
        <v>600</v>
      </c>
      <c r="B198" s="731" t="s">
        <v>1738</v>
      </c>
      <c r="C198" s="731" t="s">
        <v>1739</v>
      </c>
      <c r="D198" s="731" t="s">
        <v>1740</v>
      </c>
      <c r="E198" s="731" t="s">
        <v>1741</v>
      </c>
      <c r="F198" s="735"/>
      <c r="G198" s="735"/>
      <c r="H198" s="749">
        <v>0</v>
      </c>
      <c r="I198" s="735">
        <v>2</v>
      </c>
      <c r="J198" s="735">
        <v>134.78</v>
      </c>
      <c r="K198" s="749">
        <v>1</v>
      </c>
      <c r="L198" s="735">
        <v>2</v>
      </c>
      <c r="M198" s="736">
        <v>134.78</v>
      </c>
    </row>
    <row r="199" spans="1:13" ht="14.45" customHeight="1" x14ac:dyDescent="0.2">
      <c r="A199" s="730" t="s">
        <v>600</v>
      </c>
      <c r="B199" s="731" t="s">
        <v>1738</v>
      </c>
      <c r="C199" s="731" t="s">
        <v>1845</v>
      </c>
      <c r="D199" s="731" t="s">
        <v>1740</v>
      </c>
      <c r="E199" s="731" t="s">
        <v>1846</v>
      </c>
      <c r="F199" s="735"/>
      <c r="G199" s="735"/>
      <c r="H199" s="749">
        <v>0</v>
      </c>
      <c r="I199" s="735">
        <v>14</v>
      </c>
      <c r="J199" s="735">
        <v>6533.52</v>
      </c>
      <c r="K199" s="749">
        <v>1</v>
      </c>
      <c r="L199" s="735">
        <v>14</v>
      </c>
      <c r="M199" s="736">
        <v>6533.52</v>
      </c>
    </row>
    <row r="200" spans="1:13" ht="14.45" customHeight="1" x14ac:dyDescent="0.2">
      <c r="A200" s="730" t="s">
        <v>600</v>
      </c>
      <c r="B200" s="731" t="s">
        <v>1738</v>
      </c>
      <c r="C200" s="731" t="s">
        <v>1881</v>
      </c>
      <c r="D200" s="731" t="s">
        <v>1882</v>
      </c>
      <c r="E200" s="731" t="s">
        <v>1741</v>
      </c>
      <c r="F200" s="735">
        <v>2</v>
      </c>
      <c r="G200" s="735">
        <v>445.98</v>
      </c>
      <c r="H200" s="749">
        <v>1</v>
      </c>
      <c r="I200" s="735"/>
      <c r="J200" s="735"/>
      <c r="K200" s="749">
        <v>0</v>
      </c>
      <c r="L200" s="735">
        <v>2</v>
      </c>
      <c r="M200" s="736">
        <v>445.98</v>
      </c>
    </row>
    <row r="201" spans="1:13" ht="14.45" customHeight="1" x14ac:dyDescent="0.2">
      <c r="A201" s="730" t="s">
        <v>600</v>
      </c>
      <c r="B201" s="731" t="s">
        <v>1738</v>
      </c>
      <c r="C201" s="731" t="s">
        <v>1847</v>
      </c>
      <c r="D201" s="731" t="s">
        <v>1740</v>
      </c>
      <c r="E201" s="731" t="s">
        <v>1741</v>
      </c>
      <c r="F201" s="735"/>
      <c r="G201" s="735"/>
      <c r="H201" s="749">
        <v>0</v>
      </c>
      <c r="I201" s="735">
        <v>4</v>
      </c>
      <c r="J201" s="735">
        <v>947.12</v>
      </c>
      <c r="K201" s="749">
        <v>1</v>
      </c>
      <c r="L201" s="735">
        <v>4</v>
      </c>
      <c r="M201" s="736">
        <v>947.12</v>
      </c>
    </row>
    <row r="202" spans="1:13" ht="14.45" customHeight="1" thickBot="1" x14ac:dyDescent="0.25">
      <c r="A202" s="737" t="s">
        <v>600</v>
      </c>
      <c r="B202" s="738" t="s">
        <v>1738</v>
      </c>
      <c r="C202" s="738" t="s">
        <v>1883</v>
      </c>
      <c r="D202" s="738" t="s">
        <v>1740</v>
      </c>
      <c r="E202" s="738" t="s">
        <v>1846</v>
      </c>
      <c r="F202" s="742"/>
      <c r="G202" s="742"/>
      <c r="H202" s="750">
        <v>0</v>
      </c>
      <c r="I202" s="742">
        <v>3</v>
      </c>
      <c r="J202" s="742">
        <v>1400.04</v>
      </c>
      <c r="K202" s="750">
        <v>1</v>
      </c>
      <c r="L202" s="742">
        <v>3</v>
      </c>
      <c r="M202" s="743">
        <v>1400.04</v>
      </c>
    </row>
  </sheetData>
  <autoFilter ref="A5:M374" xr:uid="{00000000-0009-0000-0000-00000D000000}"/>
  <mergeCells count="4">
    <mergeCell ref="F4:H4"/>
    <mergeCell ref="I4:K4"/>
    <mergeCell ref="L4:M4"/>
    <mergeCell ref="A1:M1"/>
  </mergeCells>
  <conditionalFormatting sqref="H3 H6:H1048576">
    <cfRule type="cellIs" dxfId="58" priority="4" operator="greaterThan">
      <formula>0.1</formula>
    </cfRule>
  </conditionalFormatting>
  <hyperlinks>
    <hyperlink ref="A2" location="Obsah!A1" display="Zpět na Obsah  KL 01  1.-4.měsíc" xr:uid="{39410FA0-1DAD-424A-B50C-A305AC75F3E2}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List55">
    <tabColor theme="0" tint="-0.249977111117893"/>
    <pageSetUpPr fitToPage="1"/>
  </sheetPr>
  <dimension ref="A1:Q11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ColWidth="8.85546875" defaultRowHeight="14.45" customHeight="1" x14ac:dyDescent="0.2"/>
  <cols>
    <col min="1" max="1" width="50" style="402" customWidth="1"/>
    <col min="2" max="2" width="5.42578125" style="329" bestFit="1" customWidth="1"/>
    <col min="3" max="3" width="6.140625" style="329" bestFit="1" customWidth="1"/>
    <col min="4" max="4" width="7.42578125" style="329" bestFit="1" customWidth="1"/>
    <col min="5" max="5" width="6.28515625" style="329" bestFit="1" customWidth="1"/>
    <col min="6" max="6" width="6.28515625" style="332" bestFit="1" customWidth="1"/>
    <col min="7" max="7" width="6.140625" style="332" bestFit="1" customWidth="1"/>
    <col min="8" max="8" width="7.42578125" style="332" bestFit="1" customWidth="1"/>
    <col min="9" max="9" width="6.28515625" style="332" bestFit="1" customWidth="1"/>
    <col min="10" max="10" width="5.42578125" style="329" bestFit="1" customWidth="1"/>
    <col min="11" max="11" width="6.140625" style="329" bestFit="1" customWidth="1"/>
    <col min="12" max="12" width="7.42578125" style="329" bestFit="1" customWidth="1"/>
    <col min="13" max="13" width="6.28515625" style="329" bestFit="1" customWidth="1"/>
    <col min="14" max="14" width="5.28515625" style="332" bestFit="1" customWidth="1"/>
    <col min="15" max="15" width="6.140625" style="332" bestFit="1" customWidth="1"/>
    <col min="16" max="16" width="7.42578125" style="332" bestFit="1" customWidth="1"/>
    <col min="17" max="17" width="6.28515625" style="332" bestFit="1" customWidth="1"/>
    <col min="18" max="16384" width="8.85546875" style="247"/>
  </cols>
  <sheetData>
    <row r="1" spans="1:17" ht="18.600000000000001" customHeight="1" thickBot="1" x14ac:dyDescent="0.35">
      <c r="A1" s="555" t="s">
        <v>241</v>
      </c>
      <c r="B1" s="555"/>
      <c r="C1" s="555"/>
      <c r="D1" s="555"/>
      <c r="E1" s="555"/>
      <c r="F1" s="517"/>
      <c r="G1" s="517"/>
      <c r="H1" s="517"/>
      <c r="I1" s="517"/>
      <c r="J1" s="548"/>
      <c r="K1" s="548"/>
      <c r="L1" s="548"/>
      <c r="M1" s="548"/>
      <c r="N1" s="548"/>
      <c r="O1" s="548"/>
      <c r="P1" s="548"/>
      <c r="Q1" s="548"/>
    </row>
    <row r="2" spans="1:17" ht="14.45" customHeight="1" thickBot="1" x14ac:dyDescent="0.25">
      <c r="A2" s="705" t="s">
        <v>328</v>
      </c>
      <c r="B2" s="336"/>
      <c r="C2" s="336"/>
      <c r="D2" s="336"/>
      <c r="E2" s="336"/>
    </row>
    <row r="3" spans="1:17" ht="14.45" customHeight="1" thickBot="1" x14ac:dyDescent="0.25">
      <c r="A3" s="391" t="s">
        <v>3</v>
      </c>
      <c r="B3" s="395">
        <f>SUM(B6:B1048576)</f>
        <v>2262</v>
      </c>
      <c r="C3" s="396">
        <f>SUM(C6:C1048576)</f>
        <v>784</v>
      </c>
      <c r="D3" s="396">
        <f>SUM(D6:D1048576)</f>
        <v>351</v>
      </c>
      <c r="E3" s="397">
        <f>SUM(E6:E1048576)</f>
        <v>0</v>
      </c>
      <c r="F3" s="394">
        <f>IF(SUM($B3:$E3)=0,"",B3/SUM($B3:$E3))</f>
        <v>0.66588166028848983</v>
      </c>
      <c r="G3" s="392">
        <f t="shared" ref="G3:I3" si="0">IF(SUM($B3:$E3)=0,"",C3/SUM($B3:$E3))</f>
        <v>0.23079187518398586</v>
      </c>
      <c r="H3" s="392">
        <f t="shared" si="0"/>
        <v>0.10332646452752428</v>
      </c>
      <c r="I3" s="393">
        <f t="shared" si="0"/>
        <v>0</v>
      </c>
      <c r="J3" s="396">
        <f>SUM(J6:J1048576)</f>
        <v>241</v>
      </c>
      <c r="K3" s="396">
        <f>SUM(K6:K1048576)</f>
        <v>353</v>
      </c>
      <c r="L3" s="396">
        <f>SUM(L6:L1048576)</f>
        <v>351</v>
      </c>
      <c r="M3" s="397">
        <f>SUM(M6:M1048576)</f>
        <v>0</v>
      </c>
      <c r="N3" s="394">
        <f>IF(SUM($J3:$M3)=0,"",J3/SUM($J3:$M3))</f>
        <v>0.25502645502645505</v>
      </c>
      <c r="O3" s="392">
        <f t="shared" ref="O3:Q3" si="1">IF(SUM($J3:$M3)=0,"",K3/SUM($J3:$M3))</f>
        <v>0.37354497354497357</v>
      </c>
      <c r="P3" s="392">
        <f t="shared" si="1"/>
        <v>0.37142857142857144</v>
      </c>
      <c r="Q3" s="393">
        <f t="shared" si="1"/>
        <v>0</v>
      </c>
    </row>
    <row r="4" spans="1:17" ht="14.45" customHeight="1" thickBot="1" x14ac:dyDescent="0.25">
      <c r="A4" s="390"/>
      <c r="B4" s="568" t="s">
        <v>243</v>
      </c>
      <c r="C4" s="569"/>
      <c r="D4" s="569"/>
      <c r="E4" s="570"/>
      <c r="F4" s="565" t="s">
        <v>248</v>
      </c>
      <c r="G4" s="566"/>
      <c r="H4" s="566"/>
      <c r="I4" s="567"/>
      <c r="J4" s="568" t="s">
        <v>249</v>
      </c>
      <c r="K4" s="569"/>
      <c r="L4" s="569"/>
      <c r="M4" s="570"/>
      <c r="N4" s="565" t="s">
        <v>250</v>
      </c>
      <c r="O4" s="566"/>
      <c r="P4" s="566"/>
      <c r="Q4" s="567"/>
    </row>
    <row r="5" spans="1:17" ht="14.45" customHeight="1" thickBot="1" x14ac:dyDescent="0.25">
      <c r="A5" s="765" t="s">
        <v>242</v>
      </c>
      <c r="B5" s="766" t="s">
        <v>244</v>
      </c>
      <c r="C5" s="766" t="s">
        <v>245</v>
      </c>
      <c r="D5" s="766" t="s">
        <v>246</v>
      </c>
      <c r="E5" s="767" t="s">
        <v>247</v>
      </c>
      <c r="F5" s="768" t="s">
        <v>244</v>
      </c>
      <c r="G5" s="769" t="s">
        <v>245</v>
      </c>
      <c r="H5" s="769" t="s">
        <v>246</v>
      </c>
      <c r="I5" s="770" t="s">
        <v>247</v>
      </c>
      <c r="J5" s="766" t="s">
        <v>244</v>
      </c>
      <c r="K5" s="766" t="s">
        <v>245</v>
      </c>
      <c r="L5" s="766" t="s">
        <v>246</v>
      </c>
      <c r="M5" s="767" t="s">
        <v>247</v>
      </c>
      <c r="N5" s="768" t="s">
        <v>244</v>
      </c>
      <c r="O5" s="769" t="s">
        <v>245</v>
      </c>
      <c r="P5" s="769" t="s">
        <v>246</v>
      </c>
      <c r="Q5" s="770" t="s">
        <v>247</v>
      </c>
    </row>
    <row r="6" spans="1:17" ht="14.45" customHeight="1" x14ac:dyDescent="0.2">
      <c r="A6" s="774" t="s">
        <v>1885</v>
      </c>
      <c r="B6" s="780"/>
      <c r="C6" s="728"/>
      <c r="D6" s="728"/>
      <c r="E6" s="729"/>
      <c r="F6" s="777"/>
      <c r="G6" s="748"/>
      <c r="H6" s="748"/>
      <c r="I6" s="783"/>
      <c r="J6" s="780"/>
      <c r="K6" s="728"/>
      <c r="L6" s="728"/>
      <c r="M6" s="729"/>
      <c r="N6" s="777"/>
      <c r="O6" s="748"/>
      <c r="P6" s="748"/>
      <c r="Q6" s="771"/>
    </row>
    <row r="7" spans="1:17" ht="14.45" customHeight="1" x14ac:dyDescent="0.2">
      <c r="A7" s="775" t="s">
        <v>1453</v>
      </c>
      <c r="B7" s="781">
        <v>468</v>
      </c>
      <c r="C7" s="735">
        <v>634</v>
      </c>
      <c r="D7" s="735">
        <v>197</v>
      </c>
      <c r="E7" s="736"/>
      <c r="F7" s="778">
        <v>0.36027713625866054</v>
      </c>
      <c r="G7" s="749">
        <v>0.4880677444187837</v>
      </c>
      <c r="H7" s="749">
        <v>0.15165511932255582</v>
      </c>
      <c r="I7" s="784">
        <v>0</v>
      </c>
      <c r="J7" s="781">
        <v>64</v>
      </c>
      <c r="K7" s="735">
        <v>254</v>
      </c>
      <c r="L7" s="735">
        <v>197</v>
      </c>
      <c r="M7" s="736"/>
      <c r="N7" s="778">
        <v>0.12427184466019417</v>
      </c>
      <c r="O7" s="749">
        <v>0.49320388349514566</v>
      </c>
      <c r="P7" s="749">
        <v>0.3825242718446602</v>
      </c>
      <c r="Q7" s="772">
        <v>0</v>
      </c>
    </row>
    <row r="8" spans="1:17" ht="14.45" customHeight="1" x14ac:dyDescent="0.2">
      <c r="A8" s="775" t="s">
        <v>1456</v>
      </c>
      <c r="B8" s="781">
        <v>26</v>
      </c>
      <c r="C8" s="735"/>
      <c r="D8" s="735"/>
      <c r="E8" s="736"/>
      <c r="F8" s="778">
        <v>1</v>
      </c>
      <c r="G8" s="749">
        <v>0</v>
      </c>
      <c r="H8" s="749">
        <v>0</v>
      </c>
      <c r="I8" s="784">
        <v>0</v>
      </c>
      <c r="J8" s="781">
        <v>8</v>
      </c>
      <c r="K8" s="735"/>
      <c r="L8" s="735"/>
      <c r="M8" s="736"/>
      <c r="N8" s="778">
        <v>1</v>
      </c>
      <c r="O8" s="749">
        <v>0</v>
      </c>
      <c r="P8" s="749">
        <v>0</v>
      </c>
      <c r="Q8" s="772">
        <v>0</v>
      </c>
    </row>
    <row r="9" spans="1:17" ht="14.45" customHeight="1" x14ac:dyDescent="0.2">
      <c r="A9" s="775" t="s">
        <v>1454</v>
      </c>
      <c r="B9" s="781">
        <v>1157</v>
      </c>
      <c r="C9" s="735">
        <v>122</v>
      </c>
      <c r="D9" s="735">
        <v>154</v>
      </c>
      <c r="E9" s="736"/>
      <c r="F9" s="778">
        <v>0.80739706908583386</v>
      </c>
      <c r="G9" s="749">
        <v>8.5136078157711098E-2</v>
      </c>
      <c r="H9" s="749">
        <v>0.10746685275645498</v>
      </c>
      <c r="I9" s="784">
        <v>0</v>
      </c>
      <c r="J9" s="781">
        <v>75</v>
      </c>
      <c r="K9" s="735">
        <v>75</v>
      </c>
      <c r="L9" s="735">
        <v>154</v>
      </c>
      <c r="M9" s="736"/>
      <c r="N9" s="778">
        <v>0.24671052631578946</v>
      </c>
      <c r="O9" s="749">
        <v>0.24671052631578946</v>
      </c>
      <c r="P9" s="749">
        <v>0.50657894736842102</v>
      </c>
      <c r="Q9" s="772">
        <v>0</v>
      </c>
    </row>
    <row r="10" spans="1:17" ht="14.45" customHeight="1" x14ac:dyDescent="0.2">
      <c r="A10" s="775" t="s">
        <v>1455</v>
      </c>
      <c r="B10" s="781">
        <v>588</v>
      </c>
      <c r="C10" s="735">
        <v>28</v>
      </c>
      <c r="D10" s="735"/>
      <c r="E10" s="736"/>
      <c r="F10" s="778">
        <v>0.95454545454545459</v>
      </c>
      <c r="G10" s="749">
        <v>4.5454545454545456E-2</v>
      </c>
      <c r="H10" s="749">
        <v>0</v>
      </c>
      <c r="I10" s="784">
        <v>0</v>
      </c>
      <c r="J10" s="781">
        <v>89</v>
      </c>
      <c r="K10" s="735">
        <v>24</v>
      </c>
      <c r="L10" s="735"/>
      <c r="M10" s="736"/>
      <c r="N10" s="778">
        <v>0.78761061946902655</v>
      </c>
      <c r="O10" s="749">
        <v>0.21238938053097345</v>
      </c>
      <c r="P10" s="749">
        <v>0</v>
      </c>
      <c r="Q10" s="772">
        <v>0</v>
      </c>
    </row>
    <row r="11" spans="1:17" ht="14.45" customHeight="1" thickBot="1" x14ac:dyDescent="0.25">
      <c r="A11" s="776" t="s">
        <v>1886</v>
      </c>
      <c r="B11" s="782">
        <v>23</v>
      </c>
      <c r="C11" s="742"/>
      <c r="D11" s="742"/>
      <c r="E11" s="743"/>
      <c r="F11" s="779">
        <v>1</v>
      </c>
      <c r="G11" s="750">
        <v>0</v>
      </c>
      <c r="H11" s="750">
        <v>0</v>
      </c>
      <c r="I11" s="785">
        <v>0</v>
      </c>
      <c r="J11" s="782">
        <v>5</v>
      </c>
      <c r="K11" s="742"/>
      <c r="L11" s="742"/>
      <c r="M11" s="743"/>
      <c r="N11" s="779">
        <v>1</v>
      </c>
      <c r="O11" s="750">
        <v>0</v>
      </c>
      <c r="P11" s="750">
        <v>0</v>
      </c>
      <c r="Q11" s="773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57" priority="1" operator="greaterThan">
      <formula>0.3</formula>
    </cfRule>
  </conditionalFormatting>
  <hyperlinks>
    <hyperlink ref="A2" location="Obsah!A1" display="Zpět na Obsah  KL 01  1.-4.měsíc" xr:uid="{B7D869DF-164D-4B12-9D87-088F0602FA24}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List11">
    <tabColor theme="0" tint="-0.249977111117893"/>
    <pageSetUpPr fitToPage="1"/>
  </sheetPr>
  <dimension ref="A1:N23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ColWidth="8.85546875" defaultRowHeight="14.45" customHeight="1" x14ac:dyDescent="0.2"/>
  <cols>
    <col min="1" max="1" width="9.28515625" style="247" customWidth="1"/>
    <col min="2" max="2" width="34.28515625" style="247" customWidth="1"/>
    <col min="3" max="3" width="11.140625" style="247" bestFit="1" customWidth="1"/>
    <col min="4" max="4" width="7.28515625" style="247" bestFit="1" customWidth="1"/>
    <col min="5" max="5" width="11.140625" style="247" bestFit="1" customWidth="1"/>
    <col min="6" max="6" width="5.28515625" style="247" customWidth="1"/>
    <col min="7" max="7" width="7.28515625" style="247" bestFit="1" customWidth="1"/>
    <col min="8" max="8" width="5.28515625" style="247" customWidth="1"/>
    <col min="9" max="9" width="11.140625" style="247" customWidth="1"/>
    <col min="10" max="10" width="5.28515625" style="247" customWidth="1"/>
    <col min="11" max="11" width="7.28515625" style="247" customWidth="1"/>
    <col min="12" max="12" width="5.28515625" style="247" customWidth="1"/>
    <col min="13" max="13" width="0" style="247" hidden="1" customWidth="1"/>
    <col min="14" max="16384" width="8.85546875" style="247"/>
  </cols>
  <sheetData>
    <row r="1" spans="1:14" ht="18.600000000000001" customHeight="1" thickBot="1" x14ac:dyDescent="0.35">
      <c r="A1" s="555" t="s">
        <v>176</v>
      </c>
      <c r="B1" s="555"/>
      <c r="C1" s="555"/>
      <c r="D1" s="555"/>
      <c r="E1" s="555"/>
      <c r="F1" s="555"/>
      <c r="G1" s="555"/>
      <c r="H1" s="555"/>
      <c r="I1" s="517"/>
      <c r="J1" s="517"/>
      <c r="K1" s="517"/>
      <c r="L1" s="517"/>
    </row>
    <row r="2" spans="1:14" ht="14.45" customHeight="1" thickBot="1" x14ac:dyDescent="0.25">
      <c r="A2" s="705" t="s">
        <v>328</v>
      </c>
      <c r="B2" s="328"/>
      <c r="C2" s="328"/>
      <c r="D2" s="328"/>
      <c r="E2" s="328"/>
      <c r="F2" s="328"/>
      <c r="G2" s="328"/>
      <c r="H2" s="328"/>
    </row>
    <row r="3" spans="1:14" ht="14.45" customHeight="1" thickBot="1" x14ac:dyDescent="0.25">
      <c r="A3" s="262"/>
      <c r="B3" s="262"/>
      <c r="C3" s="572" t="s">
        <v>15</v>
      </c>
      <c r="D3" s="571"/>
      <c r="E3" s="571" t="s">
        <v>16</v>
      </c>
      <c r="F3" s="571"/>
      <c r="G3" s="571"/>
      <c r="H3" s="571"/>
      <c r="I3" s="571" t="s">
        <v>189</v>
      </c>
      <c r="J3" s="571"/>
      <c r="K3" s="571"/>
      <c r="L3" s="573"/>
    </row>
    <row r="4" spans="1:14" ht="14.45" customHeight="1" thickBot="1" x14ac:dyDescent="0.25">
      <c r="A4" s="106" t="s">
        <v>17</v>
      </c>
      <c r="B4" s="107" t="s">
        <v>18</v>
      </c>
      <c r="C4" s="108" t="s">
        <v>19</v>
      </c>
      <c r="D4" s="108" t="s">
        <v>20</v>
      </c>
      <c r="E4" s="108" t="s">
        <v>19</v>
      </c>
      <c r="F4" s="108" t="s">
        <v>2</v>
      </c>
      <c r="G4" s="108" t="s">
        <v>20</v>
      </c>
      <c r="H4" s="108" t="s">
        <v>2</v>
      </c>
      <c r="I4" s="108" t="s">
        <v>19</v>
      </c>
      <c r="J4" s="108" t="s">
        <v>2</v>
      </c>
      <c r="K4" s="108" t="s">
        <v>20</v>
      </c>
      <c r="L4" s="109" t="s">
        <v>2</v>
      </c>
    </row>
    <row r="5" spans="1:14" ht="14.45" customHeight="1" x14ac:dyDescent="0.2">
      <c r="A5" s="712">
        <v>50</v>
      </c>
      <c r="B5" s="713" t="s">
        <v>1887</v>
      </c>
      <c r="C5" s="716">
        <v>774855.73000000033</v>
      </c>
      <c r="D5" s="716">
        <v>1581</v>
      </c>
      <c r="E5" s="716">
        <v>326101.7300000001</v>
      </c>
      <c r="F5" s="786">
        <v>0.42085476995827337</v>
      </c>
      <c r="G5" s="716">
        <v>744</v>
      </c>
      <c r="H5" s="786">
        <v>0.47058823529411764</v>
      </c>
      <c r="I5" s="716">
        <v>448754.00000000029</v>
      </c>
      <c r="J5" s="786">
        <v>0.57914523004172669</v>
      </c>
      <c r="K5" s="716">
        <v>837</v>
      </c>
      <c r="L5" s="786">
        <v>0.52941176470588236</v>
      </c>
      <c r="M5" s="716" t="s">
        <v>73</v>
      </c>
      <c r="N5" s="270"/>
    </row>
    <row r="6" spans="1:14" ht="14.45" customHeight="1" x14ac:dyDescent="0.2">
      <c r="A6" s="712">
        <v>50</v>
      </c>
      <c r="B6" s="713" t="s">
        <v>1888</v>
      </c>
      <c r="C6" s="716">
        <v>717937.13000000035</v>
      </c>
      <c r="D6" s="716">
        <v>1355</v>
      </c>
      <c r="E6" s="716">
        <v>271096.39000000007</v>
      </c>
      <c r="F6" s="786">
        <v>0.37760463788799992</v>
      </c>
      <c r="G6" s="716">
        <v>527</v>
      </c>
      <c r="H6" s="786">
        <v>0.38892988929889299</v>
      </c>
      <c r="I6" s="716">
        <v>446840.74000000028</v>
      </c>
      <c r="J6" s="786">
        <v>0.62239536211200008</v>
      </c>
      <c r="K6" s="716">
        <v>828</v>
      </c>
      <c r="L6" s="786">
        <v>0.61107011070110706</v>
      </c>
      <c r="M6" s="716" t="s">
        <v>1</v>
      </c>
      <c r="N6" s="270"/>
    </row>
    <row r="7" spans="1:14" ht="14.45" customHeight="1" x14ac:dyDescent="0.2">
      <c r="A7" s="712">
        <v>50</v>
      </c>
      <c r="B7" s="713" t="s">
        <v>1889</v>
      </c>
      <c r="C7" s="716">
        <v>479.58</v>
      </c>
      <c r="D7" s="716">
        <v>7</v>
      </c>
      <c r="E7" s="716">
        <v>479.58</v>
      </c>
      <c r="F7" s="786">
        <v>1</v>
      </c>
      <c r="G7" s="716">
        <v>4</v>
      </c>
      <c r="H7" s="786">
        <v>0.5714285714285714</v>
      </c>
      <c r="I7" s="716">
        <v>0</v>
      </c>
      <c r="J7" s="786">
        <v>0</v>
      </c>
      <c r="K7" s="716">
        <v>3</v>
      </c>
      <c r="L7" s="786">
        <v>0.42857142857142855</v>
      </c>
      <c r="M7" s="716" t="s">
        <v>1</v>
      </c>
      <c r="N7" s="270"/>
    </row>
    <row r="8" spans="1:14" ht="14.45" customHeight="1" x14ac:dyDescent="0.2">
      <c r="A8" s="712">
        <v>50</v>
      </c>
      <c r="B8" s="713" t="s">
        <v>1890</v>
      </c>
      <c r="C8" s="716">
        <v>56439.01999999999</v>
      </c>
      <c r="D8" s="716">
        <v>219</v>
      </c>
      <c r="E8" s="716">
        <v>54525.759999999987</v>
      </c>
      <c r="F8" s="786">
        <v>0.96610040358602967</v>
      </c>
      <c r="G8" s="716">
        <v>213</v>
      </c>
      <c r="H8" s="786">
        <v>0.9726027397260274</v>
      </c>
      <c r="I8" s="716">
        <v>1913.26</v>
      </c>
      <c r="J8" s="786">
        <v>3.3899596413970341E-2</v>
      </c>
      <c r="K8" s="716">
        <v>6</v>
      </c>
      <c r="L8" s="786">
        <v>2.7397260273972601E-2</v>
      </c>
      <c r="M8" s="716" t="s">
        <v>1</v>
      </c>
      <c r="N8" s="270"/>
    </row>
    <row r="9" spans="1:14" ht="14.45" customHeight="1" x14ac:dyDescent="0.2">
      <c r="A9" s="712" t="s">
        <v>575</v>
      </c>
      <c r="B9" s="713" t="s">
        <v>3</v>
      </c>
      <c r="C9" s="716">
        <v>774855.73000000033</v>
      </c>
      <c r="D9" s="716">
        <v>1581</v>
      </c>
      <c r="E9" s="716">
        <v>326101.7300000001</v>
      </c>
      <c r="F9" s="786">
        <v>0.42085476995827337</v>
      </c>
      <c r="G9" s="716">
        <v>744</v>
      </c>
      <c r="H9" s="786">
        <v>0.47058823529411764</v>
      </c>
      <c r="I9" s="716">
        <v>448754.00000000029</v>
      </c>
      <c r="J9" s="786">
        <v>0.57914523004172669</v>
      </c>
      <c r="K9" s="716">
        <v>837</v>
      </c>
      <c r="L9" s="786">
        <v>0.52941176470588236</v>
      </c>
      <c r="M9" s="716" t="s">
        <v>588</v>
      </c>
      <c r="N9" s="270"/>
    </row>
    <row r="11" spans="1:14" ht="14.45" customHeight="1" x14ac:dyDescent="0.2">
      <c r="A11" s="712">
        <v>50</v>
      </c>
      <c r="B11" s="713" t="s">
        <v>1887</v>
      </c>
      <c r="C11" s="716" t="s">
        <v>329</v>
      </c>
      <c r="D11" s="716" t="s">
        <v>329</v>
      </c>
      <c r="E11" s="716" t="s">
        <v>329</v>
      </c>
      <c r="F11" s="786" t="s">
        <v>329</v>
      </c>
      <c r="G11" s="716" t="s">
        <v>329</v>
      </c>
      <c r="H11" s="786" t="s">
        <v>329</v>
      </c>
      <c r="I11" s="716" t="s">
        <v>329</v>
      </c>
      <c r="J11" s="786" t="s">
        <v>329</v>
      </c>
      <c r="K11" s="716" t="s">
        <v>329</v>
      </c>
      <c r="L11" s="786" t="s">
        <v>329</v>
      </c>
      <c r="M11" s="716" t="s">
        <v>73</v>
      </c>
      <c r="N11" s="270"/>
    </row>
    <row r="12" spans="1:14" ht="14.45" customHeight="1" x14ac:dyDescent="0.2">
      <c r="A12" s="712" t="s">
        <v>1891</v>
      </c>
      <c r="B12" s="713" t="s">
        <v>1888</v>
      </c>
      <c r="C12" s="716">
        <v>612.70000000000005</v>
      </c>
      <c r="D12" s="716">
        <v>9</v>
      </c>
      <c r="E12" s="716">
        <v>33.31</v>
      </c>
      <c r="F12" s="786">
        <v>5.4365921331810022E-2</v>
      </c>
      <c r="G12" s="716">
        <v>1</v>
      </c>
      <c r="H12" s="786">
        <v>0.1111111111111111</v>
      </c>
      <c r="I12" s="716">
        <v>579.39</v>
      </c>
      <c r="J12" s="786">
        <v>0.94563407866818994</v>
      </c>
      <c r="K12" s="716">
        <v>8</v>
      </c>
      <c r="L12" s="786">
        <v>0.88888888888888884</v>
      </c>
      <c r="M12" s="716" t="s">
        <v>1</v>
      </c>
      <c r="N12" s="270"/>
    </row>
    <row r="13" spans="1:14" ht="14.45" customHeight="1" x14ac:dyDescent="0.2">
      <c r="A13" s="712" t="s">
        <v>1891</v>
      </c>
      <c r="B13" s="713" t="s">
        <v>1892</v>
      </c>
      <c r="C13" s="716">
        <v>612.70000000000005</v>
      </c>
      <c r="D13" s="716">
        <v>9</v>
      </c>
      <c r="E13" s="716">
        <v>33.31</v>
      </c>
      <c r="F13" s="786">
        <v>5.4365921331810022E-2</v>
      </c>
      <c r="G13" s="716">
        <v>1</v>
      </c>
      <c r="H13" s="786">
        <v>0.1111111111111111</v>
      </c>
      <c r="I13" s="716">
        <v>579.39</v>
      </c>
      <c r="J13" s="786">
        <v>0.94563407866818994</v>
      </c>
      <c r="K13" s="716">
        <v>8</v>
      </c>
      <c r="L13" s="786">
        <v>0.88888888888888884</v>
      </c>
      <c r="M13" s="716" t="s">
        <v>592</v>
      </c>
      <c r="N13" s="270"/>
    </row>
    <row r="14" spans="1:14" ht="14.45" customHeight="1" x14ac:dyDescent="0.2">
      <c r="A14" s="712" t="s">
        <v>329</v>
      </c>
      <c r="B14" s="713" t="s">
        <v>329</v>
      </c>
      <c r="C14" s="716" t="s">
        <v>329</v>
      </c>
      <c r="D14" s="716" t="s">
        <v>329</v>
      </c>
      <c r="E14" s="716" t="s">
        <v>329</v>
      </c>
      <c r="F14" s="786" t="s">
        <v>329</v>
      </c>
      <c r="G14" s="716" t="s">
        <v>329</v>
      </c>
      <c r="H14" s="786" t="s">
        <v>329</v>
      </c>
      <c r="I14" s="716" t="s">
        <v>329</v>
      </c>
      <c r="J14" s="786" t="s">
        <v>329</v>
      </c>
      <c r="K14" s="716" t="s">
        <v>329</v>
      </c>
      <c r="L14" s="786" t="s">
        <v>329</v>
      </c>
      <c r="M14" s="716" t="s">
        <v>593</v>
      </c>
      <c r="N14" s="270"/>
    </row>
    <row r="15" spans="1:14" ht="14.45" customHeight="1" x14ac:dyDescent="0.2">
      <c r="A15" s="712" t="s">
        <v>1893</v>
      </c>
      <c r="B15" s="713" t="s">
        <v>1888</v>
      </c>
      <c r="C15" s="716">
        <v>717324.43000000028</v>
      </c>
      <c r="D15" s="716">
        <v>1346</v>
      </c>
      <c r="E15" s="716">
        <v>271063.08</v>
      </c>
      <c r="F15" s="786">
        <v>0.37788073103825548</v>
      </c>
      <c r="G15" s="716">
        <v>526</v>
      </c>
      <c r="H15" s="786">
        <v>0.39078751857355126</v>
      </c>
      <c r="I15" s="716">
        <v>446261.35000000027</v>
      </c>
      <c r="J15" s="786">
        <v>0.62211926896174452</v>
      </c>
      <c r="K15" s="716">
        <v>820</v>
      </c>
      <c r="L15" s="786">
        <v>0.60921248142644868</v>
      </c>
      <c r="M15" s="716" t="s">
        <v>1</v>
      </c>
      <c r="N15" s="270"/>
    </row>
    <row r="16" spans="1:14" ht="14.45" customHeight="1" x14ac:dyDescent="0.2">
      <c r="A16" s="712" t="s">
        <v>1893</v>
      </c>
      <c r="B16" s="713" t="s">
        <v>1889</v>
      </c>
      <c r="C16" s="716">
        <v>479.58</v>
      </c>
      <c r="D16" s="716">
        <v>7</v>
      </c>
      <c r="E16" s="716">
        <v>479.58</v>
      </c>
      <c r="F16" s="786">
        <v>1</v>
      </c>
      <c r="G16" s="716">
        <v>4</v>
      </c>
      <c r="H16" s="786">
        <v>0.5714285714285714</v>
      </c>
      <c r="I16" s="716">
        <v>0</v>
      </c>
      <c r="J16" s="786">
        <v>0</v>
      </c>
      <c r="K16" s="716">
        <v>3</v>
      </c>
      <c r="L16" s="786">
        <v>0.42857142857142855</v>
      </c>
      <c r="M16" s="716" t="s">
        <v>1</v>
      </c>
      <c r="N16" s="270"/>
    </row>
    <row r="17" spans="1:14" ht="14.45" customHeight="1" x14ac:dyDescent="0.2">
      <c r="A17" s="712" t="s">
        <v>1893</v>
      </c>
      <c r="B17" s="713" t="s">
        <v>1890</v>
      </c>
      <c r="C17" s="716">
        <v>56439.01999999999</v>
      </c>
      <c r="D17" s="716">
        <v>219</v>
      </c>
      <c r="E17" s="716">
        <v>54525.759999999987</v>
      </c>
      <c r="F17" s="786">
        <v>0.96610040358602967</v>
      </c>
      <c r="G17" s="716">
        <v>213</v>
      </c>
      <c r="H17" s="786">
        <v>0.9726027397260274</v>
      </c>
      <c r="I17" s="716">
        <v>1913.26</v>
      </c>
      <c r="J17" s="786">
        <v>3.3899596413970341E-2</v>
      </c>
      <c r="K17" s="716">
        <v>6</v>
      </c>
      <c r="L17" s="786">
        <v>2.7397260273972601E-2</v>
      </c>
      <c r="M17" s="716" t="s">
        <v>1</v>
      </c>
      <c r="N17" s="270"/>
    </row>
    <row r="18" spans="1:14" ht="14.45" customHeight="1" x14ac:dyDescent="0.2">
      <c r="A18" s="712" t="s">
        <v>1893</v>
      </c>
      <c r="B18" s="713" t="s">
        <v>1894</v>
      </c>
      <c r="C18" s="716">
        <v>774243.03000000026</v>
      </c>
      <c r="D18" s="716">
        <v>1572</v>
      </c>
      <c r="E18" s="716">
        <v>326068.42000000004</v>
      </c>
      <c r="F18" s="786">
        <v>0.4211447922237026</v>
      </c>
      <c r="G18" s="716">
        <v>743</v>
      </c>
      <c r="H18" s="786">
        <v>0.47264631043256999</v>
      </c>
      <c r="I18" s="716">
        <v>448174.61000000028</v>
      </c>
      <c r="J18" s="786">
        <v>0.57885520777629751</v>
      </c>
      <c r="K18" s="716">
        <v>829</v>
      </c>
      <c r="L18" s="786">
        <v>0.52735368956743001</v>
      </c>
      <c r="M18" s="716" t="s">
        <v>592</v>
      </c>
      <c r="N18" s="270"/>
    </row>
    <row r="19" spans="1:14" ht="14.45" customHeight="1" x14ac:dyDescent="0.2">
      <c r="A19" s="712" t="s">
        <v>329</v>
      </c>
      <c r="B19" s="713" t="s">
        <v>329</v>
      </c>
      <c r="C19" s="716" t="s">
        <v>329</v>
      </c>
      <c r="D19" s="716" t="s">
        <v>329</v>
      </c>
      <c r="E19" s="716" t="s">
        <v>329</v>
      </c>
      <c r="F19" s="786" t="s">
        <v>329</v>
      </c>
      <c r="G19" s="716" t="s">
        <v>329</v>
      </c>
      <c r="H19" s="786" t="s">
        <v>329</v>
      </c>
      <c r="I19" s="716" t="s">
        <v>329</v>
      </c>
      <c r="J19" s="786" t="s">
        <v>329</v>
      </c>
      <c r="K19" s="716" t="s">
        <v>329</v>
      </c>
      <c r="L19" s="786" t="s">
        <v>329</v>
      </c>
      <c r="M19" s="716" t="s">
        <v>593</v>
      </c>
      <c r="N19" s="270"/>
    </row>
    <row r="20" spans="1:14" ht="14.45" customHeight="1" x14ac:dyDescent="0.2">
      <c r="A20" s="712" t="s">
        <v>575</v>
      </c>
      <c r="B20" s="713" t="s">
        <v>1895</v>
      </c>
      <c r="C20" s="716">
        <v>774855.73000000021</v>
      </c>
      <c r="D20" s="716">
        <v>1581</v>
      </c>
      <c r="E20" s="716">
        <v>326101.73000000004</v>
      </c>
      <c r="F20" s="786">
        <v>0.42085476995827331</v>
      </c>
      <c r="G20" s="716">
        <v>744</v>
      </c>
      <c r="H20" s="786">
        <v>0.47058823529411764</v>
      </c>
      <c r="I20" s="716">
        <v>448754.00000000029</v>
      </c>
      <c r="J20" s="786">
        <v>0.5791452300417268</v>
      </c>
      <c r="K20" s="716">
        <v>837</v>
      </c>
      <c r="L20" s="786">
        <v>0.52941176470588236</v>
      </c>
      <c r="M20" s="716" t="s">
        <v>588</v>
      </c>
      <c r="N20" s="270"/>
    </row>
    <row r="21" spans="1:14" ht="14.45" customHeight="1" x14ac:dyDescent="0.2">
      <c r="A21" s="787" t="s">
        <v>295</v>
      </c>
    </row>
    <row r="22" spans="1:14" ht="14.45" customHeight="1" x14ac:dyDescent="0.2">
      <c r="A22" s="788" t="s">
        <v>1896</v>
      </c>
    </row>
    <row r="23" spans="1:14" ht="14.45" customHeight="1" x14ac:dyDescent="0.2">
      <c r="A23" s="787" t="s">
        <v>1897</v>
      </c>
    </row>
  </sheetData>
  <autoFilter ref="A4:M4" xr:uid="{00000000-0009-0000-0000-000010000000}"/>
  <mergeCells count="4">
    <mergeCell ref="E3:H3"/>
    <mergeCell ref="C3:D3"/>
    <mergeCell ref="I3:L3"/>
    <mergeCell ref="A1:L1"/>
  </mergeCells>
  <conditionalFormatting sqref="F4 F10 F21:F1048576">
    <cfRule type="cellIs" dxfId="56" priority="15" stopIfTrue="1" operator="lessThan">
      <formula>0.6</formula>
    </cfRule>
  </conditionalFormatting>
  <conditionalFormatting sqref="B5:B9">
    <cfRule type="expression" dxfId="55" priority="10">
      <formula>AND(LEFT(M5,6)&lt;&gt;"mezera",M5&lt;&gt;"")</formula>
    </cfRule>
  </conditionalFormatting>
  <conditionalFormatting sqref="A5:A9">
    <cfRule type="expression" dxfId="54" priority="8">
      <formula>AND(M5&lt;&gt;"",M5&lt;&gt;"mezeraKL")</formula>
    </cfRule>
  </conditionalFormatting>
  <conditionalFormatting sqref="F5:F9">
    <cfRule type="cellIs" dxfId="53" priority="7" operator="lessThan">
      <formula>0.6</formula>
    </cfRule>
  </conditionalFormatting>
  <conditionalFormatting sqref="B5:L9">
    <cfRule type="expression" dxfId="52" priority="9">
      <formula>OR($M5="KL",$M5="SumaKL")</formula>
    </cfRule>
    <cfRule type="expression" dxfId="51" priority="11">
      <formula>$M5="SumaNS"</formula>
    </cfRule>
  </conditionalFormatting>
  <conditionalFormatting sqref="A5:L9">
    <cfRule type="expression" dxfId="50" priority="12">
      <formula>$M5&lt;&gt;""</formula>
    </cfRule>
  </conditionalFormatting>
  <conditionalFormatting sqref="B11:B20">
    <cfRule type="expression" dxfId="49" priority="4">
      <formula>AND(LEFT(M11,6)&lt;&gt;"mezera",M11&lt;&gt;"")</formula>
    </cfRule>
  </conditionalFormatting>
  <conditionalFormatting sqref="A11:A20">
    <cfRule type="expression" dxfId="48" priority="2">
      <formula>AND(M11&lt;&gt;"",M11&lt;&gt;"mezeraKL")</formula>
    </cfRule>
  </conditionalFormatting>
  <conditionalFormatting sqref="F11:F20">
    <cfRule type="cellIs" dxfId="47" priority="1" operator="lessThan">
      <formula>0.6</formula>
    </cfRule>
  </conditionalFormatting>
  <conditionalFormatting sqref="B11:L20">
    <cfRule type="expression" dxfId="46" priority="3">
      <formula>OR($M11="KL",$M11="SumaKL")</formula>
    </cfRule>
    <cfRule type="expression" dxfId="45" priority="5">
      <formula>$M11="SumaNS"</formula>
    </cfRule>
  </conditionalFormatting>
  <conditionalFormatting sqref="A11:L20">
    <cfRule type="expression" dxfId="44" priority="6">
      <formula>$M11&lt;&gt;""</formula>
    </cfRule>
  </conditionalFormatting>
  <hyperlinks>
    <hyperlink ref="A2" location="Obsah!A1" display="Zpět na Obsah  KL 01  1.-4.měsíc" xr:uid="{758FF5DA-4BBB-4EBE-BDCB-F49CAC2C0233}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List30">
    <tabColor theme="0" tint="-0.249977111117893"/>
    <pageSetUpPr fitToPage="1"/>
  </sheetPr>
  <dimension ref="A1:M20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ColWidth="8.85546875" defaultRowHeight="14.45" customHeight="1" x14ac:dyDescent="0.2"/>
  <cols>
    <col min="1" max="1" width="30.85546875" style="247" customWidth="1"/>
    <col min="2" max="2" width="11.140625" style="329" bestFit="1" customWidth="1"/>
    <col min="3" max="3" width="11.140625" style="247" hidden="1" customWidth="1"/>
    <col min="4" max="4" width="7.28515625" style="329" bestFit="1" customWidth="1"/>
    <col min="5" max="5" width="7.28515625" style="247" hidden="1" customWidth="1"/>
    <col min="6" max="6" width="11.140625" style="329" bestFit="1" customWidth="1"/>
    <col min="7" max="7" width="5.28515625" style="332" customWidth="1"/>
    <col min="8" max="8" width="7.28515625" style="329" bestFit="1" customWidth="1"/>
    <col min="9" max="9" width="5.28515625" style="332" customWidth="1"/>
    <col min="10" max="10" width="11.140625" style="329" customWidth="1"/>
    <col min="11" max="11" width="5.28515625" style="332" customWidth="1"/>
    <col min="12" max="12" width="7.28515625" style="329" customWidth="1"/>
    <col min="13" max="13" width="5.28515625" style="332" customWidth="1"/>
    <col min="14" max="14" width="0" style="247" hidden="1" customWidth="1"/>
    <col min="15" max="16384" width="8.85546875" style="247"/>
  </cols>
  <sheetData>
    <row r="1" spans="1:13" ht="18.600000000000001" customHeight="1" thickBot="1" x14ac:dyDescent="0.35">
      <c r="A1" s="555" t="s">
        <v>190</v>
      </c>
      <c r="B1" s="555"/>
      <c r="C1" s="555"/>
      <c r="D1" s="555"/>
      <c r="E1" s="555"/>
      <c r="F1" s="555"/>
      <c r="G1" s="555"/>
      <c r="H1" s="555"/>
      <c r="I1" s="555"/>
      <c r="J1" s="517"/>
      <c r="K1" s="517"/>
      <c r="L1" s="517"/>
      <c r="M1" s="517"/>
    </row>
    <row r="2" spans="1:13" ht="14.45" customHeight="1" thickBot="1" x14ac:dyDescent="0.25">
      <c r="A2" s="705" t="s">
        <v>328</v>
      </c>
      <c r="B2" s="336"/>
      <c r="C2" s="328"/>
      <c r="D2" s="336"/>
      <c r="E2" s="328"/>
      <c r="F2" s="336"/>
      <c r="G2" s="337"/>
      <c r="H2" s="336"/>
      <c r="I2" s="337"/>
    </row>
    <row r="3" spans="1:13" ht="14.45" customHeight="1" thickBot="1" x14ac:dyDescent="0.25">
      <c r="A3" s="262"/>
      <c r="B3" s="572" t="s">
        <v>15</v>
      </c>
      <c r="C3" s="574"/>
      <c r="D3" s="571"/>
      <c r="E3" s="261"/>
      <c r="F3" s="571" t="s">
        <v>16</v>
      </c>
      <c r="G3" s="571"/>
      <c r="H3" s="571"/>
      <c r="I3" s="571"/>
      <c r="J3" s="571" t="s">
        <v>189</v>
      </c>
      <c r="K3" s="571"/>
      <c r="L3" s="571"/>
      <c r="M3" s="573"/>
    </row>
    <row r="4" spans="1:13" ht="14.45" customHeight="1" thickBot="1" x14ac:dyDescent="0.25">
      <c r="A4" s="765" t="s">
        <v>166</v>
      </c>
      <c r="B4" s="766" t="s">
        <v>19</v>
      </c>
      <c r="C4" s="792"/>
      <c r="D4" s="766" t="s">
        <v>20</v>
      </c>
      <c r="E4" s="792"/>
      <c r="F4" s="766" t="s">
        <v>19</v>
      </c>
      <c r="G4" s="769" t="s">
        <v>2</v>
      </c>
      <c r="H4" s="766" t="s">
        <v>20</v>
      </c>
      <c r="I4" s="769" t="s">
        <v>2</v>
      </c>
      <c r="J4" s="766" t="s">
        <v>19</v>
      </c>
      <c r="K4" s="769" t="s">
        <v>2</v>
      </c>
      <c r="L4" s="766" t="s">
        <v>20</v>
      </c>
      <c r="M4" s="770" t="s">
        <v>2</v>
      </c>
    </row>
    <row r="5" spans="1:13" ht="14.45" customHeight="1" x14ac:dyDescent="0.2">
      <c r="A5" s="789" t="s">
        <v>1898</v>
      </c>
      <c r="B5" s="780">
        <v>25546.120000000003</v>
      </c>
      <c r="C5" s="724">
        <v>1</v>
      </c>
      <c r="D5" s="793">
        <v>107</v>
      </c>
      <c r="E5" s="796" t="s">
        <v>1898</v>
      </c>
      <c r="F5" s="780">
        <v>14473.999999999998</v>
      </c>
      <c r="G5" s="748">
        <v>0.56658310537960355</v>
      </c>
      <c r="H5" s="728">
        <v>48</v>
      </c>
      <c r="I5" s="771">
        <v>0.44859813084112149</v>
      </c>
      <c r="J5" s="799">
        <v>11072.120000000004</v>
      </c>
      <c r="K5" s="748">
        <v>0.43341689462039651</v>
      </c>
      <c r="L5" s="728">
        <v>59</v>
      </c>
      <c r="M5" s="771">
        <v>0.55140186915887845</v>
      </c>
    </row>
    <row r="6" spans="1:13" ht="14.45" customHeight="1" x14ac:dyDescent="0.2">
      <c r="A6" s="790" t="s">
        <v>1899</v>
      </c>
      <c r="B6" s="781">
        <v>18860.630000000005</v>
      </c>
      <c r="C6" s="731">
        <v>1</v>
      </c>
      <c r="D6" s="794">
        <v>54</v>
      </c>
      <c r="E6" s="797" t="s">
        <v>1899</v>
      </c>
      <c r="F6" s="781">
        <v>16835.610000000004</v>
      </c>
      <c r="G6" s="749">
        <v>0.89263243062400355</v>
      </c>
      <c r="H6" s="735">
        <v>44</v>
      </c>
      <c r="I6" s="772">
        <v>0.81481481481481477</v>
      </c>
      <c r="J6" s="800">
        <v>2025.0199999999998</v>
      </c>
      <c r="K6" s="749">
        <v>0.10736756937599641</v>
      </c>
      <c r="L6" s="735">
        <v>10</v>
      </c>
      <c r="M6" s="772">
        <v>0.18518518518518517</v>
      </c>
    </row>
    <row r="7" spans="1:13" ht="14.45" customHeight="1" x14ac:dyDescent="0.2">
      <c r="A7" s="790" t="s">
        <v>1900</v>
      </c>
      <c r="B7" s="781">
        <v>13930.82</v>
      </c>
      <c r="C7" s="731">
        <v>1</v>
      </c>
      <c r="D7" s="794">
        <v>47</v>
      </c>
      <c r="E7" s="797" t="s">
        <v>1900</v>
      </c>
      <c r="F7" s="781">
        <v>1514.2499999999998</v>
      </c>
      <c r="G7" s="749">
        <v>0.10869783688253813</v>
      </c>
      <c r="H7" s="735">
        <v>9</v>
      </c>
      <c r="I7" s="772">
        <v>0.19148936170212766</v>
      </c>
      <c r="J7" s="800">
        <v>12416.57</v>
      </c>
      <c r="K7" s="749">
        <v>0.89130216311746191</v>
      </c>
      <c r="L7" s="735">
        <v>38</v>
      </c>
      <c r="M7" s="772">
        <v>0.80851063829787229</v>
      </c>
    </row>
    <row r="8" spans="1:13" ht="14.45" customHeight="1" x14ac:dyDescent="0.2">
      <c r="A8" s="790" t="s">
        <v>1901</v>
      </c>
      <c r="B8" s="781">
        <v>134754.72999999998</v>
      </c>
      <c r="C8" s="731">
        <v>1</v>
      </c>
      <c r="D8" s="794">
        <v>223</v>
      </c>
      <c r="E8" s="797" t="s">
        <v>1901</v>
      </c>
      <c r="F8" s="781">
        <v>64611.83</v>
      </c>
      <c r="G8" s="749">
        <v>0.47947726955484243</v>
      </c>
      <c r="H8" s="735">
        <v>137</v>
      </c>
      <c r="I8" s="772">
        <v>0.61434977578475336</v>
      </c>
      <c r="J8" s="800">
        <v>70142.89999999998</v>
      </c>
      <c r="K8" s="749">
        <v>0.52052273044515762</v>
      </c>
      <c r="L8" s="735">
        <v>86</v>
      </c>
      <c r="M8" s="772">
        <v>0.38565022421524664</v>
      </c>
    </row>
    <row r="9" spans="1:13" ht="14.45" customHeight="1" x14ac:dyDescent="0.2">
      <c r="A9" s="790" t="s">
        <v>1902</v>
      </c>
      <c r="B9" s="781">
        <v>30792.23</v>
      </c>
      <c r="C9" s="731">
        <v>1</v>
      </c>
      <c r="D9" s="794">
        <v>114</v>
      </c>
      <c r="E9" s="797" t="s">
        <v>1902</v>
      </c>
      <c r="F9" s="781">
        <v>10194.400000000001</v>
      </c>
      <c r="G9" s="749">
        <v>0.33107053305330603</v>
      </c>
      <c r="H9" s="735">
        <v>23</v>
      </c>
      <c r="I9" s="772">
        <v>0.20175438596491227</v>
      </c>
      <c r="J9" s="800">
        <v>20597.829999999998</v>
      </c>
      <c r="K9" s="749">
        <v>0.66892946694669397</v>
      </c>
      <c r="L9" s="735">
        <v>91</v>
      </c>
      <c r="M9" s="772">
        <v>0.79824561403508776</v>
      </c>
    </row>
    <row r="10" spans="1:13" ht="14.45" customHeight="1" x14ac:dyDescent="0.2">
      <c r="A10" s="790" t="s">
        <v>1903</v>
      </c>
      <c r="B10" s="781">
        <v>917.49</v>
      </c>
      <c r="C10" s="731">
        <v>1</v>
      </c>
      <c r="D10" s="794">
        <v>10</v>
      </c>
      <c r="E10" s="797" t="s">
        <v>1903</v>
      </c>
      <c r="F10" s="781"/>
      <c r="G10" s="749">
        <v>0</v>
      </c>
      <c r="H10" s="735"/>
      <c r="I10" s="772">
        <v>0</v>
      </c>
      <c r="J10" s="800">
        <v>917.49</v>
      </c>
      <c r="K10" s="749">
        <v>1</v>
      </c>
      <c r="L10" s="735">
        <v>10</v>
      </c>
      <c r="M10" s="772">
        <v>1</v>
      </c>
    </row>
    <row r="11" spans="1:13" ht="14.45" customHeight="1" x14ac:dyDescent="0.2">
      <c r="A11" s="790" t="s">
        <v>1904</v>
      </c>
      <c r="B11" s="781">
        <v>20074.710000000003</v>
      </c>
      <c r="C11" s="731">
        <v>1</v>
      </c>
      <c r="D11" s="794">
        <v>53</v>
      </c>
      <c r="E11" s="797" t="s">
        <v>1904</v>
      </c>
      <c r="F11" s="781">
        <v>2896.7600000000007</v>
      </c>
      <c r="G11" s="749">
        <v>0.14429897119310817</v>
      </c>
      <c r="H11" s="735">
        <v>19</v>
      </c>
      <c r="I11" s="772">
        <v>0.35849056603773582</v>
      </c>
      <c r="J11" s="800">
        <v>17177.95</v>
      </c>
      <c r="K11" s="749">
        <v>0.85570102880689181</v>
      </c>
      <c r="L11" s="735">
        <v>34</v>
      </c>
      <c r="M11" s="772">
        <v>0.64150943396226412</v>
      </c>
    </row>
    <row r="12" spans="1:13" ht="14.45" customHeight="1" x14ac:dyDescent="0.2">
      <c r="A12" s="790" t="s">
        <v>1905</v>
      </c>
      <c r="B12" s="781">
        <v>32259.699999999997</v>
      </c>
      <c r="C12" s="731">
        <v>1</v>
      </c>
      <c r="D12" s="794">
        <v>122</v>
      </c>
      <c r="E12" s="797" t="s">
        <v>1905</v>
      </c>
      <c r="F12" s="781">
        <v>15470.55</v>
      </c>
      <c r="G12" s="749">
        <v>0.47956273616927625</v>
      </c>
      <c r="H12" s="735">
        <v>44</v>
      </c>
      <c r="I12" s="772">
        <v>0.36065573770491804</v>
      </c>
      <c r="J12" s="800">
        <v>16789.149999999998</v>
      </c>
      <c r="K12" s="749">
        <v>0.52043726383072375</v>
      </c>
      <c r="L12" s="735">
        <v>78</v>
      </c>
      <c r="M12" s="772">
        <v>0.63934426229508201</v>
      </c>
    </row>
    <row r="13" spans="1:13" ht="14.45" customHeight="1" x14ac:dyDescent="0.2">
      <c r="A13" s="790" t="s">
        <v>1906</v>
      </c>
      <c r="B13" s="781">
        <v>105.33</v>
      </c>
      <c r="C13" s="731">
        <v>1</v>
      </c>
      <c r="D13" s="794">
        <v>2</v>
      </c>
      <c r="E13" s="797" t="s">
        <v>1906</v>
      </c>
      <c r="F13" s="781">
        <v>105.33</v>
      </c>
      <c r="G13" s="749">
        <v>1</v>
      </c>
      <c r="H13" s="735">
        <v>2</v>
      </c>
      <c r="I13" s="772">
        <v>1</v>
      </c>
      <c r="J13" s="800"/>
      <c r="K13" s="749">
        <v>0</v>
      </c>
      <c r="L13" s="735"/>
      <c r="M13" s="772">
        <v>0</v>
      </c>
    </row>
    <row r="14" spans="1:13" ht="14.45" customHeight="1" x14ac:dyDescent="0.2">
      <c r="A14" s="790" t="s">
        <v>1907</v>
      </c>
      <c r="B14" s="781">
        <v>320072.09000000008</v>
      </c>
      <c r="C14" s="731">
        <v>1</v>
      </c>
      <c r="D14" s="794">
        <v>576</v>
      </c>
      <c r="E14" s="797" t="s">
        <v>1907</v>
      </c>
      <c r="F14" s="781">
        <v>139645.94000000003</v>
      </c>
      <c r="G14" s="749">
        <v>0.43629527335544938</v>
      </c>
      <c r="H14" s="735">
        <v>292</v>
      </c>
      <c r="I14" s="772">
        <v>0.50694444444444442</v>
      </c>
      <c r="J14" s="800">
        <v>180426.15000000002</v>
      </c>
      <c r="K14" s="749">
        <v>0.56370472664455051</v>
      </c>
      <c r="L14" s="735">
        <v>284</v>
      </c>
      <c r="M14" s="772">
        <v>0.49305555555555558</v>
      </c>
    </row>
    <row r="15" spans="1:13" ht="14.45" customHeight="1" x14ac:dyDescent="0.2">
      <c r="A15" s="790" t="s">
        <v>1908</v>
      </c>
      <c r="B15" s="781">
        <v>21234.01</v>
      </c>
      <c r="C15" s="731">
        <v>1</v>
      </c>
      <c r="D15" s="794">
        <v>11</v>
      </c>
      <c r="E15" s="797" t="s">
        <v>1908</v>
      </c>
      <c r="F15" s="781">
        <v>147.97999999999999</v>
      </c>
      <c r="G15" s="749">
        <v>6.9690086799431665E-3</v>
      </c>
      <c r="H15" s="735">
        <v>1</v>
      </c>
      <c r="I15" s="772">
        <v>9.0909090909090912E-2</v>
      </c>
      <c r="J15" s="800">
        <v>21086.03</v>
      </c>
      <c r="K15" s="749">
        <v>0.9930309913200569</v>
      </c>
      <c r="L15" s="735">
        <v>10</v>
      </c>
      <c r="M15" s="772">
        <v>0.90909090909090906</v>
      </c>
    </row>
    <row r="16" spans="1:13" ht="14.45" customHeight="1" x14ac:dyDescent="0.2">
      <c r="A16" s="790" t="s">
        <v>1909</v>
      </c>
      <c r="B16" s="781">
        <v>4543.6000000000004</v>
      </c>
      <c r="C16" s="731">
        <v>1</v>
      </c>
      <c r="D16" s="794">
        <v>29</v>
      </c>
      <c r="E16" s="797" t="s">
        <v>1909</v>
      </c>
      <c r="F16" s="781">
        <v>731.33999999999992</v>
      </c>
      <c r="G16" s="749">
        <v>0.16096047187252396</v>
      </c>
      <c r="H16" s="735">
        <v>7</v>
      </c>
      <c r="I16" s="772">
        <v>0.2413793103448276</v>
      </c>
      <c r="J16" s="800">
        <v>3812.26</v>
      </c>
      <c r="K16" s="749">
        <v>0.83903952812747595</v>
      </c>
      <c r="L16" s="735">
        <v>22</v>
      </c>
      <c r="M16" s="772">
        <v>0.75862068965517238</v>
      </c>
    </row>
    <row r="17" spans="1:13" ht="14.45" customHeight="1" x14ac:dyDescent="0.2">
      <c r="A17" s="790" t="s">
        <v>1910</v>
      </c>
      <c r="B17" s="781">
        <v>290.93</v>
      </c>
      <c r="C17" s="731">
        <v>1</v>
      </c>
      <c r="D17" s="794">
        <v>5</v>
      </c>
      <c r="E17" s="797" t="s">
        <v>1910</v>
      </c>
      <c r="F17" s="781"/>
      <c r="G17" s="749">
        <v>0</v>
      </c>
      <c r="H17" s="735"/>
      <c r="I17" s="772">
        <v>0</v>
      </c>
      <c r="J17" s="800">
        <v>290.93</v>
      </c>
      <c r="K17" s="749">
        <v>1</v>
      </c>
      <c r="L17" s="735">
        <v>5</v>
      </c>
      <c r="M17" s="772">
        <v>1</v>
      </c>
    </row>
    <row r="18" spans="1:13" ht="14.45" customHeight="1" x14ac:dyDescent="0.2">
      <c r="A18" s="790" t="s">
        <v>1911</v>
      </c>
      <c r="B18" s="781">
        <v>4315.7099999999991</v>
      </c>
      <c r="C18" s="731">
        <v>1</v>
      </c>
      <c r="D18" s="794">
        <v>32</v>
      </c>
      <c r="E18" s="797" t="s">
        <v>1911</v>
      </c>
      <c r="F18" s="781">
        <v>1291.5199999999998</v>
      </c>
      <c r="G18" s="749">
        <v>0.29926014491242459</v>
      </c>
      <c r="H18" s="735">
        <v>14</v>
      </c>
      <c r="I18" s="772">
        <v>0.4375</v>
      </c>
      <c r="J18" s="800">
        <v>3024.1899999999996</v>
      </c>
      <c r="K18" s="749">
        <v>0.70073985508757541</v>
      </c>
      <c r="L18" s="735">
        <v>18</v>
      </c>
      <c r="M18" s="772">
        <v>0.5625</v>
      </c>
    </row>
    <row r="19" spans="1:13" ht="14.45" customHeight="1" x14ac:dyDescent="0.2">
      <c r="A19" s="790" t="s">
        <v>1912</v>
      </c>
      <c r="B19" s="781">
        <v>146927.54000000007</v>
      </c>
      <c r="C19" s="731">
        <v>1</v>
      </c>
      <c r="D19" s="794">
        <v>189</v>
      </c>
      <c r="E19" s="797" t="s">
        <v>1912</v>
      </c>
      <c r="F19" s="781">
        <v>57952.13</v>
      </c>
      <c r="G19" s="749">
        <v>0.39442659966946952</v>
      </c>
      <c r="H19" s="735">
        <v>99</v>
      </c>
      <c r="I19" s="772">
        <v>0.52380952380952384</v>
      </c>
      <c r="J19" s="800">
        <v>88975.410000000062</v>
      </c>
      <c r="K19" s="749">
        <v>0.60557340033053042</v>
      </c>
      <c r="L19" s="735">
        <v>90</v>
      </c>
      <c r="M19" s="772">
        <v>0.47619047619047616</v>
      </c>
    </row>
    <row r="20" spans="1:13" ht="14.45" customHeight="1" thickBot="1" x14ac:dyDescent="0.25">
      <c r="A20" s="791" t="s">
        <v>1913</v>
      </c>
      <c r="B20" s="782">
        <v>230.09000000000003</v>
      </c>
      <c r="C20" s="738">
        <v>1</v>
      </c>
      <c r="D20" s="795">
        <v>7</v>
      </c>
      <c r="E20" s="798" t="s">
        <v>1913</v>
      </c>
      <c r="F20" s="782">
        <v>230.09000000000003</v>
      </c>
      <c r="G20" s="750">
        <v>1</v>
      </c>
      <c r="H20" s="742">
        <v>5</v>
      </c>
      <c r="I20" s="773">
        <v>0.7142857142857143</v>
      </c>
      <c r="J20" s="801">
        <v>0</v>
      </c>
      <c r="K20" s="750">
        <v>0</v>
      </c>
      <c r="L20" s="742">
        <v>2</v>
      </c>
      <c r="M20" s="773">
        <v>0.2857142857142857</v>
      </c>
    </row>
  </sheetData>
  <autoFilter ref="A4:N4" xr:uid="{00000000-0009-0000-0000-000011000000}"/>
  <mergeCells count="4">
    <mergeCell ref="A1:M1"/>
    <mergeCell ref="B3:D3"/>
    <mergeCell ref="F3:I3"/>
    <mergeCell ref="J3:M3"/>
  </mergeCells>
  <conditionalFormatting sqref="G4:G1048576">
    <cfRule type="cellIs" dxfId="43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 xr:uid="{EC58A680-F0E8-4E55-BA6E-5122C6A7330D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List12">
    <tabColor theme="0" tint="-0.249977111117893"/>
    <pageSetUpPr fitToPage="1"/>
  </sheetPr>
  <dimension ref="A1:U918"/>
  <sheetViews>
    <sheetView showGridLines="0" showRowColHeaders="0" topLeftCell="C1" workbookViewId="0">
      <pane ySplit="6" topLeftCell="A7" activePane="bottomLeft" state="frozen"/>
      <selection activeCell="N30" sqref="N30"/>
      <selection pane="bottomLeft" sqref="A1:U1"/>
    </sheetView>
  </sheetViews>
  <sheetFormatPr defaultColWidth="8.85546875" defaultRowHeight="14.45" customHeight="1" outlineLevelCol="1" x14ac:dyDescent="0.2"/>
  <cols>
    <col min="1" max="1" width="9.7109375" style="247" hidden="1" customWidth="1" outlineLevel="1"/>
    <col min="2" max="2" width="28.28515625" style="247" hidden="1" customWidth="1" outlineLevel="1"/>
    <col min="3" max="3" width="9" style="247" customWidth="1" collapsed="1"/>
    <col min="4" max="4" width="18.7109375" style="340" customWidth="1"/>
    <col min="5" max="5" width="13.5703125" style="330" customWidth="1"/>
    <col min="6" max="6" width="6" style="247" bestFit="1" customWidth="1"/>
    <col min="7" max="7" width="8.7109375" style="247" customWidth="1"/>
    <col min="8" max="8" width="5" style="247" bestFit="1" customWidth="1"/>
    <col min="9" max="9" width="8.5703125" style="247" hidden="1" customWidth="1" outlineLevel="1"/>
    <col min="10" max="10" width="25.7109375" style="247" customWidth="1" collapsed="1"/>
    <col min="11" max="11" width="8.7109375" style="247" customWidth="1"/>
    <col min="12" max="12" width="7.7109375" style="331" customWidth="1"/>
    <col min="13" max="13" width="11.140625" style="331" customWidth="1"/>
    <col min="14" max="14" width="7.7109375" style="247" customWidth="1"/>
    <col min="15" max="15" width="7.7109375" style="341" customWidth="1"/>
    <col min="16" max="16" width="11.140625" style="331" customWidth="1"/>
    <col min="17" max="17" width="5.42578125" style="332" bestFit="1" customWidth="1"/>
    <col min="18" max="18" width="7.7109375" style="247" customWidth="1"/>
    <col min="19" max="19" width="5.42578125" style="332" bestFit="1" customWidth="1"/>
    <col min="20" max="20" width="7.7109375" style="341" customWidth="1"/>
    <col min="21" max="21" width="5.42578125" style="332" bestFit="1" customWidth="1"/>
    <col min="22" max="16384" width="8.85546875" style="247"/>
  </cols>
  <sheetData>
    <row r="1" spans="1:21" ht="18.600000000000001" customHeight="1" thickBot="1" x14ac:dyDescent="0.35">
      <c r="A1" s="546" t="s">
        <v>2978</v>
      </c>
      <c r="B1" s="517"/>
      <c r="C1" s="517"/>
      <c r="D1" s="517"/>
      <c r="E1" s="517"/>
      <c r="F1" s="517"/>
      <c r="G1" s="517"/>
      <c r="H1" s="517"/>
      <c r="I1" s="517"/>
      <c r="J1" s="517"/>
      <c r="K1" s="517"/>
      <c r="L1" s="517"/>
      <c r="M1" s="517"/>
      <c r="N1" s="517"/>
      <c r="O1" s="517"/>
      <c r="P1" s="517"/>
      <c r="Q1" s="517"/>
      <c r="R1" s="517"/>
      <c r="S1" s="517"/>
      <c r="T1" s="517"/>
      <c r="U1" s="517"/>
    </row>
    <row r="2" spans="1:21" ht="14.45" customHeight="1" thickBot="1" x14ac:dyDescent="0.25">
      <c r="A2" s="705" t="s">
        <v>328</v>
      </c>
      <c r="B2" s="338"/>
      <c r="C2" s="328"/>
      <c r="D2" s="328"/>
      <c r="E2" s="339"/>
      <c r="F2" s="328"/>
      <c r="G2" s="328"/>
      <c r="H2" s="328"/>
      <c r="I2" s="328"/>
      <c r="J2" s="328"/>
      <c r="K2" s="328"/>
      <c r="L2" s="328"/>
      <c r="M2" s="328"/>
      <c r="N2" s="328"/>
      <c r="O2" s="328"/>
      <c r="P2" s="328"/>
      <c r="Q2" s="328"/>
      <c r="R2" s="328"/>
      <c r="S2" s="328"/>
      <c r="T2" s="328"/>
      <c r="U2" s="328"/>
    </row>
    <row r="3" spans="1:21" ht="14.45" customHeight="1" thickBot="1" x14ac:dyDescent="0.25">
      <c r="A3" s="578"/>
      <c r="B3" s="579"/>
      <c r="C3" s="579"/>
      <c r="D3" s="579"/>
      <c r="E3" s="579"/>
      <c r="F3" s="579"/>
      <c r="G3" s="579"/>
      <c r="H3" s="579"/>
      <c r="I3" s="579"/>
      <c r="J3" s="579"/>
      <c r="K3" s="580" t="s">
        <v>158</v>
      </c>
      <c r="L3" s="581"/>
      <c r="M3" s="70">
        <f>SUBTOTAL(9,M7:M1048576)</f>
        <v>774855.7300000008</v>
      </c>
      <c r="N3" s="70">
        <f>SUBTOTAL(9,N7:N1048576)</f>
        <v>3033</v>
      </c>
      <c r="O3" s="70">
        <f>SUBTOTAL(9,O7:O1048576)</f>
        <v>1581</v>
      </c>
      <c r="P3" s="70">
        <f>SUBTOTAL(9,P7:P1048576)</f>
        <v>326101.73000000027</v>
      </c>
      <c r="Q3" s="71">
        <f>IF(M3=0,0,P3/M3)</f>
        <v>0.42085476995827331</v>
      </c>
      <c r="R3" s="70">
        <f>SUBTOTAL(9,R7:R1048576)</f>
        <v>1564</v>
      </c>
      <c r="S3" s="71">
        <f>IF(N3=0,0,R3/N3)</f>
        <v>0.51566106165512693</v>
      </c>
      <c r="T3" s="70">
        <f>SUBTOTAL(9,T7:T1048576)</f>
        <v>744</v>
      </c>
      <c r="U3" s="72">
        <f>IF(O3=0,0,T3/O3)</f>
        <v>0.47058823529411764</v>
      </c>
    </row>
    <row r="4" spans="1:21" ht="14.45" customHeight="1" x14ac:dyDescent="0.2">
      <c r="A4" s="73"/>
      <c r="B4" s="74"/>
      <c r="C4" s="74"/>
      <c r="D4" s="75"/>
      <c r="E4" s="262"/>
      <c r="F4" s="74"/>
      <c r="G4" s="74"/>
      <c r="H4" s="74"/>
      <c r="I4" s="74"/>
      <c r="J4" s="74"/>
      <c r="K4" s="74"/>
      <c r="L4" s="74"/>
      <c r="M4" s="582" t="s">
        <v>15</v>
      </c>
      <c r="N4" s="583"/>
      <c r="O4" s="583"/>
      <c r="P4" s="584" t="s">
        <v>21</v>
      </c>
      <c r="Q4" s="583"/>
      <c r="R4" s="583"/>
      <c r="S4" s="583"/>
      <c r="T4" s="583"/>
      <c r="U4" s="585"/>
    </row>
    <row r="5" spans="1:21" ht="14.45" customHeight="1" thickBot="1" x14ac:dyDescent="0.25">
      <c r="A5" s="76"/>
      <c r="B5" s="77"/>
      <c r="C5" s="74"/>
      <c r="D5" s="75"/>
      <c r="E5" s="262"/>
      <c r="F5" s="74"/>
      <c r="G5" s="74"/>
      <c r="H5" s="74"/>
      <c r="I5" s="74"/>
      <c r="J5" s="74"/>
      <c r="K5" s="74"/>
      <c r="L5" s="74"/>
      <c r="M5" s="110" t="s">
        <v>22</v>
      </c>
      <c r="N5" s="111" t="s">
        <v>13</v>
      </c>
      <c r="O5" s="111" t="s">
        <v>20</v>
      </c>
      <c r="P5" s="575" t="s">
        <v>22</v>
      </c>
      <c r="Q5" s="576"/>
      <c r="R5" s="575" t="s">
        <v>13</v>
      </c>
      <c r="S5" s="576"/>
      <c r="T5" s="575" t="s">
        <v>20</v>
      </c>
      <c r="U5" s="577"/>
    </row>
    <row r="6" spans="1:21" s="330" customFormat="1" ht="14.45" customHeight="1" thickBot="1" x14ac:dyDescent="0.25">
      <c r="A6" s="802" t="s">
        <v>23</v>
      </c>
      <c r="B6" s="803" t="s">
        <v>5</v>
      </c>
      <c r="C6" s="802" t="s">
        <v>24</v>
      </c>
      <c r="D6" s="803" t="s">
        <v>6</v>
      </c>
      <c r="E6" s="803" t="s">
        <v>192</v>
      </c>
      <c r="F6" s="803" t="s">
        <v>25</v>
      </c>
      <c r="G6" s="803" t="s">
        <v>26</v>
      </c>
      <c r="H6" s="803" t="s">
        <v>8</v>
      </c>
      <c r="I6" s="803" t="s">
        <v>10</v>
      </c>
      <c r="J6" s="803" t="s">
        <v>11</v>
      </c>
      <c r="K6" s="803" t="s">
        <v>12</v>
      </c>
      <c r="L6" s="803" t="s">
        <v>27</v>
      </c>
      <c r="M6" s="804" t="s">
        <v>14</v>
      </c>
      <c r="N6" s="805" t="s">
        <v>28</v>
      </c>
      <c r="O6" s="805" t="s">
        <v>28</v>
      </c>
      <c r="P6" s="805" t="s">
        <v>14</v>
      </c>
      <c r="Q6" s="805" t="s">
        <v>2</v>
      </c>
      <c r="R6" s="805" t="s">
        <v>28</v>
      </c>
      <c r="S6" s="805" t="s">
        <v>2</v>
      </c>
      <c r="T6" s="805" t="s">
        <v>28</v>
      </c>
      <c r="U6" s="806" t="s">
        <v>2</v>
      </c>
    </row>
    <row r="7" spans="1:21" ht="14.45" customHeight="1" x14ac:dyDescent="0.2">
      <c r="A7" s="807">
        <v>50</v>
      </c>
      <c r="B7" s="808" t="s">
        <v>1887</v>
      </c>
      <c r="C7" s="808" t="s">
        <v>1891</v>
      </c>
      <c r="D7" s="809" t="s">
        <v>2976</v>
      </c>
      <c r="E7" s="810" t="s">
        <v>1910</v>
      </c>
      <c r="F7" s="808" t="s">
        <v>1888</v>
      </c>
      <c r="G7" s="808" t="s">
        <v>1914</v>
      </c>
      <c r="H7" s="808" t="s">
        <v>625</v>
      </c>
      <c r="I7" s="808" t="s">
        <v>1616</v>
      </c>
      <c r="J7" s="808" t="s">
        <v>673</v>
      </c>
      <c r="K7" s="808" t="s">
        <v>676</v>
      </c>
      <c r="L7" s="811">
        <v>17.559999999999999</v>
      </c>
      <c r="M7" s="811">
        <v>17.559999999999999</v>
      </c>
      <c r="N7" s="808">
        <v>1</v>
      </c>
      <c r="O7" s="812">
        <v>1</v>
      </c>
      <c r="P7" s="811"/>
      <c r="Q7" s="813">
        <v>0</v>
      </c>
      <c r="R7" s="808"/>
      <c r="S7" s="813">
        <v>0</v>
      </c>
      <c r="T7" s="812"/>
      <c r="U7" s="231">
        <v>0</v>
      </c>
    </row>
    <row r="8" spans="1:21" ht="14.45" customHeight="1" x14ac:dyDescent="0.2">
      <c r="A8" s="822">
        <v>50</v>
      </c>
      <c r="B8" s="823" t="s">
        <v>1887</v>
      </c>
      <c r="C8" s="823" t="s">
        <v>1891</v>
      </c>
      <c r="D8" s="824" t="s">
        <v>2976</v>
      </c>
      <c r="E8" s="825" t="s">
        <v>1910</v>
      </c>
      <c r="F8" s="823" t="s">
        <v>1888</v>
      </c>
      <c r="G8" s="823" t="s">
        <v>1915</v>
      </c>
      <c r="H8" s="823" t="s">
        <v>329</v>
      </c>
      <c r="I8" s="823" t="s">
        <v>1916</v>
      </c>
      <c r="J8" s="823" t="s">
        <v>1202</v>
      </c>
      <c r="K8" s="823" t="s">
        <v>1917</v>
      </c>
      <c r="L8" s="826">
        <v>73.989999999999995</v>
      </c>
      <c r="M8" s="826">
        <v>73.989999999999995</v>
      </c>
      <c r="N8" s="823">
        <v>1</v>
      </c>
      <c r="O8" s="827">
        <v>1</v>
      </c>
      <c r="P8" s="826"/>
      <c r="Q8" s="828">
        <v>0</v>
      </c>
      <c r="R8" s="823"/>
      <c r="S8" s="828">
        <v>0</v>
      </c>
      <c r="T8" s="827"/>
      <c r="U8" s="829">
        <v>0</v>
      </c>
    </row>
    <row r="9" spans="1:21" ht="14.45" customHeight="1" x14ac:dyDescent="0.2">
      <c r="A9" s="822">
        <v>50</v>
      </c>
      <c r="B9" s="823" t="s">
        <v>1887</v>
      </c>
      <c r="C9" s="823" t="s">
        <v>1891</v>
      </c>
      <c r="D9" s="824" t="s">
        <v>2976</v>
      </c>
      <c r="E9" s="825" t="s">
        <v>1910</v>
      </c>
      <c r="F9" s="823" t="s">
        <v>1888</v>
      </c>
      <c r="G9" s="823" t="s">
        <v>1918</v>
      </c>
      <c r="H9" s="823" t="s">
        <v>329</v>
      </c>
      <c r="I9" s="823" t="s">
        <v>1919</v>
      </c>
      <c r="J9" s="823" t="s">
        <v>642</v>
      </c>
      <c r="K9" s="823" t="s">
        <v>1920</v>
      </c>
      <c r="L9" s="826">
        <v>10.55</v>
      </c>
      <c r="M9" s="826">
        <v>10.55</v>
      </c>
      <c r="N9" s="823">
        <v>1</v>
      </c>
      <c r="O9" s="827">
        <v>1</v>
      </c>
      <c r="P9" s="826"/>
      <c r="Q9" s="828">
        <v>0</v>
      </c>
      <c r="R9" s="823"/>
      <c r="S9" s="828">
        <v>0</v>
      </c>
      <c r="T9" s="827"/>
      <c r="U9" s="829">
        <v>0</v>
      </c>
    </row>
    <row r="10" spans="1:21" ht="14.45" customHeight="1" x14ac:dyDescent="0.2">
      <c r="A10" s="822">
        <v>50</v>
      </c>
      <c r="B10" s="823" t="s">
        <v>1887</v>
      </c>
      <c r="C10" s="823" t="s">
        <v>1891</v>
      </c>
      <c r="D10" s="824" t="s">
        <v>2976</v>
      </c>
      <c r="E10" s="825" t="s">
        <v>1910</v>
      </c>
      <c r="F10" s="823" t="s">
        <v>1888</v>
      </c>
      <c r="G10" s="823" t="s">
        <v>1921</v>
      </c>
      <c r="H10" s="823" t="s">
        <v>625</v>
      </c>
      <c r="I10" s="823" t="s">
        <v>1922</v>
      </c>
      <c r="J10" s="823" t="s">
        <v>967</v>
      </c>
      <c r="K10" s="823" t="s">
        <v>1923</v>
      </c>
      <c r="L10" s="826">
        <v>34.47</v>
      </c>
      <c r="M10" s="826">
        <v>34.47</v>
      </c>
      <c r="N10" s="823">
        <v>1</v>
      </c>
      <c r="O10" s="827">
        <v>1</v>
      </c>
      <c r="P10" s="826"/>
      <c r="Q10" s="828">
        <v>0</v>
      </c>
      <c r="R10" s="823"/>
      <c r="S10" s="828">
        <v>0</v>
      </c>
      <c r="T10" s="827"/>
      <c r="U10" s="829">
        <v>0</v>
      </c>
    </row>
    <row r="11" spans="1:21" ht="14.45" customHeight="1" x14ac:dyDescent="0.2">
      <c r="A11" s="822">
        <v>50</v>
      </c>
      <c r="B11" s="823" t="s">
        <v>1887</v>
      </c>
      <c r="C11" s="823" t="s">
        <v>1891</v>
      </c>
      <c r="D11" s="824" t="s">
        <v>2976</v>
      </c>
      <c r="E11" s="825" t="s">
        <v>1910</v>
      </c>
      <c r="F11" s="823" t="s">
        <v>1888</v>
      </c>
      <c r="G11" s="823" t="s">
        <v>1924</v>
      </c>
      <c r="H11" s="823" t="s">
        <v>329</v>
      </c>
      <c r="I11" s="823" t="s">
        <v>1925</v>
      </c>
      <c r="J11" s="823" t="s">
        <v>1926</v>
      </c>
      <c r="K11" s="823" t="s">
        <v>1927</v>
      </c>
      <c r="L11" s="826">
        <v>154.36000000000001</v>
      </c>
      <c r="M11" s="826">
        <v>154.36000000000001</v>
      </c>
      <c r="N11" s="823">
        <v>1</v>
      </c>
      <c r="O11" s="827">
        <v>1</v>
      </c>
      <c r="P11" s="826"/>
      <c r="Q11" s="828">
        <v>0</v>
      </c>
      <c r="R11" s="823"/>
      <c r="S11" s="828">
        <v>0</v>
      </c>
      <c r="T11" s="827"/>
      <c r="U11" s="829">
        <v>0</v>
      </c>
    </row>
    <row r="12" spans="1:21" ht="14.45" customHeight="1" x14ac:dyDescent="0.2">
      <c r="A12" s="822">
        <v>50</v>
      </c>
      <c r="B12" s="823" t="s">
        <v>1887</v>
      </c>
      <c r="C12" s="823" t="s">
        <v>1891</v>
      </c>
      <c r="D12" s="824" t="s">
        <v>2976</v>
      </c>
      <c r="E12" s="825" t="s">
        <v>1911</v>
      </c>
      <c r="F12" s="823" t="s">
        <v>1888</v>
      </c>
      <c r="G12" s="823" t="s">
        <v>1928</v>
      </c>
      <c r="H12" s="823" t="s">
        <v>329</v>
      </c>
      <c r="I12" s="823" t="s">
        <v>1929</v>
      </c>
      <c r="J12" s="823" t="s">
        <v>1930</v>
      </c>
      <c r="K12" s="823" t="s">
        <v>1931</v>
      </c>
      <c r="L12" s="826">
        <v>33.31</v>
      </c>
      <c r="M12" s="826">
        <v>33.31</v>
      </c>
      <c r="N12" s="823">
        <v>1</v>
      </c>
      <c r="O12" s="827">
        <v>1</v>
      </c>
      <c r="P12" s="826">
        <v>33.31</v>
      </c>
      <c r="Q12" s="828">
        <v>1</v>
      </c>
      <c r="R12" s="823">
        <v>1</v>
      </c>
      <c r="S12" s="828">
        <v>1</v>
      </c>
      <c r="T12" s="827">
        <v>1</v>
      </c>
      <c r="U12" s="829">
        <v>1</v>
      </c>
    </row>
    <row r="13" spans="1:21" ht="14.45" customHeight="1" x14ac:dyDescent="0.2">
      <c r="A13" s="822">
        <v>50</v>
      </c>
      <c r="B13" s="823" t="s">
        <v>1887</v>
      </c>
      <c r="C13" s="823" t="s">
        <v>1891</v>
      </c>
      <c r="D13" s="824" t="s">
        <v>2976</v>
      </c>
      <c r="E13" s="825" t="s">
        <v>1898</v>
      </c>
      <c r="F13" s="823" t="s">
        <v>1888</v>
      </c>
      <c r="G13" s="823" t="s">
        <v>1932</v>
      </c>
      <c r="H13" s="823" t="s">
        <v>625</v>
      </c>
      <c r="I13" s="823" t="s">
        <v>1796</v>
      </c>
      <c r="J13" s="823" t="s">
        <v>1639</v>
      </c>
      <c r="K13" s="823" t="s">
        <v>1797</v>
      </c>
      <c r="L13" s="826">
        <v>220.53</v>
      </c>
      <c r="M13" s="826">
        <v>220.53</v>
      </c>
      <c r="N13" s="823">
        <v>1</v>
      </c>
      <c r="O13" s="827">
        <v>1</v>
      </c>
      <c r="P13" s="826"/>
      <c r="Q13" s="828">
        <v>0</v>
      </c>
      <c r="R13" s="823"/>
      <c r="S13" s="828">
        <v>0</v>
      </c>
      <c r="T13" s="827"/>
      <c r="U13" s="829">
        <v>0</v>
      </c>
    </row>
    <row r="14" spans="1:21" ht="14.45" customHeight="1" x14ac:dyDescent="0.2">
      <c r="A14" s="822">
        <v>50</v>
      </c>
      <c r="B14" s="823" t="s">
        <v>1887</v>
      </c>
      <c r="C14" s="823" t="s">
        <v>1891</v>
      </c>
      <c r="D14" s="824" t="s">
        <v>2976</v>
      </c>
      <c r="E14" s="825" t="s">
        <v>1898</v>
      </c>
      <c r="F14" s="823" t="s">
        <v>1888</v>
      </c>
      <c r="G14" s="823" t="s">
        <v>1933</v>
      </c>
      <c r="H14" s="823" t="s">
        <v>329</v>
      </c>
      <c r="I14" s="823" t="s">
        <v>1934</v>
      </c>
      <c r="J14" s="823" t="s">
        <v>1185</v>
      </c>
      <c r="K14" s="823" t="s">
        <v>1935</v>
      </c>
      <c r="L14" s="826">
        <v>10.65</v>
      </c>
      <c r="M14" s="826">
        <v>10.65</v>
      </c>
      <c r="N14" s="823">
        <v>1</v>
      </c>
      <c r="O14" s="827">
        <v>1</v>
      </c>
      <c r="P14" s="826"/>
      <c r="Q14" s="828">
        <v>0</v>
      </c>
      <c r="R14" s="823"/>
      <c r="S14" s="828">
        <v>0</v>
      </c>
      <c r="T14" s="827"/>
      <c r="U14" s="829">
        <v>0</v>
      </c>
    </row>
    <row r="15" spans="1:21" ht="14.45" customHeight="1" x14ac:dyDescent="0.2">
      <c r="A15" s="822">
        <v>50</v>
      </c>
      <c r="B15" s="823" t="s">
        <v>1887</v>
      </c>
      <c r="C15" s="823" t="s">
        <v>1891</v>
      </c>
      <c r="D15" s="824" t="s">
        <v>2976</v>
      </c>
      <c r="E15" s="825" t="s">
        <v>1898</v>
      </c>
      <c r="F15" s="823" t="s">
        <v>1888</v>
      </c>
      <c r="G15" s="823" t="s">
        <v>1936</v>
      </c>
      <c r="H15" s="823" t="s">
        <v>329</v>
      </c>
      <c r="I15" s="823" t="s">
        <v>1937</v>
      </c>
      <c r="J15" s="823" t="s">
        <v>1938</v>
      </c>
      <c r="K15" s="823" t="s">
        <v>1939</v>
      </c>
      <c r="L15" s="826">
        <v>57.28</v>
      </c>
      <c r="M15" s="826">
        <v>57.28</v>
      </c>
      <c r="N15" s="823">
        <v>1</v>
      </c>
      <c r="O15" s="827">
        <v>1</v>
      </c>
      <c r="P15" s="826"/>
      <c r="Q15" s="828">
        <v>0</v>
      </c>
      <c r="R15" s="823"/>
      <c r="S15" s="828">
        <v>0</v>
      </c>
      <c r="T15" s="827"/>
      <c r="U15" s="829">
        <v>0</v>
      </c>
    </row>
    <row r="16" spans="1:21" ht="14.45" customHeight="1" x14ac:dyDescent="0.2">
      <c r="A16" s="822">
        <v>50</v>
      </c>
      <c r="B16" s="823" t="s">
        <v>1887</v>
      </c>
      <c r="C16" s="823" t="s">
        <v>1893</v>
      </c>
      <c r="D16" s="824" t="s">
        <v>2977</v>
      </c>
      <c r="E16" s="825" t="s">
        <v>1900</v>
      </c>
      <c r="F16" s="823" t="s">
        <v>1888</v>
      </c>
      <c r="G16" s="823" t="s">
        <v>1940</v>
      </c>
      <c r="H16" s="823" t="s">
        <v>625</v>
      </c>
      <c r="I16" s="823" t="s">
        <v>1705</v>
      </c>
      <c r="J16" s="823" t="s">
        <v>626</v>
      </c>
      <c r="K16" s="823" t="s">
        <v>627</v>
      </c>
      <c r="L16" s="826">
        <v>65.28</v>
      </c>
      <c r="M16" s="826">
        <v>65.28</v>
      </c>
      <c r="N16" s="823">
        <v>1</v>
      </c>
      <c r="O16" s="827">
        <v>1</v>
      </c>
      <c r="P16" s="826"/>
      <c r="Q16" s="828">
        <v>0</v>
      </c>
      <c r="R16" s="823"/>
      <c r="S16" s="828">
        <v>0</v>
      </c>
      <c r="T16" s="827"/>
      <c r="U16" s="829">
        <v>0</v>
      </c>
    </row>
    <row r="17" spans="1:21" ht="14.45" customHeight="1" x14ac:dyDescent="0.2">
      <c r="A17" s="822">
        <v>50</v>
      </c>
      <c r="B17" s="823" t="s">
        <v>1887</v>
      </c>
      <c r="C17" s="823" t="s">
        <v>1893</v>
      </c>
      <c r="D17" s="824" t="s">
        <v>2977</v>
      </c>
      <c r="E17" s="825" t="s">
        <v>1900</v>
      </c>
      <c r="F17" s="823" t="s">
        <v>1888</v>
      </c>
      <c r="G17" s="823" t="s">
        <v>1941</v>
      </c>
      <c r="H17" s="823" t="s">
        <v>329</v>
      </c>
      <c r="I17" s="823" t="s">
        <v>1942</v>
      </c>
      <c r="J17" s="823" t="s">
        <v>1943</v>
      </c>
      <c r="K17" s="823" t="s">
        <v>1737</v>
      </c>
      <c r="L17" s="826">
        <v>11.71</v>
      </c>
      <c r="M17" s="826">
        <v>23.42</v>
      </c>
      <c r="N17" s="823">
        <v>2</v>
      </c>
      <c r="O17" s="827">
        <v>1</v>
      </c>
      <c r="P17" s="826"/>
      <c r="Q17" s="828">
        <v>0</v>
      </c>
      <c r="R17" s="823"/>
      <c r="S17" s="828">
        <v>0</v>
      </c>
      <c r="T17" s="827"/>
      <c r="U17" s="829">
        <v>0</v>
      </c>
    </row>
    <row r="18" spans="1:21" ht="14.45" customHeight="1" x14ac:dyDescent="0.2">
      <c r="A18" s="822">
        <v>50</v>
      </c>
      <c r="B18" s="823" t="s">
        <v>1887</v>
      </c>
      <c r="C18" s="823" t="s">
        <v>1893</v>
      </c>
      <c r="D18" s="824" t="s">
        <v>2977</v>
      </c>
      <c r="E18" s="825" t="s">
        <v>1900</v>
      </c>
      <c r="F18" s="823" t="s">
        <v>1888</v>
      </c>
      <c r="G18" s="823" t="s">
        <v>1944</v>
      </c>
      <c r="H18" s="823" t="s">
        <v>625</v>
      </c>
      <c r="I18" s="823" t="s">
        <v>1581</v>
      </c>
      <c r="J18" s="823" t="s">
        <v>712</v>
      </c>
      <c r="K18" s="823" t="s">
        <v>1582</v>
      </c>
      <c r="L18" s="826">
        <v>80.010000000000005</v>
      </c>
      <c r="M18" s="826">
        <v>80.010000000000005</v>
      </c>
      <c r="N18" s="823">
        <v>1</v>
      </c>
      <c r="O18" s="827">
        <v>1</v>
      </c>
      <c r="P18" s="826">
        <v>80.010000000000005</v>
      </c>
      <c r="Q18" s="828">
        <v>1</v>
      </c>
      <c r="R18" s="823">
        <v>1</v>
      </c>
      <c r="S18" s="828">
        <v>1</v>
      </c>
      <c r="T18" s="827">
        <v>1</v>
      </c>
      <c r="U18" s="829">
        <v>1</v>
      </c>
    </row>
    <row r="19" spans="1:21" ht="14.45" customHeight="1" x14ac:dyDescent="0.2">
      <c r="A19" s="822">
        <v>50</v>
      </c>
      <c r="B19" s="823" t="s">
        <v>1887</v>
      </c>
      <c r="C19" s="823" t="s">
        <v>1893</v>
      </c>
      <c r="D19" s="824" t="s">
        <v>2977</v>
      </c>
      <c r="E19" s="825" t="s">
        <v>1900</v>
      </c>
      <c r="F19" s="823" t="s">
        <v>1888</v>
      </c>
      <c r="G19" s="823" t="s">
        <v>1932</v>
      </c>
      <c r="H19" s="823" t="s">
        <v>625</v>
      </c>
      <c r="I19" s="823" t="s">
        <v>1796</v>
      </c>
      <c r="J19" s="823" t="s">
        <v>1639</v>
      </c>
      <c r="K19" s="823" t="s">
        <v>1797</v>
      </c>
      <c r="L19" s="826">
        <v>220.53</v>
      </c>
      <c r="M19" s="826">
        <v>220.53</v>
      </c>
      <c r="N19" s="823">
        <v>1</v>
      </c>
      <c r="O19" s="827">
        <v>1</v>
      </c>
      <c r="P19" s="826"/>
      <c r="Q19" s="828">
        <v>0</v>
      </c>
      <c r="R19" s="823"/>
      <c r="S19" s="828">
        <v>0</v>
      </c>
      <c r="T19" s="827"/>
      <c r="U19" s="829">
        <v>0</v>
      </c>
    </row>
    <row r="20" spans="1:21" ht="14.45" customHeight="1" x14ac:dyDescent="0.2">
      <c r="A20" s="822">
        <v>50</v>
      </c>
      <c r="B20" s="823" t="s">
        <v>1887</v>
      </c>
      <c r="C20" s="823" t="s">
        <v>1893</v>
      </c>
      <c r="D20" s="824" t="s">
        <v>2977</v>
      </c>
      <c r="E20" s="825" t="s">
        <v>1900</v>
      </c>
      <c r="F20" s="823" t="s">
        <v>1888</v>
      </c>
      <c r="G20" s="823" t="s">
        <v>1932</v>
      </c>
      <c r="H20" s="823" t="s">
        <v>329</v>
      </c>
      <c r="I20" s="823" t="s">
        <v>1638</v>
      </c>
      <c r="J20" s="823" t="s">
        <v>1639</v>
      </c>
      <c r="K20" s="823" t="s">
        <v>1640</v>
      </c>
      <c r="L20" s="826">
        <v>143.35</v>
      </c>
      <c r="M20" s="826">
        <v>143.35</v>
      </c>
      <c r="N20" s="823">
        <v>1</v>
      </c>
      <c r="O20" s="827">
        <v>1</v>
      </c>
      <c r="P20" s="826">
        <v>143.35</v>
      </c>
      <c r="Q20" s="828">
        <v>1</v>
      </c>
      <c r="R20" s="823">
        <v>1</v>
      </c>
      <c r="S20" s="828">
        <v>1</v>
      </c>
      <c r="T20" s="827">
        <v>1</v>
      </c>
      <c r="U20" s="829">
        <v>1</v>
      </c>
    </row>
    <row r="21" spans="1:21" ht="14.45" customHeight="1" x14ac:dyDescent="0.2">
      <c r="A21" s="822">
        <v>50</v>
      </c>
      <c r="B21" s="823" t="s">
        <v>1887</v>
      </c>
      <c r="C21" s="823" t="s">
        <v>1893</v>
      </c>
      <c r="D21" s="824" t="s">
        <v>2977</v>
      </c>
      <c r="E21" s="825" t="s">
        <v>1900</v>
      </c>
      <c r="F21" s="823" t="s">
        <v>1888</v>
      </c>
      <c r="G21" s="823" t="s">
        <v>1914</v>
      </c>
      <c r="H21" s="823" t="s">
        <v>329</v>
      </c>
      <c r="I21" s="823" t="s">
        <v>1945</v>
      </c>
      <c r="J21" s="823" t="s">
        <v>1946</v>
      </c>
      <c r="K21" s="823" t="s">
        <v>1947</v>
      </c>
      <c r="L21" s="826">
        <v>16.38</v>
      </c>
      <c r="M21" s="826">
        <v>16.38</v>
      </c>
      <c r="N21" s="823">
        <v>1</v>
      </c>
      <c r="O21" s="827">
        <v>1</v>
      </c>
      <c r="P21" s="826"/>
      <c r="Q21" s="828">
        <v>0</v>
      </c>
      <c r="R21" s="823"/>
      <c r="S21" s="828">
        <v>0</v>
      </c>
      <c r="T21" s="827"/>
      <c r="U21" s="829">
        <v>0</v>
      </c>
    </row>
    <row r="22" spans="1:21" ht="14.45" customHeight="1" x14ac:dyDescent="0.2">
      <c r="A22" s="822">
        <v>50</v>
      </c>
      <c r="B22" s="823" t="s">
        <v>1887</v>
      </c>
      <c r="C22" s="823" t="s">
        <v>1893</v>
      </c>
      <c r="D22" s="824" t="s">
        <v>2977</v>
      </c>
      <c r="E22" s="825" t="s">
        <v>1900</v>
      </c>
      <c r="F22" s="823" t="s">
        <v>1888</v>
      </c>
      <c r="G22" s="823" t="s">
        <v>1914</v>
      </c>
      <c r="H22" s="823" t="s">
        <v>329</v>
      </c>
      <c r="I22" s="823" t="s">
        <v>1948</v>
      </c>
      <c r="J22" s="823" t="s">
        <v>1949</v>
      </c>
      <c r="K22" s="823" t="s">
        <v>1923</v>
      </c>
      <c r="L22" s="826">
        <v>35.11</v>
      </c>
      <c r="M22" s="826">
        <v>35.11</v>
      </c>
      <c r="N22" s="823">
        <v>1</v>
      </c>
      <c r="O22" s="827">
        <v>1</v>
      </c>
      <c r="P22" s="826"/>
      <c r="Q22" s="828">
        <v>0</v>
      </c>
      <c r="R22" s="823"/>
      <c r="S22" s="828">
        <v>0</v>
      </c>
      <c r="T22" s="827"/>
      <c r="U22" s="829">
        <v>0</v>
      </c>
    </row>
    <row r="23" spans="1:21" ht="14.45" customHeight="1" x14ac:dyDescent="0.2">
      <c r="A23" s="822">
        <v>50</v>
      </c>
      <c r="B23" s="823" t="s">
        <v>1887</v>
      </c>
      <c r="C23" s="823" t="s">
        <v>1893</v>
      </c>
      <c r="D23" s="824" t="s">
        <v>2977</v>
      </c>
      <c r="E23" s="825" t="s">
        <v>1900</v>
      </c>
      <c r="F23" s="823" t="s">
        <v>1888</v>
      </c>
      <c r="G23" s="823" t="s">
        <v>1914</v>
      </c>
      <c r="H23" s="823" t="s">
        <v>329</v>
      </c>
      <c r="I23" s="823" t="s">
        <v>1950</v>
      </c>
      <c r="J23" s="823" t="s">
        <v>1615</v>
      </c>
      <c r="K23" s="823" t="s">
        <v>676</v>
      </c>
      <c r="L23" s="826">
        <v>17.559999999999999</v>
      </c>
      <c r="M23" s="826">
        <v>17.559999999999999</v>
      </c>
      <c r="N23" s="823">
        <v>1</v>
      </c>
      <c r="O23" s="827">
        <v>1</v>
      </c>
      <c r="P23" s="826"/>
      <c r="Q23" s="828">
        <v>0</v>
      </c>
      <c r="R23" s="823"/>
      <c r="S23" s="828">
        <v>0</v>
      </c>
      <c r="T23" s="827"/>
      <c r="U23" s="829">
        <v>0</v>
      </c>
    </row>
    <row r="24" spans="1:21" ht="14.45" customHeight="1" x14ac:dyDescent="0.2">
      <c r="A24" s="822">
        <v>50</v>
      </c>
      <c r="B24" s="823" t="s">
        <v>1887</v>
      </c>
      <c r="C24" s="823" t="s">
        <v>1893</v>
      </c>
      <c r="D24" s="824" t="s">
        <v>2977</v>
      </c>
      <c r="E24" s="825" t="s">
        <v>1900</v>
      </c>
      <c r="F24" s="823" t="s">
        <v>1888</v>
      </c>
      <c r="G24" s="823" t="s">
        <v>1914</v>
      </c>
      <c r="H24" s="823" t="s">
        <v>329</v>
      </c>
      <c r="I24" s="823" t="s">
        <v>1951</v>
      </c>
      <c r="J24" s="823" t="s">
        <v>1615</v>
      </c>
      <c r="K24" s="823" t="s">
        <v>1923</v>
      </c>
      <c r="L24" s="826">
        <v>35.11</v>
      </c>
      <c r="M24" s="826">
        <v>35.11</v>
      </c>
      <c r="N24" s="823">
        <v>1</v>
      </c>
      <c r="O24" s="827">
        <v>1</v>
      </c>
      <c r="P24" s="826">
        <v>35.11</v>
      </c>
      <c r="Q24" s="828">
        <v>1</v>
      </c>
      <c r="R24" s="823">
        <v>1</v>
      </c>
      <c r="S24" s="828">
        <v>1</v>
      </c>
      <c r="T24" s="827">
        <v>1</v>
      </c>
      <c r="U24" s="829">
        <v>1</v>
      </c>
    </row>
    <row r="25" spans="1:21" ht="14.45" customHeight="1" x14ac:dyDescent="0.2">
      <c r="A25" s="822">
        <v>50</v>
      </c>
      <c r="B25" s="823" t="s">
        <v>1887</v>
      </c>
      <c r="C25" s="823" t="s">
        <v>1893</v>
      </c>
      <c r="D25" s="824" t="s">
        <v>2977</v>
      </c>
      <c r="E25" s="825" t="s">
        <v>1900</v>
      </c>
      <c r="F25" s="823" t="s">
        <v>1888</v>
      </c>
      <c r="G25" s="823" t="s">
        <v>1952</v>
      </c>
      <c r="H25" s="823" t="s">
        <v>625</v>
      </c>
      <c r="I25" s="823" t="s">
        <v>1784</v>
      </c>
      <c r="J25" s="823" t="s">
        <v>811</v>
      </c>
      <c r="K25" s="823" t="s">
        <v>1785</v>
      </c>
      <c r="L25" s="826">
        <v>42.51</v>
      </c>
      <c r="M25" s="826">
        <v>42.51</v>
      </c>
      <c r="N25" s="823">
        <v>1</v>
      </c>
      <c r="O25" s="827">
        <v>1</v>
      </c>
      <c r="P25" s="826"/>
      <c r="Q25" s="828">
        <v>0</v>
      </c>
      <c r="R25" s="823"/>
      <c r="S25" s="828">
        <v>0</v>
      </c>
      <c r="T25" s="827"/>
      <c r="U25" s="829">
        <v>0</v>
      </c>
    </row>
    <row r="26" spans="1:21" ht="14.45" customHeight="1" x14ac:dyDescent="0.2">
      <c r="A26" s="822">
        <v>50</v>
      </c>
      <c r="B26" s="823" t="s">
        <v>1887</v>
      </c>
      <c r="C26" s="823" t="s">
        <v>1893</v>
      </c>
      <c r="D26" s="824" t="s">
        <v>2977</v>
      </c>
      <c r="E26" s="825" t="s">
        <v>1900</v>
      </c>
      <c r="F26" s="823" t="s">
        <v>1888</v>
      </c>
      <c r="G26" s="823" t="s">
        <v>1952</v>
      </c>
      <c r="H26" s="823" t="s">
        <v>329</v>
      </c>
      <c r="I26" s="823" t="s">
        <v>1953</v>
      </c>
      <c r="J26" s="823" t="s">
        <v>1954</v>
      </c>
      <c r="K26" s="823" t="s">
        <v>1785</v>
      </c>
      <c r="L26" s="826">
        <v>42.51</v>
      </c>
      <c r="M26" s="826">
        <v>127.53</v>
      </c>
      <c r="N26" s="823">
        <v>3</v>
      </c>
      <c r="O26" s="827">
        <v>3</v>
      </c>
      <c r="P26" s="826"/>
      <c r="Q26" s="828">
        <v>0</v>
      </c>
      <c r="R26" s="823"/>
      <c r="S26" s="828">
        <v>0</v>
      </c>
      <c r="T26" s="827"/>
      <c r="U26" s="829">
        <v>0</v>
      </c>
    </row>
    <row r="27" spans="1:21" ht="14.45" customHeight="1" x14ac:dyDescent="0.2">
      <c r="A27" s="822">
        <v>50</v>
      </c>
      <c r="B27" s="823" t="s">
        <v>1887</v>
      </c>
      <c r="C27" s="823" t="s">
        <v>1893</v>
      </c>
      <c r="D27" s="824" t="s">
        <v>2977</v>
      </c>
      <c r="E27" s="825" t="s">
        <v>1900</v>
      </c>
      <c r="F27" s="823" t="s">
        <v>1888</v>
      </c>
      <c r="G27" s="823" t="s">
        <v>1955</v>
      </c>
      <c r="H27" s="823" t="s">
        <v>625</v>
      </c>
      <c r="I27" s="823" t="s">
        <v>1567</v>
      </c>
      <c r="J27" s="823" t="s">
        <v>1568</v>
      </c>
      <c r="K27" s="823" t="s">
        <v>1569</v>
      </c>
      <c r="L27" s="826">
        <v>93.43</v>
      </c>
      <c r="M27" s="826">
        <v>186.86</v>
      </c>
      <c r="N27" s="823">
        <v>2</v>
      </c>
      <c r="O27" s="827">
        <v>1.5</v>
      </c>
      <c r="P27" s="826"/>
      <c r="Q27" s="828">
        <v>0</v>
      </c>
      <c r="R27" s="823"/>
      <c r="S27" s="828">
        <v>0</v>
      </c>
      <c r="T27" s="827"/>
      <c r="U27" s="829">
        <v>0</v>
      </c>
    </row>
    <row r="28" spans="1:21" ht="14.45" customHeight="1" x14ac:dyDescent="0.2">
      <c r="A28" s="822">
        <v>50</v>
      </c>
      <c r="B28" s="823" t="s">
        <v>1887</v>
      </c>
      <c r="C28" s="823" t="s">
        <v>1893</v>
      </c>
      <c r="D28" s="824" t="s">
        <v>2977</v>
      </c>
      <c r="E28" s="825" t="s">
        <v>1900</v>
      </c>
      <c r="F28" s="823" t="s">
        <v>1888</v>
      </c>
      <c r="G28" s="823" t="s">
        <v>1956</v>
      </c>
      <c r="H28" s="823" t="s">
        <v>329</v>
      </c>
      <c r="I28" s="823" t="s">
        <v>1957</v>
      </c>
      <c r="J28" s="823" t="s">
        <v>1958</v>
      </c>
      <c r="K28" s="823" t="s">
        <v>1959</v>
      </c>
      <c r="L28" s="826">
        <v>577.88</v>
      </c>
      <c r="M28" s="826">
        <v>577.88</v>
      </c>
      <c r="N28" s="823">
        <v>1</v>
      </c>
      <c r="O28" s="827">
        <v>1</v>
      </c>
      <c r="P28" s="826"/>
      <c r="Q28" s="828">
        <v>0</v>
      </c>
      <c r="R28" s="823"/>
      <c r="S28" s="828">
        <v>0</v>
      </c>
      <c r="T28" s="827"/>
      <c r="U28" s="829">
        <v>0</v>
      </c>
    </row>
    <row r="29" spans="1:21" ht="14.45" customHeight="1" x14ac:dyDescent="0.2">
      <c r="A29" s="822">
        <v>50</v>
      </c>
      <c r="B29" s="823" t="s">
        <v>1887</v>
      </c>
      <c r="C29" s="823" t="s">
        <v>1893</v>
      </c>
      <c r="D29" s="824" t="s">
        <v>2977</v>
      </c>
      <c r="E29" s="825" t="s">
        <v>1900</v>
      </c>
      <c r="F29" s="823" t="s">
        <v>1888</v>
      </c>
      <c r="G29" s="823" t="s">
        <v>1918</v>
      </c>
      <c r="H29" s="823" t="s">
        <v>329</v>
      </c>
      <c r="I29" s="823" t="s">
        <v>1919</v>
      </c>
      <c r="J29" s="823" t="s">
        <v>642</v>
      </c>
      <c r="K29" s="823" t="s">
        <v>1920</v>
      </c>
      <c r="L29" s="826">
        <v>10.55</v>
      </c>
      <c r="M29" s="826">
        <v>21.1</v>
      </c>
      <c r="N29" s="823">
        <v>2</v>
      </c>
      <c r="O29" s="827">
        <v>2</v>
      </c>
      <c r="P29" s="826">
        <v>10.55</v>
      </c>
      <c r="Q29" s="828">
        <v>0.5</v>
      </c>
      <c r="R29" s="823">
        <v>1</v>
      </c>
      <c r="S29" s="828">
        <v>0.5</v>
      </c>
      <c r="T29" s="827">
        <v>1</v>
      </c>
      <c r="U29" s="829">
        <v>0.5</v>
      </c>
    </row>
    <row r="30" spans="1:21" ht="14.45" customHeight="1" x14ac:dyDescent="0.2">
      <c r="A30" s="822">
        <v>50</v>
      </c>
      <c r="B30" s="823" t="s">
        <v>1887</v>
      </c>
      <c r="C30" s="823" t="s">
        <v>1893</v>
      </c>
      <c r="D30" s="824" t="s">
        <v>2977</v>
      </c>
      <c r="E30" s="825" t="s">
        <v>1900</v>
      </c>
      <c r="F30" s="823" t="s">
        <v>1888</v>
      </c>
      <c r="G30" s="823" t="s">
        <v>1918</v>
      </c>
      <c r="H30" s="823" t="s">
        <v>329</v>
      </c>
      <c r="I30" s="823" t="s">
        <v>1960</v>
      </c>
      <c r="J30" s="823" t="s">
        <v>1961</v>
      </c>
      <c r="K30" s="823" t="s">
        <v>1962</v>
      </c>
      <c r="L30" s="826">
        <v>10.55</v>
      </c>
      <c r="M30" s="826">
        <v>21.1</v>
      </c>
      <c r="N30" s="823">
        <v>2</v>
      </c>
      <c r="O30" s="827">
        <v>2</v>
      </c>
      <c r="P30" s="826"/>
      <c r="Q30" s="828">
        <v>0</v>
      </c>
      <c r="R30" s="823"/>
      <c r="S30" s="828">
        <v>0</v>
      </c>
      <c r="T30" s="827"/>
      <c r="U30" s="829">
        <v>0</v>
      </c>
    </row>
    <row r="31" spans="1:21" ht="14.45" customHeight="1" x14ac:dyDescent="0.2">
      <c r="A31" s="822">
        <v>50</v>
      </c>
      <c r="B31" s="823" t="s">
        <v>1887</v>
      </c>
      <c r="C31" s="823" t="s">
        <v>1893</v>
      </c>
      <c r="D31" s="824" t="s">
        <v>2977</v>
      </c>
      <c r="E31" s="825" t="s">
        <v>1900</v>
      </c>
      <c r="F31" s="823" t="s">
        <v>1888</v>
      </c>
      <c r="G31" s="823" t="s">
        <v>1933</v>
      </c>
      <c r="H31" s="823" t="s">
        <v>329</v>
      </c>
      <c r="I31" s="823" t="s">
        <v>1963</v>
      </c>
      <c r="J31" s="823" t="s">
        <v>1185</v>
      </c>
      <c r="K31" s="823" t="s">
        <v>1186</v>
      </c>
      <c r="L31" s="826">
        <v>58.52</v>
      </c>
      <c r="M31" s="826">
        <v>117.04</v>
      </c>
      <c r="N31" s="823">
        <v>2</v>
      </c>
      <c r="O31" s="827">
        <v>2</v>
      </c>
      <c r="P31" s="826"/>
      <c r="Q31" s="828">
        <v>0</v>
      </c>
      <c r="R31" s="823"/>
      <c r="S31" s="828">
        <v>0</v>
      </c>
      <c r="T31" s="827"/>
      <c r="U31" s="829">
        <v>0</v>
      </c>
    </row>
    <row r="32" spans="1:21" ht="14.45" customHeight="1" x14ac:dyDescent="0.2">
      <c r="A32" s="822">
        <v>50</v>
      </c>
      <c r="B32" s="823" t="s">
        <v>1887</v>
      </c>
      <c r="C32" s="823" t="s">
        <v>1893</v>
      </c>
      <c r="D32" s="824" t="s">
        <v>2977</v>
      </c>
      <c r="E32" s="825" t="s">
        <v>1900</v>
      </c>
      <c r="F32" s="823" t="s">
        <v>1888</v>
      </c>
      <c r="G32" s="823" t="s">
        <v>1933</v>
      </c>
      <c r="H32" s="823" t="s">
        <v>625</v>
      </c>
      <c r="I32" s="823" t="s">
        <v>1964</v>
      </c>
      <c r="J32" s="823" t="s">
        <v>1185</v>
      </c>
      <c r="K32" s="823" t="s">
        <v>1965</v>
      </c>
      <c r="L32" s="826">
        <v>17.559999999999999</v>
      </c>
      <c r="M32" s="826">
        <v>17.559999999999999</v>
      </c>
      <c r="N32" s="823">
        <v>1</v>
      </c>
      <c r="O32" s="827">
        <v>1</v>
      </c>
      <c r="P32" s="826"/>
      <c r="Q32" s="828">
        <v>0</v>
      </c>
      <c r="R32" s="823"/>
      <c r="S32" s="828">
        <v>0</v>
      </c>
      <c r="T32" s="827"/>
      <c r="U32" s="829">
        <v>0</v>
      </c>
    </row>
    <row r="33" spans="1:21" ht="14.45" customHeight="1" x14ac:dyDescent="0.2">
      <c r="A33" s="822">
        <v>50</v>
      </c>
      <c r="B33" s="823" t="s">
        <v>1887</v>
      </c>
      <c r="C33" s="823" t="s">
        <v>1893</v>
      </c>
      <c r="D33" s="824" t="s">
        <v>2977</v>
      </c>
      <c r="E33" s="825" t="s">
        <v>1900</v>
      </c>
      <c r="F33" s="823" t="s">
        <v>1888</v>
      </c>
      <c r="G33" s="823" t="s">
        <v>1966</v>
      </c>
      <c r="H33" s="823" t="s">
        <v>625</v>
      </c>
      <c r="I33" s="823" t="s">
        <v>1554</v>
      </c>
      <c r="J33" s="823" t="s">
        <v>809</v>
      </c>
      <c r="K33" s="823" t="s">
        <v>1555</v>
      </c>
      <c r="L33" s="826">
        <v>1847.49</v>
      </c>
      <c r="M33" s="826">
        <v>1847.49</v>
      </c>
      <c r="N33" s="823">
        <v>1</v>
      </c>
      <c r="O33" s="827">
        <v>1</v>
      </c>
      <c r="P33" s="826"/>
      <c r="Q33" s="828">
        <v>0</v>
      </c>
      <c r="R33" s="823"/>
      <c r="S33" s="828">
        <v>0</v>
      </c>
      <c r="T33" s="827"/>
      <c r="U33" s="829">
        <v>0</v>
      </c>
    </row>
    <row r="34" spans="1:21" ht="14.45" customHeight="1" x14ac:dyDescent="0.2">
      <c r="A34" s="822">
        <v>50</v>
      </c>
      <c r="B34" s="823" t="s">
        <v>1887</v>
      </c>
      <c r="C34" s="823" t="s">
        <v>1893</v>
      </c>
      <c r="D34" s="824" t="s">
        <v>2977</v>
      </c>
      <c r="E34" s="825" t="s">
        <v>1900</v>
      </c>
      <c r="F34" s="823" t="s">
        <v>1888</v>
      </c>
      <c r="G34" s="823" t="s">
        <v>1966</v>
      </c>
      <c r="H34" s="823" t="s">
        <v>625</v>
      </c>
      <c r="I34" s="823" t="s">
        <v>1556</v>
      </c>
      <c r="J34" s="823" t="s">
        <v>803</v>
      </c>
      <c r="K34" s="823" t="s">
        <v>1557</v>
      </c>
      <c r="L34" s="826">
        <v>923.74</v>
      </c>
      <c r="M34" s="826">
        <v>923.74</v>
      </c>
      <c r="N34" s="823">
        <v>1</v>
      </c>
      <c r="O34" s="827">
        <v>1</v>
      </c>
      <c r="P34" s="826">
        <v>923.74</v>
      </c>
      <c r="Q34" s="828">
        <v>1</v>
      </c>
      <c r="R34" s="823">
        <v>1</v>
      </c>
      <c r="S34" s="828">
        <v>1</v>
      </c>
      <c r="T34" s="827">
        <v>1</v>
      </c>
      <c r="U34" s="829">
        <v>1</v>
      </c>
    </row>
    <row r="35" spans="1:21" ht="14.45" customHeight="1" x14ac:dyDescent="0.2">
      <c r="A35" s="822">
        <v>50</v>
      </c>
      <c r="B35" s="823" t="s">
        <v>1887</v>
      </c>
      <c r="C35" s="823" t="s">
        <v>1893</v>
      </c>
      <c r="D35" s="824" t="s">
        <v>2977</v>
      </c>
      <c r="E35" s="825" t="s">
        <v>1900</v>
      </c>
      <c r="F35" s="823" t="s">
        <v>1888</v>
      </c>
      <c r="G35" s="823" t="s">
        <v>1967</v>
      </c>
      <c r="H35" s="823" t="s">
        <v>329</v>
      </c>
      <c r="I35" s="823" t="s">
        <v>1968</v>
      </c>
      <c r="J35" s="823" t="s">
        <v>1969</v>
      </c>
      <c r="K35" s="823" t="s">
        <v>1970</v>
      </c>
      <c r="L35" s="826">
        <v>57.64</v>
      </c>
      <c r="M35" s="826">
        <v>57.64</v>
      </c>
      <c r="N35" s="823">
        <v>1</v>
      </c>
      <c r="O35" s="827">
        <v>1</v>
      </c>
      <c r="P35" s="826">
        <v>57.64</v>
      </c>
      <c r="Q35" s="828">
        <v>1</v>
      </c>
      <c r="R35" s="823">
        <v>1</v>
      </c>
      <c r="S35" s="828">
        <v>1</v>
      </c>
      <c r="T35" s="827">
        <v>1</v>
      </c>
      <c r="U35" s="829">
        <v>1</v>
      </c>
    </row>
    <row r="36" spans="1:21" ht="14.45" customHeight="1" x14ac:dyDescent="0.2">
      <c r="A36" s="822">
        <v>50</v>
      </c>
      <c r="B36" s="823" t="s">
        <v>1887</v>
      </c>
      <c r="C36" s="823" t="s">
        <v>1893</v>
      </c>
      <c r="D36" s="824" t="s">
        <v>2977</v>
      </c>
      <c r="E36" s="825" t="s">
        <v>1900</v>
      </c>
      <c r="F36" s="823" t="s">
        <v>1888</v>
      </c>
      <c r="G36" s="823" t="s">
        <v>1967</v>
      </c>
      <c r="H36" s="823" t="s">
        <v>329</v>
      </c>
      <c r="I36" s="823" t="s">
        <v>1971</v>
      </c>
      <c r="J36" s="823" t="s">
        <v>1969</v>
      </c>
      <c r="K36" s="823" t="s">
        <v>1972</v>
      </c>
      <c r="L36" s="826">
        <v>0</v>
      </c>
      <c r="M36" s="826">
        <v>0</v>
      </c>
      <c r="N36" s="823">
        <v>2</v>
      </c>
      <c r="O36" s="827">
        <v>1</v>
      </c>
      <c r="P36" s="826">
        <v>0</v>
      </c>
      <c r="Q36" s="828"/>
      <c r="R36" s="823">
        <v>2</v>
      </c>
      <c r="S36" s="828">
        <v>1</v>
      </c>
      <c r="T36" s="827">
        <v>1</v>
      </c>
      <c r="U36" s="829">
        <v>1</v>
      </c>
    </row>
    <row r="37" spans="1:21" ht="14.45" customHeight="1" x14ac:dyDescent="0.2">
      <c r="A37" s="822">
        <v>50</v>
      </c>
      <c r="B37" s="823" t="s">
        <v>1887</v>
      </c>
      <c r="C37" s="823" t="s">
        <v>1893</v>
      </c>
      <c r="D37" s="824" t="s">
        <v>2977</v>
      </c>
      <c r="E37" s="825" t="s">
        <v>1900</v>
      </c>
      <c r="F37" s="823" t="s">
        <v>1888</v>
      </c>
      <c r="G37" s="823" t="s">
        <v>1973</v>
      </c>
      <c r="H37" s="823" t="s">
        <v>329</v>
      </c>
      <c r="I37" s="823" t="s">
        <v>1974</v>
      </c>
      <c r="J37" s="823" t="s">
        <v>706</v>
      </c>
      <c r="K37" s="823" t="s">
        <v>1975</v>
      </c>
      <c r="L37" s="826">
        <v>57.64</v>
      </c>
      <c r="M37" s="826">
        <v>57.64</v>
      </c>
      <c r="N37" s="823">
        <v>1</v>
      </c>
      <c r="O37" s="827">
        <v>1</v>
      </c>
      <c r="P37" s="826"/>
      <c r="Q37" s="828">
        <v>0</v>
      </c>
      <c r="R37" s="823"/>
      <c r="S37" s="828">
        <v>0</v>
      </c>
      <c r="T37" s="827"/>
      <c r="U37" s="829">
        <v>0</v>
      </c>
    </row>
    <row r="38" spans="1:21" ht="14.45" customHeight="1" x14ac:dyDescent="0.2">
      <c r="A38" s="822">
        <v>50</v>
      </c>
      <c r="B38" s="823" t="s">
        <v>1887</v>
      </c>
      <c r="C38" s="823" t="s">
        <v>1893</v>
      </c>
      <c r="D38" s="824" t="s">
        <v>2977</v>
      </c>
      <c r="E38" s="825" t="s">
        <v>1900</v>
      </c>
      <c r="F38" s="823" t="s">
        <v>1888</v>
      </c>
      <c r="G38" s="823" t="s">
        <v>1973</v>
      </c>
      <c r="H38" s="823" t="s">
        <v>625</v>
      </c>
      <c r="I38" s="823" t="s">
        <v>1976</v>
      </c>
      <c r="J38" s="823" t="s">
        <v>706</v>
      </c>
      <c r="K38" s="823" t="s">
        <v>1977</v>
      </c>
      <c r="L38" s="826">
        <v>28.81</v>
      </c>
      <c r="M38" s="826">
        <v>57.62</v>
      </c>
      <c r="N38" s="823">
        <v>2</v>
      </c>
      <c r="O38" s="827">
        <v>2</v>
      </c>
      <c r="P38" s="826"/>
      <c r="Q38" s="828">
        <v>0</v>
      </c>
      <c r="R38" s="823"/>
      <c r="S38" s="828">
        <v>0</v>
      </c>
      <c r="T38" s="827"/>
      <c r="U38" s="829">
        <v>0</v>
      </c>
    </row>
    <row r="39" spans="1:21" ht="14.45" customHeight="1" x14ac:dyDescent="0.2">
      <c r="A39" s="822">
        <v>50</v>
      </c>
      <c r="B39" s="823" t="s">
        <v>1887</v>
      </c>
      <c r="C39" s="823" t="s">
        <v>1893</v>
      </c>
      <c r="D39" s="824" t="s">
        <v>2977</v>
      </c>
      <c r="E39" s="825" t="s">
        <v>1900</v>
      </c>
      <c r="F39" s="823" t="s">
        <v>1888</v>
      </c>
      <c r="G39" s="823" t="s">
        <v>1921</v>
      </c>
      <c r="H39" s="823" t="s">
        <v>625</v>
      </c>
      <c r="I39" s="823" t="s">
        <v>1922</v>
      </c>
      <c r="J39" s="823" t="s">
        <v>967</v>
      </c>
      <c r="K39" s="823" t="s">
        <v>1923</v>
      </c>
      <c r="L39" s="826">
        <v>34.47</v>
      </c>
      <c r="M39" s="826">
        <v>68.94</v>
      </c>
      <c r="N39" s="823">
        <v>2</v>
      </c>
      <c r="O39" s="827">
        <v>2</v>
      </c>
      <c r="P39" s="826"/>
      <c r="Q39" s="828">
        <v>0</v>
      </c>
      <c r="R39" s="823"/>
      <c r="S39" s="828">
        <v>0</v>
      </c>
      <c r="T39" s="827"/>
      <c r="U39" s="829">
        <v>0</v>
      </c>
    </row>
    <row r="40" spans="1:21" ht="14.45" customHeight="1" x14ac:dyDescent="0.2">
      <c r="A40" s="822">
        <v>50</v>
      </c>
      <c r="B40" s="823" t="s">
        <v>1887</v>
      </c>
      <c r="C40" s="823" t="s">
        <v>1893</v>
      </c>
      <c r="D40" s="824" t="s">
        <v>2977</v>
      </c>
      <c r="E40" s="825" t="s">
        <v>1900</v>
      </c>
      <c r="F40" s="823" t="s">
        <v>1888</v>
      </c>
      <c r="G40" s="823" t="s">
        <v>1978</v>
      </c>
      <c r="H40" s="823" t="s">
        <v>329</v>
      </c>
      <c r="I40" s="823" t="s">
        <v>1979</v>
      </c>
      <c r="J40" s="823" t="s">
        <v>1980</v>
      </c>
      <c r="K40" s="823" t="s">
        <v>1981</v>
      </c>
      <c r="L40" s="826">
        <v>1653.72</v>
      </c>
      <c r="M40" s="826">
        <v>1653.72</v>
      </c>
      <c r="N40" s="823">
        <v>1</v>
      </c>
      <c r="O40" s="827">
        <v>1</v>
      </c>
      <c r="P40" s="826"/>
      <c r="Q40" s="828">
        <v>0</v>
      </c>
      <c r="R40" s="823"/>
      <c r="S40" s="828">
        <v>0</v>
      </c>
      <c r="T40" s="827"/>
      <c r="U40" s="829">
        <v>0</v>
      </c>
    </row>
    <row r="41" spans="1:21" ht="14.45" customHeight="1" x14ac:dyDescent="0.2">
      <c r="A41" s="822">
        <v>50</v>
      </c>
      <c r="B41" s="823" t="s">
        <v>1887</v>
      </c>
      <c r="C41" s="823" t="s">
        <v>1893</v>
      </c>
      <c r="D41" s="824" t="s">
        <v>2977</v>
      </c>
      <c r="E41" s="825" t="s">
        <v>1900</v>
      </c>
      <c r="F41" s="823" t="s">
        <v>1888</v>
      </c>
      <c r="G41" s="823" t="s">
        <v>1982</v>
      </c>
      <c r="H41" s="823" t="s">
        <v>329</v>
      </c>
      <c r="I41" s="823" t="s">
        <v>1983</v>
      </c>
      <c r="J41" s="823" t="s">
        <v>1984</v>
      </c>
      <c r="K41" s="823" t="s">
        <v>1640</v>
      </c>
      <c r="L41" s="826">
        <v>220.53</v>
      </c>
      <c r="M41" s="826">
        <v>441.06</v>
      </c>
      <c r="N41" s="823">
        <v>2</v>
      </c>
      <c r="O41" s="827">
        <v>2</v>
      </c>
      <c r="P41" s="826"/>
      <c r="Q41" s="828">
        <v>0</v>
      </c>
      <c r="R41" s="823"/>
      <c r="S41" s="828">
        <v>0</v>
      </c>
      <c r="T41" s="827"/>
      <c r="U41" s="829">
        <v>0</v>
      </c>
    </row>
    <row r="42" spans="1:21" ht="14.45" customHeight="1" x14ac:dyDescent="0.2">
      <c r="A42" s="822">
        <v>50</v>
      </c>
      <c r="B42" s="823" t="s">
        <v>1887</v>
      </c>
      <c r="C42" s="823" t="s">
        <v>1893</v>
      </c>
      <c r="D42" s="824" t="s">
        <v>2977</v>
      </c>
      <c r="E42" s="825" t="s">
        <v>1900</v>
      </c>
      <c r="F42" s="823" t="s">
        <v>1888</v>
      </c>
      <c r="G42" s="823" t="s">
        <v>1985</v>
      </c>
      <c r="H42" s="823" t="s">
        <v>329</v>
      </c>
      <c r="I42" s="823" t="s">
        <v>1986</v>
      </c>
      <c r="J42" s="823" t="s">
        <v>998</v>
      </c>
      <c r="K42" s="823" t="s">
        <v>1987</v>
      </c>
      <c r="L42" s="826">
        <v>128.69999999999999</v>
      </c>
      <c r="M42" s="826">
        <v>257.39999999999998</v>
      </c>
      <c r="N42" s="823">
        <v>2</v>
      </c>
      <c r="O42" s="827">
        <v>2</v>
      </c>
      <c r="P42" s="826"/>
      <c r="Q42" s="828">
        <v>0</v>
      </c>
      <c r="R42" s="823"/>
      <c r="S42" s="828">
        <v>0</v>
      </c>
      <c r="T42" s="827"/>
      <c r="U42" s="829">
        <v>0</v>
      </c>
    </row>
    <row r="43" spans="1:21" ht="14.45" customHeight="1" x14ac:dyDescent="0.2">
      <c r="A43" s="822">
        <v>50</v>
      </c>
      <c r="B43" s="823" t="s">
        <v>1887</v>
      </c>
      <c r="C43" s="823" t="s">
        <v>1893</v>
      </c>
      <c r="D43" s="824" t="s">
        <v>2977</v>
      </c>
      <c r="E43" s="825" t="s">
        <v>1900</v>
      </c>
      <c r="F43" s="823" t="s">
        <v>1888</v>
      </c>
      <c r="G43" s="823" t="s">
        <v>1988</v>
      </c>
      <c r="H43" s="823" t="s">
        <v>329</v>
      </c>
      <c r="I43" s="823" t="s">
        <v>1989</v>
      </c>
      <c r="J43" s="823" t="s">
        <v>1047</v>
      </c>
      <c r="K43" s="823" t="s">
        <v>1990</v>
      </c>
      <c r="L43" s="826">
        <v>42.08</v>
      </c>
      <c r="M43" s="826">
        <v>42.08</v>
      </c>
      <c r="N43" s="823">
        <v>1</v>
      </c>
      <c r="O43" s="827">
        <v>1</v>
      </c>
      <c r="P43" s="826"/>
      <c r="Q43" s="828">
        <v>0</v>
      </c>
      <c r="R43" s="823"/>
      <c r="S43" s="828">
        <v>0</v>
      </c>
      <c r="T43" s="827"/>
      <c r="U43" s="829">
        <v>0</v>
      </c>
    </row>
    <row r="44" spans="1:21" ht="14.45" customHeight="1" x14ac:dyDescent="0.2">
      <c r="A44" s="822">
        <v>50</v>
      </c>
      <c r="B44" s="823" t="s">
        <v>1887</v>
      </c>
      <c r="C44" s="823" t="s">
        <v>1893</v>
      </c>
      <c r="D44" s="824" t="s">
        <v>2977</v>
      </c>
      <c r="E44" s="825" t="s">
        <v>1900</v>
      </c>
      <c r="F44" s="823" t="s">
        <v>1888</v>
      </c>
      <c r="G44" s="823" t="s">
        <v>1991</v>
      </c>
      <c r="H44" s="823" t="s">
        <v>329</v>
      </c>
      <c r="I44" s="823" t="s">
        <v>1992</v>
      </c>
      <c r="J44" s="823" t="s">
        <v>1147</v>
      </c>
      <c r="K44" s="823" t="s">
        <v>1993</v>
      </c>
      <c r="L44" s="826">
        <v>219.37</v>
      </c>
      <c r="M44" s="826">
        <v>438.74</v>
      </c>
      <c r="N44" s="823">
        <v>2</v>
      </c>
      <c r="O44" s="827">
        <v>1</v>
      </c>
      <c r="P44" s="826"/>
      <c r="Q44" s="828">
        <v>0</v>
      </c>
      <c r="R44" s="823"/>
      <c r="S44" s="828">
        <v>0</v>
      </c>
      <c r="T44" s="827"/>
      <c r="U44" s="829">
        <v>0</v>
      </c>
    </row>
    <row r="45" spans="1:21" ht="14.45" customHeight="1" x14ac:dyDescent="0.2">
      <c r="A45" s="822">
        <v>50</v>
      </c>
      <c r="B45" s="823" t="s">
        <v>1887</v>
      </c>
      <c r="C45" s="823" t="s">
        <v>1893</v>
      </c>
      <c r="D45" s="824" t="s">
        <v>2977</v>
      </c>
      <c r="E45" s="825" t="s">
        <v>1900</v>
      </c>
      <c r="F45" s="823" t="s">
        <v>1888</v>
      </c>
      <c r="G45" s="823" t="s">
        <v>1994</v>
      </c>
      <c r="H45" s="823" t="s">
        <v>329</v>
      </c>
      <c r="I45" s="823" t="s">
        <v>1995</v>
      </c>
      <c r="J45" s="823" t="s">
        <v>1014</v>
      </c>
      <c r="K45" s="823" t="s">
        <v>1996</v>
      </c>
      <c r="L45" s="826">
        <v>79.11</v>
      </c>
      <c r="M45" s="826">
        <v>79.11</v>
      </c>
      <c r="N45" s="823">
        <v>1</v>
      </c>
      <c r="O45" s="827">
        <v>1</v>
      </c>
      <c r="P45" s="826">
        <v>79.11</v>
      </c>
      <c r="Q45" s="828">
        <v>1</v>
      </c>
      <c r="R45" s="823">
        <v>1</v>
      </c>
      <c r="S45" s="828">
        <v>1</v>
      </c>
      <c r="T45" s="827">
        <v>1</v>
      </c>
      <c r="U45" s="829">
        <v>1</v>
      </c>
    </row>
    <row r="46" spans="1:21" ht="14.45" customHeight="1" x14ac:dyDescent="0.2">
      <c r="A46" s="822">
        <v>50</v>
      </c>
      <c r="B46" s="823" t="s">
        <v>1887</v>
      </c>
      <c r="C46" s="823" t="s">
        <v>1893</v>
      </c>
      <c r="D46" s="824" t="s">
        <v>2977</v>
      </c>
      <c r="E46" s="825" t="s">
        <v>1900</v>
      </c>
      <c r="F46" s="823" t="s">
        <v>1888</v>
      </c>
      <c r="G46" s="823" t="s">
        <v>1997</v>
      </c>
      <c r="H46" s="823" t="s">
        <v>329</v>
      </c>
      <c r="I46" s="823" t="s">
        <v>1998</v>
      </c>
      <c r="J46" s="823" t="s">
        <v>1999</v>
      </c>
      <c r="K46" s="823" t="s">
        <v>2000</v>
      </c>
      <c r="L46" s="826">
        <v>93.43</v>
      </c>
      <c r="M46" s="826">
        <v>93.43</v>
      </c>
      <c r="N46" s="823">
        <v>1</v>
      </c>
      <c r="O46" s="827">
        <v>1</v>
      </c>
      <c r="P46" s="826"/>
      <c r="Q46" s="828">
        <v>0</v>
      </c>
      <c r="R46" s="823"/>
      <c r="S46" s="828">
        <v>0</v>
      </c>
      <c r="T46" s="827"/>
      <c r="U46" s="829">
        <v>0</v>
      </c>
    </row>
    <row r="47" spans="1:21" ht="14.45" customHeight="1" x14ac:dyDescent="0.2">
      <c r="A47" s="822">
        <v>50</v>
      </c>
      <c r="B47" s="823" t="s">
        <v>1887</v>
      </c>
      <c r="C47" s="823" t="s">
        <v>1893</v>
      </c>
      <c r="D47" s="824" t="s">
        <v>2977</v>
      </c>
      <c r="E47" s="825" t="s">
        <v>1900</v>
      </c>
      <c r="F47" s="823" t="s">
        <v>1888</v>
      </c>
      <c r="G47" s="823" t="s">
        <v>2001</v>
      </c>
      <c r="H47" s="823" t="s">
        <v>625</v>
      </c>
      <c r="I47" s="823" t="s">
        <v>1549</v>
      </c>
      <c r="J47" s="823" t="s">
        <v>1547</v>
      </c>
      <c r="K47" s="823" t="s">
        <v>1550</v>
      </c>
      <c r="L47" s="826">
        <v>184.74</v>
      </c>
      <c r="M47" s="826">
        <v>184.74</v>
      </c>
      <c r="N47" s="823">
        <v>1</v>
      </c>
      <c r="O47" s="827">
        <v>1</v>
      </c>
      <c r="P47" s="826">
        <v>184.74</v>
      </c>
      <c r="Q47" s="828">
        <v>1</v>
      </c>
      <c r="R47" s="823">
        <v>1</v>
      </c>
      <c r="S47" s="828">
        <v>1</v>
      </c>
      <c r="T47" s="827">
        <v>1</v>
      </c>
      <c r="U47" s="829">
        <v>1</v>
      </c>
    </row>
    <row r="48" spans="1:21" ht="14.45" customHeight="1" x14ac:dyDescent="0.2">
      <c r="A48" s="822">
        <v>50</v>
      </c>
      <c r="B48" s="823" t="s">
        <v>1887</v>
      </c>
      <c r="C48" s="823" t="s">
        <v>1893</v>
      </c>
      <c r="D48" s="824" t="s">
        <v>2977</v>
      </c>
      <c r="E48" s="825" t="s">
        <v>1900</v>
      </c>
      <c r="F48" s="823" t="s">
        <v>1888</v>
      </c>
      <c r="G48" s="823" t="s">
        <v>2002</v>
      </c>
      <c r="H48" s="823" t="s">
        <v>625</v>
      </c>
      <c r="I48" s="823" t="s">
        <v>1576</v>
      </c>
      <c r="J48" s="823" t="s">
        <v>1574</v>
      </c>
      <c r="K48" s="823" t="s">
        <v>1577</v>
      </c>
      <c r="L48" s="826">
        <v>1771.84</v>
      </c>
      <c r="M48" s="826">
        <v>5315.5199999999995</v>
      </c>
      <c r="N48" s="823">
        <v>3</v>
      </c>
      <c r="O48" s="827">
        <v>2.5</v>
      </c>
      <c r="P48" s="826"/>
      <c r="Q48" s="828">
        <v>0</v>
      </c>
      <c r="R48" s="823"/>
      <c r="S48" s="828">
        <v>0</v>
      </c>
      <c r="T48" s="827"/>
      <c r="U48" s="829">
        <v>0</v>
      </c>
    </row>
    <row r="49" spans="1:21" ht="14.45" customHeight="1" x14ac:dyDescent="0.2">
      <c r="A49" s="822">
        <v>50</v>
      </c>
      <c r="B49" s="823" t="s">
        <v>1887</v>
      </c>
      <c r="C49" s="823" t="s">
        <v>1893</v>
      </c>
      <c r="D49" s="824" t="s">
        <v>2977</v>
      </c>
      <c r="E49" s="825" t="s">
        <v>1900</v>
      </c>
      <c r="F49" s="823" t="s">
        <v>1888</v>
      </c>
      <c r="G49" s="823" t="s">
        <v>1928</v>
      </c>
      <c r="H49" s="823" t="s">
        <v>329</v>
      </c>
      <c r="I49" s="823" t="s">
        <v>2003</v>
      </c>
      <c r="J49" s="823" t="s">
        <v>1930</v>
      </c>
      <c r="K49" s="823" t="s">
        <v>2004</v>
      </c>
      <c r="L49" s="826">
        <v>16.77</v>
      </c>
      <c r="M49" s="826">
        <v>16.77</v>
      </c>
      <c r="N49" s="823">
        <v>1</v>
      </c>
      <c r="O49" s="827">
        <v>1</v>
      </c>
      <c r="P49" s="826"/>
      <c r="Q49" s="828">
        <v>0</v>
      </c>
      <c r="R49" s="823"/>
      <c r="S49" s="828">
        <v>0</v>
      </c>
      <c r="T49" s="827"/>
      <c r="U49" s="829">
        <v>0</v>
      </c>
    </row>
    <row r="50" spans="1:21" ht="14.45" customHeight="1" x14ac:dyDescent="0.2">
      <c r="A50" s="822">
        <v>50</v>
      </c>
      <c r="B50" s="823" t="s">
        <v>1887</v>
      </c>
      <c r="C50" s="823" t="s">
        <v>1893</v>
      </c>
      <c r="D50" s="824" t="s">
        <v>2977</v>
      </c>
      <c r="E50" s="825" t="s">
        <v>1900</v>
      </c>
      <c r="F50" s="823" t="s">
        <v>1888</v>
      </c>
      <c r="G50" s="823" t="s">
        <v>1924</v>
      </c>
      <c r="H50" s="823" t="s">
        <v>329</v>
      </c>
      <c r="I50" s="823" t="s">
        <v>2005</v>
      </c>
      <c r="J50" s="823" t="s">
        <v>1088</v>
      </c>
      <c r="K50" s="823" t="s">
        <v>2006</v>
      </c>
      <c r="L50" s="826">
        <v>225.06</v>
      </c>
      <c r="M50" s="826">
        <v>225.06</v>
      </c>
      <c r="N50" s="823">
        <v>1</v>
      </c>
      <c r="O50" s="827">
        <v>1</v>
      </c>
      <c r="P50" s="826"/>
      <c r="Q50" s="828">
        <v>0</v>
      </c>
      <c r="R50" s="823"/>
      <c r="S50" s="828">
        <v>0</v>
      </c>
      <c r="T50" s="827"/>
      <c r="U50" s="829">
        <v>0</v>
      </c>
    </row>
    <row r="51" spans="1:21" ht="14.45" customHeight="1" x14ac:dyDescent="0.2">
      <c r="A51" s="822">
        <v>50</v>
      </c>
      <c r="B51" s="823" t="s">
        <v>1887</v>
      </c>
      <c r="C51" s="823" t="s">
        <v>1893</v>
      </c>
      <c r="D51" s="824" t="s">
        <v>2977</v>
      </c>
      <c r="E51" s="825" t="s">
        <v>1900</v>
      </c>
      <c r="F51" s="823" t="s">
        <v>1888</v>
      </c>
      <c r="G51" s="823" t="s">
        <v>2007</v>
      </c>
      <c r="H51" s="823" t="s">
        <v>329</v>
      </c>
      <c r="I51" s="823" t="s">
        <v>2008</v>
      </c>
      <c r="J51" s="823" t="s">
        <v>2009</v>
      </c>
      <c r="K51" s="823" t="s">
        <v>2010</v>
      </c>
      <c r="L51" s="826">
        <v>421.79</v>
      </c>
      <c r="M51" s="826">
        <v>421.79</v>
      </c>
      <c r="N51" s="823">
        <v>1</v>
      </c>
      <c r="O51" s="827">
        <v>1</v>
      </c>
      <c r="P51" s="826"/>
      <c r="Q51" s="828">
        <v>0</v>
      </c>
      <c r="R51" s="823"/>
      <c r="S51" s="828">
        <v>0</v>
      </c>
      <c r="T51" s="827"/>
      <c r="U51" s="829">
        <v>0</v>
      </c>
    </row>
    <row r="52" spans="1:21" ht="14.45" customHeight="1" x14ac:dyDescent="0.2">
      <c r="A52" s="822">
        <v>50</v>
      </c>
      <c r="B52" s="823" t="s">
        <v>1887</v>
      </c>
      <c r="C52" s="823" t="s">
        <v>1893</v>
      </c>
      <c r="D52" s="824" t="s">
        <v>2977</v>
      </c>
      <c r="E52" s="825" t="s">
        <v>1901</v>
      </c>
      <c r="F52" s="823" t="s">
        <v>1888</v>
      </c>
      <c r="G52" s="823" t="s">
        <v>1940</v>
      </c>
      <c r="H52" s="823" t="s">
        <v>329</v>
      </c>
      <c r="I52" s="823" t="s">
        <v>2011</v>
      </c>
      <c r="J52" s="823" t="s">
        <v>2012</v>
      </c>
      <c r="K52" s="823" t="s">
        <v>627</v>
      </c>
      <c r="L52" s="826">
        <v>65.28</v>
      </c>
      <c r="M52" s="826">
        <v>195.84</v>
      </c>
      <c r="N52" s="823">
        <v>3</v>
      </c>
      <c r="O52" s="827">
        <v>1</v>
      </c>
      <c r="P52" s="826"/>
      <c r="Q52" s="828">
        <v>0</v>
      </c>
      <c r="R52" s="823"/>
      <c r="S52" s="828">
        <v>0</v>
      </c>
      <c r="T52" s="827"/>
      <c r="U52" s="829">
        <v>0</v>
      </c>
    </row>
    <row r="53" spans="1:21" ht="14.45" customHeight="1" x14ac:dyDescent="0.2">
      <c r="A53" s="822">
        <v>50</v>
      </c>
      <c r="B53" s="823" t="s">
        <v>1887</v>
      </c>
      <c r="C53" s="823" t="s">
        <v>1893</v>
      </c>
      <c r="D53" s="824" t="s">
        <v>2977</v>
      </c>
      <c r="E53" s="825" t="s">
        <v>1901</v>
      </c>
      <c r="F53" s="823" t="s">
        <v>1888</v>
      </c>
      <c r="G53" s="823" t="s">
        <v>1940</v>
      </c>
      <c r="H53" s="823" t="s">
        <v>625</v>
      </c>
      <c r="I53" s="823" t="s">
        <v>1705</v>
      </c>
      <c r="J53" s="823" t="s">
        <v>626</v>
      </c>
      <c r="K53" s="823" t="s">
        <v>627</v>
      </c>
      <c r="L53" s="826">
        <v>65.28</v>
      </c>
      <c r="M53" s="826">
        <v>195.84</v>
      </c>
      <c r="N53" s="823">
        <v>3</v>
      </c>
      <c r="O53" s="827">
        <v>0.5</v>
      </c>
      <c r="P53" s="826">
        <v>195.84</v>
      </c>
      <c r="Q53" s="828">
        <v>1</v>
      </c>
      <c r="R53" s="823">
        <v>3</v>
      </c>
      <c r="S53" s="828">
        <v>1</v>
      </c>
      <c r="T53" s="827">
        <v>0.5</v>
      </c>
      <c r="U53" s="829">
        <v>1</v>
      </c>
    </row>
    <row r="54" spans="1:21" ht="14.45" customHeight="1" x14ac:dyDescent="0.2">
      <c r="A54" s="822">
        <v>50</v>
      </c>
      <c r="B54" s="823" t="s">
        <v>1887</v>
      </c>
      <c r="C54" s="823" t="s">
        <v>1893</v>
      </c>
      <c r="D54" s="824" t="s">
        <v>2977</v>
      </c>
      <c r="E54" s="825" t="s">
        <v>1901</v>
      </c>
      <c r="F54" s="823" t="s">
        <v>1888</v>
      </c>
      <c r="G54" s="823" t="s">
        <v>1941</v>
      </c>
      <c r="H54" s="823" t="s">
        <v>625</v>
      </c>
      <c r="I54" s="823" t="s">
        <v>2013</v>
      </c>
      <c r="J54" s="823" t="s">
        <v>1736</v>
      </c>
      <c r="K54" s="823" t="s">
        <v>2014</v>
      </c>
      <c r="L54" s="826">
        <v>46.81</v>
      </c>
      <c r="M54" s="826">
        <v>702.15000000000009</v>
      </c>
      <c r="N54" s="823">
        <v>15</v>
      </c>
      <c r="O54" s="827">
        <v>5</v>
      </c>
      <c r="P54" s="826">
        <v>702.15000000000009</v>
      </c>
      <c r="Q54" s="828">
        <v>1</v>
      </c>
      <c r="R54" s="823">
        <v>15</v>
      </c>
      <c r="S54" s="828">
        <v>1</v>
      </c>
      <c r="T54" s="827">
        <v>5</v>
      </c>
      <c r="U54" s="829">
        <v>1</v>
      </c>
    </row>
    <row r="55" spans="1:21" ht="14.45" customHeight="1" x14ac:dyDescent="0.2">
      <c r="A55" s="822">
        <v>50</v>
      </c>
      <c r="B55" s="823" t="s">
        <v>1887</v>
      </c>
      <c r="C55" s="823" t="s">
        <v>1893</v>
      </c>
      <c r="D55" s="824" t="s">
        <v>2977</v>
      </c>
      <c r="E55" s="825" t="s">
        <v>1901</v>
      </c>
      <c r="F55" s="823" t="s">
        <v>1888</v>
      </c>
      <c r="G55" s="823" t="s">
        <v>1941</v>
      </c>
      <c r="H55" s="823" t="s">
        <v>625</v>
      </c>
      <c r="I55" s="823" t="s">
        <v>1735</v>
      </c>
      <c r="J55" s="823" t="s">
        <v>1736</v>
      </c>
      <c r="K55" s="823" t="s">
        <v>1737</v>
      </c>
      <c r="L55" s="826">
        <v>11.71</v>
      </c>
      <c r="M55" s="826">
        <v>163.94</v>
      </c>
      <c r="N55" s="823">
        <v>14</v>
      </c>
      <c r="O55" s="827">
        <v>4.5</v>
      </c>
      <c r="P55" s="826">
        <v>93.68</v>
      </c>
      <c r="Q55" s="828">
        <v>0.57142857142857151</v>
      </c>
      <c r="R55" s="823">
        <v>8</v>
      </c>
      <c r="S55" s="828">
        <v>0.5714285714285714</v>
      </c>
      <c r="T55" s="827">
        <v>2.5</v>
      </c>
      <c r="U55" s="829">
        <v>0.55555555555555558</v>
      </c>
    </row>
    <row r="56" spans="1:21" ht="14.45" customHeight="1" x14ac:dyDescent="0.2">
      <c r="A56" s="822">
        <v>50</v>
      </c>
      <c r="B56" s="823" t="s">
        <v>1887</v>
      </c>
      <c r="C56" s="823" t="s">
        <v>1893</v>
      </c>
      <c r="D56" s="824" t="s">
        <v>2977</v>
      </c>
      <c r="E56" s="825" t="s">
        <v>1901</v>
      </c>
      <c r="F56" s="823" t="s">
        <v>1888</v>
      </c>
      <c r="G56" s="823" t="s">
        <v>1944</v>
      </c>
      <c r="H56" s="823" t="s">
        <v>625</v>
      </c>
      <c r="I56" s="823" t="s">
        <v>1581</v>
      </c>
      <c r="J56" s="823" t="s">
        <v>712</v>
      </c>
      <c r="K56" s="823" t="s">
        <v>1582</v>
      </c>
      <c r="L56" s="826">
        <v>80.010000000000005</v>
      </c>
      <c r="M56" s="826">
        <v>480.06000000000006</v>
      </c>
      <c r="N56" s="823">
        <v>6</v>
      </c>
      <c r="O56" s="827">
        <v>4</v>
      </c>
      <c r="P56" s="826">
        <v>320.04000000000002</v>
      </c>
      <c r="Q56" s="828">
        <v>0.66666666666666663</v>
      </c>
      <c r="R56" s="823">
        <v>4</v>
      </c>
      <c r="S56" s="828">
        <v>0.66666666666666663</v>
      </c>
      <c r="T56" s="827">
        <v>2</v>
      </c>
      <c r="U56" s="829">
        <v>0.5</v>
      </c>
    </row>
    <row r="57" spans="1:21" ht="14.45" customHeight="1" x14ac:dyDescent="0.2">
      <c r="A57" s="822">
        <v>50</v>
      </c>
      <c r="B57" s="823" t="s">
        <v>1887</v>
      </c>
      <c r="C57" s="823" t="s">
        <v>1893</v>
      </c>
      <c r="D57" s="824" t="s">
        <v>2977</v>
      </c>
      <c r="E57" s="825" t="s">
        <v>1901</v>
      </c>
      <c r="F57" s="823" t="s">
        <v>1888</v>
      </c>
      <c r="G57" s="823" t="s">
        <v>2015</v>
      </c>
      <c r="H57" s="823" t="s">
        <v>625</v>
      </c>
      <c r="I57" s="823" t="s">
        <v>2016</v>
      </c>
      <c r="J57" s="823" t="s">
        <v>1794</v>
      </c>
      <c r="K57" s="823" t="s">
        <v>2017</v>
      </c>
      <c r="L57" s="826">
        <v>93.27</v>
      </c>
      <c r="M57" s="826">
        <v>93.27</v>
      </c>
      <c r="N57" s="823">
        <v>1</v>
      </c>
      <c r="O57" s="827">
        <v>1</v>
      </c>
      <c r="P57" s="826"/>
      <c r="Q57" s="828">
        <v>0</v>
      </c>
      <c r="R57" s="823"/>
      <c r="S57" s="828">
        <v>0</v>
      </c>
      <c r="T57" s="827"/>
      <c r="U57" s="829">
        <v>0</v>
      </c>
    </row>
    <row r="58" spans="1:21" ht="14.45" customHeight="1" x14ac:dyDescent="0.2">
      <c r="A58" s="822">
        <v>50</v>
      </c>
      <c r="B58" s="823" t="s">
        <v>1887</v>
      </c>
      <c r="C58" s="823" t="s">
        <v>1893</v>
      </c>
      <c r="D58" s="824" t="s">
        <v>2977</v>
      </c>
      <c r="E58" s="825" t="s">
        <v>1901</v>
      </c>
      <c r="F58" s="823" t="s">
        <v>1888</v>
      </c>
      <c r="G58" s="823" t="s">
        <v>2015</v>
      </c>
      <c r="H58" s="823" t="s">
        <v>625</v>
      </c>
      <c r="I58" s="823" t="s">
        <v>1793</v>
      </c>
      <c r="J58" s="823" t="s">
        <v>1794</v>
      </c>
      <c r="K58" s="823" t="s">
        <v>1795</v>
      </c>
      <c r="L58" s="826">
        <v>186.55</v>
      </c>
      <c r="M58" s="826">
        <v>186.55</v>
      </c>
      <c r="N58" s="823">
        <v>1</v>
      </c>
      <c r="O58" s="827">
        <v>0.5</v>
      </c>
      <c r="P58" s="826">
        <v>186.55</v>
      </c>
      <c r="Q58" s="828">
        <v>1</v>
      </c>
      <c r="R58" s="823">
        <v>1</v>
      </c>
      <c r="S58" s="828">
        <v>1</v>
      </c>
      <c r="T58" s="827">
        <v>0.5</v>
      </c>
      <c r="U58" s="829">
        <v>1</v>
      </c>
    </row>
    <row r="59" spans="1:21" ht="14.45" customHeight="1" x14ac:dyDescent="0.2">
      <c r="A59" s="822">
        <v>50</v>
      </c>
      <c r="B59" s="823" t="s">
        <v>1887</v>
      </c>
      <c r="C59" s="823" t="s">
        <v>1893</v>
      </c>
      <c r="D59" s="824" t="s">
        <v>2977</v>
      </c>
      <c r="E59" s="825" t="s">
        <v>1901</v>
      </c>
      <c r="F59" s="823" t="s">
        <v>1888</v>
      </c>
      <c r="G59" s="823" t="s">
        <v>2015</v>
      </c>
      <c r="H59" s="823" t="s">
        <v>625</v>
      </c>
      <c r="I59" s="823" t="s">
        <v>2018</v>
      </c>
      <c r="J59" s="823" t="s">
        <v>1794</v>
      </c>
      <c r="K59" s="823" t="s">
        <v>2019</v>
      </c>
      <c r="L59" s="826">
        <v>31.09</v>
      </c>
      <c r="M59" s="826">
        <v>31.09</v>
      </c>
      <c r="N59" s="823">
        <v>1</v>
      </c>
      <c r="O59" s="827">
        <v>0.5</v>
      </c>
      <c r="P59" s="826">
        <v>31.09</v>
      </c>
      <c r="Q59" s="828">
        <v>1</v>
      </c>
      <c r="R59" s="823">
        <v>1</v>
      </c>
      <c r="S59" s="828">
        <v>1</v>
      </c>
      <c r="T59" s="827">
        <v>0.5</v>
      </c>
      <c r="U59" s="829">
        <v>1</v>
      </c>
    </row>
    <row r="60" spans="1:21" ht="14.45" customHeight="1" x14ac:dyDescent="0.2">
      <c r="A60" s="822">
        <v>50</v>
      </c>
      <c r="B60" s="823" t="s">
        <v>1887</v>
      </c>
      <c r="C60" s="823" t="s">
        <v>1893</v>
      </c>
      <c r="D60" s="824" t="s">
        <v>2977</v>
      </c>
      <c r="E60" s="825" t="s">
        <v>1901</v>
      </c>
      <c r="F60" s="823" t="s">
        <v>1888</v>
      </c>
      <c r="G60" s="823" t="s">
        <v>2020</v>
      </c>
      <c r="H60" s="823" t="s">
        <v>329</v>
      </c>
      <c r="I60" s="823" t="s">
        <v>2021</v>
      </c>
      <c r="J60" s="823" t="s">
        <v>2022</v>
      </c>
      <c r="K60" s="823" t="s">
        <v>2023</v>
      </c>
      <c r="L60" s="826">
        <v>109.85</v>
      </c>
      <c r="M60" s="826">
        <v>439.4</v>
      </c>
      <c r="N60" s="823">
        <v>4</v>
      </c>
      <c r="O60" s="827">
        <v>1</v>
      </c>
      <c r="P60" s="826"/>
      <c r="Q60" s="828">
        <v>0</v>
      </c>
      <c r="R60" s="823"/>
      <c r="S60" s="828">
        <v>0</v>
      </c>
      <c r="T60" s="827"/>
      <c r="U60" s="829">
        <v>0</v>
      </c>
    </row>
    <row r="61" spans="1:21" ht="14.45" customHeight="1" x14ac:dyDescent="0.2">
      <c r="A61" s="822">
        <v>50</v>
      </c>
      <c r="B61" s="823" t="s">
        <v>1887</v>
      </c>
      <c r="C61" s="823" t="s">
        <v>1893</v>
      </c>
      <c r="D61" s="824" t="s">
        <v>2977</v>
      </c>
      <c r="E61" s="825" t="s">
        <v>1901</v>
      </c>
      <c r="F61" s="823" t="s">
        <v>1888</v>
      </c>
      <c r="G61" s="823" t="s">
        <v>1932</v>
      </c>
      <c r="H61" s="823" t="s">
        <v>625</v>
      </c>
      <c r="I61" s="823" t="s">
        <v>1796</v>
      </c>
      <c r="J61" s="823" t="s">
        <v>1639</v>
      </c>
      <c r="K61" s="823" t="s">
        <v>1797</v>
      </c>
      <c r="L61" s="826">
        <v>220.53</v>
      </c>
      <c r="M61" s="826">
        <v>1543.71</v>
      </c>
      <c r="N61" s="823">
        <v>7</v>
      </c>
      <c r="O61" s="827">
        <v>2.5</v>
      </c>
      <c r="P61" s="826"/>
      <c r="Q61" s="828">
        <v>0</v>
      </c>
      <c r="R61" s="823"/>
      <c r="S61" s="828">
        <v>0</v>
      </c>
      <c r="T61" s="827"/>
      <c r="U61" s="829">
        <v>0</v>
      </c>
    </row>
    <row r="62" spans="1:21" ht="14.45" customHeight="1" x14ac:dyDescent="0.2">
      <c r="A62" s="822">
        <v>50</v>
      </c>
      <c r="B62" s="823" t="s">
        <v>1887</v>
      </c>
      <c r="C62" s="823" t="s">
        <v>1893</v>
      </c>
      <c r="D62" s="824" t="s">
        <v>2977</v>
      </c>
      <c r="E62" s="825" t="s">
        <v>1901</v>
      </c>
      <c r="F62" s="823" t="s">
        <v>1888</v>
      </c>
      <c r="G62" s="823" t="s">
        <v>1932</v>
      </c>
      <c r="H62" s="823" t="s">
        <v>329</v>
      </c>
      <c r="I62" s="823" t="s">
        <v>2024</v>
      </c>
      <c r="J62" s="823" t="s">
        <v>1636</v>
      </c>
      <c r="K62" s="823" t="s">
        <v>2025</v>
      </c>
      <c r="L62" s="826">
        <v>254.49</v>
      </c>
      <c r="M62" s="826">
        <v>254.49</v>
      </c>
      <c r="N62" s="823">
        <v>1</v>
      </c>
      <c r="O62" s="827">
        <v>1</v>
      </c>
      <c r="P62" s="826"/>
      <c r="Q62" s="828">
        <v>0</v>
      </c>
      <c r="R62" s="823"/>
      <c r="S62" s="828">
        <v>0</v>
      </c>
      <c r="T62" s="827"/>
      <c r="U62" s="829">
        <v>0</v>
      </c>
    </row>
    <row r="63" spans="1:21" ht="14.45" customHeight="1" x14ac:dyDescent="0.2">
      <c r="A63" s="822">
        <v>50</v>
      </c>
      <c r="B63" s="823" t="s">
        <v>1887</v>
      </c>
      <c r="C63" s="823" t="s">
        <v>1893</v>
      </c>
      <c r="D63" s="824" t="s">
        <v>2977</v>
      </c>
      <c r="E63" s="825" t="s">
        <v>1901</v>
      </c>
      <c r="F63" s="823" t="s">
        <v>1888</v>
      </c>
      <c r="G63" s="823" t="s">
        <v>1932</v>
      </c>
      <c r="H63" s="823" t="s">
        <v>625</v>
      </c>
      <c r="I63" s="823" t="s">
        <v>1635</v>
      </c>
      <c r="J63" s="823" t="s">
        <v>1636</v>
      </c>
      <c r="K63" s="823" t="s">
        <v>1637</v>
      </c>
      <c r="L63" s="826">
        <v>279.52999999999997</v>
      </c>
      <c r="M63" s="826">
        <v>559.05999999999995</v>
      </c>
      <c r="N63" s="823">
        <v>2</v>
      </c>
      <c r="O63" s="827">
        <v>1.5</v>
      </c>
      <c r="P63" s="826">
        <v>559.05999999999995</v>
      </c>
      <c r="Q63" s="828">
        <v>1</v>
      </c>
      <c r="R63" s="823">
        <v>2</v>
      </c>
      <c r="S63" s="828">
        <v>1</v>
      </c>
      <c r="T63" s="827">
        <v>1.5</v>
      </c>
      <c r="U63" s="829">
        <v>1</v>
      </c>
    </row>
    <row r="64" spans="1:21" ht="14.45" customHeight="1" x14ac:dyDescent="0.2">
      <c r="A64" s="822">
        <v>50</v>
      </c>
      <c r="B64" s="823" t="s">
        <v>1887</v>
      </c>
      <c r="C64" s="823" t="s">
        <v>1893</v>
      </c>
      <c r="D64" s="824" t="s">
        <v>2977</v>
      </c>
      <c r="E64" s="825" t="s">
        <v>1901</v>
      </c>
      <c r="F64" s="823" t="s">
        <v>1888</v>
      </c>
      <c r="G64" s="823" t="s">
        <v>1932</v>
      </c>
      <c r="H64" s="823" t="s">
        <v>625</v>
      </c>
      <c r="I64" s="823" t="s">
        <v>1635</v>
      </c>
      <c r="J64" s="823" t="s">
        <v>1636</v>
      </c>
      <c r="K64" s="823" t="s">
        <v>1637</v>
      </c>
      <c r="L64" s="826">
        <v>165.41</v>
      </c>
      <c r="M64" s="826">
        <v>165.41</v>
      </c>
      <c r="N64" s="823">
        <v>1</v>
      </c>
      <c r="O64" s="827">
        <v>0.5</v>
      </c>
      <c r="P64" s="826">
        <v>165.41</v>
      </c>
      <c r="Q64" s="828">
        <v>1</v>
      </c>
      <c r="R64" s="823">
        <v>1</v>
      </c>
      <c r="S64" s="828">
        <v>1</v>
      </c>
      <c r="T64" s="827">
        <v>0.5</v>
      </c>
      <c r="U64" s="829">
        <v>1</v>
      </c>
    </row>
    <row r="65" spans="1:21" ht="14.45" customHeight="1" x14ac:dyDescent="0.2">
      <c r="A65" s="822">
        <v>50</v>
      </c>
      <c r="B65" s="823" t="s">
        <v>1887</v>
      </c>
      <c r="C65" s="823" t="s">
        <v>1893</v>
      </c>
      <c r="D65" s="824" t="s">
        <v>2977</v>
      </c>
      <c r="E65" s="825" t="s">
        <v>1901</v>
      </c>
      <c r="F65" s="823" t="s">
        <v>1888</v>
      </c>
      <c r="G65" s="823" t="s">
        <v>1932</v>
      </c>
      <c r="H65" s="823" t="s">
        <v>329</v>
      </c>
      <c r="I65" s="823" t="s">
        <v>2026</v>
      </c>
      <c r="J65" s="823" t="s">
        <v>2027</v>
      </c>
      <c r="K65" s="823" t="s">
        <v>2028</v>
      </c>
      <c r="L65" s="826">
        <v>279.52999999999997</v>
      </c>
      <c r="M65" s="826">
        <v>279.52999999999997</v>
      </c>
      <c r="N65" s="823">
        <v>1</v>
      </c>
      <c r="O65" s="827">
        <v>1</v>
      </c>
      <c r="P65" s="826">
        <v>279.52999999999997</v>
      </c>
      <c r="Q65" s="828">
        <v>1</v>
      </c>
      <c r="R65" s="823">
        <v>1</v>
      </c>
      <c r="S65" s="828">
        <v>1</v>
      </c>
      <c r="T65" s="827">
        <v>1</v>
      </c>
      <c r="U65" s="829">
        <v>1</v>
      </c>
    </row>
    <row r="66" spans="1:21" ht="14.45" customHeight="1" x14ac:dyDescent="0.2">
      <c r="A66" s="822">
        <v>50</v>
      </c>
      <c r="B66" s="823" t="s">
        <v>1887</v>
      </c>
      <c r="C66" s="823" t="s">
        <v>1893</v>
      </c>
      <c r="D66" s="824" t="s">
        <v>2977</v>
      </c>
      <c r="E66" s="825" t="s">
        <v>1901</v>
      </c>
      <c r="F66" s="823" t="s">
        <v>1888</v>
      </c>
      <c r="G66" s="823" t="s">
        <v>1932</v>
      </c>
      <c r="H66" s="823" t="s">
        <v>329</v>
      </c>
      <c r="I66" s="823" t="s">
        <v>2029</v>
      </c>
      <c r="J66" s="823" t="s">
        <v>2027</v>
      </c>
      <c r="K66" s="823" t="s">
        <v>1766</v>
      </c>
      <c r="L66" s="826">
        <v>139.77000000000001</v>
      </c>
      <c r="M66" s="826">
        <v>139.77000000000001</v>
      </c>
      <c r="N66" s="823">
        <v>1</v>
      </c>
      <c r="O66" s="827">
        <v>1</v>
      </c>
      <c r="P66" s="826"/>
      <c r="Q66" s="828">
        <v>0</v>
      </c>
      <c r="R66" s="823"/>
      <c r="S66" s="828">
        <v>0</v>
      </c>
      <c r="T66" s="827"/>
      <c r="U66" s="829">
        <v>0</v>
      </c>
    </row>
    <row r="67" spans="1:21" ht="14.45" customHeight="1" x14ac:dyDescent="0.2">
      <c r="A67" s="822">
        <v>50</v>
      </c>
      <c r="B67" s="823" t="s">
        <v>1887</v>
      </c>
      <c r="C67" s="823" t="s">
        <v>1893</v>
      </c>
      <c r="D67" s="824" t="s">
        <v>2977</v>
      </c>
      <c r="E67" s="825" t="s">
        <v>1901</v>
      </c>
      <c r="F67" s="823" t="s">
        <v>1888</v>
      </c>
      <c r="G67" s="823" t="s">
        <v>1932</v>
      </c>
      <c r="H67" s="823" t="s">
        <v>329</v>
      </c>
      <c r="I67" s="823" t="s">
        <v>2030</v>
      </c>
      <c r="J67" s="823" t="s">
        <v>2027</v>
      </c>
      <c r="K67" s="823" t="s">
        <v>1797</v>
      </c>
      <c r="L67" s="826">
        <v>220.53</v>
      </c>
      <c r="M67" s="826">
        <v>661.59</v>
      </c>
      <c r="N67" s="823">
        <v>3</v>
      </c>
      <c r="O67" s="827">
        <v>1</v>
      </c>
      <c r="P67" s="826"/>
      <c r="Q67" s="828">
        <v>0</v>
      </c>
      <c r="R67" s="823"/>
      <c r="S67" s="828">
        <v>0</v>
      </c>
      <c r="T67" s="827"/>
      <c r="U67" s="829">
        <v>0</v>
      </c>
    </row>
    <row r="68" spans="1:21" ht="14.45" customHeight="1" x14ac:dyDescent="0.2">
      <c r="A68" s="822">
        <v>50</v>
      </c>
      <c r="B68" s="823" t="s">
        <v>1887</v>
      </c>
      <c r="C68" s="823" t="s">
        <v>1893</v>
      </c>
      <c r="D68" s="824" t="s">
        <v>2977</v>
      </c>
      <c r="E68" s="825" t="s">
        <v>1901</v>
      </c>
      <c r="F68" s="823" t="s">
        <v>1888</v>
      </c>
      <c r="G68" s="823" t="s">
        <v>1932</v>
      </c>
      <c r="H68" s="823" t="s">
        <v>329</v>
      </c>
      <c r="I68" s="823" t="s">
        <v>2031</v>
      </c>
      <c r="J68" s="823" t="s">
        <v>2027</v>
      </c>
      <c r="K68" s="823" t="s">
        <v>2025</v>
      </c>
      <c r="L68" s="826">
        <v>430.05</v>
      </c>
      <c r="M68" s="826">
        <v>430.05</v>
      </c>
      <c r="N68" s="823">
        <v>1</v>
      </c>
      <c r="O68" s="827">
        <v>1</v>
      </c>
      <c r="P68" s="826"/>
      <c r="Q68" s="828">
        <v>0</v>
      </c>
      <c r="R68" s="823"/>
      <c r="S68" s="828">
        <v>0</v>
      </c>
      <c r="T68" s="827"/>
      <c r="U68" s="829">
        <v>0</v>
      </c>
    </row>
    <row r="69" spans="1:21" ht="14.45" customHeight="1" x14ac:dyDescent="0.2">
      <c r="A69" s="822">
        <v>50</v>
      </c>
      <c r="B69" s="823" t="s">
        <v>1887</v>
      </c>
      <c r="C69" s="823" t="s">
        <v>1893</v>
      </c>
      <c r="D69" s="824" t="s">
        <v>2977</v>
      </c>
      <c r="E69" s="825" t="s">
        <v>1901</v>
      </c>
      <c r="F69" s="823" t="s">
        <v>1888</v>
      </c>
      <c r="G69" s="823" t="s">
        <v>2032</v>
      </c>
      <c r="H69" s="823" t="s">
        <v>625</v>
      </c>
      <c r="I69" s="823" t="s">
        <v>1607</v>
      </c>
      <c r="J69" s="823" t="s">
        <v>1608</v>
      </c>
      <c r="K69" s="823" t="s">
        <v>1609</v>
      </c>
      <c r="L69" s="826">
        <v>229.38</v>
      </c>
      <c r="M69" s="826">
        <v>458.76</v>
      </c>
      <c r="N69" s="823">
        <v>2</v>
      </c>
      <c r="O69" s="827">
        <v>1.5</v>
      </c>
      <c r="P69" s="826"/>
      <c r="Q69" s="828">
        <v>0</v>
      </c>
      <c r="R69" s="823"/>
      <c r="S69" s="828">
        <v>0</v>
      </c>
      <c r="T69" s="827"/>
      <c r="U69" s="829">
        <v>0</v>
      </c>
    </row>
    <row r="70" spans="1:21" ht="14.45" customHeight="1" x14ac:dyDescent="0.2">
      <c r="A70" s="822">
        <v>50</v>
      </c>
      <c r="B70" s="823" t="s">
        <v>1887</v>
      </c>
      <c r="C70" s="823" t="s">
        <v>1893</v>
      </c>
      <c r="D70" s="824" t="s">
        <v>2977</v>
      </c>
      <c r="E70" s="825" t="s">
        <v>1901</v>
      </c>
      <c r="F70" s="823" t="s">
        <v>1888</v>
      </c>
      <c r="G70" s="823" t="s">
        <v>1914</v>
      </c>
      <c r="H70" s="823" t="s">
        <v>329</v>
      </c>
      <c r="I70" s="823" t="s">
        <v>2033</v>
      </c>
      <c r="J70" s="823" t="s">
        <v>1946</v>
      </c>
      <c r="K70" s="823" t="s">
        <v>2034</v>
      </c>
      <c r="L70" s="826">
        <v>32.76</v>
      </c>
      <c r="M70" s="826">
        <v>32.76</v>
      </c>
      <c r="N70" s="823">
        <v>1</v>
      </c>
      <c r="O70" s="827">
        <v>1</v>
      </c>
      <c r="P70" s="826">
        <v>32.76</v>
      </c>
      <c r="Q70" s="828">
        <v>1</v>
      </c>
      <c r="R70" s="823">
        <v>1</v>
      </c>
      <c r="S70" s="828">
        <v>1</v>
      </c>
      <c r="T70" s="827">
        <v>1</v>
      </c>
      <c r="U70" s="829">
        <v>1</v>
      </c>
    </row>
    <row r="71" spans="1:21" ht="14.45" customHeight="1" x14ac:dyDescent="0.2">
      <c r="A71" s="822">
        <v>50</v>
      </c>
      <c r="B71" s="823" t="s">
        <v>1887</v>
      </c>
      <c r="C71" s="823" t="s">
        <v>1893</v>
      </c>
      <c r="D71" s="824" t="s">
        <v>2977</v>
      </c>
      <c r="E71" s="825" t="s">
        <v>1901</v>
      </c>
      <c r="F71" s="823" t="s">
        <v>1888</v>
      </c>
      <c r="G71" s="823" t="s">
        <v>1914</v>
      </c>
      <c r="H71" s="823" t="s">
        <v>625</v>
      </c>
      <c r="I71" s="823" t="s">
        <v>1617</v>
      </c>
      <c r="J71" s="823" t="s">
        <v>673</v>
      </c>
      <c r="K71" s="823" t="s">
        <v>705</v>
      </c>
      <c r="L71" s="826">
        <v>117.03</v>
      </c>
      <c r="M71" s="826">
        <v>468.12</v>
      </c>
      <c r="N71" s="823">
        <v>4</v>
      </c>
      <c r="O71" s="827">
        <v>3</v>
      </c>
      <c r="P71" s="826">
        <v>117.03</v>
      </c>
      <c r="Q71" s="828">
        <v>0.25</v>
      </c>
      <c r="R71" s="823">
        <v>1</v>
      </c>
      <c r="S71" s="828">
        <v>0.25</v>
      </c>
      <c r="T71" s="827">
        <v>1</v>
      </c>
      <c r="U71" s="829">
        <v>0.33333333333333331</v>
      </c>
    </row>
    <row r="72" spans="1:21" ht="14.45" customHeight="1" x14ac:dyDescent="0.2">
      <c r="A72" s="822">
        <v>50</v>
      </c>
      <c r="B72" s="823" t="s">
        <v>1887</v>
      </c>
      <c r="C72" s="823" t="s">
        <v>1893</v>
      </c>
      <c r="D72" s="824" t="s">
        <v>2977</v>
      </c>
      <c r="E72" s="825" t="s">
        <v>1901</v>
      </c>
      <c r="F72" s="823" t="s">
        <v>1888</v>
      </c>
      <c r="G72" s="823" t="s">
        <v>1914</v>
      </c>
      <c r="H72" s="823" t="s">
        <v>625</v>
      </c>
      <c r="I72" s="823" t="s">
        <v>1616</v>
      </c>
      <c r="J72" s="823" t="s">
        <v>673</v>
      </c>
      <c r="K72" s="823" t="s">
        <v>676</v>
      </c>
      <c r="L72" s="826">
        <v>17.559999999999999</v>
      </c>
      <c r="M72" s="826">
        <v>193.15999999999997</v>
      </c>
      <c r="N72" s="823">
        <v>11</v>
      </c>
      <c r="O72" s="827">
        <v>4.5</v>
      </c>
      <c r="P72" s="826">
        <v>17.559999999999999</v>
      </c>
      <c r="Q72" s="828">
        <v>9.0909090909090912E-2</v>
      </c>
      <c r="R72" s="823">
        <v>1</v>
      </c>
      <c r="S72" s="828">
        <v>9.0909090909090912E-2</v>
      </c>
      <c r="T72" s="827">
        <v>1</v>
      </c>
      <c r="U72" s="829">
        <v>0.22222222222222221</v>
      </c>
    </row>
    <row r="73" spans="1:21" ht="14.45" customHeight="1" x14ac:dyDescent="0.2">
      <c r="A73" s="822">
        <v>50</v>
      </c>
      <c r="B73" s="823" t="s">
        <v>1887</v>
      </c>
      <c r="C73" s="823" t="s">
        <v>1893</v>
      </c>
      <c r="D73" s="824" t="s">
        <v>2977</v>
      </c>
      <c r="E73" s="825" t="s">
        <v>1901</v>
      </c>
      <c r="F73" s="823" t="s">
        <v>1888</v>
      </c>
      <c r="G73" s="823" t="s">
        <v>2035</v>
      </c>
      <c r="H73" s="823" t="s">
        <v>329</v>
      </c>
      <c r="I73" s="823" t="s">
        <v>2036</v>
      </c>
      <c r="J73" s="823" t="s">
        <v>2037</v>
      </c>
      <c r="K73" s="823" t="s">
        <v>2038</v>
      </c>
      <c r="L73" s="826">
        <v>134.44999999999999</v>
      </c>
      <c r="M73" s="826">
        <v>268.89999999999998</v>
      </c>
      <c r="N73" s="823">
        <v>2</v>
      </c>
      <c r="O73" s="827">
        <v>1</v>
      </c>
      <c r="P73" s="826"/>
      <c r="Q73" s="828">
        <v>0</v>
      </c>
      <c r="R73" s="823"/>
      <c r="S73" s="828">
        <v>0</v>
      </c>
      <c r="T73" s="827"/>
      <c r="U73" s="829">
        <v>0</v>
      </c>
    </row>
    <row r="74" spans="1:21" ht="14.45" customHeight="1" x14ac:dyDescent="0.2">
      <c r="A74" s="822">
        <v>50</v>
      </c>
      <c r="B74" s="823" t="s">
        <v>1887</v>
      </c>
      <c r="C74" s="823" t="s">
        <v>1893</v>
      </c>
      <c r="D74" s="824" t="s">
        <v>2977</v>
      </c>
      <c r="E74" s="825" t="s">
        <v>1901</v>
      </c>
      <c r="F74" s="823" t="s">
        <v>1888</v>
      </c>
      <c r="G74" s="823" t="s">
        <v>2035</v>
      </c>
      <c r="H74" s="823" t="s">
        <v>329</v>
      </c>
      <c r="I74" s="823" t="s">
        <v>2039</v>
      </c>
      <c r="J74" s="823" t="s">
        <v>2040</v>
      </c>
      <c r="K74" s="823" t="s">
        <v>2038</v>
      </c>
      <c r="L74" s="826">
        <v>134.44999999999999</v>
      </c>
      <c r="M74" s="826">
        <v>134.44999999999999</v>
      </c>
      <c r="N74" s="823">
        <v>1</v>
      </c>
      <c r="O74" s="827">
        <v>1</v>
      </c>
      <c r="P74" s="826"/>
      <c r="Q74" s="828">
        <v>0</v>
      </c>
      <c r="R74" s="823"/>
      <c r="S74" s="828">
        <v>0</v>
      </c>
      <c r="T74" s="827"/>
      <c r="U74" s="829">
        <v>0</v>
      </c>
    </row>
    <row r="75" spans="1:21" ht="14.45" customHeight="1" x14ac:dyDescent="0.2">
      <c r="A75" s="822">
        <v>50</v>
      </c>
      <c r="B75" s="823" t="s">
        <v>1887</v>
      </c>
      <c r="C75" s="823" t="s">
        <v>1893</v>
      </c>
      <c r="D75" s="824" t="s">
        <v>2977</v>
      </c>
      <c r="E75" s="825" t="s">
        <v>1901</v>
      </c>
      <c r="F75" s="823" t="s">
        <v>1888</v>
      </c>
      <c r="G75" s="823" t="s">
        <v>2041</v>
      </c>
      <c r="H75" s="823" t="s">
        <v>329</v>
      </c>
      <c r="I75" s="823" t="s">
        <v>2042</v>
      </c>
      <c r="J75" s="823" t="s">
        <v>2043</v>
      </c>
      <c r="K75" s="823" t="s">
        <v>698</v>
      </c>
      <c r="L75" s="826">
        <v>78.33</v>
      </c>
      <c r="M75" s="826">
        <v>156.66</v>
      </c>
      <c r="N75" s="823">
        <v>2</v>
      </c>
      <c r="O75" s="827">
        <v>1</v>
      </c>
      <c r="P75" s="826">
        <v>156.66</v>
      </c>
      <c r="Q75" s="828">
        <v>1</v>
      </c>
      <c r="R75" s="823">
        <v>2</v>
      </c>
      <c r="S75" s="828">
        <v>1</v>
      </c>
      <c r="T75" s="827">
        <v>1</v>
      </c>
      <c r="U75" s="829">
        <v>1</v>
      </c>
    </row>
    <row r="76" spans="1:21" ht="14.45" customHeight="1" x14ac:dyDescent="0.2">
      <c r="A76" s="822">
        <v>50</v>
      </c>
      <c r="B76" s="823" t="s">
        <v>1887</v>
      </c>
      <c r="C76" s="823" t="s">
        <v>1893</v>
      </c>
      <c r="D76" s="824" t="s">
        <v>2977</v>
      </c>
      <c r="E76" s="825" t="s">
        <v>1901</v>
      </c>
      <c r="F76" s="823" t="s">
        <v>1888</v>
      </c>
      <c r="G76" s="823" t="s">
        <v>2044</v>
      </c>
      <c r="H76" s="823" t="s">
        <v>329</v>
      </c>
      <c r="I76" s="823" t="s">
        <v>2045</v>
      </c>
      <c r="J76" s="823" t="s">
        <v>2046</v>
      </c>
      <c r="K76" s="823" t="s">
        <v>2047</v>
      </c>
      <c r="L76" s="826">
        <v>1771.84</v>
      </c>
      <c r="M76" s="826">
        <v>15946.559999999998</v>
      </c>
      <c r="N76" s="823">
        <v>9</v>
      </c>
      <c r="O76" s="827">
        <v>2.5</v>
      </c>
      <c r="P76" s="826"/>
      <c r="Q76" s="828">
        <v>0</v>
      </c>
      <c r="R76" s="823"/>
      <c r="S76" s="828">
        <v>0</v>
      </c>
      <c r="T76" s="827"/>
      <c r="U76" s="829">
        <v>0</v>
      </c>
    </row>
    <row r="77" spans="1:21" ht="14.45" customHeight="1" x14ac:dyDescent="0.2">
      <c r="A77" s="822">
        <v>50</v>
      </c>
      <c r="B77" s="823" t="s">
        <v>1887</v>
      </c>
      <c r="C77" s="823" t="s">
        <v>1893</v>
      </c>
      <c r="D77" s="824" t="s">
        <v>2977</v>
      </c>
      <c r="E77" s="825" t="s">
        <v>1901</v>
      </c>
      <c r="F77" s="823" t="s">
        <v>1888</v>
      </c>
      <c r="G77" s="823" t="s">
        <v>2044</v>
      </c>
      <c r="H77" s="823" t="s">
        <v>329</v>
      </c>
      <c r="I77" s="823" t="s">
        <v>2048</v>
      </c>
      <c r="J77" s="823" t="s">
        <v>2046</v>
      </c>
      <c r="K77" s="823" t="s">
        <v>2049</v>
      </c>
      <c r="L77" s="826">
        <v>1544.99</v>
      </c>
      <c r="M77" s="826">
        <v>9269.94</v>
      </c>
      <c r="N77" s="823">
        <v>6</v>
      </c>
      <c r="O77" s="827">
        <v>2</v>
      </c>
      <c r="P77" s="826"/>
      <c r="Q77" s="828">
        <v>0</v>
      </c>
      <c r="R77" s="823"/>
      <c r="S77" s="828">
        <v>0</v>
      </c>
      <c r="T77" s="827"/>
      <c r="U77" s="829">
        <v>0</v>
      </c>
    </row>
    <row r="78" spans="1:21" ht="14.45" customHeight="1" x14ac:dyDescent="0.2">
      <c r="A78" s="822">
        <v>50</v>
      </c>
      <c r="B78" s="823" t="s">
        <v>1887</v>
      </c>
      <c r="C78" s="823" t="s">
        <v>1893</v>
      </c>
      <c r="D78" s="824" t="s">
        <v>2977</v>
      </c>
      <c r="E78" s="825" t="s">
        <v>1901</v>
      </c>
      <c r="F78" s="823" t="s">
        <v>1888</v>
      </c>
      <c r="G78" s="823" t="s">
        <v>2050</v>
      </c>
      <c r="H78" s="823" t="s">
        <v>625</v>
      </c>
      <c r="I78" s="823" t="s">
        <v>2051</v>
      </c>
      <c r="J78" s="823" t="s">
        <v>2052</v>
      </c>
      <c r="K78" s="823" t="s">
        <v>2053</v>
      </c>
      <c r="L78" s="826">
        <v>176.32</v>
      </c>
      <c r="M78" s="826">
        <v>176.32</v>
      </c>
      <c r="N78" s="823">
        <v>1</v>
      </c>
      <c r="O78" s="827">
        <v>1</v>
      </c>
      <c r="P78" s="826"/>
      <c r="Q78" s="828">
        <v>0</v>
      </c>
      <c r="R78" s="823"/>
      <c r="S78" s="828">
        <v>0</v>
      </c>
      <c r="T78" s="827"/>
      <c r="U78" s="829">
        <v>0</v>
      </c>
    </row>
    <row r="79" spans="1:21" ht="14.45" customHeight="1" x14ac:dyDescent="0.2">
      <c r="A79" s="822">
        <v>50</v>
      </c>
      <c r="B79" s="823" t="s">
        <v>1887</v>
      </c>
      <c r="C79" s="823" t="s">
        <v>1893</v>
      </c>
      <c r="D79" s="824" t="s">
        <v>2977</v>
      </c>
      <c r="E79" s="825" t="s">
        <v>1901</v>
      </c>
      <c r="F79" s="823" t="s">
        <v>1888</v>
      </c>
      <c r="G79" s="823" t="s">
        <v>2054</v>
      </c>
      <c r="H79" s="823" t="s">
        <v>329</v>
      </c>
      <c r="I79" s="823" t="s">
        <v>2055</v>
      </c>
      <c r="J79" s="823" t="s">
        <v>2056</v>
      </c>
      <c r="K79" s="823" t="s">
        <v>2057</v>
      </c>
      <c r="L79" s="826">
        <v>0</v>
      </c>
      <c r="M79" s="826">
        <v>0</v>
      </c>
      <c r="N79" s="823">
        <v>1</v>
      </c>
      <c r="O79" s="827">
        <v>1</v>
      </c>
      <c r="P79" s="826"/>
      <c r="Q79" s="828"/>
      <c r="R79" s="823"/>
      <c r="S79" s="828">
        <v>0</v>
      </c>
      <c r="T79" s="827"/>
      <c r="U79" s="829">
        <v>0</v>
      </c>
    </row>
    <row r="80" spans="1:21" ht="14.45" customHeight="1" x14ac:dyDescent="0.2">
      <c r="A80" s="822">
        <v>50</v>
      </c>
      <c r="B80" s="823" t="s">
        <v>1887</v>
      </c>
      <c r="C80" s="823" t="s">
        <v>1893</v>
      </c>
      <c r="D80" s="824" t="s">
        <v>2977</v>
      </c>
      <c r="E80" s="825" t="s">
        <v>1901</v>
      </c>
      <c r="F80" s="823" t="s">
        <v>1888</v>
      </c>
      <c r="G80" s="823" t="s">
        <v>2058</v>
      </c>
      <c r="H80" s="823" t="s">
        <v>329</v>
      </c>
      <c r="I80" s="823" t="s">
        <v>2059</v>
      </c>
      <c r="J80" s="823" t="s">
        <v>2060</v>
      </c>
      <c r="K80" s="823" t="s">
        <v>2061</v>
      </c>
      <c r="L80" s="826">
        <v>23.72</v>
      </c>
      <c r="M80" s="826">
        <v>71.16</v>
      </c>
      <c r="N80" s="823">
        <v>3</v>
      </c>
      <c r="O80" s="827">
        <v>1</v>
      </c>
      <c r="P80" s="826"/>
      <c r="Q80" s="828">
        <v>0</v>
      </c>
      <c r="R80" s="823"/>
      <c r="S80" s="828">
        <v>0</v>
      </c>
      <c r="T80" s="827"/>
      <c r="U80" s="829">
        <v>0</v>
      </c>
    </row>
    <row r="81" spans="1:21" ht="14.45" customHeight="1" x14ac:dyDescent="0.2">
      <c r="A81" s="822">
        <v>50</v>
      </c>
      <c r="B81" s="823" t="s">
        <v>1887</v>
      </c>
      <c r="C81" s="823" t="s">
        <v>1893</v>
      </c>
      <c r="D81" s="824" t="s">
        <v>2977</v>
      </c>
      <c r="E81" s="825" t="s">
        <v>1901</v>
      </c>
      <c r="F81" s="823" t="s">
        <v>1888</v>
      </c>
      <c r="G81" s="823" t="s">
        <v>2062</v>
      </c>
      <c r="H81" s="823" t="s">
        <v>329</v>
      </c>
      <c r="I81" s="823" t="s">
        <v>2063</v>
      </c>
      <c r="J81" s="823" t="s">
        <v>2064</v>
      </c>
      <c r="K81" s="823" t="s">
        <v>2065</v>
      </c>
      <c r="L81" s="826">
        <v>52.87</v>
      </c>
      <c r="M81" s="826">
        <v>52.87</v>
      </c>
      <c r="N81" s="823">
        <v>1</v>
      </c>
      <c r="O81" s="827">
        <v>1</v>
      </c>
      <c r="P81" s="826">
        <v>52.87</v>
      </c>
      <c r="Q81" s="828">
        <v>1</v>
      </c>
      <c r="R81" s="823">
        <v>1</v>
      </c>
      <c r="S81" s="828">
        <v>1</v>
      </c>
      <c r="T81" s="827">
        <v>1</v>
      </c>
      <c r="U81" s="829">
        <v>1</v>
      </c>
    </row>
    <row r="82" spans="1:21" ht="14.45" customHeight="1" x14ac:dyDescent="0.2">
      <c r="A82" s="822">
        <v>50</v>
      </c>
      <c r="B82" s="823" t="s">
        <v>1887</v>
      </c>
      <c r="C82" s="823" t="s">
        <v>1893</v>
      </c>
      <c r="D82" s="824" t="s">
        <v>2977</v>
      </c>
      <c r="E82" s="825" t="s">
        <v>1901</v>
      </c>
      <c r="F82" s="823" t="s">
        <v>1888</v>
      </c>
      <c r="G82" s="823" t="s">
        <v>2066</v>
      </c>
      <c r="H82" s="823" t="s">
        <v>329</v>
      </c>
      <c r="I82" s="823" t="s">
        <v>2067</v>
      </c>
      <c r="J82" s="823" t="s">
        <v>727</v>
      </c>
      <c r="K82" s="823" t="s">
        <v>2068</v>
      </c>
      <c r="L82" s="826">
        <v>182.22</v>
      </c>
      <c r="M82" s="826">
        <v>182.22</v>
      </c>
      <c r="N82" s="823">
        <v>1</v>
      </c>
      <c r="O82" s="827">
        <v>1</v>
      </c>
      <c r="P82" s="826">
        <v>182.22</v>
      </c>
      <c r="Q82" s="828">
        <v>1</v>
      </c>
      <c r="R82" s="823">
        <v>1</v>
      </c>
      <c r="S82" s="828">
        <v>1</v>
      </c>
      <c r="T82" s="827">
        <v>1</v>
      </c>
      <c r="U82" s="829">
        <v>1</v>
      </c>
    </row>
    <row r="83" spans="1:21" ht="14.45" customHeight="1" x14ac:dyDescent="0.2">
      <c r="A83" s="822">
        <v>50</v>
      </c>
      <c r="B83" s="823" t="s">
        <v>1887</v>
      </c>
      <c r="C83" s="823" t="s">
        <v>1893</v>
      </c>
      <c r="D83" s="824" t="s">
        <v>2977</v>
      </c>
      <c r="E83" s="825" t="s">
        <v>1901</v>
      </c>
      <c r="F83" s="823" t="s">
        <v>1888</v>
      </c>
      <c r="G83" s="823" t="s">
        <v>2069</v>
      </c>
      <c r="H83" s="823" t="s">
        <v>329</v>
      </c>
      <c r="I83" s="823" t="s">
        <v>2070</v>
      </c>
      <c r="J83" s="823" t="s">
        <v>1194</v>
      </c>
      <c r="K83" s="823" t="s">
        <v>2071</v>
      </c>
      <c r="L83" s="826">
        <v>0</v>
      </c>
      <c r="M83" s="826">
        <v>0</v>
      </c>
      <c r="N83" s="823">
        <v>2</v>
      </c>
      <c r="O83" s="827">
        <v>1.5</v>
      </c>
      <c r="P83" s="826">
        <v>0</v>
      </c>
      <c r="Q83" s="828"/>
      <c r="R83" s="823">
        <v>2</v>
      </c>
      <c r="S83" s="828">
        <v>1</v>
      </c>
      <c r="T83" s="827">
        <v>1.5</v>
      </c>
      <c r="U83" s="829">
        <v>1</v>
      </c>
    </row>
    <row r="84" spans="1:21" ht="14.45" customHeight="1" x14ac:dyDescent="0.2">
      <c r="A84" s="822">
        <v>50</v>
      </c>
      <c r="B84" s="823" t="s">
        <v>1887</v>
      </c>
      <c r="C84" s="823" t="s">
        <v>1893</v>
      </c>
      <c r="D84" s="824" t="s">
        <v>2977</v>
      </c>
      <c r="E84" s="825" t="s">
        <v>1901</v>
      </c>
      <c r="F84" s="823" t="s">
        <v>1888</v>
      </c>
      <c r="G84" s="823" t="s">
        <v>2072</v>
      </c>
      <c r="H84" s="823" t="s">
        <v>329</v>
      </c>
      <c r="I84" s="823" t="s">
        <v>2073</v>
      </c>
      <c r="J84" s="823" t="s">
        <v>1016</v>
      </c>
      <c r="K84" s="823" t="s">
        <v>1017</v>
      </c>
      <c r="L84" s="826">
        <v>124.49</v>
      </c>
      <c r="M84" s="826">
        <v>124.49</v>
      </c>
      <c r="N84" s="823">
        <v>1</v>
      </c>
      <c r="O84" s="827">
        <v>1</v>
      </c>
      <c r="P84" s="826">
        <v>124.49</v>
      </c>
      <c r="Q84" s="828">
        <v>1</v>
      </c>
      <c r="R84" s="823">
        <v>1</v>
      </c>
      <c r="S84" s="828">
        <v>1</v>
      </c>
      <c r="T84" s="827">
        <v>1</v>
      </c>
      <c r="U84" s="829">
        <v>1</v>
      </c>
    </row>
    <row r="85" spans="1:21" ht="14.45" customHeight="1" x14ac:dyDescent="0.2">
      <c r="A85" s="822">
        <v>50</v>
      </c>
      <c r="B85" s="823" t="s">
        <v>1887</v>
      </c>
      <c r="C85" s="823" t="s">
        <v>1893</v>
      </c>
      <c r="D85" s="824" t="s">
        <v>2977</v>
      </c>
      <c r="E85" s="825" t="s">
        <v>1901</v>
      </c>
      <c r="F85" s="823" t="s">
        <v>1888</v>
      </c>
      <c r="G85" s="823" t="s">
        <v>1952</v>
      </c>
      <c r="H85" s="823" t="s">
        <v>625</v>
      </c>
      <c r="I85" s="823" t="s">
        <v>1784</v>
      </c>
      <c r="J85" s="823" t="s">
        <v>811</v>
      </c>
      <c r="K85" s="823" t="s">
        <v>1785</v>
      </c>
      <c r="L85" s="826">
        <v>42.51</v>
      </c>
      <c r="M85" s="826">
        <v>170.04</v>
      </c>
      <c r="N85" s="823">
        <v>4</v>
      </c>
      <c r="O85" s="827">
        <v>3.5</v>
      </c>
      <c r="P85" s="826">
        <v>42.51</v>
      </c>
      <c r="Q85" s="828">
        <v>0.25</v>
      </c>
      <c r="R85" s="823">
        <v>1</v>
      </c>
      <c r="S85" s="828">
        <v>0.25</v>
      </c>
      <c r="T85" s="827">
        <v>1</v>
      </c>
      <c r="U85" s="829">
        <v>0.2857142857142857</v>
      </c>
    </row>
    <row r="86" spans="1:21" ht="14.45" customHeight="1" x14ac:dyDescent="0.2">
      <c r="A86" s="822">
        <v>50</v>
      </c>
      <c r="B86" s="823" t="s">
        <v>1887</v>
      </c>
      <c r="C86" s="823" t="s">
        <v>1893</v>
      </c>
      <c r="D86" s="824" t="s">
        <v>2977</v>
      </c>
      <c r="E86" s="825" t="s">
        <v>1901</v>
      </c>
      <c r="F86" s="823" t="s">
        <v>1888</v>
      </c>
      <c r="G86" s="823" t="s">
        <v>1952</v>
      </c>
      <c r="H86" s="823" t="s">
        <v>625</v>
      </c>
      <c r="I86" s="823" t="s">
        <v>1591</v>
      </c>
      <c r="J86" s="823" t="s">
        <v>811</v>
      </c>
      <c r="K86" s="823" t="s">
        <v>1592</v>
      </c>
      <c r="L86" s="826">
        <v>85.02</v>
      </c>
      <c r="M86" s="826">
        <v>255.06</v>
      </c>
      <c r="N86" s="823">
        <v>3</v>
      </c>
      <c r="O86" s="827">
        <v>1.5</v>
      </c>
      <c r="P86" s="826">
        <v>85.02</v>
      </c>
      <c r="Q86" s="828">
        <v>0.33333333333333331</v>
      </c>
      <c r="R86" s="823">
        <v>1</v>
      </c>
      <c r="S86" s="828">
        <v>0.33333333333333331</v>
      </c>
      <c r="T86" s="827">
        <v>0.5</v>
      </c>
      <c r="U86" s="829">
        <v>0.33333333333333331</v>
      </c>
    </row>
    <row r="87" spans="1:21" ht="14.45" customHeight="1" x14ac:dyDescent="0.2">
      <c r="A87" s="822">
        <v>50</v>
      </c>
      <c r="B87" s="823" t="s">
        <v>1887</v>
      </c>
      <c r="C87" s="823" t="s">
        <v>1893</v>
      </c>
      <c r="D87" s="824" t="s">
        <v>2977</v>
      </c>
      <c r="E87" s="825" t="s">
        <v>1901</v>
      </c>
      <c r="F87" s="823" t="s">
        <v>1888</v>
      </c>
      <c r="G87" s="823" t="s">
        <v>2074</v>
      </c>
      <c r="H87" s="823" t="s">
        <v>329</v>
      </c>
      <c r="I87" s="823" t="s">
        <v>2075</v>
      </c>
      <c r="J87" s="823" t="s">
        <v>2076</v>
      </c>
      <c r="K87" s="823" t="s">
        <v>2077</v>
      </c>
      <c r="L87" s="826">
        <v>168.78</v>
      </c>
      <c r="M87" s="826">
        <v>337.56</v>
      </c>
      <c r="N87" s="823">
        <v>2</v>
      </c>
      <c r="O87" s="827">
        <v>1.5</v>
      </c>
      <c r="P87" s="826"/>
      <c r="Q87" s="828">
        <v>0</v>
      </c>
      <c r="R87" s="823"/>
      <c r="S87" s="828">
        <v>0</v>
      </c>
      <c r="T87" s="827"/>
      <c r="U87" s="829">
        <v>0</v>
      </c>
    </row>
    <row r="88" spans="1:21" ht="14.45" customHeight="1" x14ac:dyDescent="0.2">
      <c r="A88" s="822">
        <v>50</v>
      </c>
      <c r="B88" s="823" t="s">
        <v>1887</v>
      </c>
      <c r="C88" s="823" t="s">
        <v>1893</v>
      </c>
      <c r="D88" s="824" t="s">
        <v>2977</v>
      </c>
      <c r="E88" s="825" t="s">
        <v>1901</v>
      </c>
      <c r="F88" s="823" t="s">
        <v>1888</v>
      </c>
      <c r="G88" s="823" t="s">
        <v>2074</v>
      </c>
      <c r="H88" s="823" t="s">
        <v>329</v>
      </c>
      <c r="I88" s="823" t="s">
        <v>2078</v>
      </c>
      <c r="J88" s="823" t="s">
        <v>2079</v>
      </c>
      <c r="K88" s="823" t="s">
        <v>2080</v>
      </c>
      <c r="L88" s="826">
        <v>84.39</v>
      </c>
      <c r="M88" s="826">
        <v>168.78</v>
      </c>
      <c r="N88" s="823">
        <v>2</v>
      </c>
      <c r="O88" s="827">
        <v>0.5</v>
      </c>
      <c r="P88" s="826">
        <v>168.78</v>
      </c>
      <c r="Q88" s="828">
        <v>1</v>
      </c>
      <c r="R88" s="823">
        <v>2</v>
      </c>
      <c r="S88" s="828">
        <v>1</v>
      </c>
      <c r="T88" s="827">
        <v>0.5</v>
      </c>
      <c r="U88" s="829">
        <v>1</v>
      </c>
    </row>
    <row r="89" spans="1:21" ht="14.45" customHeight="1" x14ac:dyDescent="0.2">
      <c r="A89" s="822">
        <v>50</v>
      </c>
      <c r="B89" s="823" t="s">
        <v>1887</v>
      </c>
      <c r="C89" s="823" t="s">
        <v>1893</v>
      </c>
      <c r="D89" s="824" t="s">
        <v>2977</v>
      </c>
      <c r="E89" s="825" t="s">
        <v>1901</v>
      </c>
      <c r="F89" s="823" t="s">
        <v>1888</v>
      </c>
      <c r="G89" s="823" t="s">
        <v>2074</v>
      </c>
      <c r="H89" s="823" t="s">
        <v>329</v>
      </c>
      <c r="I89" s="823" t="s">
        <v>2081</v>
      </c>
      <c r="J89" s="823" t="s">
        <v>2082</v>
      </c>
      <c r="K89" s="823" t="s">
        <v>2083</v>
      </c>
      <c r="L89" s="826">
        <v>50.64</v>
      </c>
      <c r="M89" s="826">
        <v>50.64</v>
      </c>
      <c r="N89" s="823">
        <v>1</v>
      </c>
      <c r="O89" s="827">
        <v>1</v>
      </c>
      <c r="P89" s="826">
        <v>50.64</v>
      </c>
      <c r="Q89" s="828">
        <v>1</v>
      </c>
      <c r="R89" s="823">
        <v>1</v>
      </c>
      <c r="S89" s="828">
        <v>1</v>
      </c>
      <c r="T89" s="827">
        <v>1</v>
      </c>
      <c r="U89" s="829">
        <v>1</v>
      </c>
    </row>
    <row r="90" spans="1:21" ht="14.45" customHeight="1" x14ac:dyDescent="0.2">
      <c r="A90" s="822">
        <v>50</v>
      </c>
      <c r="B90" s="823" t="s">
        <v>1887</v>
      </c>
      <c r="C90" s="823" t="s">
        <v>1893</v>
      </c>
      <c r="D90" s="824" t="s">
        <v>2977</v>
      </c>
      <c r="E90" s="825" t="s">
        <v>1901</v>
      </c>
      <c r="F90" s="823" t="s">
        <v>1888</v>
      </c>
      <c r="G90" s="823" t="s">
        <v>2084</v>
      </c>
      <c r="H90" s="823" t="s">
        <v>329</v>
      </c>
      <c r="I90" s="823" t="s">
        <v>2085</v>
      </c>
      <c r="J90" s="823" t="s">
        <v>2086</v>
      </c>
      <c r="K90" s="823" t="s">
        <v>2087</v>
      </c>
      <c r="L90" s="826">
        <v>140.72</v>
      </c>
      <c r="M90" s="826">
        <v>422.15999999999997</v>
      </c>
      <c r="N90" s="823">
        <v>3</v>
      </c>
      <c r="O90" s="827">
        <v>1</v>
      </c>
      <c r="P90" s="826">
        <v>422.15999999999997</v>
      </c>
      <c r="Q90" s="828">
        <v>1</v>
      </c>
      <c r="R90" s="823">
        <v>3</v>
      </c>
      <c r="S90" s="828">
        <v>1</v>
      </c>
      <c r="T90" s="827">
        <v>1</v>
      </c>
      <c r="U90" s="829">
        <v>1</v>
      </c>
    </row>
    <row r="91" spans="1:21" ht="14.45" customHeight="1" x14ac:dyDescent="0.2">
      <c r="A91" s="822">
        <v>50</v>
      </c>
      <c r="B91" s="823" t="s">
        <v>1887</v>
      </c>
      <c r="C91" s="823" t="s">
        <v>1893</v>
      </c>
      <c r="D91" s="824" t="s">
        <v>2977</v>
      </c>
      <c r="E91" s="825" t="s">
        <v>1901</v>
      </c>
      <c r="F91" s="823" t="s">
        <v>1888</v>
      </c>
      <c r="G91" s="823" t="s">
        <v>2088</v>
      </c>
      <c r="H91" s="823" t="s">
        <v>329</v>
      </c>
      <c r="I91" s="823" t="s">
        <v>2089</v>
      </c>
      <c r="J91" s="823" t="s">
        <v>855</v>
      </c>
      <c r="K91" s="823" t="s">
        <v>2090</v>
      </c>
      <c r="L91" s="826">
        <v>35.25</v>
      </c>
      <c r="M91" s="826">
        <v>35.25</v>
      </c>
      <c r="N91" s="823">
        <v>1</v>
      </c>
      <c r="O91" s="827">
        <v>0.5</v>
      </c>
      <c r="P91" s="826"/>
      <c r="Q91" s="828">
        <v>0</v>
      </c>
      <c r="R91" s="823"/>
      <c r="S91" s="828">
        <v>0</v>
      </c>
      <c r="T91" s="827"/>
      <c r="U91" s="829">
        <v>0</v>
      </c>
    </row>
    <row r="92" spans="1:21" ht="14.45" customHeight="1" x14ac:dyDescent="0.2">
      <c r="A92" s="822">
        <v>50</v>
      </c>
      <c r="B92" s="823" t="s">
        <v>1887</v>
      </c>
      <c r="C92" s="823" t="s">
        <v>1893</v>
      </c>
      <c r="D92" s="824" t="s">
        <v>2977</v>
      </c>
      <c r="E92" s="825" t="s">
        <v>1901</v>
      </c>
      <c r="F92" s="823" t="s">
        <v>1888</v>
      </c>
      <c r="G92" s="823" t="s">
        <v>2091</v>
      </c>
      <c r="H92" s="823" t="s">
        <v>329</v>
      </c>
      <c r="I92" s="823" t="s">
        <v>2092</v>
      </c>
      <c r="J92" s="823" t="s">
        <v>923</v>
      </c>
      <c r="K92" s="823" t="s">
        <v>2093</v>
      </c>
      <c r="L92" s="826">
        <v>166.1</v>
      </c>
      <c r="M92" s="826">
        <v>498.29999999999995</v>
      </c>
      <c r="N92" s="823">
        <v>3</v>
      </c>
      <c r="O92" s="827">
        <v>1</v>
      </c>
      <c r="P92" s="826"/>
      <c r="Q92" s="828">
        <v>0</v>
      </c>
      <c r="R92" s="823"/>
      <c r="S92" s="828">
        <v>0</v>
      </c>
      <c r="T92" s="827"/>
      <c r="U92" s="829">
        <v>0</v>
      </c>
    </row>
    <row r="93" spans="1:21" ht="14.45" customHeight="1" x14ac:dyDescent="0.2">
      <c r="A93" s="822">
        <v>50</v>
      </c>
      <c r="B93" s="823" t="s">
        <v>1887</v>
      </c>
      <c r="C93" s="823" t="s">
        <v>1893</v>
      </c>
      <c r="D93" s="824" t="s">
        <v>2977</v>
      </c>
      <c r="E93" s="825" t="s">
        <v>1901</v>
      </c>
      <c r="F93" s="823" t="s">
        <v>1888</v>
      </c>
      <c r="G93" s="823" t="s">
        <v>2094</v>
      </c>
      <c r="H93" s="823" t="s">
        <v>329</v>
      </c>
      <c r="I93" s="823" t="s">
        <v>2095</v>
      </c>
      <c r="J93" s="823" t="s">
        <v>2096</v>
      </c>
      <c r="K93" s="823" t="s">
        <v>2097</v>
      </c>
      <c r="L93" s="826">
        <v>8.7899999999999991</v>
      </c>
      <c r="M93" s="826">
        <v>8.7899999999999991</v>
      </c>
      <c r="N93" s="823">
        <v>1</v>
      </c>
      <c r="O93" s="827">
        <v>0.5</v>
      </c>
      <c r="P93" s="826"/>
      <c r="Q93" s="828">
        <v>0</v>
      </c>
      <c r="R93" s="823"/>
      <c r="S93" s="828">
        <v>0</v>
      </c>
      <c r="T93" s="827"/>
      <c r="U93" s="829">
        <v>0</v>
      </c>
    </row>
    <row r="94" spans="1:21" ht="14.45" customHeight="1" x14ac:dyDescent="0.2">
      <c r="A94" s="822">
        <v>50</v>
      </c>
      <c r="B94" s="823" t="s">
        <v>1887</v>
      </c>
      <c r="C94" s="823" t="s">
        <v>1893</v>
      </c>
      <c r="D94" s="824" t="s">
        <v>2977</v>
      </c>
      <c r="E94" s="825" t="s">
        <v>1901</v>
      </c>
      <c r="F94" s="823" t="s">
        <v>1888</v>
      </c>
      <c r="G94" s="823" t="s">
        <v>2098</v>
      </c>
      <c r="H94" s="823" t="s">
        <v>329</v>
      </c>
      <c r="I94" s="823" t="s">
        <v>2099</v>
      </c>
      <c r="J94" s="823" t="s">
        <v>1390</v>
      </c>
      <c r="K94" s="823" t="s">
        <v>2038</v>
      </c>
      <c r="L94" s="826">
        <v>111.72</v>
      </c>
      <c r="M94" s="826">
        <v>223.44</v>
      </c>
      <c r="N94" s="823">
        <v>2</v>
      </c>
      <c r="O94" s="827">
        <v>1</v>
      </c>
      <c r="P94" s="826">
        <v>223.44</v>
      </c>
      <c r="Q94" s="828">
        <v>1</v>
      </c>
      <c r="R94" s="823">
        <v>2</v>
      </c>
      <c r="S94" s="828">
        <v>1</v>
      </c>
      <c r="T94" s="827">
        <v>1</v>
      </c>
      <c r="U94" s="829">
        <v>1</v>
      </c>
    </row>
    <row r="95" spans="1:21" ht="14.45" customHeight="1" x14ac:dyDescent="0.2">
      <c r="A95" s="822">
        <v>50</v>
      </c>
      <c r="B95" s="823" t="s">
        <v>1887</v>
      </c>
      <c r="C95" s="823" t="s">
        <v>1893</v>
      </c>
      <c r="D95" s="824" t="s">
        <v>2977</v>
      </c>
      <c r="E95" s="825" t="s">
        <v>1901</v>
      </c>
      <c r="F95" s="823" t="s">
        <v>1888</v>
      </c>
      <c r="G95" s="823" t="s">
        <v>1955</v>
      </c>
      <c r="H95" s="823" t="s">
        <v>625</v>
      </c>
      <c r="I95" s="823" t="s">
        <v>1567</v>
      </c>
      <c r="J95" s="823" t="s">
        <v>1568</v>
      </c>
      <c r="K95" s="823" t="s">
        <v>1569</v>
      </c>
      <c r="L95" s="826">
        <v>93.43</v>
      </c>
      <c r="M95" s="826">
        <v>747.44</v>
      </c>
      <c r="N95" s="823">
        <v>8</v>
      </c>
      <c r="O95" s="827">
        <v>3.5</v>
      </c>
      <c r="P95" s="826">
        <v>373.72</v>
      </c>
      <c r="Q95" s="828">
        <v>0.5</v>
      </c>
      <c r="R95" s="823">
        <v>4</v>
      </c>
      <c r="S95" s="828">
        <v>0.5</v>
      </c>
      <c r="T95" s="827">
        <v>1.5</v>
      </c>
      <c r="U95" s="829">
        <v>0.42857142857142855</v>
      </c>
    </row>
    <row r="96" spans="1:21" ht="14.45" customHeight="1" x14ac:dyDescent="0.2">
      <c r="A96" s="822">
        <v>50</v>
      </c>
      <c r="B96" s="823" t="s">
        <v>1887</v>
      </c>
      <c r="C96" s="823" t="s">
        <v>1893</v>
      </c>
      <c r="D96" s="824" t="s">
        <v>2977</v>
      </c>
      <c r="E96" s="825" t="s">
        <v>1901</v>
      </c>
      <c r="F96" s="823" t="s">
        <v>1888</v>
      </c>
      <c r="G96" s="823" t="s">
        <v>1956</v>
      </c>
      <c r="H96" s="823" t="s">
        <v>329</v>
      </c>
      <c r="I96" s="823" t="s">
        <v>1957</v>
      </c>
      <c r="J96" s="823" t="s">
        <v>1958</v>
      </c>
      <c r="K96" s="823" t="s">
        <v>1959</v>
      </c>
      <c r="L96" s="826">
        <v>577.88</v>
      </c>
      <c r="M96" s="826">
        <v>577.88</v>
      </c>
      <c r="N96" s="823">
        <v>1</v>
      </c>
      <c r="O96" s="827">
        <v>1</v>
      </c>
      <c r="P96" s="826"/>
      <c r="Q96" s="828">
        <v>0</v>
      </c>
      <c r="R96" s="823"/>
      <c r="S96" s="828">
        <v>0</v>
      </c>
      <c r="T96" s="827"/>
      <c r="U96" s="829">
        <v>0</v>
      </c>
    </row>
    <row r="97" spans="1:21" ht="14.45" customHeight="1" x14ac:dyDescent="0.2">
      <c r="A97" s="822">
        <v>50</v>
      </c>
      <c r="B97" s="823" t="s">
        <v>1887</v>
      </c>
      <c r="C97" s="823" t="s">
        <v>1893</v>
      </c>
      <c r="D97" s="824" t="s">
        <v>2977</v>
      </c>
      <c r="E97" s="825" t="s">
        <v>1901</v>
      </c>
      <c r="F97" s="823" t="s">
        <v>1888</v>
      </c>
      <c r="G97" s="823" t="s">
        <v>1918</v>
      </c>
      <c r="H97" s="823" t="s">
        <v>329</v>
      </c>
      <c r="I97" s="823" t="s">
        <v>2100</v>
      </c>
      <c r="J97" s="823" t="s">
        <v>642</v>
      </c>
      <c r="K97" s="823" t="s">
        <v>2101</v>
      </c>
      <c r="L97" s="826">
        <v>31.65</v>
      </c>
      <c r="M97" s="826">
        <v>126.6</v>
      </c>
      <c r="N97" s="823">
        <v>4</v>
      </c>
      <c r="O97" s="827">
        <v>1</v>
      </c>
      <c r="P97" s="826">
        <v>63.3</v>
      </c>
      <c r="Q97" s="828">
        <v>0.5</v>
      </c>
      <c r="R97" s="823">
        <v>2</v>
      </c>
      <c r="S97" s="828">
        <v>0.5</v>
      </c>
      <c r="T97" s="827">
        <v>0.5</v>
      </c>
      <c r="U97" s="829">
        <v>0.5</v>
      </c>
    </row>
    <row r="98" spans="1:21" ht="14.45" customHeight="1" x14ac:dyDescent="0.2">
      <c r="A98" s="822">
        <v>50</v>
      </c>
      <c r="B98" s="823" t="s">
        <v>1887</v>
      </c>
      <c r="C98" s="823" t="s">
        <v>1893</v>
      </c>
      <c r="D98" s="824" t="s">
        <v>2977</v>
      </c>
      <c r="E98" s="825" t="s">
        <v>1901</v>
      </c>
      <c r="F98" s="823" t="s">
        <v>1888</v>
      </c>
      <c r="G98" s="823" t="s">
        <v>1918</v>
      </c>
      <c r="H98" s="823" t="s">
        <v>329</v>
      </c>
      <c r="I98" s="823" t="s">
        <v>2102</v>
      </c>
      <c r="J98" s="823" t="s">
        <v>642</v>
      </c>
      <c r="K98" s="823" t="s">
        <v>628</v>
      </c>
      <c r="L98" s="826">
        <v>58.62</v>
      </c>
      <c r="M98" s="826">
        <v>234.48</v>
      </c>
      <c r="N98" s="823">
        <v>4</v>
      </c>
      <c r="O98" s="827">
        <v>3.5</v>
      </c>
      <c r="P98" s="826"/>
      <c r="Q98" s="828">
        <v>0</v>
      </c>
      <c r="R98" s="823"/>
      <c r="S98" s="828">
        <v>0</v>
      </c>
      <c r="T98" s="827"/>
      <c r="U98" s="829">
        <v>0</v>
      </c>
    </row>
    <row r="99" spans="1:21" ht="14.45" customHeight="1" x14ac:dyDescent="0.2">
      <c r="A99" s="822">
        <v>50</v>
      </c>
      <c r="B99" s="823" t="s">
        <v>1887</v>
      </c>
      <c r="C99" s="823" t="s">
        <v>1893</v>
      </c>
      <c r="D99" s="824" t="s">
        <v>2977</v>
      </c>
      <c r="E99" s="825" t="s">
        <v>1901</v>
      </c>
      <c r="F99" s="823" t="s">
        <v>1888</v>
      </c>
      <c r="G99" s="823" t="s">
        <v>1918</v>
      </c>
      <c r="H99" s="823" t="s">
        <v>329</v>
      </c>
      <c r="I99" s="823" t="s">
        <v>2103</v>
      </c>
      <c r="J99" s="823" t="s">
        <v>642</v>
      </c>
      <c r="K99" s="823" t="s">
        <v>2101</v>
      </c>
      <c r="L99" s="826">
        <v>31.65</v>
      </c>
      <c r="M99" s="826">
        <v>31.65</v>
      </c>
      <c r="N99" s="823">
        <v>1</v>
      </c>
      <c r="O99" s="827">
        <v>1</v>
      </c>
      <c r="P99" s="826">
        <v>31.65</v>
      </c>
      <c r="Q99" s="828">
        <v>1</v>
      </c>
      <c r="R99" s="823">
        <v>1</v>
      </c>
      <c r="S99" s="828">
        <v>1</v>
      </c>
      <c r="T99" s="827">
        <v>1</v>
      </c>
      <c r="U99" s="829">
        <v>1</v>
      </c>
    </row>
    <row r="100" spans="1:21" ht="14.45" customHeight="1" x14ac:dyDescent="0.2">
      <c r="A100" s="822">
        <v>50</v>
      </c>
      <c r="B100" s="823" t="s">
        <v>1887</v>
      </c>
      <c r="C100" s="823" t="s">
        <v>1893</v>
      </c>
      <c r="D100" s="824" t="s">
        <v>2977</v>
      </c>
      <c r="E100" s="825" t="s">
        <v>1901</v>
      </c>
      <c r="F100" s="823" t="s">
        <v>1888</v>
      </c>
      <c r="G100" s="823" t="s">
        <v>2104</v>
      </c>
      <c r="H100" s="823" t="s">
        <v>329</v>
      </c>
      <c r="I100" s="823" t="s">
        <v>2105</v>
      </c>
      <c r="J100" s="823" t="s">
        <v>2106</v>
      </c>
      <c r="K100" s="823" t="s">
        <v>2053</v>
      </c>
      <c r="L100" s="826">
        <v>176.32</v>
      </c>
      <c r="M100" s="826">
        <v>176.32</v>
      </c>
      <c r="N100" s="823">
        <v>1</v>
      </c>
      <c r="O100" s="827">
        <v>1</v>
      </c>
      <c r="P100" s="826"/>
      <c r="Q100" s="828">
        <v>0</v>
      </c>
      <c r="R100" s="823"/>
      <c r="S100" s="828">
        <v>0</v>
      </c>
      <c r="T100" s="827"/>
      <c r="U100" s="829">
        <v>0</v>
      </c>
    </row>
    <row r="101" spans="1:21" ht="14.45" customHeight="1" x14ac:dyDescent="0.2">
      <c r="A101" s="822">
        <v>50</v>
      </c>
      <c r="B101" s="823" t="s">
        <v>1887</v>
      </c>
      <c r="C101" s="823" t="s">
        <v>1893</v>
      </c>
      <c r="D101" s="824" t="s">
        <v>2977</v>
      </c>
      <c r="E101" s="825" t="s">
        <v>1901</v>
      </c>
      <c r="F101" s="823" t="s">
        <v>1888</v>
      </c>
      <c r="G101" s="823" t="s">
        <v>2107</v>
      </c>
      <c r="H101" s="823" t="s">
        <v>625</v>
      </c>
      <c r="I101" s="823" t="s">
        <v>2108</v>
      </c>
      <c r="J101" s="823" t="s">
        <v>2109</v>
      </c>
      <c r="K101" s="823" t="s">
        <v>2110</v>
      </c>
      <c r="L101" s="826">
        <v>118.65</v>
      </c>
      <c r="M101" s="826">
        <v>118.65</v>
      </c>
      <c r="N101" s="823">
        <v>1</v>
      </c>
      <c r="O101" s="827">
        <v>0.5</v>
      </c>
      <c r="P101" s="826"/>
      <c r="Q101" s="828">
        <v>0</v>
      </c>
      <c r="R101" s="823"/>
      <c r="S101" s="828">
        <v>0</v>
      </c>
      <c r="T101" s="827"/>
      <c r="U101" s="829">
        <v>0</v>
      </c>
    </row>
    <row r="102" spans="1:21" ht="14.45" customHeight="1" x14ac:dyDescent="0.2">
      <c r="A102" s="822">
        <v>50</v>
      </c>
      <c r="B102" s="823" t="s">
        <v>1887</v>
      </c>
      <c r="C102" s="823" t="s">
        <v>1893</v>
      </c>
      <c r="D102" s="824" t="s">
        <v>2977</v>
      </c>
      <c r="E102" s="825" t="s">
        <v>1901</v>
      </c>
      <c r="F102" s="823" t="s">
        <v>1888</v>
      </c>
      <c r="G102" s="823" t="s">
        <v>2107</v>
      </c>
      <c r="H102" s="823" t="s">
        <v>625</v>
      </c>
      <c r="I102" s="823" t="s">
        <v>2111</v>
      </c>
      <c r="J102" s="823" t="s">
        <v>2112</v>
      </c>
      <c r="K102" s="823" t="s">
        <v>2113</v>
      </c>
      <c r="L102" s="826">
        <v>237.31</v>
      </c>
      <c r="M102" s="826">
        <v>474.62</v>
      </c>
      <c r="N102" s="823">
        <v>2</v>
      </c>
      <c r="O102" s="827">
        <v>1.5</v>
      </c>
      <c r="P102" s="826"/>
      <c r="Q102" s="828">
        <v>0</v>
      </c>
      <c r="R102" s="823"/>
      <c r="S102" s="828">
        <v>0</v>
      </c>
      <c r="T102" s="827"/>
      <c r="U102" s="829">
        <v>0</v>
      </c>
    </row>
    <row r="103" spans="1:21" ht="14.45" customHeight="1" x14ac:dyDescent="0.2">
      <c r="A103" s="822">
        <v>50</v>
      </c>
      <c r="B103" s="823" t="s">
        <v>1887</v>
      </c>
      <c r="C103" s="823" t="s">
        <v>1893</v>
      </c>
      <c r="D103" s="824" t="s">
        <v>2977</v>
      </c>
      <c r="E103" s="825" t="s">
        <v>1901</v>
      </c>
      <c r="F103" s="823" t="s">
        <v>1888</v>
      </c>
      <c r="G103" s="823" t="s">
        <v>2114</v>
      </c>
      <c r="H103" s="823" t="s">
        <v>625</v>
      </c>
      <c r="I103" s="823" t="s">
        <v>2115</v>
      </c>
      <c r="J103" s="823" t="s">
        <v>2116</v>
      </c>
      <c r="K103" s="823" t="s">
        <v>2117</v>
      </c>
      <c r="L103" s="826">
        <v>140.96</v>
      </c>
      <c r="M103" s="826">
        <v>140.96</v>
      </c>
      <c r="N103" s="823">
        <v>1</v>
      </c>
      <c r="O103" s="827">
        <v>1</v>
      </c>
      <c r="P103" s="826">
        <v>140.96</v>
      </c>
      <c r="Q103" s="828">
        <v>1</v>
      </c>
      <c r="R103" s="823">
        <v>1</v>
      </c>
      <c r="S103" s="828">
        <v>1</v>
      </c>
      <c r="T103" s="827">
        <v>1</v>
      </c>
      <c r="U103" s="829">
        <v>1</v>
      </c>
    </row>
    <row r="104" spans="1:21" ht="14.45" customHeight="1" x14ac:dyDescent="0.2">
      <c r="A104" s="822">
        <v>50</v>
      </c>
      <c r="B104" s="823" t="s">
        <v>1887</v>
      </c>
      <c r="C104" s="823" t="s">
        <v>1893</v>
      </c>
      <c r="D104" s="824" t="s">
        <v>2977</v>
      </c>
      <c r="E104" s="825" t="s">
        <v>1901</v>
      </c>
      <c r="F104" s="823" t="s">
        <v>1888</v>
      </c>
      <c r="G104" s="823" t="s">
        <v>1933</v>
      </c>
      <c r="H104" s="823" t="s">
        <v>329</v>
      </c>
      <c r="I104" s="823" t="s">
        <v>1934</v>
      </c>
      <c r="J104" s="823" t="s">
        <v>1185</v>
      </c>
      <c r="K104" s="823" t="s">
        <v>1935</v>
      </c>
      <c r="L104" s="826">
        <v>10.65</v>
      </c>
      <c r="M104" s="826">
        <v>10.65</v>
      </c>
      <c r="N104" s="823">
        <v>1</v>
      </c>
      <c r="O104" s="827">
        <v>1</v>
      </c>
      <c r="P104" s="826"/>
      <c r="Q104" s="828">
        <v>0</v>
      </c>
      <c r="R104" s="823"/>
      <c r="S104" s="828">
        <v>0</v>
      </c>
      <c r="T104" s="827"/>
      <c r="U104" s="829">
        <v>0</v>
      </c>
    </row>
    <row r="105" spans="1:21" ht="14.45" customHeight="1" x14ac:dyDescent="0.2">
      <c r="A105" s="822">
        <v>50</v>
      </c>
      <c r="B105" s="823" t="s">
        <v>1887</v>
      </c>
      <c r="C105" s="823" t="s">
        <v>1893</v>
      </c>
      <c r="D105" s="824" t="s">
        <v>2977</v>
      </c>
      <c r="E105" s="825" t="s">
        <v>1901</v>
      </c>
      <c r="F105" s="823" t="s">
        <v>1888</v>
      </c>
      <c r="G105" s="823" t="s">
        <v>1933</v>
      </c>
      <c r="H105" s="823" t="s">
        <v>329</v>
      </c>
      <c r="I105" s="823" t="s">
        <v>2118</v>
      </c>
      <c r="J105" s="823" t="s">
        <v>1185</v>
      </c>
      <c r="K105" s="823" t="s">
        <v>2119</v>
      </c>
      <c r="L105" s="826">
        <v>117.03</v>
      </c>
      <c r="M105" s="826">
        <v>234.06</v>
      </c>
      <c r="N105" s="823">
        <v>2</v>
      </c>
      <c r="O105" s="827">
        <v>1</v>
      </c>
      <c r="P105" s="826">
        <v>234.06</v>
      </c>
      <c r="Q105" s="828">
        <v>1</v>
      </c>
      <c r="R105" s="823">
        <v>2</v>
      </c>
      <c r="S105" s="828">
        <v>1</v>
      </c>
      <c r="T105" s="827">
        <v>1</v>
      </c>
      <c r="U105" s="829">
        <v>1</v>
      </c>
    </row>
    <row r="106" spans="1:21" ht="14.45" customHeight="1" x14ac:dyDescent="0.2">
      <c r="A106" s="822">
        <v>50</v>
      </c>
      <c r="B106" s="823" t="s">
        <v>1887</v>
      </c>
      <c r="C106" s="823" t="s">
        <v>1893</v>
      </c>
      <c r="D106" s="824" t="s">
        <v>2977</v>
      </c>
      <c r="E106" s="825" t="s">
        <v>1901</v>
      </c>
      <c r="F106" s="823" t="s">
        <v>1888</v>
      </c>
      <c r="G106" s="823" t="s">
        <v>1933</v>
      </c>
      <c r="H106" s="823" t="s">
        <v>329</v>
      </c>
      <c r="I106" s="823" t="s">
        <v>1963</v>
      </c>
      <c r="J106" s="823" t="s">
        <v>1185</v>
      </c>
      <c r="K106" s="823" t="s">
        <v>1186</v>
      </c>
      <c r="L106" s="826">
        <v>58.52</v>
      </c>
      <c r="M106" s="826">
        <v>117.04</v>
      </c>
      <c r="N106" s="823">
        <v>2</v>
      </c>
      <c r="O106" s="827">
        <v>1.5</v>
      </c>
      <c r="P106" s="826">
        <v>58.52</v>
      </c>
      <c r="Q106" s="828">
        <v>0.5</v>
      </c>
      <c r="R106" s="823">
        <v>1</v>
      </c>
      <c r="S106" s="828">
        <v>0.5</v>
      </c>
      <c r="T106" s="827">
        <v>0.5</v>
      </c>
      <c r="U106" s="829">
        <v>0.33333333333333331</v>
      </c>
    </row>
    <row r="107" spans="1:21" ht="14.45" customHeight="1" x14ac:dyDescent="0.2">
      <c r="A107" s="822">
        <v>50</v>
      </c>
      <c r="B107" s="823" t="s">
        <v>1887</v>
      </c>
      <c r="C107" s="823" t="s">
        <v>1893</v>
      </c>
      <c r="D107" s="824" t="s">
        <v>2977</v>
      </c>
      <c r="E107" s="825" t="s">
        <v>1901</v>
      </c>
      <c r="F107" s="823" t="s">
        <v>1888</v>
      </c>
      <c r="G107" s="823" t="s">
        <v>1966</v>
      </c>
      <c r="H107" s="823" t="s">
        <v>625</v>
      </c>
      <c r="I107" s="823" t="s">
        <v>1552</v>
      </c>
      <c r="J107" s="823" t="s">
        <v>809</v>
      </c>
      <c r="K107" s="823" t="s">
        <v>1553</v>
      </c>
      <c r="L107" s="826">
        <v>1385.62</v>
      </c>
      <c r="M107" s="826">
        <v>1385.62</v>
      </c>
      <c r="N107" s="823">
        <v>1</v>
      </c>
      <c r="O107" s="827">
        <v>0.5</v>
      </c>
      <c r="P107" s="826">
        <v>1385.62</v>
      </c>
      <c r="Q107" s="828">
        <v>1</v>
      </c>
      <c r="R107" s="823">
        <v>1</v>
      </c>
      <c r="S107" s="828">
        <v>1</v>
      </c>
      <c r="T107" s="827">
        <v>0.5</v>
      </c>
      <c r="U107" s="829">
        <v>1</v>
      </c>
    </row>
    <row r="108" spans="1:21" ht="14.45" customHeight="1" x14ac:dyDescent="0.2">
      <c r="A108" s="822">
        <v>50</v>
      </c>
      <c r="B108" s="823" t="s">
        <v>1887</v>
      </c>
      <c r="C108" s="823" t="s">
        <v>1893</v>
      </c>
      <c r="D108" s="824" t="s">
        <v>2977</v>
      </c>
      <c r="E108" s="825" t="s">
        <v>1901</v>
      </c>
      <c r="F108" s="823" t="s">
        <v>1888</v>
      </c>
      <c r="G108" s="823" t="s">
        <v>1966</v>
      </c>
      <c r="H108" s="823" t="s">
        <v>625</v>
      </c>
      <c r="I108" s="823" t="s">
        <v>1564</v>
      </c>
      <c r="J108" s="823" t="s">
        <v>803</v>
      </c>
      <c r="K108" s="823" t="s">
        <v>1565</v>
      </c>
      <c r="L108" s="826">
        <v>490.89</v>
      </c>
      <c r="M108" s="826">
        <v>490.89</v>
      </c>
      <c r="N108" s="823">
        <v>1</v>
      </c>
      <c r="O108" s="827">
        <v>1</v>
      </c>
      <c r="P108" s="826">
        <v>490.89</v>
      </c>
      <c r="Q108" s="828">
        <v>1</v>
      </c>
      <c r="R108" s="823">
        <v>1</v>
      </c>
      <c r="S108" s="828">
        <v>1</v>
      </c>
      <c r="T108" s="827">
        <v>1</v>
      </c>
      <c r="U108" s="829">
        <v>1</v>
      </c>
    </row>
    <row r="109" spans="1:21" ht="14.45" customHeight="1" x14ac:dyDescent="0.2">
      <c r="A109" s="822">
        <v>50</v>
      </c>
      <c r="B109" s="823" t="s">
        <v>1887</v>
      </c>
      <c r="C109" s="823" t="s">
        <v>1893</v>
      </c>
      <c r="D109" s="824" t="s">
        <v>2977</v>
      </c>
      <c r="E109" s="825" t="s">
        <v>1901</v>
      </c>
      <c r="F109" s="823" t="s">
        <v>1888</v>
      </c>
      <c r="G109" s="823" t="s">
        <v>1966</v>
      </c>
      <c r="H109" s="823" t="s">
        <v>625</v>
      </c>
      <c r="I109" s="823" t="s">
        <v>1554</v>
      </c>
      <c r="J109" s="823" t="s">
        <v>809</v>
      </c>
      <c r="K109" s="823" t="s">
        <v>1555</v>
      </c>
      <c r="L109" s="826">
        <v>1847.49</v>
      </c>
      <c r="M109" s="826">
        <v>3694.98</v>
      </c>
      <c r="N109" s="823">
        <v>2</v>
      </c>
      <c r="O109" s="827">
        <v>2</v>
      </c>
      <c r="P109" s="826">
        <v>3694.98</v>
      </c>
      <c r="Q109" s="828">
        <v>1</v>
      </c>
      <c r="R109" s="823">
        <v>2</v>
      </c>
      <c r="S109" s="828">
        <v>1</v>
      </c>
      <c r="T109" s="827">
        <v>2</v>
      </c>
      <c r="U109" s="829">
        <v>1</v>
      </c>
    </row>
    <row r="110" spans="1:21" ht="14.45" customHeight="1" x14ac:dyDescent="0.2">
      <c r="A110" s="822">
        <v>50</v>
      </c>
      <c r="B110" s="823" t="s">
        <v>1887</v>
      </c>
      <c r="C110" s="823" t="s">
        <v>1893</v>
      </c>
      <c r="D110" s="824" t="s">
        <v>2977</v>
      </c>
      <c r="E110" s="825" t="s">
        <v>1901</v>
      </c>
      <c r="F110" s="823" t="s">
        <v>1888</v>
      </c>
      <c r="G110" s="823" t="s">
        <v>1966</v>
      </c>
      <c r="H110" s="823" t="s">
        <v>625</v>
      </c>
      <c r="I110" s="823" t="s">
        <v>1556</v>
      </c>
      <c r="J110" s="823" t="s">
        <v>803</v>
      </c>
      <c r="K110" s="823" t="s">
        <v>1557</v>
      </c>
      <c r="L110" s="826">
        <v>923.74</v>
      </c>
      <c r="M110" s="826">
        <v>923.74</v>
      </c>
      <c r="N110" s="823">
        <v>1</v>
      </c>
      <c r="O110" s="827">
        <v>1</v>
      </c>
      <c r="P110" s="826"/>
      <c r="Q110" s="828">
        <v>0</v>
      </c>
      <c r="R110" s="823"/>
      <c r="S110" s="828">
        <v>0</v>
      </c>
      <c r="T110" s="827"/>
      <c r="U110" s="829">
        <v>0</v>
      </c>
    </row>
    <row r="111" spans="1:21" ht="14.45" customHeight="1" x14ac:dyDescent="0.2">
      <c r="A111" s="822">
        <v>50</v>
      </c>
      <c r="B111" s="823" t="s">
        <v>1887</v>
      </c>
      <c r="C111" s="823" t="s">
        <v>1893</v>
      </c>
      <c r="D111" s="824" t="s">
        <v>2977</v>
      </c>
      <c r="E111" s="825" t="s">
        <v>1901</v>
      </c>
      <c r="F111" s="823" t="s">
        <v>1888</v>
      </c>
      <c r="G111" s="823" t="s">
        <v>2120</v>
      </c>
      <c r="H111" s="823" t="s">
        <v>329</v>
      </c>
      <c r="I111" s="823" t="s">
        <v>2121</v>
      </c>
      <c r="J111" s="823" t="s">
        <v>2122</v>
      </c>
      <c r="K111" s="823" t="s">
        <v>2123</v>
      </c>
      <c r="L111" s="826">
        <v>35.25</v>
      </c>
      <c r="M111" s="826">
        <v>105.75</v>
      </c>
      <c r="N111" s="823">
        <v>3</v>
      </c>
      <c r="O111" s="827">
        <v>1</v>
      </c>
      <c r="P111" s="826"/>
      <c r="Q111" s="828">
        <v>0</v>
      </c>
      <c r="R111" s="823"/>
      <c r="S111" s="828">
        <v>0</v>
      </c>
      <c r="T111" s="827"/>
      <c r="U111" s="829">
        <v>0</v>
      </c>
    </row>
    <row r="112" spans="1:21" ht="14.45" customHeight="1" x14ac:dyDescent="0.2">
      <c r="A112" s="822">
        <v>50</v>
      </c>
      <c r="B112" s="823" t="s">
        <v>1887</v>
      </c>
      <c r="C112" s="823" t="s">
        <v>1893</v>
      </c>
      <c r="D112" s="824" t="s">
        <v>2977</v>
      </c>
      <c r="E112" s="825" t="s">
        <v>1901</v>
      </c>
      <c r="F112" s="823" t="s">
        <v>1888</v>
      </c>
      <c r="G112" s="823" t="s">
        <v>2124</v>
      </c>
      <c r="H112" s="823" t="s">
        <v>625</v>
      </c>
      <c r="I112" s="823" t="s">
        <v>1620</v>
      </c>
      <c r="J112" s="823" t="s">
        <v>1621</v>
      </c>
      <c r="K112" s="823" t="s">
        <v>1622</v>
      </c>
      <c r="L112" s="826">
        <v>51.83</v>
      </c>
      <c r="M112" s="826">
        <v>51.83</v>
      </c>
      <c r="N112" s="823">
        <v>1</v>
      </c>
      <c r="O112" s="827">
        <v>1</v>
      </c>
      <c r="P112" s="826">
        <v>51.83</v>
      </c>
      <c r="Q112" s="828">
        <v>1</v>
      </c>
      <c r="R112" s="823">
        <v>1</v>
      </c>
      <c r="S112" s="828">
        <v>1</v>
      </c>
      <c r="T112" s="827">
        <v>1</v>
      </c>
      <c r="U112" s="829">
        <v>1</v>
      </c>
    </row>
    <row r="113" spans="1:21" ht="14.45" customHeight="1" x14ac:dyDescent="0.2">
      <c r="A113" s="822">
        <v>50</v>
      </c>
      <c r="B113" s="823" t="s">
        <v>1887</v>
      </c>
      <c r="C113" s="823" t="s">
        <v>1893</v>
      </c>
      <c r="D113" s="824" t="s">
        <v>2977</v>
      </c>
      <c r="E113" s="825" t="s">
        <v>1901</v>
      </c>
      <c r="F113" s="823" t="s">
        <v>1888</v>
      </c>
      <c r="G113" s="823" t="s">
        <v>2124</v>
      </c>
      <c r="H113" s="823" t="s">
        <v>625</v>
      </c>
      <c r="I113" s="823" t="s">
        <v>2125</v>
      </c>
      <c r="J113" s="823" t="s">
        <v>1621</v>
      </c>
      <c r="K113" s="823" t="s">
        <v>2126</v>
      </c>
      <c r="L113" s="826">
        <v>103.64</v>
      </c>
      <c r="M113" s="826">
        <v>103.64</v>
      </c>
      <c r="N113" s="823">
        <v>1</v>
      </c>
      <c r="O113" s="827">
        <v>0.5</v>
      </c>
      <c r="P113" s="826"/>
      <c r="Q113" s="828">
        <v>0</v>
      </c>
      <c r="R113" s="823"/>
      <c r="S113" s="828">
        <v>0</v>
      </c>
      <c r="T113" s="827"/>
      <c r="U113" s="829">
        <v>0</v>
      </c>
    </row>
    <row r="114" spans="1:21" ht="14.45" customHeight="1" x14ac:dyDescent="0.2">
      <c r="A114" s="822">
        <v>50</v>
      </c>
      <c r="B114" s="823" t="s">
        <v>1887</v>
      </c>
      <c r="C114" s="823" t="s">
        <v>1893</v>
      </c>
      <c r="D114" s="824" t="s">
        <v>2977</v>
      </c>
      <c r="E114" s="825" t="s">
        <v>1901</v>
      </c>
      <c r="F114" s="823" t="s">
        <v>1888</v>
      </c>
      <c r="G114" s="823" t="s">
        <v>1973</v>
      </c>
      <c r="H114" s="823" t="s">
        <v>329</v>
      </c>
      <c r="I114" s="823" t="s">
        <v>1974</v>
      </c>
      <c r="J114" s="823" t="s">
        <v>706</v>
      </c>
      <c r="K114" s="823" t="s">
        <v>1975</v>
      </c>
      <c r="L114" s="826">
        <v>57.64</v>
      </c>
      <c r="M114" s="826">
        <v>230.56</v>
      </c>
      <c r="N114" s="823">
        <v>4</v>
      </c>
      <c r="O114" s="827">
        <v>4</v>
      </c>
      <c r="P114" s="826">
        <v>172.92000000000002</v>
      </c>
      <c r="Q114" s="828">
        <v>0.75000000000000011</v>
      </c>
      <c r="R114" s="823">
        <v>3</v>
      </c>
      <c r="S114" s="828">
        <v>0.75</v>
      </c>
      <c r="T114" s="827">
        <v>3</v>
      </c>
      <c r="U114" s="829">
        <v>0.75</v>
      </c>
    </row>
    <row r="115" spans="1:21" ht="14.45" customHeight="1" x14ac:dyDescent="0.2">
      <c r="A115" s="822">
        <v>50</v>
      </c>
      <c r="B115" s="823" t="s">
        <v>1887</v>
      </c>
      <c r="C115" s="823" t="s">
        <v>1893</v>
      </c>
      <c r="D115" s="824" t="s">
        <v>2977</v>
      </c>
      <c r="E115" s="825" t="s">
        <v>1901</v>
      </c>
      <c r="F115" s="823" t="s">
        <v>1888</v>
      </c>
      <c r="G115" s="823" t="s">
        <v>1973</v>
      </c>
      <c r="H115" s="823" t="s">
        <v>329</v>
      </c>
      <c r="I115" s="823" t="s">
        <v>1974</v>
      </c>
      <c r="J115" s="823" t="s">
        <v>706</v>
      </c>
      <c r="K115" s="823" t="s">
        <v>1975</v>
      </c>
      <c r="L115" s="826">
        <v>27.37</v>
      </c>
      <c r="M115" s="826">
        <v>109.48</v>
      </c>
      <c r="N115" s="823">
        <v>4</v>
      </c>
      <c r="O115" s="827">
        <v>1.5</v>
      </c>
      <c r="P115" s="826">
        <v>82.11</v>
      </c>
      <c r="Q115" s="828">
        <v>0.75</v>
      </c>
      <c r="R115" s="823">
        <v>3</v>
      </c>
      <c r="S115" s="828">
        <v>0.75</v>
      </c>
      <c r="T115" s="827">
        <v>1</v>
      </c>
      <c r="U115" s="829">
        <v>0.66666666666666663</v>
      </c>
    </row>
    <row r="116" spans="1:21" ht="14.45" customHeight="1" x14ac:dyDescent="0.2">
      <c r="A116" s="822">
        <v>50</v>
      </c>
      <c r="B116" s="823" t="s">
        <v>1887</v>
      </c>
      <c r="C116" s="823" t="s">
        <v>1893</v>
      </c>
      <c r="D116" s="824" t="s">
        <v>2977</v>
      </c>
      <c r="E116" s="825" t="s">
        <v>1901</v>
      </c>
      <c r="F116" s="823" t="s">
        <v>1888</v>
      </c>
      <c r="G116" s="823" t="s">
        <v>1973</v>
      </c>
      <c r="H116" s="823" t="s">
        <v>329</v>
      </c>
      <c r="I116" s="823" t="s">
        <v>2127</v>
      </c>
      <c r="J116" s="823" t="s">
        <v>706</v>
      </c>
      <c r="K116" s="823" t="s">
        <v>707</v>
      </c>
      <c r="L116" s="826">
        <v>205.84</v>
      </c>
      <c r="M116" s="826">
        <v>205.84</v>
      </c>
      <c r="N116" s="823">
        <v>1</v>
      </c>
      <c r="O116" s="827">
        <v>1</v>
      </c>
      <c r="P116" s="826"/>
      <c r="Q116" s="828">
        <v>0</v>
      </c>
      <c r="R116" s="823"/>
      <c r="S116" s="828">
        <v>0</v>
      </c>
      <c r="T116" s="827"/>
      <c r="U116" s="829">
        <v>0</v>
      </c>
    </row>
    <row r="117" spans="1:21" ht="14.45" customHeight="1" x14ac:dyDescent="0.2">
      <c r="A117" s="822">
        <v>50</v>
      </c>
      <c r="B117" s="823" t="s">
        <v>1887</v>
      </c>
      <c r="C117" s="823" t="s">
        <v>1893</v>
      </c>
      <c r="D117" s="824" t="s">
        <v>2977</v>
      </c>
      <c r="E117" s="825" t="s">
        <v>1901</v>
      </c>
      <c r="F117" s="823" t="s">
        <v>1888</v>
      </c>
      <c r="G117" s="823" t="s">
        <v>2128</v>
      </c>
      <c r="H117" s="823" t="s">
        <v>329</v>
      </c>
      <c r="I117" s="823" t="s">
        <v>2129</v>
      </c>
      <c r="J117" s="823" t="s">
        <v>2130</v>
      </c>
      <c r="K117" s="823" t="s">
        <v>2131</v>
      </c>
      <c r="L117" s="826">
        <v>173.31</v>
      </c>
      <c r="M117" s="826">
        <v>346.62</v>
      </c>
      <c r="N117" s="823">
        <v>2</v>
      </c>
      <c r="O117" s="827">
        <v>1</v>
      </c>
      <c r="P117" s="826"/>
      <c r="Q117" s="828">
        <v>0</v>
      </c>
      <c r="R117" s="823"/>
      <c r="S117" s="828">
        <v>0</v>
      </c>
      <c r="T117" s="827"/>
      <c r="U117" s="829">
        <v>0</v>
      </c>
    </row>
    <row r="118" spans="1:21" ht="14.45" customHeight="1" x14ac:dyDescent="0.2">
      <c r="A118" s="822">
        <v>50</v>
      </c>
      <c r="B118" s="823" t="s">
        <v>1887</v>
      </c>
      <c r="C118" s="823" t="s">
        <v>1893</v>
      </c>
      <c r="D118" s="824" t="s">
        <v>2977</v>
      </c>
      <c r="E118" s="825" t="s">
        <v>1901</v>
      </c>
      <c r="F118" s="823" t="s">
        <v>1888</v>
      </c>
      <c r="G118" s="823" t="s">
        <v>1921</v>
      </c>
      <c r="H118" s="823" t="s">
        <v>625</v>
      </c>
      <c r="I118" s="823" t="s">
        <v>1922</v>
      </c>
      <c r="J118" s="823" t="s">
        <v>967</v>
      </c>
      <c r="K118" s="823" t="s">
        <v>1923</v>
      </c>
      <c r="L118" s="826">
        <v>34.47</v>
      </c>
      <c r="M118" s="826">
        <v>68.94</v>
      </c>
      <c r="N118" s="823">
        <v>2</v>
      </c>
      <c r="O118" s="827">
        <v>1.5</v>
      </c>
      <c r="P118" s="826">
        <v>68.94</v>
      </c>
      <c r="Q118" s="828">
        <v>1</v>
      </c>
      <c r="R118" s="823">
        <v>2</v>
      </c>
      <c r="S118" s="828">
        <v>1</v>
      </c>
      <c r="T118" s="827">
        <v>1.5</v>
      </c>
      <c r="U118" s="829">
        <v>1</v>
      </c>
    </row>
    <row r="119" spans="1:21" ht="14.45" customHeight="1" x14ac:dyDescent="0.2">
      <c r="A119" s="822">
        <v>50</v>
      </c>
      <c r="B119" s="823" t="s">
        <v>1887</v>
      </c>
      <c r="C119" s="823" t="s">
        <v>1893</v>
      </c>
      <c r="D119" s="824" t="s">
        <v>2977</v>
      </c>
      <c r="E119" s="825" t="s">
        <v>1901</v>
      </c>
      <c r="F119" s="823" t="s">
        <v>1888</v>
      </c>
      <c r="G119" s="823" t="s">
        <v>1921</v>
      </c>
      <c r="H119" s="823" t="s">
        <v>625</v>
      </c>
      <c r="I119" s="823" t="s">
        <v>1624</v>
      </c>
      <c r="J119" s="823" t="s">
        <v>967</v>
      </c>
      <c r="K119" s="823" t="s">
        <v>1625</v>
      </c>
      <c r="L119" s="826">
        <v>103.4</v>
      </c>
      <c r="M119" s="826">
        <v>103.4</v>
      </c>
      <c r="N119" s="823">
        <v>1</v>
      </c>
      <c r="O119" s="827">
        <v>1</v>
      </c>
      <c r="P119" s="826"/>
      <c r="Q119" s="828">
        <v>0</v>
      </c>
      <c r="R119" s="823"/>
      <c r="S119" s="828">
        <v>0</v>
      </c>
      <c r="T119" s="827"/>
      <c r="U119" s="829">
        <v>0</v>
      </c>
    </row>
    <row r="120" spans="1:21" ht="14.45" customHeight="1" x14ac:dyDescent="0.2">
      <c r="A120" s="822">
        <v>50</v>
      </c>
      <c r="B120" s="823" t="s">
        <v>1887</v>
      </c>
      <c r="C120" s="823" t="s">
        <v>1893</v>
      </c>
      <c r="D120" s="824" t="s">
        <v>2977</v>
      </c>
      <c r="E120" s="825" t="s">
        <v>1901</v>
      </c>
      <c r="F120" s="823" t="s">
        <v>1888</v>
      </c>
      <c r="G120" s="823" t="s">
        <v>1921</v>
      </c>
      <c r="H120" s="823" t="s">
        <v>625</v>
      </c>
      <c r="I120" s="823" t="s">
        <v>2132</v>
      </c>
      <c r="J120" s="823" t="s">
        <v>2133</v>
      </c>
      <c r="K120" s="823" t="s">
        <v>2134</v>
      </c>
      <c r="L120" s="826">
        <v>206.78</v>
      </c>
      <c r="M120" s="826">
        <v>413.56</v>
      </c>
      <c r="N120" s="823">
        <v>2</v>
      </c>
      <c r="O120" s="827">
        <v>2</v>
      </c>
      <c r="P120" s="826"/>
      <c r="Q120" s="828">
        <v>0</v>
      </c>
      <c r="R120" s="823"/>
      <c r="S120" s="828">
        <v>0</v>
      </c>
      <c r="T120" s="827"/>
      <c r="U120" s="829">
        <v>0</v>
      </c>
    </row>
    <row r="121" spans="1:21" ht="14.45" customHeight="1" x14ac:dyDescent="0.2">
      <c r="A121" s="822">
        <v>50</v>
      </c>
      <c r="B121" s="823" t="s">
        <v>1887</v>
      </c>
      <c r="C121" s="823" t="s">
        <v>1893</v>
      </c>
      <c r="D121" s="824" t="s">
        <v>2977</v>
      </c>
      <c r="E121" s="825" t="s">
        <v>1901</v>
      </c>
      <c r="F121" s="823" t="s">
        <v>1888</v>
      </c>
      <c r="G121" s="823" t="s">
        <v>1921</v>
      </c>
      <c r="H121" s="823" t="s">
        <v>329</v>
      </c>
      <c r="I121" s="823" t="s">
        <v>2135</v>
      </c>
      <c r="J121" s="823" t="s">
        <v>2136</v>
      </c>
      <c r="K121" s="823" t="s">
        <v>2137</v>
      </c>
      <c r="L121" s="826">
        <v>34.47</v>
      </c>
      <c r="M121" s="826">
        <v>34.47</v>
      </c>
      <c r="N121" s="823">
        <v>1</v>
      </c>
      <c r="O121" s="827">
        <v>1</v>
      </c>
      <c r="P121" s="826"/>
      <c r="Q121" s="828">
        <v>0</v>
      </c>
      <c r="R121" s="823"/>
      <c r="S121" s="828">
        <v>0</v>
      </c>
      <c r="T121" s="827"/>
      <c r="U121" s="829">
        <v>0</v>
      </c>
    </row>
    <row r="122" spans="1:21" ht="14.45" customHeight="1" x14ac:dyDescent="0.2">
      <c r="A122" s="822">
        <v>50</v>
      </c>
      <c r="B122" s="823" t="s">
        <v>1887</v>
      </c>
      <c r="C122" s="823" t="s">
        <v>1893</v>
      </c>
      <c r="D122" s="824" t="s">
        <v>2977</v>
      </c>
      <c r="E122" s="825" t="s">
        <v>1901</v>
      </c>
      <c r="F122" s="823" t="s">
        <v>1888</v>
      </c>
      <c r="G122" s="823" t="s">
        <v>2138</v>
      </c>
      <c r="H122" s="823" t="s">
        <v>329</v>
      </c>
      <c r="I122" s="823" t="s">
        <v>2139</v>
      </c>
      <c r="J122" s="823" t="s">
        <v>2140</v>
      </c>
      <c r="K122" s="823" t="s">
        <v>2141</v>
      </c>
      <c r="L122" s="826">
        <v>218.62</v>
      </c>
      <c r="M122" s="826">
        <v>437.24</v>
      </c>
      <c r="N122" s="823">
        <v>2</v>
      </c>
      <c r="O122" s="827">
        <v>2</v>
      </c>
      <c r="P122" s="826">
        <v>437.24</v>
      </c>
      <c r="Q122" s="828">
        <v>1</v>
      </c>
      <c r="R122" s="823">
        <v>2</v>
      </c>
      <c r="S122" s="828">
        <v>1</v>
      </c>
      <c r="T122" s="827">
        <v>2</v>
      </c>
      <c r="U122" s="829">
        <v>1</v>
      </c>
    </row>
    <row r="123" spans="1:21" ht="14.45" customHeight="1" x14ac:dyDescent="0.2">
      <c r="A123" s="822">
        <v>50</v>
      </c>
      <c r="B123" s="823" t="s">
        <v>1887</v>
      </c>
      <c r="C123" s="823" t="s">
        <v>1893</v>
      </c>
      <c r="D123" s="824" t="s">
        <v>2977</v>
      </c>
      <c r="E123" s="825" t="s">
        <v>1901</v>
      </c>
      <c r="F123" s="823" t="s">
        <v>1888</v>
      </c>
      <c r="G123" s="823" t="s">
        <v>2142</v>
      </c>
      <c r="H123" s="823" t="s">
        <v>329</v>
      </c>
      <c r="I123" s="823" t="s">
        <v>2143</v>
      </c>
      <c r="J123" s="823" t="s">
        <v>2144</v>
      </c>
      <c r="K123" s="823" t="s">
        <v>2145</v>
      </c>
      <c r="L123" s="826">
        <v>87.67</v>
      </c>
      <c r="M123" s="826">
        <v>175.34</v>
      </c>
      <c r="N123" s="823">
        <v>2</v>
      </c>
      <c r="O123" s="827">
        <v>1</v>
      </c>
      <c r="P123" s="826"/>
      <c r="Q123" s="828">
        <v>0</v>
      </c>
      <c r="R123" s="823"/>
      <c r="S123" s="828">
        <v>0</v>
      </c>
      <c r="T123" s="827"/>
      <c r="U123" s="829">
        <v>0</v>
      </c>
    </row>
    <row r="124" spans="1:21" ht="14.45" customHeight="1" x14ac:dyDescent="0.2">
      <c r="A124" s="822">
        <v>50</v>
      </c>
      <c r="B124" s="823" t="s">
        <v>1887</v>
      </c>
      <c r="C124" s="823" t="s">
        <v>1893</v>
      </c>
      <c r="D124" s="824" t="s">
        <v>2977</v>
      </c>
      <c r="E124" s="825" t="s">
        <v>1901</v>
      </c>
      <c r="F124" s="823" t="s">
        <v>1888</v>
      </c>
      <c r="G124" s="823" t="s">
        <v>2146</v>
      </c>
      <c r="H124" s="823" t="s">
        <v>625</v>
      </c>
      <c r="I124" s="823" t="s">
        <v>2147</v>
      </c>
      <c r="J124" s="823" t="s">
        <v>1628</v>
      </c>
      <c r="K124" s="823" t="s">
        <v>1622</v>
      </c>
      <c r="L124" s="826">
        <v>229.76</v>
      </c>
      <c r="M124" s="826">
        <v>689.28</v>
      </c>
      <c r="N124" s="823">
        <v>3</v>
      </c>
      <c r="O124" s="827">
        <v>2</v>
      </c>
      <c r="P124" s="826">
        <v>459.52</v>
      </c>
      <c r="Q124" s="828">
        <v>0.66666666666666663</v>
      </c>
      <c r="R124" s="823">
        <v>2</v>
      </c>
      <c r="S124" s="828">
        <v>0.66666666666666663</v>
      </c>
      <c r="T124" s="827">
        <v>1.5</v>
      </c>
      <c r="U124" s="829">
        <v>0.75</v>
      </c>
    </row>
    <row r="125" spans="1:21" ht="14.45" customHeight="1" x14ac:dyDescent="0.2">
      <c r="A125" s="822">
        <v>50</v>
      </c>
      <c r="B125" s="823" t="s">
        <v>1887</v>
      </c>
      <c r="C125" s="823" t="s">
        <v>1893</v>
      </c>
      <c r="D125" s="824" t="s">
        <v>2977</v>
      </c>
      <c r="E125" s="825" t="s">
        <v>1901</v>
      </c>
      <c r="F125" s="823" t="s">
        <v>1888</v>
      </c>
      <c r="G125" s="823" t="s">
        <v>1978</v>
      </c>
      <c r="H125" s="823" t="s">
        <v>329</v>
      </c>
      <c r="I125" s="823" t="s">
        <v>2148</v>
      </c>
      <c r="J125" s="823" t="s">
        <v>1980</v>
      </c>
      <c r="K125" s="823" t="s">
        <v>2149</v>
      </c>
      <c r="L125" s="826">
        <v>5788.01</v>
      </c>
      <c r="M125" s="826">
        <v>40516.070000000007</v>
      </c>
      <c r="N125" s="823">
        <v>7</v>
      </c>
      <c r="O125" s="827">
        <v>5.5</v>
      </c>
      <c r="P125" s="826">
        <v>28940.050000000003</v>
      </c>
      <c r="Q125" s="828">
        <v>0.71428571428571419</v>
      </c>
      <c r="R125" s="823">
        <v>5</v>
      </c>
      <c r="S125" s="828">
        <v>0.7142857142857143</v>
      </c>
      <c r="T125" s="827">
        <v>3.5</v>
      </c>
      <c r="U125" s="829">
        <v>0.63636363636363635</v>
      </c>
    </row>
    <row r="126" spans="1:21" ht="14.45" customHeight="1" x14ac:dyDescent="0.2">
      <c r="A126" s="822">
        <v>50</v>
      </c>
      <c r="B126" s="823" t="s">
        <v>1887</v>
      </c>
      <c r="C126" s="823" t="s">
        <v>1893</v>
      </c>
      <c r="D126" s="824" t="s">
        <v>2977</v>
      </c>
      <c r="E126" s="825" t="s">
        <v>1901</v>
      </c>
      <c r="F126" s="823" t="s">
        <v>1888</v>
      </c>
      <c r="G126" s="823" t="s">
        <v>1985</v>
      </c>
      <c r="H126" s="823" t="s">
        <v>329</v>
      </c>
      <c r="I126" s="823" t="s">
        <v>1986</v>
      </c>
      <c r="J126" s="823" t="s">
        <v>998</v>
      </c>
      <c r="K126" s="823" t="s">
        <v>1987</v>
      </c>
      <c r="L126" s="826">
        <v>128.69999999999999</v>
      </c>
      <c r="M126" s="826">
        <v>257.39999999999998</v>
      </c>
      <c r="N126" s="823">
        <v>2</v>
      </c>
      <c r="O126" s="827">
        <v>2</v>
      </c>
      <c r="P126" s="826">
        <v>128.69999999999999</v>
      </c>
      <c r="Q126" s="828">
        <v>0.5</v>
      </c>
      <c r="R126" s="823">
        <v>1</v>
      </c>
      <c r="S126" s="828">
        <v>0.5</v>
      </c>
      <c r="T126" s="827">
        <v>1</v>
      </c>
      <c r="U126" s="829">
        <v>0.5</v>
      </c>
    </row>
    <row r="127" spans="1:21" ht="14.45" customHeight="1" x14ac:dyDescent="0.2">
      <c r="A127" s="822">
        <v>50</v>
      </c>
      <c r="B127" s="823" t="s">
        <v>1887</v>
      </c>
      <c r="C127" s="823" t="s">
        <v>1893</v>
      </c>
      <c r="D127" s="824" t="s">
        <v>2977</v>
      </c>
      <c r="E127" s="825" t="s">
        <v>1901</v>
      </c>
      <c r="F127" s="823" t="s">
        <v>1888</v>
      </c>
      <c r="G127" s="823" t="s">
        <v>2150</v>
      </c>
      <c r="H127" s="823" t="s">
        <v>329</v>
      </c>
      <c r="I127" s="823" t="s">
        <v>2151</v>
      </c>
      <c r="J127" s="823" t="s">
        <v>2152</v>
      </c>
      <c r="K127" s="823" t="s">
        <v>2153</v>
      </c>
      <c r="L127" s="826">
        <v>77.66</v>
      </c>
      <c r="M127" s="826">
        <v>77.66</v>
      </c>
      <c r="N127" s="823">
        <v>1</v>
      </c>
      <c r="O127" s="827">
        <v>1</v>
      </c>
      <c r="P127" s="826"/>
      <c r="Q127" s="828">
        <v>0</v>
      </c>
      <c r="R127" s="823"/>
      <c r="S127" s="828">
        <v>0</v>
      </c>
      <c r="T127" s="827"/>
      <c r="U127" s="829">
        <v>0</v>
      </c>
    </row>
    <row r="128" spans="1:21" ht="14.45" customHeight="1" x14ac:dyDescent="0.2">
      <c r="A128" s="822">
        <v>50</v>
      </c>
      <c r="B128" s="823" t="s">
        <v>1887</v>
      </c>
      <c r="C128" s="823" t="s">
        <v>1893</v>
      </c>
      <c r="D128" s="824" t="s">
        <v>2977</v>
      </c>
      <c r="E128" s="825" t="s">
        <v>1901</v>
      </c>
      <c r="F128" s="823" t="s">
        <v>1888</v>
      </c>
      <c r="G128" s="823" t="s">
        <v>2154</v>
      </c>
      <c r="H128" s="823" t="s">
        <v>329</v>
      </c>
      <c r="I128" s="823" t="s">
        <v>2155</v>
      </c>
      <c r="J128" s="823" t="s">
        <v>2156</v>
      </c>
      <c r="K128" s="823" t="s">
        <v>1015</v>
      </c>
      <c r="L128" s="826">
        <v>120.14</v>
      </c>
      <c r="M128" s="826">
        <v>120.14</v>
      </c>
      <c r="N128" s="823">
        <v>1</v>
      </c>
      <c r="O128" s="827">
        <v>0.5</v>
      </c>
      <c r="P128" s="826"/>
      <c r="Q128" s="828">
        <v>0</v>
      </c>
      <c r="R128" s="823"/>
      <c r="S128" s="828">
        <v>0</v>
      </c>
      <c r="T128" s="827"/>
      <c r="U128" s="829">
        <v>0</v>
      </c>
    </row>
    <row r="129" spans="1:21" ht="14.45" customHeight="1" x14ac:dyDescent="0.2">
      <c r="A129" s="822">
        <v>50</v>
      </c>
      <c r="B129" s="823" t="s">
        <v>1887</v>
      </c>
      <c r="C129" s="823" t="s">
        <v>1893</v>
      </c>
      <c r="D129" s="824" t="s">
        <v>2977</v>
      </c>
      <c r="E129" s="825" t="s">
        <v>1901</v>
      </c>
      <c r="F129" s="823" t="s">
        <v>1888</v>
      </c>
      <c r="G129" s="823" t="s">
        <v>1988</v>
      </c>
      <c r="H129" s="823" t="s">
        <v>329</v>
      </c>
      <c r="I129" s="823" t="s">
        <v>2157</v>
      </c>
      <c r="J129" s="823" t="s">
        <v>1047</v>
      </c>
      <c r="K129" s="823" t="s">
        <v>2158</v>
      </c>
      <c r="L129" s="826">
        <v>210.38</v>
      </c>
      <c r="M129" s="826">
        <v>210.38</v>
      </c>
      <c r="N129" s="823">
        <v>1</v>
      </c>
      <c r="O129" s="827">
        <v>1</v>
      </c>
      <c r="P129" s="826">
        <v>210.38</v>
      </c>
      <c r="Q129" s="828">
        <v>1</v>
      </c>
      <c r="R129" s="823">
        <v>1</v>
      </c>
      <c r="S129" s="828">
        <v>1</v>
      </c>
      <c r="T129" s="827">
        <v>1</v>
      </c>
      <c r="U129" s="829">
        <v>1</v>
      </c>
    </row>
    <row r="130" spans="1:21" ht="14.45" customHeight="1" x14ac:dyDescent="0.2">
      <c r="A130" s="822">
        <v>50</v>
      </c>
      <c r="B130" s="823" t="s">
        <v>1887</v>
      </c>
      <c r="C130" s="823" t="s">
        <v>1893</v>
      </c>
      <c r="D130" s="824" t="s">
        <v>2977</v>
      </c>
      <c r="E130" s="825" t="s">
        <v>1901</v>
      </c>
      <c r="F130" s="823" t="s">
        <v>1888</v>
      </c>
      <c r="G130" s="823" t="s">
        <v>1988</v>
      </c>
      <c r="H130" s="823" t="s">
        <v>329</v>
      </c>
      <c r="I130" s="823" t="s">
        <v>1989</v>
      </c>
      <c r="J130" s="823" t="s">
        <v>1047</v>
      </c>
      <c r="K130" s="823" t="s">
        <v>1990</v>
      </c>
      <c r="L130" s="826">
        <v>42.08</v>
      </c>
      <c r="M130" s="826">
        <v>42.08</v>
      </c>
      <c r="N130" s="823">
        <v>1</v>
      </c>
      <c r="O130" s="827">
        <v>0.5</v>
      </c>
      <c r="P130" s="826"/>
      <c r="Q130" s="828">
        <v>0</v>
      </c>
      <c r="R130" s="823"/>
      <c r="S130" s="828">
        <v>0</v>
      </c>
      <c r="T130" s="827"/>
      <c r="U130" s="829">
        <v>0</v>
      </c>
    </row>
    <row r="131" spans="1:21" ht="14.45" customHeight="1" x14ac:dyDescent="0.2">
      <c r="A131" s="822">
        <v>50</v>
      </c>
      <c r="B131" s="823" t="s">
        <v>1887</v>
      </c>
      <c r="C131" s="823" t="s">
        <v>1893</v>
      </c>
      <c r="D131" s="824" t="s">
        <v>2977</v>
      </c>
      <c r="E131" s="825" t="s">
        <v>1901</v>
      </c>
      <c r="F131" s="823" t="s">
        <v>1888</v>
      </c>
      <c r="G131" s="823" t="s">
        <v>2159</v>
      </c>
      <c r="H131" s="823" t="s">
        <v>329</v>
      </c>
      <c r="I131" s="823" t="s">
        <v>2160</v>
      </c>
      <c r="J131" s="823" t="s">
        <v>1143</v>
      </c>
      <c r="K131" s="823" t="s">
        <v>2161</v>
      </c>
      <c r="L131" s="826">
        <v>42.54</v>
      </c>
      <c r="M131" s="826">
        <v>85.08</v>
      </c>
      <c r="N131" s="823">
        <v>2</v>
      </c>
      <c r="O131" s="827">
        <v>1</v>
      </c>
      <c r="P131" s="826"/>
      <c r="Q131" s="828">
        <v>0</v>
      </c>
      <c r="R131" s="823"/>
      <c r="S131" s="828">
        <v>0</v>
      </c>
      <c r="T131" s="827"/>
      <c r="U131" s="829">
        <v>0</v>
      </c>
    </row>
    <row r="132" spans="1:21" ht="14.45" customHeight="1" x14ac:dyDescent="0.2">
      <c r="A132" s="822">
        <v>50</v>
      </c>
      <c r="B132" s="823" t="s">
        <v>1887</v>
      </c>
      <c r="C132" s="823" t="s">
        <v>1893</v>
      </c>
      <c r="D132" s="824" t="s">
        <v>2977</v>
      </c>
      <c r="E132" s="825" t="s">
        <v>1901</v>
      </c>
      <c r="F132" s="823" t="s">
        <v>1888</v>
      </c>
      <c r="G132" s="823" t="s">
        <v>1994</v>
      </c>
      <c r="H132" s="823" t="s">
        <v>329</v>
      </c>
      <c r="I132" s="823" t="s">
        <v>2162</v>
      </c>
      <c r="J132" s="823" t="s">
        <v>2163</v>
      </c>
      <c r="K132" s="823" t="s">
        <v>2164</v>
      </c>
      <c r="L132" s="826">
        <v>237.31</v>
      </c>
      <c r="M132" s="826">
        <v>237.31</v>
      </c>
      <c r="N132" s="823">
        <v>1</v>
      </c>
      <c r="O132" s="827">
        <v>1</v>
      </c>
      <c r="P132" s="826"/>
      <c r="Q132" s="828">
        <v>0</v>
      </c>
      <c r="R132" s="823"/>
      <c r="S132" s="828">
        <v>0</v>
      </c>
      <c r="T132" s="827"/>
      <c r="U132" s="829">
        <v>0</v>
      </c>
    </row>
    <row r="133" spans="1:21" ht="14.45" customHeight="1" x14ac:dyDescent="0.2">
      <c r="A133" s="822">
        <v>50</v>
      </c>
      <c r="B133" s="823" t="s">
        <v>1887</v>
      </c>
      <c r="C133" s="823" t="s">
        <v>1893</v>
      </c>
      <c r="D133" s="824" t="s">
        <v>2977</v>
      </c>
      <c r="E133" s="825" t="s">
        <v>1901</v>
      </c>
      <c r="F133" s="823" t="s">
        <v>1888</v>
      </c>
      <c r="G133" s="823" t="s">
        <v>1994</v>
      </c>
      <c r="H133" s="823" t="s">
        <v>329</v>
      </c>
      <c r="I133" s="823" t="s">
        <v>1995</v>
      </c>
      <c r="J133" s="823" t="s">
        <v>1014</v>
      </c>
      <c r="K133" s="823" t="s">
        <v>1996</v>
      </c>
      <c r="L133" s="826">
        <v>79.11</v>
      </c>
      <c r="M133" s="826">
        <v>79.11</v>
      </c>
      <c r="N133" s="823">
        <v>1</v>
      </c>
      <c r="O133" s="827">
        <v>1</v>
      </c>
      <c r="P133" s="826"/>
      <c r="Q133" s="828">
        <v>0</v>
      </c>
      <c r="R133" s="823"/>
      <c r="S133" s="828">
        <v>0</v>
      </c>
      <c r="T133" s="827"/>
      <c r="U133" s="829">
        <v>0</v>
      </c>
    </row>
    <row r="134" spans="1:21" ht="14.45" customHeight="1" x14ac:dyDescent="0.2">
      <c r="A134" s="822">
        <v>50</v>
      </c>
      <c r="B134" s="823" t="s">
        <v>1887</v>
      </c>
      <c r="C134" s="823" t="s">
        <v>1893</v>
      </c>
      <c r="D134" s="824" t="s">
        <v>2977</v>
      </c>
      <c r="E134" s="825" t="s">
        <v>1901</v>
      </c>
      <c r="F134" s="823" t="s">
        <v>1888</v>
      </c>
      <c r="G134" s="823" t="s">
        <v>1994</v>
      </c>
      <c r="H134" s="823" t="s">
        <v>329</v>
      </c>
      <c r="I134" s="823" t="s">
        <v>2165</v>
      </c>
      <c r="J134" s="823" t="s">
        <v>1014</v>
      </c>
      <c r="K134" s="823" t="s">
        <v>1015</v>
      </c>
      <c r="L134" s="826">
        <v>263.68</v>
      </c>
      <c r="M134" s="826">
        <v>791.04</v>
      </c>
      <c r="N134" s="823">
        <v>3</v>
      </c>
      <c r="O134" s="827">
        <v>2.5</v>
      </c>
      <c r="P134" s="826">
        <v>527.36</v>
      </c>
      <c r="Q134" s="828">
        <v>0.66666666666666674</v>
      </c>
      <c r="R134" s="823">
        <v>2</v>
      </c>
      <c r="S134" s="828">
        <v>0.66666666666666663</v>
      </c>
      <c r="T134" s="827">
        <v>1.5</v>
      </c>
      <c r="U134" s="829">
        <v>0.6</v>
      </c>
    </row>
    <row r="135" spans="1:21" ht="14.45" customHeight="1" x14ac:dyDescent="0.2">
      <c r="A135" s="822">
        <v>50</v>
      </c>
      <c r="B135" s="823" t="s">
        <v>1887</v>
      </c>
      <c r="C135" s="823" t="s">
        <v>1893</v>
      </c>
      <c r="D135" s="824" t="s">
        <v>2977</v>
      </c>
      <c r="E135" s="825" t="s">
        <v>1901</v>
      </c>
      <c r="F135" s="823" t="s">
        <v>1888</v>
      </c>
      <c r="G135" s="823" t="s">
        <v>1994</v>
      </c>
      <c r="H135" s="823" t="s">
        <v>329</v>
      </c>
      <c r="I135" s="823" t="s">
        <v>2166</v>
      </c>
      <c r="J135" s="823" t="s">
        <v>2163</v>
      </c>
      <c r="K135" s="823" t="s">
        <v>2167</v>
      </c>
      <c r="L135" s="826">
        <v>36.909999999999997</v>
      </c>
      <c r="M135" s="826">
        <v>73.819999999999993</v>
      </c>
      <c r="N135" s="823">
        <v>2</v>
      </c>
      <c r="O135" s="827">
        <v>1.5</v>
      </c>
      <c r="P135" s="826">
        <v>36.909999999999997</v>
      </c>
      <c r="Q135" s="828">
        <v>0.5</v>
      </c>
      <c r="R135" s="823">
        <v>1</v>
      </c>
      <c r="S135" s="828">
        <v>0.5</v>
      </c>
      <c r="T135" s="827">
        <v>1</v>
      </c>
      <c r="U135" s="829">
        <v>0.66666666666666663</v>
      </c>
    </row>
    <row r="136" spans="1:21" ht="14.45" customHeight="1" x14ac:dyDescent="0.2">
      <c r="A136" s="822">
        <v>50</v>
      </c>
      <c r="B136" s="823" t="s">
        <v>1887</v>
      </c>
      <c r="C136" s="823" t="s">
        <v>1893</v>
      </c>
      <c r="D136" s="824" t="s">
        <v>2977</v>
      </c>
      <c r="E136" s="825" t="s">
        <v>1901</v>
      </c>
      <c r="F136" s="823" t="s">
        <v>1888</v>
      </c>
      <c r="G136" s="823" t="s">
        <v>1994</v>
      </c>
      <c r="H136" s="823" t="s">
        <v>329</v>
      </c>
      <c r="I136" s="823" t="s">
        <v>2168</v>
      </c>
      <c r="J136" s="823" t="s">
        <v>2163</v>
      </c>
      <c r="K136" s="823" t="s">
        <v>2169</v>
      </c>
      <c r="L136" s="826">
        <v>118.65</v>
      </c>
      <c r="M136" s="826">
        <v>355.95000000000005</v>
      </c>
      <c r="N136" s="823">
        <v>3</v>
      </c>
      <c r="O136" s="827">
        <v>2.5</v>
      </c>
      <c r="P136" s="826">
        <v>118.65</v>
      </c>
      <c r="Q136" s="828">
        <v>0.33333333333333331</v>
      </c>
      <c r="R136" s="823">
        <v>1</v>
      </c>
      <c r="S136" s="828">
        <v>0.33333333333333331</v>
      </c>
      <c r="T136" s="827">
        <v>0.5</v>
      </c>
      <c r="U136" s="829">
        <v>0.2</v>
      </c>
    </row>
    <row r="137" spans="1:21" ht="14.45" customHeight="1" x14ac:dyDescent="0.2">
      <c r="A137" s="822">
        <v>50</v>
      </c>
      <c r="B137" s="823" t="s">
        <v>1887</v>
      </c>
      <c r="C137" s="823" t="s">
        <v>1893</v>
      </c>
      <c r="D137" s="824" t="s">
        <v>2977</v>
      </c>
      <c r="E137" s="825" t="s">
        <v>1901</v>
      </c>
      <c r="F137" s="823" t="s">
        <v>1888</v>
      </c>
      <c r="G137" s="823" t="s">
        <v>2170</v>
      </c>
      <c r="H137" s="823" t="s">
        <v>625</v>
      </c>
      <c r="I137" s="823" t="s">
        <v>2171</v>
      </c>
      <c r="J137" s="823" t="s">
        <v>2172</v>
      </c>
      <c r="K137" s="823" t="s">
        <v>2173</v>
      </c>
      <c r="L137" s="826">
        <v>131.86000000000001</v>
      </c>
      <c r="M137" s="826">
        <v>527.44000000000005</v>
      </c>
      <c r="N137" s="823">
        <v>4</v>
      </c>
      <c r="O137" s="827">
        <v>0.5</v>
      </c>
      <c r="P137" s="826"/>
      <c r="Q137" s="828">
        <v>0</v>
      </c>
      <c r="R137" s="823"/>
      <c r="S137" s="828">
        <v>0</v>
      </c>
      <c r="T137" s="827"/>
      <c r="U137" s="829">
        <v>0</v>
      </c>
    </row>
    <row r="138" spans="1:21" ht="14.45" customHeight="1" x14ac:dyDescent="0.2">
      <c r="A138" s="822">
        <v>50</v>
      </c>
      <c r="B138" s="823" t="s">
        <v>1887</v>
      </c>
      <c r="C138" s="823" t="s">
        <v>1893</v>
      </c>
      <c r="D138" s="824" t="s">
        <v>2977</v>
      </c>
      <c r="E138" s="825" t="s">
        <v>1901</v>
      </c>
      <c r="F138" s="823" t="s">
        <v>1888</v>
      </c>
      <c r="G138" s="823" t="s">
        <v>2174</v>
      </c>
      <c r="H138" s="823" t="s">
        <v>625</v>
      </c>
      <c r="I138" s="823" t="s">
        <v>2175</v>
      </c>
      <c r="J138" s="823" t="s">
        <v>2176</v>
      </c>
      <c r="K138" s="823" t="s">
        <v>2177</v>
      </c>
      <c r="L138" s="826">
        <v>345.69</v>
      </c>
      <c r="M138" s="826">
        <v>345.69</v>
      </c>
      <c r="N138" s="823">
        <v>1</v>
      </c>
      <c r="O138" s="827">
        <v>1</v>
      </c>
      <c r="P138" s="826"/>
      <c r="Q138" s="828">
        <v>0</v>
      </c>
      <c r="R138" s="823"/>
      <c r="S138" s="828">
        <v>0</v>
      </c>
      <c r="T138" s="827"/>
      <c r="U138" s="829">
        <v>0</v>
      </c>
    </row>
    <row r="139" spans="1:21" ht="14.45" customHeight="1" x14ac:dyDescent="0.2">
      <c r="A139" s="822">
        <v>50</v>
      </c>
      <c r="B139" s="823" t="s">
        <v>1887</v>
      </c>
      <c r="C139" s="823" t="s">
        <v>1893</v>
      </c>
      <c r="D139" s="824" t="s">
        <v>2977</v>
      </c>
      <c r="E139" s="825" t="s">
        <v>1901</v>
      </c>
      <c r="F139" s="823" t="s">
        <v>1888</v>
      </c>
      <c r="G139" s="823" t="s">
        <v>2178</v>
      </c>
      <c r="H139" s="823" t="s">
        <v>329</v>
      </c>
      <c r="I139" s="823" t="s">
        <v>2179</v>
      </c>
      <c r="J139" s="823" t="s">
        <v>2180</v>
      </c>
      <c r="K139" s="823" t="s">
        <v>2181</v>
      </c>
      <c r="L139" s="826">
        <v>131.32</v>
      </c>
      <c r="M139" s="826">
        <v>393.96</v>
      </c>
      <c r="N139" s="823">
        <v>3</v>
      </c>
      <c r="O139" s="827">
        <v>1</v>
      </c>
      <c r="P139" s="826"/>
      <c r="Q139" s="828">
        <v>0</v>
      </c>
      <c r="R139" s="823"/>
      <c r="S139" s="828">
        <v>0</v>
      </c>
      <c r="T139" s="827"/>
      <c r="U139" s="829">
        <v>0</v>
      </c>
    </row>
    <row r="140" spans="1:21" ht="14.45" customHeight="1" x14ac:dyDescent="0.2">
      <c r="A140" s="822">
        <v>50</v>
      </c>
      <c r="B140" s="823" t="s">
        <v>1887</v>
      </c>
      <c r="C140" s="823" t="s">
        <v>1893</v>
      </c>
      <c r="D140" s="824" t="s">
        <v>2977</v>
      </c>
      <c r="E140" s="825" t="s">
        <v>1901</v>
      </c>
      <c r="F140" s="823" t="s">
        <v>1888</v>
      </c>
      <c r="G140" s="823" t="s">
        <v>2182</v>
      </c>
      <c r="H140" s="823" t="s">
        <v>625</v>
      </c>
      <c r="I140" s="823" t="s">
        <v>2183</v>
      </c>
      <c r="J140" s="823" t="s">
        <v>2184</v>
      </c>
      <c r="K140" s="823" t="s">
        <v>2185</v>
      </c>
      <c r="L140" s="826">
        <v>152.21</v>
      </c>
      <c r="M140" s="826">
        <v>152.21</v>
      </c>
      <c r="N140" s="823">
        <v>1</v>
      </c>
      <c r="O140" s="827">
        <v>0.5</v>
      </c>
      <c r="P140" s="826">
        <v>152.21</v>
      </c>
      <c r="Q140" s="828">
        <v>1</v>
      </c>
      <c r="R140" s="823">
        <v>1</v>
      </c>
      <c r="S140" s="828">
        <v>1</v>
      </c>
      <c r="T140" s="827">
        <v>0.5</v>
      </c>
      <c r="U140" s="829">
        <v>1</v>
      </c>
    </row>
    <row r="141" spans="1:21" ht="14.45" customHeight="1" x14ac:dyDescent="0.2">
      <c r="A141" s="822">
        <v>50</v>
      </c>
      <c r="B141" s="823" t="s">
        <v>1887</v>
      </c>
      <c r="C141" s="823" t="s">
        <v>1893</v>
      </c>
      <c r="D141" s="824" t="s">
        <v>2977</v>
      </c>
      <c r="E141" s="825" t="s">
        <v>1901</v>
      </c>
      <c r="F141" s="823" t="s">
        <v>1888</v>
      </c>
      <c r="G141" s="823" t="s">
        <v>2001</v>
      </c>
      <c r="H141" s="823" t="s">
        <v>625</v>
      </c>
      <c r="I141" s="823" t="s">
        <v>1546</v>
      </c>
      <c r="J141" s="823" t="s">
        <v>1547</v>
      </c>
      <c r="K141" s="823" t="s">
        <v>1548</v>
      </c>
      <c r="L141" s="826">
        <v>93.75</v>
      </c>
      <c r="M141" s="826">
        <v>93.75</v>
      </c>
      <c r="N141" s="823">
        <v>1</v>
      </c>
      <c r="O141" s="827">
        <v>1</v>
      </c>
      <c r="P141" s="826"/>
      <c r="Q141" s="828">
        <v>0</v>
      </c>
      <c r="R141" s="823"/>
      <c r="S141" s="828">
        <v>0</v>
      </c>
      <c r="T141" s="827"/>
      <c r="U141" s="829">
        <v>0</v>
      </c>
    </row>
    <row r="142" spans="1:21" ht="14.45" customHeight="1" x14ac:dyDescent="0.2">
      <c r="A142" s="822">
        <v>50</v>
      </c>
      <c r="B142" s="823" t="s">
        <v>1887</v>
      </c>
      <c r="C142" s="823" t="s">
        <v>1893</v>
      </c>
      <c r="D142" s="824" t="s">
        <v>2977</v>
      </c>
      <c r="E142" s="825" t="s">
        <v>1901</v>
      </c>
      <c r="F142" s="823" t="s">
        <v>1888</v>
      </c>
      <c r="G142" s="823" t="s">
        <v>2001</v>
      </c>
      <c r="H142" s="823" t="s">
        <v>625</v>
      </c>
      <c r="I142" s="823" t="s">
        <v>2186</v>
      </c>
      <c r="J142" s="823" t="s">
        <v>2187</v>
      </c>
      <c r="K142" s="823" t="s">
        <v>2188</v>
      </c>
      <c r="L142" s="826">
        <v>120.61</v>
      </c>
      <c r="M142" s="826">
        <v>361.83</v>
      </c>
      <c r="N142" s="823">
        <v>3</v>
      </c>
      <c r="O142" s="827">
        <v>2</v>
      </c>
      <c r="P142" s="826">
        <v>361.83</v>
      </c>
      <c r="Q142" s="828">
        <v>1</v>
      </c>
      <c r="R142" s="823">
        <v>3</v>
      </c>
      <c r="S142" s="828">
        <v>1</v>
      </c>
      <c r="T142" s="827">
        <v>2</v>
      </c>
      <c r="U142" s="829">
        <v>1</v>
      </c>
    </row>
    <row r="143" spans="1:21" ht="14.45" customHeight="1" x14ac:dyDescent="0.2">
      <c r="A143" s="822">
        <v>50</v>
      </c>
      <c r="B143" s="823" t="s">
        <v>1887</v>
      </c>
      <c r="C143" s="823" t="s">
        <v>1893</v>
      </c>
      <c r="D143" s="824" t="s">
        <v>2977</v>
      </c>
      <c r="E143" s="825" t="s">
        <v>1901</v>
      </c>
      <c r="F143" s="823" t="s">
        <v>1888</v>
      </c>
      <c r="G143" s="823" t="s">
        <v>2189</v>
      </c>
      <c r="H143" s="823" t="s">
        <v>625</v>
      </c>
      <c r="I143" s="823" t="s">
        <v>1745</v>
      </c>
      <c r="J143" s="823" t="s">
        <v>1066</v>
      </c>
      <c r="K143" s="823" t="s">
        <v>1746</v>
      </c>
      <c r="L143" s="826">
        <v>0</v>
      </c>
      <c r="M143" s="826">
        <v>0</v>
      </c>
      <c r="N143" s="823">
        <v>1</v>
      </c>
      <c r="O143" s="827">
        <v>1</v>
      </c>
      <c r="P143" s="826">
        <v>0</v>
      </c>
      <c r="Q143" s="828"/>
      <c r="R143" s="823">
        <v>1</v>
      </c>
      <c r="S143" s="828">
        <v>1</v>
      </c>
      <c r="T143" s="827">
        <v>1</v>
      </c>
      <c r="U143" s="829">
        <v>1</v>
      </c>
    </row>
    <row r="144" spans="1:21" ht="14.45" customHeight="1" x14ac:dyDescent="0.2">
      <c r="A144" s="822">
        <v>50</v>
      </c>
      <c r="B144" s="823" t="s">
        <v>1887</v>
      </c>
      <c r="C144" s="823" t="s">
        <v>1893</v>
      </c>
      <c r="D144" s="824" t="s">
        <v>2977</v>
      </c>
      <c r="E144" s="825" t="s">
        <v>1901</v>
      </c>
      <c r="F144" s="823" t="s">
        <v>1888</v>
      </c>
      <c r="G144" s="823" t="s">
        <v>2002</v>
      </c>
      <c r="H144" s="823" t="s">
        <v>625</v>
      </c>
      <c r="I144" s="823" t="s">
        <v>2190</v>
      </c>
      <c r="J144" s="823" t="s">
        <v>1574</v>
      </c>
      <c r="K144" s="823" t="s">
        <v>2191</v>
      </c>
      <c r="L144" s="826">
        <v>4961.1400000000003</v>
      </c>
      <c r="M144" s="826">
        <v>9922.2800000000007</v>
      </c>
      <c r="N144" s="823">
        <v>2</v>
      </c>
      <c r="O144" s="827">
        <v>1.5</v>
      </c>
      <c r="P144" s="826"/>
      <c r="Q144" s="828">
        <v>0</v>
      </c>
      <c r="R144" s="823"/>
      <c r="S144" s="828">
        <v>0</v>
      </c>
      <c r="T144" s="827"/>
      <c r="U144" s="829">
        <v>0</v>
      </c>
    </row>
    <row r="145" spans="1:21" ht="14.45" customHeight="1" x14ac:dyDescent="0.2">
      <c r="A145" s="822">
        <v>50</v>
      </c>
      <c r="B145" s="823" t="s">
        <v>1887</v>
      </c>
      <c r="C145" s="823" t="s">
        <v>1893</v>
      </c>
      <c r="D145" s="824" t="s">
        <v>2977</v>
      </c>
      <c r="E145" s="825" t="s">
        <v>1901</v>
      </c>
      <c r="F145" s="823" t="s">
        <v>1888</v>
      </c>
      <c r="G145" s="823" t="s">
        <v>2002</v>
      </c>
      <c r="H145" s="823" t="s">
        <v>625</v>
      </c>
      <c r="I145" s="823" t="s">
        <v>1573</v>
      </c>
      <c r="J145" s="823" t="s">
        <v>1574</v>
      </c>
      <c r="K145" s="823" t="s">
        <v>1575</v>
      </c>
      <c r="L145" s="826">
        <v>2669.75</v>
      </c>
      <c r="M145" s="826">
        <v>8009.25</v>
      </c>
      <c r="N145" s="823">
        <v>3</v>
      </c>
      <c r="O145" s="827">
        <v>3</v>
      </c>
      <c r="P145" s="826"/>
      <c r="Q145" s="828">
        <v>0</v>
      </c>
      <c r="R145" s="823"/>
      <c r="S145" s="828">
        <v>0</v>
      </c>
      <c r="T145" s="827"/>
      <c r="U145" s="829">
        <v>0</v>
      </c>
    </row>
    <row r="146" spans="1:21" ht="14.45" customHeight="1" x14ac:dyDescent="0.2">
      <c r="A146" s="822">
        <v>50</v>
      </c>
      <c r="B146" s="823" t="s">
        <v>1887</v>
      </c>
      <c r="C146" s="823" t="s">
        <v>1893</v>
      </c>
      <c r="D146" s="824" t="s">
        <v>2977</v>
      </c>
      <c r="E146" s="825" t="s">
        <v>1901</v>
      </c>
      <c r="F146" s="823" t="s">
        <v>1888</v>
      </c>
      <c r="G146" s="823" t="s">
        <v>1928</v>
      </c>
      <c r="H146" s="823" t="s">
        <v>329</v>
      </c>
      <c r="I146" s="823" t="s">
        <v>2192</v>
      </c>
      <c r="J146" s="823" t="s">
        <v>1930</v>
      </c>
      <c r="K146" s="823" t="s">
        <v>2193</v>
      </c>
      <c r="L146" s="826">
        <v>99.94</v>
      </c>
      <c r="M146" s="826">
        <v>99.94</v>
      </c>
      <c r="N146" s="823">
        <v>1</v>
      </c>
      <c r="O146" s="827">
        <v>0.5</v>
      </c>
      <c r="P146" s="826">
        <v>99.94</v>
      </c>
      <c r="Q146" s="828">
        <v>1</v>
      </c>
      <c r="R146" s="823">
        <v>1</v>
      </c>
      <c r="S146" s="828">
        <v>1</v>
      </c>
      <c r="T146" s="827">
        <v>0.5</v>
      </c>
      <c r="U146" s="829">
        <v>1</v>
      </c>
    </row>
    <row r="147" spans="1:21" ht="14.45" customHeight="1" x14ac:dyDescent="0.2">
      <c r="A147" s="822">
        <v>50</v>
      </c>
      <c r="B147" s="823" t="s">
        <v>1887</v>
      </c>
      <c r="C147" s="823" t="s">
        <v>1893</v>
      </c>
      <c r="D147" s="824" t="s">
        <v>2977</v>
      </c>
      <c r="E147" s="825" t="s">
        <v>1901</v>
      </c>
      <c r="F147" s="823" t="s">
        <v>1888</v>
      </c>
      <c r="G147" s="823" t="s">
        <v>2194</v>
      </c>
      <c r="H147" s="823" t="s">
        <v>329</v>
      </c>
      <c r="I147" s="823" t="s">
        <v>2195</v>
      </c>
      <c r="J147" s="823" t="s">
        <v>776</v>
      </c>
      <c r="K147" s="823" t="s">
        <v>777</v>
      </c>
      <c r="L147" s="826">
        <v>1704.59</v>
      </c>
      <c r="M147" s="826">
        <v>1704.59</v>
      </c>
      <c r="N147" s="823">
        <v>1</v>
      </c>
      <c r="O147" s="827">
        <v>1</v>
      </c>
      <c r="P147" s="826">
        <v>1704.59</v>
      </c>
      <c r="Q147" s="828">
        <v>1</v>
      </c>
      <c r="R147" s="823">
        <v>1</v>
      </c>
      <c r="S147" s="828">
        <v>1</v>
      </c>
      <c r="T147" s="827">
        <v>1</v>
      </c>
      <c r="U147" s="829">
        <v>1</v>
      </c>
    </row>
    <row r="148" spans="1:21" ht="14.45" customHeight="1" x14ac:dyDescent="0.2">
      <c r="A148" s="822">
        <v>50</v>
      </c>
      <c r="B148" s="823" t="s">
        <v>1887</v>
      </c>
      <c r="C148" s="823" t="s">
        <v>1893</v>
      </c>
      <c r="D148" s="824" t="s">
        <v>2977</v>
      </c>
      <c r="E148" s="825" t="s">
        <v>1901</v>
      </c>
      <c r="F148" s="823" t="s">
        <v>1888</v>
      </c>
      <c r="G148" s="823" t="s">
        <v>2196</v>
      </c>
      <c r="H148" s="823" t="s">
        <v>329</v>
      </c>
      <c r="I148" s="823" t="s">
        <v>2197</v>
      </c>
      <c r="J148" s="823" t="s">
        <v>2198</v>
      </c>
      <c r="K148" s="823" t="s">
        <v>2199</v>
      </c>
      <c r="L148" s="826">
        <v>83.38</v>
      </c>
      <c r="M148" s="826">
        <v>500.28</v>
      </c>
      <c r="N148" s="823">
        <v>6</v>
      </c>
      <c r="O148" s="827">
        <v>2</v>
      </c>
      <c r="P148" s="826"/>
      <c r="Q148" s="828">
        <v>0</v>
      </c>
      <c r="R148" s="823"/>
      <c r="S148" s="828">
        <v>0</v>
      </c>
      <c r="T148" s="827"/>
      <c r="U148" s="829">
        <v>0</v>
      </c>
    </row>
    <row r="149" spans="1:21" ht="14.45" customHeight="1" x14ac:dyDescent="0.2">
      <c r="A149" s="822">
        <v>50</v>
      </c>
      <c r="B149" s="823" t="s">
        <v>1887</v>
      </c>
      <c r="C149" s="823" t="s">
        <v>1893</v>
      </c>
      <c r="D149" s="824" t="s">
        <v>2977</v>
      </c>
      <c r="E149" s="825" t="s">
        <v>1901</v>
      </c>
      <c r="F149" s="823" t="s">
        <v>1888</v>
      </c>
      <c r="G149" s="823" t="s">
        <v>1924</v>
      </c>
      <c r="H149" s="823" t="s">
        <v>625</v>
      </c>
      <c r="I149" s="823" t="s">
        <v>2200</v>
      </c>
      <c r="J149" s="823" t="s">
        <v>1088</v>
      </c>
      <c r="K149" s="823" t="s">
        <v>2201</v>
      </c>
      <c r="L149" s="826">
        <v>154.36000000000001</v>
      </c>
      <c r="M149" s="826">
        <v>154.36000000000001</v>
      </c>
      <c r="N149" s="823">
        <v>1</v>
      </c>
      <c r="O149" s="827">
        <v>1</v>
      </c>
      <c r="P149" s="826"/>
      <c r="Q149" s="828">
        <v>0</v>
      </c>
      <c r="R149" s="823"/>
      <c r="S149" s="828">
        <v>0</v>
      </c>
      <c r="T149" s="827"/>
      <c r="U149" s="829">
        <v>0</v>
      </c>
    </row>
    <row r="150" spans="1:21" ht="14.45" customHeight="1" x14ac:dyDescent="0.2">
      <c r="A150" s="822">
        <v>50</v>
      </c>
      <c r="B150" s="823" t="s">
        <v>1887</v>
      </c>
      <c r="C150" s="823" t="s">
        <v>1893</v>
      </c>
      <c r="D150" s="824" t="s">
        <v>2977</v>
      </c>
      <c r="E150" s="825" t="s">
        <v>1901</v>
      </c>
      <c r="F150" s="823" t="s">
        <v>1888</v>
      </c>
      <c r="G150" s="823" t="s">
        <v>2202</v>
      </c>
      <c r="H150" s="823" t="s">
        <v>329</v>
      </c>
      <c r="I150" s="823" t="s">
        <v>2203</v>
      </c>
      <c r="J150" s="823" t="s">
        <v>786</v>
      </c>
      <c r="K150" s="823" t="s">
        <v>788</v>
      </c>
      <c r="L150" s="826">
        <v>63.14</v>
      </c>
      <c r="M150" s="826">
        <v>63.14</v>
      </c>
      <c r="N150" s="823">
        <v>1</v>
      </c>
      <c r="O150" s="827">
        <v>1</v>
      </c>
      <c r="P150" s="826"/>
      <c r="Q150" s="828">
        <v>0</v>
      </c>
      <c r="R150" s="823"/>
      <c r="S150" s="828">
        <v>0</v>
      </c>
      <c r="T150" s="827"/>
      <c r="U150" s="829">
        <v>0</v>
      </c>
    </row>
    <row r="151" spans="1:21" ht="14.45" customHeight="1" x14ac:dyDescent="0.2">
      <c r="A151" s="822">
        <v>50</v>
      </c>
      <c r="B151" s="823" t="s">
        <v>1887</v>
      </c>
      <c r="C151" s="823" t="s">
        <v>1893</v>
      </c>
      <c r="D151" s="824" t="s">
        <v>2977</v>
      </c>
      <c r="E151" s="825" t="s">
        <v>1901</v>
      </c>
      <c r="F151" s="823" t="s">
        <v>1888</v>
      </c>
      <c r="G151" s="823" t="s">
        <v>2202</v>
      </c>
      <c r="H151" s="823" t="s">
        <v>329</v>
      </c>
      <c r="I151" s="823" t="s">
        <v>2204</v>
      </c>
      <c r="J151" s="823" t="s">
        <v>786</v>
      </c>
      <c r="K151" s="823" t="s">
        <v>1659</v>
      </c>
      <c r="L151" s="826">
        <v>49.08</v>
      </c>
      <c r="M151" s="826">
        <v>49.08</v>
      </c>
      <c r="N151" s="823">
        <v>1</v>
      </c>
      <c r="O151" s="827">
        <v>1</v>
      </c>
      <c r="P151" s="826"/>
      <c r="Q151" s="828">
        <v>0</v>
      </c>
      <c r="R151" s="823"/>
      <c r="S151" s="828">
        <v>0</v>
      </c>
      <c r="T151" s="827"/>
      <c r="U151" s="829">
        <v>0</v>
      </c>
    </row>
    <row r="152" spans="1:21" ht="14.45" customHeight="1" x14ac:dyDescent="0.2">
      <c r="A152" s="822">
        <v>50</v>
      </c>
      <c r="B152" s="823" t="s">
        <v>1887</v>
      </c>
      <c r="C152" s="823" t="s">
        <v>1893</v>
      </c>
      <c r="D152" s="824" t="s">
        <v>2977</v>
      </c>
      <c r="E152" s="825" t="s">
        <v>1901</v>
      </c>
      <c r="F152" s="823" t="s">
        <v>1888</v>
      </c>
      <c r="G152" s="823" t="s">
        <v>2202</v>
      </c>
      <c r="H152" s="823" t="s">
        <v>329</v>
      </c>
      <c r="I152" s="823" t="s">
        <v>2205</v>
      </c>
      <c r="J152" s="823" t="s">
        <v>786</v>
      </c>
      <c r="K152" s="823" t="s">
        <v>789</v>
      </c>
      <c r="L152" s="826">
        <v>84.18</v>
      </c>
      <c r="M152" s="826">
        <v>168.36</v>
      </c>
      <c r="N152" s="823">
        <v>2</v>
      </c>
      <c r="O152" s="827">
        <v>1.5</v>
      </c>
      <c r="P152" s="826">
        <v>168.36</v>
      </c>
      <c r="Q152" s="828">
        <v>1</v>
      </c>
      <c r="R152" s="823">
        <v>2</v>
      </c>
      <c r="S152" s="828">
        <v>1</v>
      </c>
      <c r="T152" s="827">
        <v>1.5</v>
      </c>
      <c r="U152" s="829">
        <v>1</v>
      </c>
    </row>
    <row r="153" spans="1:21" ht="14.45" customHeight="1" x14ac:dyDescent="0.2">
      <c r="A153" s="822">
        <v>50</v>
      </c>
      <c r="B153" s="823" t="s">
        <v>1887</v>
      </c>
      <c r="C153" s="823" t="s">
        <v>1893</v>
      </c>
      <c r="D153" s="824" t="s">
        <v>2977</v>
      </c>
      <c r="E153" s="825" t="s">
        <v>1901</v>
      </c>
      <c r="F153" s="823" t="s">
        <v>1888</v>
      </c>
      <c r="G153" s="823" t="s">
        <v>2206</v>
      </c>
      <c r="H153" s="823" t="s">
        <v>329</v>
      </c>
      <c r="I153" s="823" t="s">
        <v>2207</v>
      </c>
      <c r="J153" s="823" t="s">
        <v>1271</v>
      </c>
      <c r="K153" s="823" t="s">
        <v>1272</v>
      </c>
      <c r="L153" s="826">
        <v>121.92</v>
      </c>
      <c r="M153" s="826">
        <v>731.52</v>
      </c>
      <c r="N153" s="823">
        <v>6</v>
      </c>
      <c r="O153" s="827">
        <v>1.5</v>
      </c>
      <c r="P153" s="826">
        <v>365.76</v>
      </c>
      <c r="Q153" s="828">
        <v>0.5</v>
      </c>
      <c r="R153" s="823">
        <v>3</v>
      </c>
      <c r="S153" s="828">
        <v>0.5</v>
      </c>
      <c r="T153" s="827">
        <v>0.5</v>
      </c>
      <c r="U153" s="829">
        <v>0.33333333333333331</v>
      </c>
    </row>
    <row r="154" spans="1:21" ht="14.45" customHeight="1" x14ac:dyDescent="0.2">
      <c r="A154" s="822">
        <v>50</v>
      </c>
      <c r="B154" s="823" t="s">
        <v>1887</v>
      </c>
      <c r="C154" s="823" t="s">
        <v>1893</v>
      </c>
      <c r="D154" s="824" t="s">
        <v>2977</v>
      </c>
      <c r="E154" s="825" t="s">
        <v>1901</v>
      </c>
      <c r="F154" s="823" t="s">
        <v>1890</v>
      </c>
      <c r="G154" s="823" t="s">
        <v>2208</v>
      </c>
      <c r="H154" s="823" t="s">
        <v>329</v>
      </c>
      <c r="I154" s="823" t="s">
        <v>2209</v>
      </c>
      <c r="J154" s="823" t="s">
        <v>2210</v>
      </c>
      <c r="K154" s="823" t="s">
        <v>2211</v>
      </c>
      <c r="L154" s="826">
        <v>389.82</v>
      </c>
      <c r="M154" s="826">
        <v>5067.66</v>
      </c>
      <c r="N154" s="823">
        <v>13</v>
      </c>
      <c r="O154" s="827">
        <v>10</v>
      </c>
      <c r="P154" s="826">
        <v>5067.66</v>
      </c>
      <c r="Q154" s="828">
        <v>1</v>
      </c>
      <c r="R154" s="823">
        <v>13</v>
      </c>
      <c r="S154" s="828">
        <v>1</v>
      </c>
      <c r="T154" s="827">
        <v>10</v>
      </c>
      <c r="U154" s="829">
        <v>1</v>
      </c>
    </row>
    <row r="155" spans="1:21" ht="14.45" customHeight="1" x14ac:dyDescent="0.2">
      <c r="A155" s="822">
        <v>50</v>
      </c>
      <c r="B155" s="823" t="s">
        <v>1887</v>
      </c>
      <c r="C155" s="823" t="s">
        <v>1893</v>
      </c>
      <c r="D155" s="824" t="s">
        <v>2977</v>
      </c>
      <c r="E155" s="825" t="s">
        <v>1901</v>
      </c>
      <c r="F155" s="823" t="s">
        <v>1890</v>
      </c>
      <c r="G155" s="823" t="s">
        <v>2208</v>
      </c>
      <c r="H155" s="823" t="s">
        <v>329</v>
      </c>
      <c r="I155" s="823" t="s">
        <v>2212</v>
      </c>
      <c r="J155" s="823" t="s">
        <v>2213</v>
      </c>
      <c r="K155" s="823" t="s">
        <v>2214</v>
      </c>
      <c r="L155" s="826">
        <v>389.82</v>
      </c>
      <c r="M155" s="826">
        <v>3898.2000000000007</v>
      </c>
      <c r="N155" s="823">
        <v>10</v>
      </c>
      <c r="O155" s="827">
        <v>10</v>
      </c>
      <c r="P155" s="826">
        <v>3898.2000000000007</v>
      </c>
      <c r="Q155" s="828">
        <v>1</v>
      </c>
      <c r="R155" s="823">
        <v>10</v>
      </c>
      <c r="S155" s="828">
        <v>1</v>
      </c>
      <c r="T155" s="827">
        <v>10</v>
      </c>
      <c r="U155" s="829">
        <v>1</v>
      </c>
    </row>
    <row r="156" spans="1:21" ht="14.45" customHeight="1" x14ac:dyDescent="0.2">
      <c r="A156" s="822">
        <v>50</v>
      </c>
      <c r="B156" s="823" t="s">
        <v>1887</v>
      </c>
      <c r="C156" s="823" t="s">
        <v>1893</v>
      </c>
      <c r="D156" s="824" t="s">
        <v>2977</v>
      </c>
      <c r="E156" s="825" t="s">
        <v>1901</v>
      </c>
      <c r="F156" s="823" t="s">
        <v>1890</v>
      </c>
      <c r="G156" s="823" t="s">
        <v>2208</v>
      </c>
      <c r="H156" s="823" t="s">
        <v>329</v>
      </c>
      <c r="I156" s="823" t="s">
        <v>2215</v>
      </c>
      <c r="J156" s="823" t="s">
        <v>2216</v>
      </c>
      <c r="K156" s="823" t="s">
        <v>2217</v>
      </c>
      <c r="L156" s="826">
        <v>389.82</v>
      </c>
      <c r="M156" s="826">
        <v>2338.92</v>
      </c>
      <c r="N156" s="823">
        <v>6</v>
      </c>
      <c r="O156" s="827">
        <v>6</v>
      </c>
      <c r="P156" s="826">
        <v>2338.92</v>
      </c>
      <c r="Q156" s="828">
        <v>1</v>
      </c>
      <c r="R156" s="823">
        <v>6</v>
      </c>
      <c r="S156" s="828">
        <v>1</v>
      </c>
      <c r="T156" s="827">
        <v>6</v>
      </c>
      <c r="U156" s="829">
        <v>1</v>
      </c>
    </row>
    <row r="157" spans="1:21" ht="14.45" customHeight="1" x14ac:dyDescent="0.2">
      <c r="A157" s="822">
        <v>50</v>
      </c>
      <c r="B157" s="823" t="s">
        <v>1887</v>
      </c>
      <c r="C157" s="823" t="s">
        <v>1893</v>
      </c>
      <c r="D157" s="824" t="s">
        <v>2977</v>
      </c>
      <c r="E157" s="825" t="s">
        <v>1901</v>
      </c>
      <c r="F157" s="823" t="s">
        <v>1890</v>
      </c>
      <c r="G157" s="823" t="s">
        <v>2208</v>
      </c>
      <c r="H157" s="823" t="s">
        <v>329</v>
      </c>
      <c r="I157" s="823" t="s">
        <v>2218</v>
      </c>
      <c r="J157" s="823" t="s">
        <v>2219</v>
      </c>
      <c r="K157" s="823" t="s">
        <v>2220</v>
      </c>
      <c r="L157" s="826">
        <v>39.1</v>
      </c>
      <c r="M157" s="826">
        <v>4222.8000000000011</v>
      </c>
      <c r="N157" s="823">
        <v>108</v>
      </c>
      <c r="O157" s="827">
        <v>27</v>
      </c>
      <c r="P157" s="826">
        <v>4222.8000000000011</v>
      </c>
      <c r="Q157" s="828">
        <v>1</v>
      </c>
      <c r="R157" s="823">
        <v>108</v>
      </c>
      <c r="S157" s="828">
        <v>1</v>
      </c>
      <c r="T157" s="827">
        <v>27</v>
      </c>
      <c r="U157" s="829">
        <v>1</v>
      </c>
    </row>
    <row r="158" spans="1:21" ht="14.45" customHeight="1" x14ac:dyDescent="0.2">
      <c r="A158" s="822">
        <v>50</v>
      </c>
      <c r="B158" s="823" t="s">
        <v>1887</v>
      </c>
      <c r="C158" s="823" t="s">
        <v>1893</v>
      </c>
      <c r="D158" s="824" t="s">
        <v>2977</v>
      </c>
      <c r="E158" s="825" t="s">
        <v>1901</v>
      </c>
      <c r="F158" s="823" t="s">
        <v>1890</v>
      </c>
      <c r="G158" s="823" t="s">
        <v>2208</v>
      </c>
      <c r="H158" s="823" t="s">
        <v>329</v>
      </c>
      <c r="I158" s="823" t="s">
        <v>2221</v>
      </c>
      <c r="J158" s="823" t="s">
        <v>2219</v>
      </c>
      <c r="K158" s="823" t="s">
        <v>2222</v>
      </c>
      <c r="L158" s="826">
        <v>49.02</v>
      </c>
      <c r="M158" s="826">
        <v>4313.7599999999993</v>
      </c>
      <c r="N158" s="823">
        <v>88</v>
      </c>
      <c r="O158" s="827">
        <v>22</v>
      </c>
      <c r="P158" s="826">
        <v>4313.7599999999993</v>
      </c>
      <c r="Q158" s="828">
        <v>1</v>
      </c>
      <c r="R158" s="823">
        <v>88</v>
      </c>
      <c r="S158" s="828">
        <v>1</v>
      </c>
      <c r="T158" s="827">
        <v>22</v>
      </c>
      <c r="U158" s="829">
        <v>1</v>
      </c>
    </row>
    <row r="159" spans="1:21" ht="14.45" customHeight="1" x14ac:dyDescent="0.2">
      <c r="A159" s="822">
        <v>50</v>
      </c>
      <c r="B159" s="823" t="s">
        <v>1887</v>
      </c>
      <c r="C159" s="823" t="s">
        <v>1893</v>
      </c>
      <c r="D159" s="824" t="s">
        <v>2977</v>
      </c>
      <c r="E159" s="825" t="s">
        <v>1904</v>
      </c>
      <c r="F159" s="823" t="s">
        <v>1888</v>
      </c>
      <c r="G159" s="823" t="s">
        <v>1944</v>
      </c>
      <c r="H159" s="823" t="s">
        <v>625</v>
      </c>
      <c r="I159" s="823" t="s">
        <v>1581</v>
      </c>
      <c r="J159" s="823" t="s">
        <v>712</v>
      </c>
      <c r="K159" s="823" t="s">
        <v>1582</v>
      </c>
      <c r="L159" s="826">
        <v>80.010000000000005</v>
      </c>
      <c r="M159" s="826">
        <v>480.06</v>
      </c>
      <c r="N159" s="823">
        <v>6</v>
      </c>
      <c r="O159" s="827">
        <v>5.5</v>
      </c>
      <c r="P159" s="826">
        <v>80.010000000000005</v>
      </c>
      <c r="Q159" s="828">
        <v>0.16666666666666669</v>
      </c>
      <c r="R159" s="823">
        <v>1</v>
      </c>
      <c r="S159" s="828">
        <v>0.16666666666666666</v>
      </c>
      <c r="T159" s="827">
        <v>0.5</v>
      </c>
      <c r="U159" s="829">
        <v>9.0909090909090912E-2</v>
      </c>
    </row>
    <row r="160" spans="1:21" ht="14.45" customHeight="1" x14ac:dyDescent="0.2">
      <c r="A160" s="822">
        <v>50</v>
      </c>
      <c r="B160" s="823" t="s">
        <v>1887</v>
      </c>
      <c r="C160" s="823" t="s">
        <v>1893</v>
      </c>
      <c r="D160" s="824" t="s">
        <v>2977</v>
      </c>
      <c r="E160" s="825" t="s">
        <v>1904</v>
      </c>
      <c r="F160" s="823" t="s">
        <v>1888</v>
      </c>
      <c r="G160" s="823" t="s">
        <v>2015</v>
      </c>
      <c r="H160" s="823" t="s">
        <v>625</v>
      </c>
      <c r="I160" s="823" t="s">
        <v>2016</v>
      </c>
      <c r="J160" s="823" t="s">
        <v>1794</v>
      </c>
      <c r="K160" s="823" t="s">
        <v>2017</v>
      </c>
      <c r="L160" s="826">
        <v>93.27</v>
      </c>
      <c r="M160" s="826">
        <v>93.27</v>
      </c>
      <c r="N160" s="823">
        <v>1</v>
      </c>
      <c r="O160" s="827">
        <v>0.5</v>
      </c>
      <c r="P160" s="826"/>
      <c r="Q160" s="828">
        <v>0</v>
      </c>
      <c r="R160" s="823"/>
      <c r="S160" s="828">
        <v>0</v>
      </c>
      <c r="T160" s="827"/>
      <c r="U160" s="829">
        <v>0</v>
      </c>
    </row>
    <row r="161" spans="1:21" ht="14.45" customHeight="1" x14ac:dyDescent="0.2">
      <c r="A161" s="822">
        <v>50</v>
      </c>
      <c r="B161" s="823" t="s">
        <v>1887</v>
      </c>
      <c r="C161" s="823" t="s">
        <v>1893</v>
      </c>
      <c r="D161" s="824" t="s">
        <v>2977</v>
      </c>
      <c r="E161" s="825" t="s">
        <v>1904</v>
      </c>
      <c r="F161" s="823" t="s">
        <v>1888</v>
      </c>
      <c r="G161" s="823" t="s">
        <v>1932</v>
      </c>
      <c r="H161" s="823" t="s">
        <v>625</v>
      </c>
      <c r="I161" s="823" t="s">
        <v>1796</v>
      </c>
      <c r="J161" s="823" t="s">
        <v>1639</v>
      </c>
      <c r="K161" s="823" t="s">
        <v>1797</v>
      </c>
      <c r="L161" s="826">
        <v>220.53</v>
      </c>
      <c r="M161" s="826">
        <v>1102.6500000000001</v>
      </c>
      <c r="N161" s="823">
        <v>5</v>
      </c>
      <c r="O161" s="827">
        <v>4.5</v>
      </c>
      <c r="P161" s="826">
        <v>661.59</v>
      </c>
      <c r="Q161" s="828">
        <v>0.6</v>
      </c>
      <c r="R161" s="823">
        <v>3</v>
      </c>
      <c r="S161" s="828">
        <v>0.6</v>
      </c>
      <c r="T161" s="827">
        <v>2.5</v>
      </c>
      <c r="U161" s="829">
        <v>0.55555555555555558</v>
      </c>
    </row>
    <row r="162" spans="1:21" ht="14.45" customHeight="1" x14ac:dyDescent="0.2">
      <c r="A162" s="822">
        <v>50</v>
      </c>
      <c r="B162" s="823" t="s">
        <v>1887</v>
      </c>
      <c r="C162" s="823" t="s">
        <v>1893</v>
      </c>
      <c r="D162" s="824" t="s">
        <v>2977</v>
      </c>
      <c r="E162" s="825" t="s">
        <v>1904</v>
      </c>
      <c r="F162" s="823" t="s">
        <v>1888</v>
      </c>
      <c r="G162" s="823" t="s">
        <v>1932</v>
      </c>
      <c r="H162" s="823" t="s">
        <v>329</v>
      </c>
      <c r="I162" s="823" t="s">
        <v>2223</v>
      </c>
      <c r="J162" s="823" t="s">
        <v>1639</v>
      </c>
      <c r="K162" s="823" t="s">
        <v>2224</v>
      </c>
      <c r="L162" s="826">
        <v>310.58999999999997</v>
      </c>
      <c r="M162" s="826">
        <v>310.58999999999997</v>
      </c>
      <c r="N162" s="823">
        <v>1</v>
      </c>
      <c r="O162" s="827">
        <v>0.5</v>
      </c>
      <c r="P162" s="826"/>
      <c r="Q162" s="828">
        <v>0</v>
      </c>
      <c r="R162" s="823"/>
      <c r="S162" s="828">
        <v>0</v>
      </c>
      <c r="T162" s="827"/>
      <c r="U162" s="829">
        <v>0</v>
      </c>
    </row>
    <row r="163" spans="1:21" ht="14.45" customHeight="1" x14ac:dyDescent="0.2">
      <c r="A163" s="822">
        <v>50</v>
      </c>
      <c r="B163" s="823" t="s">
        <v>1887</v>
      </c>
      <c r="C163" s="823" t="s">
        <v>1893</v>
      </c>
      <c r="D163" s="824" t="s">
        <v>2977</v>
      </c>
      <c r="E163" s="825" t="s">
        <v>1904</v>
      </c>
      <c r="F163" s="823" t="s">
        <v>1888</v>
      </c>
      <c r="G163" s="823" t="s">
        <v>1914</v>
      </c>
      <c r="H163" s="823" t="s">
        <v>329</v>
      </c>
      <c r="I163" s="823" t="s">
        <v>1948</v>
      </c>
      <c r="J163" s="823" t="s">
        <v>1949</v>
      </c>
      <c r="K163" s="823" t="s">
        <v>1923</v>
      </c>
      <c r="L163" s="826">
        <v>35.11</v>
      </c>
      <c r="M163" s="826">
        <v>35.11</v>
      </c>
      <c r="N163" s="823">
        <v>1</v>
      </c>
      <c r="O163" s="827">
        <v>1</v>
      </c>
      <c r="P163" s="826"/>
      <c r="Q163" s="828">
        <v>0</v>
      </c>
      <c r="R163" s="823"/>
      <c r="S163" s="828">
        <v>0</v>
      </c>
      <c r="T163" s="827"/>
      <c r="U163" s="829">
        <v>0</v>
      </c>
    </row>
    <row r="164" spans="1:21" ht="14.45" customHeight="1" x14ac:dyDescent="0.2">
      <c r="A164" s="822">
        <v>50</v>
      </c>
      <c r="B164" s="823" t="s">
        <v>1887</v>
      </c>
      <c r="C164" s="823" t="s">
        <v>1893</v>
      </c>
      <c r="D164" s="824" t="s">
        <v>2977</v>
      </c>
      <c r="E164" s="825" t="s">
        <v>1904</v>
      </c>
      <c r="F164" s="823" t="s">
        <v>1888</v>
      </c>
      <c r="G164" s="823" t="s">
        <v>1914</v>
      </c>
      <c r="H164" s="823" t="s">
        <v>329</v>
      </c>
      <c r="I164" s="823" t="s">
        <v>2225</v>
      </c>
      <c r="J164" s="823" t="s">
        <v>704</v>
      </c>
      <c r="K164" s="823" t="s">
        <v>705</v>
      </c>
      <c r="L164" s="826">
        <v>117.03</v>
      </c>
      <c r="M164" s="826">
        <v>117.03</v>
      </c>
      <c r="N164" s="823">
        <v>1</v>
      </c>
      <c r="O164" s="827">
        <v>1</v>
      </c>
      <c r="P164" s="826">
        <v>117.03</v>
      </c>
      <c r="Q164" s="828">
        <v>1</v>
      </c>
      <c r="R164" s="823">
        <v>1</v>
      </c>
      <c r="S164" s="828">
        <v>1</v>
      </c>
      <c r="T164" s="827">
        <v>1</v>
      </c>
      <c r="U164" s="829">
        <v>1</v>
      </c>
    </row>
    <row r="165" spans="1:21" ht="14.45" customHeight="1" x14ac:dyDescent="0.2">
      <c r="A165" s="822">
        <v>50</v>
      </c>
      <c r="B165" s="823" t="s">
        <v>1887</v>
      </c>
      <c r="C165" s="823" t="s">
        <v>1893</v>
      </c>
      <c r="D165" s="824" t="s">
        <v>2977</v>
      </c>
      <c r="E165" s="825" t="s">
        <v>1904</v>
      </c>
      <c r="F165" s="823" t="s">
        <v>1888</v>
      </c>
      <c r="G165" s="823" t="s">
        <v>1914</v>
      </c>
      <c r="H165" s="823" t="s">
        <v>625</v>
      </c>
      <c r="I165" s="823" t="s">
        <v>1616</v>
      </c>
      <c r="J165" s="823" t="s">
        <v>673</v>
      </c>
      <c r="K165" s="823" t="s">
        <v>676</v>
      </c>
      <c r="L165" s="826">
        <v>17.559999999999999</v>
      </c>
      <c r="M165" s="826">
        <v>17.559999999999999</v>
      </c>
      <c r="N165" s="823">
        <v>1</v>
      </c>
      <c r="O165" s="827">
        <v>1</v>
      </c>
      <c r="P165" s="826"/>
      <c r="Q165" s="828">
        <v>0</v>
      </c>
      <c r="R165" s="823"/>
      <c r="S165" s="828">
        <v>0</v>
      </c>
      <c r="T165" s="827"/>
      <c r="U165" s="829">
        <v>0</v>
      </c>
    </row>
    <row r="166" spans="1:21" ht="14.45" customHeight="1" x14ac:dyDescent="0.2">
      <c r="A166" s="822">
        <v>50</v>
      </c>
      <c r="B166" s="823" t="s">
        <v>1887</v>
      </c>
      <c r="C166" s="823" t="s">
        <v>1893</v>
      </c>
      <c r="D166" s="824" t="s">
        <v>2977</v>
      </c>
      <c r="E166" s="825" t="s">
        <v>1904</v>
      </c>
      <c r="F166" s="823" t="s">
        <v>1888</v>
      </c>
      <c r="G166" s="823" t="s">
        <v>1914</v>
      </c>
      <c r="H166" s="823" t="s">
        <v>625</v>
      </c>
      <c r="I166" s="823" t="s">
        <v>2226</v>
      </c>
      <c r="J166" s="823" t="s">
        <v>673</v>
      </c>
      <c r="K166" s="823" t="s">
        <v>1923</v>
      </c>
      <c r="L166" s="826">
        <v>35.11</v>
      </c>
      <c r="M166" s="826">
        <v>35.11</v>
      </c>
      <c r="N166" s="823">
        <v>1</v>
      </c>
      <c r="O166" s="827">
        <v>1</v>
      </c>
      <c r="P166" s="826">
        <v>35.11</v>
      </c>
      <c r="Q166" s="828">
        <v>1</v>
      </c>
      <c r="R166" s="823">
        <v>1</v>
      </c>
      <c r="S166" s="828">
        <v>1</v>
      </c>
      <c r="T166" s="827">
        <v>1</v>
      </c>
      <c r="U166" s="829">
        <v>1</v>
      </c>
    </row>
    <row r="167" spans="1:21" ht="14.45" customHeight="1" x14ac:dyDescent="0.2">
      <c r="A167" s="822">
        <v>50</v>
      </c>
      <c r="B167" s="823" t="s">
        <v>1887</v>
      </c>
      <c r="C167" s="823" t="s">
        <v>1893</v>
      </c>
      <c r="D167" s="824" t="s">
        <v>2977</v>
      </c>
      <c r="E167" s="825" t="s">
        <v>1904</v>
      </c>
      <c r="F167" s="823" t="s">
        <v>1888</v>
      </c>
      <c r="G167" s="823" t="s">
        <v>2227</v>
      </c>
      <c r="H167" s="823" t="s">
        <v>329</v>
      </c>
      <c r="I167" s="823" t="s">
        <v>2228</v>
      </c>
      <c r="J167" s="823" t="s">
        <v>2229</v>
      </c>
      <c r="K167" s="823" t="s">
        <v>894</v>
      </c>
      <c r="L167" s="826">
        <v>0</v>
      </c>
      <c r="M167" s="826">
        <v>0</v>
      </c>
      <c r="N167" s="823">
        <v>2</v>
      </c>
      <c r="O167" s="827">
        <v>1</v>
      </c>
      <c r="P167" s="826">
        <v>0</v>
      </c>
      <c r="Q167" s="828"/>
      <c r="R167" s="823">
        <v>2</v>
      </c>
      <c r="S167" s="828">
        <v>1</v>
      </c>
      <c r="T167" s="827">
        <v>1</v>
      </c>
      <c r="U167" s="829">
        <v>1</v>
      </c>
    </row>
    <row r="168" spans="1:21" ht="14.45" customHeight="1" x14ac:dyDescent="0.2">
      <c r="A168" s="822">
        <v>50</v>
      </c>
      <c r="B168" s="823" t="s">
        <v>1887</v>
      </c>
      <c r="C168" s="823" t="s">
        <v>1893</v>
      </c>
      <c r="D168" s="824" t="s">
        <v>2977</v>
      </c>
      <c r="E168" s="825" t="s">
        <v>1904</v>
      </c>
      <c r="F168" s="823" t="s">
        <v>1888</v>
      </c>
      <c r="G168" s="823" t="s">
        <v>2041</v>
      </c>
      <c r="H168" s="823" t="s">
        <v>329</v>
      </c>
      <c r="I168" s="823" t="s">
        <v>2042</v>
      </c>
      <c r="J168" s="823" t="s">
        <v>2043</v>
      </c>
      <c r="K168" s="823" t="s">
        <v>698</v>
      </c>
      <c r="L168" s="826">
        <v>78.33</v>
      </c>
      <c r="M168" s="826">
        <v>156.66</v>
      </c>
      <c r="N168" s="823">
        <v>2</v>
      </c>
      <c r="O168" s="827">
        <v>0.5</v>
      </c>
      <c r="P168" s="826"/>
      <c r="Q168" s="828">
        <v>0</v>
      </c>
      <c r="R168" s="823"/>
      <c r="S168" s="828">
        <v>0</v>
      </c>
      <c r="T168" s="827"/>
      <c r="U168" s="829">
        <v>0</v>
      </c>
    </row>
    <row r="169" spans="1:21" ht="14.45" customHeight="1" x14ac:dyDescent="0.2">
      <c r="A169" s="822">
        <v>50</v>
      </c>
      <c r="B169" s="823" t="s">
        <v>1887</v>
      </c>
      <c r="C169" s="823" t="s">
        <v>1893</v>
      </c>
      <c r="D169" s="824" t="s">
        <v>2977</v>
      </c>
      <c r="E169" s="825" t="s">
        <v>1904</v>
      </c>
      <c r="F169" s="823" t="s">
        <v>1888</v>
      </c>
      <c r="G169" s="823" t="s">
        <v>1952</v>
      </c>
      <c r="H169" s="823" t="s">
        <v>329</v>
      </c>
      <c r="I169" s="823" t="s">
        <v>1953</v>
      </c>
      <c r="J169" s="823" t="s">
        <v>1954</v>
      </c>
      <c r="K169" s="823" t="s">
        <v>1785</v>
      </c>
      <c r="L169" s="826">
        <v>42.51</v>
      </c>
      <c r="M169" s="826">
        <v>212.55</v>
      </c>
      <c r="N169" s="823">
        <v>5</v>
      </c>
      <c r="O169" s="827">
        <v>5</v>
      </c>
      <c r="P169" s="826">
        <v>85.02</v>
      </c>
      <c r="Q169" s="828">
        <v>0.39999999999999997</v>
      </c>
      <c r="R169" s="823">
        <v>2</v>
      </c>
      <c r="S169" s="828">
        <v>0.4</v>
      </c>
      <c r="T169" s="827">
        <v>2</v>
      </c>
      <c r="U169" s="829">
        <v>0.4</v>
      </c>
    </row>
    <row r="170" spans="1:21" ht="14.45" customHeight="1" x14ac:dyDescent="0.2">
      <c r="A170" s="822">
        <v>50</v>
      </c>
      <c r="B170" s="823" t="s">
        <v>1887</v>
      </c>
      <c r="C170" s="823" t="s">
        <v>1893</v>
      </c>
      <c r="D170" s="824" t="s">
        <v>2977</v>
      </c>
      <c r="E170" s="825" t="s">
        <v>1904</v>
      </c>
      <c r="F170" s="823" t="s">
        <v>1888</v>
      </c>
      <c r="G170" s="823" t="s">
        <v>2230</v>
      </c>
      <c r="H170" s="823" t="s">
        <v>329</v>
      </c>
      <c r="I170" s="823" t="s">
        <v>2231</v>
      </c>
      <c r="J170" s="823" t="s">
        <v>870</v>
      </c>
      <c r="K170" s="823" t="s">
        <v>2232</v>
      </c>
      <c r="L170" s="826">
        <v>45.03</v>
      </c>
      <c r="M170" s="826">
        <v>45.03</v>
      </c>
      <c r="N170" s="823">
        <v>1</v>
      </c>
      <c r="O170" s="827">
        <v>1</v>
      </c>
      <c r="P170" s="826"/>
      <c r="Q170" s="828">
        <v>0</v>
      </c>
      <c r="R170" s="823"/>
      <c r="S170" s="828">
        <v>0</v>
      </c>
      <c r="T170" s="827"/>
      <c r="U170" s="829">
        <v>0</v>
      </c>
    </row>
    <row r="171" spans="1:21" ht="14.45" customHeight="1" x14ac:dyDescent="0.2">
      <c r="A171" s="822">
        <v>50</v>
      </c>
      <c r="B171" s="823" t="s">
        <v>1887</v>
      </c>
      <c r="C171" s="823" t="s">
        <v>1893</v>
      </c>
      <c r="D171" s="824" t="s">
        <v>2977</v>
      </c>
      <c r="E171" s="825" t="s">
        <v>1904</v>
      </c>
      <c r="F171" s="823" t="s">
        <v>1888</v>
      </c>
      <c r="G171" s="823" t="s">
        <v>2233</v>
      </c>
      <c r="H171" s="823" t="s">
        <v>329</v>
      </c>
      <c r="I171" s="823" t="s">
        <v>2234</v>
      </c>
      <c r="J171" s="823" t="s">
        <v>2235</v>
      </c>
      <c r="K171" s="823" t="s">
        <v>2236</v>
      </c>
      <c r="L171" s="826">
        <v>0</v>
      </c>
      <c r="M171" s="826">
        <v>0</v>
      </c>
      <c r="N171" s="823">
        <v>3</v>
      </c>
      <c r="O171" s="827">
        <v>1</v>
      </c>
      <c r="P171" s="826"/>
      <c r="Q171" s="828"/>
      <c r="R171" s="823"/>
      <c r="S171" s="828">
        <v>0</v>
      </c>
      <c r="T171" s="827"/>
      <c r="U171" s="829">
        <v>0</v>
      </c>
    </row>
    <row r="172" spans="1:21" ht="14.45" customHeight="1" x14ac:dyDescent="0.2">
      <c r="A172" s="822">
        <v>50</v>
      </c>
      <c r="B172" s="823" t="s">
        <v>1887</v>
      </c>
      <c r="C172" s="823" t="s">
        <v>1893</v>
      </c>
      <c r="D172" s="824" t="s">
        <v>2977</v>
      </c>
      <c r="E172" s="825" t="s">
        <v>1904</v>
      </c>
      <c r="F172" s="823" t="s">
        <v>1888</v>
      </c>
      <c r="G172" s="823" t="s">
        <v>1955</v>
      </c>
      <c r="H172" s="823" t="s">
        <v>329</v>
      </c>
      <c r="I172" s="823" t="s">
        <v>2237</v>
      </c>
      <c r="J172" s="823" t="s">
        <v>2238</v>
      </c>
      <c r="K172" s="823" t="s">
        <v>2239</v>
      </c>
      <c r="L172" s="826">
        <v>300.33</v>
      </c>
      <c r="M172" s="826">
        <v>300.33</v>
      </c>
      <c r="N172" s="823">
        <v>1</v>
      </c>
      <c r="O172" s="827">
        <v>1</v>
      </c>
      <c r="P172" s="826"/>
      <c r="Q172" s="828">
        <v>0</v>
      </c>
      <c r="R172" s="823"/>
      <c r="S172" s="828">
        <v>0</v>
      </c>
      <c r="T172" s="827"/>
      <c r="U172" s="829">
        <v>0</v>
      </c>
    </row>
    <row r="173" spans="1:21" ht="14.45" customHeight="1" x14ac:dyDescent="0.2">
      <c r="A173" s="822">
        <v>50</v>
      </c>
      <c r="B173" s="823" t="s">
        <v>1887</v>
      </c>
      <c r="C173" s="823" t="s">
        <v>1893</v>
      </c>
      <c r="D173" s="824" t="s">
        <v>2977</v>
      </c>
      <c r="E173" s="825" t="s">
        <v>1904</v>
      </c>
      <c r="F173" s="823" t="s">
        <v>1888</v>
      </c>
      <c r="G173" s="823" t="s">
        <v>1955</v>
      </c>
      <c r="H173" s="823" t="s">
        <v>625</v>
      </c>
      <c r="I173" s="823" t="s">
        <v>1570</v>
      </c>
      <c r="J173" s="823" t="s">
        <v>1568</v>
      </c>
      <c r="K173" s="823" t="s">
        <v>1571</v>
      </c>
      <c r="L173" s="826">
        <v>186.87</v>
      </c>
      <c r="M173" s="826">
        <v>373.74</v>
      </c>
      <c r="N173" s="823">
        <v>2</v>
      </c>
      <c r="O173" s="827">
        <v>1.5</v>
      </c>
      <c r="P173" s="826">
        <v>373.74</v>
      </c>
      <c r="Q173" s="828">
        <v>1</v>
      </c>
      <c r="R173" s="823">
        <v>2</v>
      </c>
      <c r="S173" s="828">
        <v>1</v>
      </c>
      <c r="T173" s="827">
        <v>1.5</v>
      </c>
      <c r="U173" s="829">
        <v>1</v>
      </c>
    </row>
    <row r="174" spans="1:21" ht="14.45" customHeight="1" x14ac:dyDescent="0.2">
      <c r="A174" s="822">
        <v>50</v>
      </c>
      <c r="B174" s="823" t="s">
        <v>1887</v>
      </c>
      <c r="C174" s="823" t="s">
        <v>1893</v>
      </c>
      <c r="D174" s="824" t="s">
        <v>2977</v>
      </c>
      <c r="E174" s="825" t="s">
        <v>1904</v>
      </c>
      <c r="F174" s="823" t="s">
        <v>1888</v>
      </c>
      <c r="G174" s="823" t="s">
        <v>1915</v>
      </c>
      <c r="H174" s="823" t="s">
        <v>329</v>
      </c>
      <c r="I174" s="823" t="s">
        <v>1916</v>
      </c>
      <c r="J174" s="823" t="s">
        <v>1202</v>
      </c>
      <c r="K174" s="823" t="s">
        <v>1917</v>
      </c>
      <c r="L174" s="826">
        <v>73.989999999999995</v>
      </c>
      <c r="M174" s="826">
        <v>73.989999999999995</v>
      </c>
      <c r="N174" s="823">
        <v>1</v>
      </c>
      <c r="O174" s="827">
        <v>0.5</v>
      </c>
      <c r="P174" s="826"/>
      <c r="Q174" s="828">
        <v>0</v>
      </c>
      <c r="R174" s="823"/>
      <c r="S174" s="828">
        <v>0</v>
      </c>
      <c r="T174" s="827"/>
      <c r="U174" s="829">
        <v>0</v>
      </c>
    </row>
    <row r="175" spans="1:21" ht="14.45" customHeight="1" x14ac:dyDescent="0.2">
      <c r="A175" s="822">
        <v>50</v>
      </c>
      <c r="B175" s="823" t="s">
        <v>1887</v>
      </c>
      <c r="C175" s="823" t="s">
        <v>1893</v>
      </c>
      <c r="D175" s="824" t="s">
        <v>2977</v>
      </c>
      <c r="E175" s="825" t="s">
        <v>1904</v>
      </c>
      <c r="F175" s="823" t="s">
        <v>1888</v>
      </c>
      <c r="G175" s="823" t="s">
        <v>1918</v>
      </c>
      <c r="H175" s="823" t="s">
        <v>329</v>
      </c>
      <c r="I175" s="823" t="s">
        <v>2100</v>
      </c>
      <c r="J175" s="823" t="s">
        <v>642</v>
      </c>
      <c r="K175" s="823" t="s">
        <v>2101</v>
      </c>
      <c r="L175" s="826">
        <v>31.65</v>
      </c>
      <c r="M175" s="826">
        <v>31.65</v>
      </c>
      <c r="N175" s="823">
        <v>1</v>
      </c>
      <c r="O175" s="827">
        <v>1</v>
      </c>
      <c r="P175" s="826">
        <v>31.65</v>
      </c>
      <c r="Q175" s="828">
        <v>1</v>
      </c>
      <c r="R175" s="823">
        <v>1</v>
      </c>
      <c r="S175" s="828">
        <v>1</v>
      </c>
      <c r="T175" s="827">
        <v>1</v>
      </c>
      <c r="U175" s="829">
        <v>1</v>
      </c>
    </row>
    <row r="176" spans="1:21" ht="14.45" customHeight="1" x14ac:dyDescent="0.2">
      <c r="A176" s="822">
        <v>50</v>
      </c>
      <c r="B176" s="823" t="s">
        <v>1887</v>
      </c>
      <c r="C176" s="823" t="s">
        <v>1893</v>
      </c>
      <c r="D176" s="824" t="s">
        <v>2977</v>
      </c>
      <c r="E176" s="825" t="s">
        <v>1904</v>
      </c>
      <c r="F176" s="823" t="s">
        <v>1888</v>
      </c>
      <c r="G176" s="823" t="s">
        <v>1918</v>
      </c>
      <c r="H176" s="823" t="s">
        <v>329</v>
      </c>
      <c r="I176" s="823" t="s">
        <v>2240</v>
      </c>
      <c r="J176" s="823" t="s">
        <v>1961</v>
      </c>
      <c r="K176" s="823" t="s">
        <v>2241</v>
      </c>
      <c r="L176" s="826">
        <v>26.37</v>
      </c>
      <c r="M176" s="826">
        <v>26.37</v>
      </c>
      <c r="N176" s="823">
        <v>1</v>
      </c>
      <c r="O176" s="827">
        <v>1</v>
      </c>
      <c r="P176" s="826">
        <v>26.37</v>
      </c>
      <c r="Q176" s="828">
        <v>1</v>
      </c>
      <c r="R176" s="823">
        <v>1</v>
      </c>
      <c r="S176" s="828">
        <v>1</v>
      </c>
      <c r="T176" s="827">
        <v>1</v>
      </c>
      <c r="U176" s="829">
        <v>1</v>
      </c>
    </row>
    <row r="177" spans="1:21" ht="14.45" customHeight="1" x14ac:dyDescent="0.2">
      <c r="A177" s="822">
        <v>50</v>
      </c>
      <c r="B177" s="823" t="s">
        <v>1887</v>
      </c>
      <c r="C177" s="823" t="s">
        <v>1893</v>
      </c>
      <c r="D177" s="824" t="s">
        <v>2977</v>
      </c>
      <c r="E177" s="825" t="s">
        <v>1904</v>
      </c>
      <c r="F177" s="823" t="s">
        <v>1888</v>
      </c>
      <c r="G177" s="823" t="s">
        <v>1918</v>
      </c>
      <c r="H177" s="823" t="s">
        <v>329</v>
      </c>
      <c r="I177" s="823" t="s">
        <v>1960</v>
      </c>
      <c r="J177" s="823" t="s">
        <v>1961</v>
      </c>
      <c r="K177" s="823" t="s">
        <v>1962</v>
      </c>
      <c r="L177" s="826">
        <v>10.55</v>
      </c>
      <c r="M177" s="826">
        <v>10.55</v>
      </c>
      <c r="N177" s="823">
        <v>1</v>
      </c>
      <c r="O177" s="827">
        <v>1</v>
      </c>
      <c r="P177" s="826"/>
      <c r="Q177" s="828">
        <v>0</v>
      </c>
      <c r="R177" s="823"/>
      <c r="S177" s="828">
        <v>0</v>
      </c>
      <c r="T177" s="827"/>
      <c r="U177" s="829">
        <v>0</v>
      </c>
    </row>
    <row r="178" spans="1:21" ht="14.45" customHeight="1" x14ac:dyDescent="0.2">
      <c r="A178" s="822">
        <v>50</v>
      </c>
      <c r="B178" s="823" t="s">
        <v>1887</v>
      </c>
      <c r="C178" s="823" t="s">
        <v>1893</v>
      </c>
      <c r="D178" s="824" t="s">
        <v>2977</v>
      </c>
      <c r="E178" s="825" t="s">
        <v>1904</v>
      </c>
      <c r="F178" s="823" t="s">
        <v>1888</v>
      </c>
      <c r="G178" s="823" t="s">
        <v>1918</v>
      </c>
      <c r="H178" s="823" t="s">
        <v>329</v>
      </c>
      <c r="I178" s="823" t="s">
        <v>2242</v>
      </c>
      <c r="J178" s="823" t="s">
        <v>2243</v>
      </c>
      <c r="K178" s="823" t="s">
        <v>2244</v>
      </c>
      <c r="L178" s="826">
        <v>52.75</v>
      </c>
      <c r="M178" s="826">
        <v>52.75</v>
      </c>
      <c r="N178" s="823">
        <v>1</v>
      </c>
      <c r="O178" s="827">
        <v>1</v>
      </c>
      <c r="P178" s="826"/>
      <c r="Q178" s="828">
        <v>0</v>
      </c>
      <c r="R178" s="823"/>
      <c r="S178" s="828">
        <v>0</v>
      </c>
      <c r="T178" s="827"/>
      <c r="U178" s="829">
        <v>0</v>
      </c>
    </row>
    <row r="179" spans="1:21" ht="14.45" customHeight="1" x14ac:dyDescent="0.2">
      <c r="A179" s="822">
        <v>50</v>
      </c>
      <c r="B179" s="823" t="s">
        <v>1887</v>
      </c>
      <c r="C179" s="823" t="s">
        <v>1893</v>
      </c>
      <c r="D179" s="824" t="s">
        <v>2977</v>
      </c>
      <c r="E179" s="825" t="s">
        <v>1904</v>
      </c>
      <c r="F179" s="823" t="s">
        <v>1888</v>
      </c>
      <c r="G179" s="823" t="s">
        <v>2245</v>
      </c>
      <c r="H179" s="823" t="s">
        <v>625</v>
      </c>
      <c r="I179" s="823" t="s">
        <v>2246</v>
      </c>
      <c r="J179" s="823" t="s">
        <v>2247</v>
      </c>
      <c r="K179" s="823" t="s">
        <v>2248</v>
      </c>
      <c r="L179" s="826">
        <v>115.27</v>
      </c>
      <c r="M179" s="826">
        <v>115.27</v>
      </c>
      <c r="N179" s="823">
        <v>1</v>
      </c>
      <c r="O179" s="827">
        <v>0.5</v>
      </c>
      <c r="P179" s="826"/>
      <c r="Q179" s="828">
        <v>0</v>
      </c>
      <c r="R179" s="823"/>
      <c r="S179" s="828">
        <v>0</v>
      </c>
      <c r="T179" s="827"/>
      <c r="U179" s="829">
        <v>0</v>
      </c>
    </row>
    <row r="180" spans="1:21" ht="14.45" customHeight="1" x14ac:dyDescent="0.2">
      <c r="A180" s="822">
        <v>50</v>
      </c>
      <c r="B180" s="823" t="s">
        <v>1887</v>
      </c>
      <c r="C180" s="823" t="s">
        <v>1893</v>
      </c>
      <c r="D180" s="824" t="s">
        <v>2977</v>
      </c>
      <c r="E180" s="825" t="s">
        <v>1904</v>
      </c>
      <c r="F180" s="823" t="s">
        <v>1888</v>
      </c>
      <c r="G180" s="823" t="s">
        <v>2249</v>
      </c>
      <c r="H180" s="823" t="s">
        <v>329</v>
      </c>
      <c r="I180" s="823" t="s">
        <v>2250</v>
      </c>
      <c r="J180" s="823" t="s">
        <v>2251</v>
      </c>
      <c r="K180" s="823" t="s">
        <v>2252</v>
      </c>
      <c r="L180" s="826">
        <v>2666.33</v>
      </c>
      <c r="M180" s="826">
        <v>2666.33</v>
      </c>
      <c r="N180" s="823">
        <v>1</v>
      </c>
      <c r="O180" s="827">
        <v>0.5</v>
      </c>
      <c r="P180" s="826"/>
      <c r="Q180" s="828">
        <v>0</v>
      </c>
      <c r="R180" s="823"/>
      <c r="S180" s="828">
        <v>0</v>
      </c>
      <c r="T180" s="827"/>
      <c r="U180" s="829">
        <v>0</v>
      </c>
    </row>
    <row r="181" spans="1:21" ht="14.45" customHeight="1" x14ac:dyDescent="0.2">
      <c r="A181" s="822">
        <v>50</v>
      </c>
      <c r="B181" s="823" t="s">
        <v>1887</v>
      </c>
      <c r="C181" s="823" t="s">
        <v>1893</v>
      </c>
      <c r="D181" s="824" t="s">
        <v>2977</v>
      </c>
      <c r="E181" s="825" t="s">
        <v>1904</v>
      </c>
      <c r="F181" s="823" t="s">
        <v>1888</v>
      </c>
      <c r="G181" s="823" t="s">
        <v>2107</v>
      </c>
      <c r="H181" s="823" t="s">
        <v>625</v>
      </c>
      <c r="I181" s="823" t="s">
        <v>2253</v>
      </c>
      <c r="J181" s="823" t="s">
        <v>2109</v>
      </c>
      <c r="K181" s="823" t="s">
        <v>2254</v>
      </c>
      <c r="L181" s="826">
        <v>39.549999999999997</v>
      </c>
      <c r="M181" s="826">
        <v>39.549999999999997</v>
      </c>
      <c r="N181" s="823">
        <v>1</v>
      </c>
      <c r="O181" s="827">
        <v>1</v>
      </c>
      <c r="P181" s="826">
        <v>39.549999999999997</v>
      </c>
      <c r="Q181" s="828">
        <v>1</v>
      </c>
      <c r="R181" s="823">
        <v>1</v>
      </c>
      <c r="S181" s="828">
        <v>1</v>
      </c>
      <c r="T181" s="827">
        <v>1</v>
      </c>
      <c r="U181" s="829">
        <v>1</v>
      </c>
    </row>
    <row r="182" spans="1:21" ht="14.45" customHeight="1" x14ac:dyDescent="0.2">
      <c r="A182" s="822">
        <v>50</v>
      </c>
      <c r="B182" s="823" t="s">
        <v>1887</v>
      </c>
      <c r="C182" s="823" t="s">
        <v>1893</v>
      </c>
      <c r="D182" s="824" t="s">
        <v>2977</v>
      </c>
      <c r="E182" s="825" t="s">
        <v>1904</v>
      </c>
      <c r="F182" s="823" t="s">
        <v>1888</v>
      </c>
      <c r="G182" s="823" t="s">
        <v>2255</v>
      </c>
      <c r="H182" s="823" t="s">
        <v>625</v>
      </c>
      <c r="I182" s="823" t="s">
        <v>1532</v>
      </c>
      <c r="J182" s="823" t="s">
        <v>1533</v>
      </c>
      <c r="K182" s="823" t="s">
        <v>1534</v>
      </c>
      <c r="L182" s="826">
        <v>86.41</v>
      </c>
      <c r="M182" s="826">
        <v>86.41</v>
      </c>
      <c r="N182" s="823">
        <v>1</v>
      </c>
      <c r="O182" s="827">
        <v>1</v>
      </c>
      <c r="P182" s="826"/>
      <c r="Q182" s="828">
        <v>0</v>
      </c>
      <c r="R182" s="823"/>
      <c r="S182" s="828">
        <v>0</v>
      </c>
      <c r="T182" s="827"/>
      <c r="U182" s="829">
        <v>0</v>
      </c>
    </row>
    <row r="183" spans="1:21" ht="14.45" customHeight="1" x14ac:dyDescent="0.2">
      <c r="A183" s="822">
        <v>50</v>
      </c>
      <c r="B183" s="823" t="s">
        <v>1887</v>
      </c>
      <c r="C183" s="823" t="s">
        <v>1893</v>
      </c>
      <c r="D183" s="824" t="s">
        <v>2977</v>
      </c>
      <c r="E183" s="825" t="s">
        <v>1904</v>
      </c>
      <c r="F183" s="823" t="s">
        <v>1888</v>
      </c>
      <c r="G183" s="823" t="s">
        <v>1933</v>
      </c>
      <c r="H183" s="823" t="s">
        <v>329</v>
      </c>
      <c r="I183" s="823" t="s">
        <v>2256</v>
      </c>
      <c r="J183" s="823" t="s">
        <v>1185</v>
      </c>
      <c r="K183" s="823" t="s">
        <v>1187</v>
      </c>
      <c r="L183" s="826">
        <v>38.04</v>
      </c>
      <c r="M183" s="826">
        <v>38.04</v>
      </c>
      <c r="N183" s="823">
        <v>1</v>
      </c>
      <c r="O183" s="827">
        <v>0.5</v>
      </c>
      <c r="P183" s="826">
        <v>38.04</v>
      </c>
      <c r="Q183" s="828">
        <v>1</v>
      </c>
      <c r="R183" s="823">
        <v>1</v>
      </c>
      <c r="S183" s="828">
        <v>1</v>
      </c>
      <c r="T183" s="827">
        <v>0.5</v>
      </c>
      <c r="U183" s="829">
        <v>1</v>
      </c>
    </row>
    <row r="184" spans="1:21" ht="14.45" customHeight="1" x14ac:dyDescent="0.2">
      <c r="A184" s="822">
        <v>50</v>
      </c>
      <c r="B184" s="823" t="s">
        <v>1887</v>
      </c>
      <c r="C184" s="823" t="s">
        <v>1893</v>
      </c>
      <c r="D184" s="824" t="s">
        <v>2977</v>
      </c>
      <c r="E184" s="825" t="s">
        <v>1904</v>
      </c>
      <c r="F184" s="823" t="s">
        <v>1888</v>
      </c>
      <c r="G184" s="823" t="s">
        <v>1933</v>
      </c>
      <c r="H184" s="823" t="s">
        <v>329</v>
      </c>
      <c r="I184" s="823" t="s">
        <v>2118</v>
      </c>
      <c r="J184" s="823" t="s">
        <v>1185</v>
      </c>
      <c r="K184" s="823" t="s">
        <v>2119</v>
      </c>
      <c r="L184" s="826">
        <v>117.03</v>
      </c>
      <c r="M184" s="826">
        <v>117.03</v>
      </c>
      <c r="N184" s="823">
        <v>1</v>
      </c>
      <c r="O184" s="827">
        <v>0.5</v>
      </c>
      <c r="P184" s="826"/>
      <c r="Q184" s="828">
        <v>0</v>
      </c>
      <c r="R184" s="823"/>
      <c r="S184" s="828">
        <v>0</v>
      </c>
      <c r="T184" s="827"/>
      <c r="U184" s="829">
        <v>0</v>
      </c>
    </row>
    <row r="185" spans="1:21" ht="14.45" customHeight="1" x14ac:dyDescent="0.2">
      <c r="A185" s="822">
        <v>50</v>
      </c>
      <c r="B185" s="823" t="s">
        <v>1887</v>
      </c>
      <c r="C185" s="823" t="s">
        <v>1893</v>
      </c>
      <c r="D185" s="824" t="s">
        <v>2977</v>
      </c>
      <c r="E185" s="825" t="s">
        <v>1904</v>
      </c>
      <c r="F185" s="823" t="s">
        <v>1888</v>
      </c>
      <c r="G185" s="823" t="s">
        <v>1966</v>
      </c>
      <c r="H185" s="823" t="s">
        <v>625</v>
      </c>
      <c r="I185" s="823" t="s">
        <v>2257</v>
      </c>
      <c r="J185" s="823" t="s">
        <v>809</v>
      </c>
      <c r="K185" s="823" t="s">
        <v>2258</v>
      </c>
      <c r="L185" s="826">
        <v>2309.36</v>
      </c>
      <c r="M185" s="826">
        <v>4618.72</v>
      </c>
      <c r="N185" s="823">
        <v>2</v>
      </c>
      <c r="O185" s="827">
        <v>1.5</v>
      </c>
      <c r="P185" s="826"/>
      <c r="Q185" s="828">
        <v>0</v>
      </c>
      <c r="R185" s="823"/>
      <c r="S185" s="828">
        <v>0</v>
      </c>
      <c r="T185" s="827"/>
      <c r="U185" s="829">
        <v>0</v>
      </c>
    </row>
    <row r="186" spans="1:21" ht="14.45" customHeight="1" x14ac:dyDescent="0.2">
      <c r="A186" s="822">
        <v>50</v>
      </c>
      <c r="B186" s="823" t="s">
        <v>1887</v>
      </c>
      <c r="C186" s="823" t="s">
        <v>1893</v>
      </c>
      <c r="D186" s="824" t="s">
        <v>2977</v>
      </c>
      <c r="E186" s="825" t="s">
        <v>1904</v>
      </c>
      <c r="F186" s="823" t="s">
        <v>1888</v>
      </c>
      <c r="G186" s="823" t="s">
        <v>1966</v>
      </c>
      <c r="H186" s="823" t="s">
        <v>625</v>
      </c>
      <c r="I186" s="823" t="s">
        <v>1552</v>
      </c>
      <c r="J186" s="823" t="s">
        <v>809</v>
      </c>
      <c r="K186" s="823" t="s">
        <v>1553</v>
      </c>
      <c r="L186" s="826">
        <v>1385.62</v>
      </c>
      <c r="M186" s="826">
        <v>1385.62</v>
      </c>
      <c r="N186" s="823">
        <v>1</v>
      </c>
      <c r="O186" s="827">
        <v>1</v>
      </c>
      <c r="P186" s="826"/>
      <c r="Q186" s="828">
        <v>0</v>
      </c>
      <c r="R186" s="823"/>
      <c r="S186" s="828">
        <v>0</v>
      </c>
      <c r="T186" s="827"/>
      <c r="U186" s="829">
        <v>0</v>
      </c>
    </row>
    <row r="187" spans="1:21" ht="14.45" customHeight="1" x14ac:dyDescent="0.2">
      <c r="A187" s="822">
        <v>50</v>
      </c>
      <c r="B187" s="823" t="s">
        <v>1887</v>
      </c>
      <c r="C187" s="823" t="s">
        <v>1893</v>
      </c>
      <c r="D187" s="824" t="s">
        <v>2977</v>
      </c>
      <c r="E187" s="825" t="s">
        <v>1904</v>
      </c>
      <c r="F187" s="823" t="s">
        <v>1888</v>
      </c>
      <c r="G187" s="823" t="s">
        <v>2120</v>
      </c>
      <c r="H187" s="823" t="s">
        <v>329</v>
      </c>
      <c r="I187" s="823" t="s">
        <v>2259</v>
      </c>
      <c r="J187" s="823" t="s">
        <v>939</v>
      </c>
      <c r="K187" s="823" t="s">
        <v>2260</v>
      </c>
      <c r="L187" s="826">
        <v>35.25</v>
      </c>
      <c r="M187" s="826">
        <v>35.25</v>
      </c>
      <c r="N187" s="823">
        <v>1</v>
      </c>
      <c r="O187" s="827">
        <v>0.5</v>
      </c>
      <c r="P187" s="826">
        <v>35.25</v>
      </c>
      <c r="Q187" s="828">
        <v>1</v>
      </c>
      <c r="R187" s="823">
        <v>1</v>
      </c>
      <c r="S187" s="828">
        <v>1</v>
      </c>
      <c r="T187" s="827">
        <v>0.5</v>
      </c>
      <c r="U187" s="829">
        <v>1</v>
      </c>
    </row>
    <row r="188" spans="1:21" ht="14.45" customHeight="1" x14ac:dyDescent="0.2">
      <c r="A188" s="822">
        <v>50</v>
      </c>
      <c r="B188" s="823" t="s">
        <v>1887</v>
      </c>
      <c r="C188" s="823" t="s">
        <v>1893</v>
      </c>
      <c r="D188" s="824" t="s">
        <v>2977</v>
      </c>
      <c r="E188" s="825" t="s">
        <v>1904</v>
      </c>
      <c r="F188" s="823" t="s">
        <v>1888</v>
      </c>
      <c r="G188" s="823" t="s">
        <v>2261</v>
      </c>
      <c r="H188" s="823" t="s">
        <v>329</v>
      </c>
      <c r="I188" s="823" t="s">
        <v>2262</v>
      </c>
      <c r="J188" s="823" t="s">
        <v>2263</v>
      </c>
      <c r="K188" s="823" t="s">
        <v>2264</v>
      </c>
      <c r="L188" s="826">
        <v>174.59</v>
      </c>
      <c r="M188" s="826">
        <v>174.59</v>
      </c>
      <c r="N188" s="823">
        <v>1</v>
      </c>
      <c r="O188" s="827">
        <v>1</v>
      </c>
      <c r="P188" s="826">
        <v>174.59</v>
      </c>
      <c r="Q188" s="828">
        <v>1</v>
      </c>
      <c r="R188" s="823">
        <v>1</v>
      </c>
      <c r="S188" s="828">
        <v>1</v>
      </c>
      <c r="T188" s="827">
        <v>1</v>
      </c>
      <c r="U188" s="829">
        <v>1</v>
      </c>
    </row>
    <row r="189" spans="1:21" ht="14.45" customHeight="1" x14ac:dyDescent="0.2">
      <c r="A189" s="822">
        <v>50</v>
      </c>
      <c r="B189" s="823" t="s">
        <v>1887</v>
      </c>
      <c r="C189" s="823" t="s">
        <v>1893</v>
      </c>
      <c r="D189" s="824" t="s">
        <v>2977</v>
      </c>
      <c r="E189" s="825" t="s">
        <v>1904</v>
      </c>
      <c r="F189" s="823" t="s">
        <v>1888</v>
      </c>
      <c r="G189" s="823" t="s">
        <v>1973</v>
      </c>
      <c r="H189" s="823" t="s">
        <v>329</v>
      </c>
      <c r="I189" s="823" t="s">
        <v>2265</v>
      </c>
      <c r="J189" s="823" t="s">
        <v>2266</v>
      </c>
      <c r="K189" s="823" t="s">
        <v>2267</v>
      </c>
      <c r="L189" s="826">
        <v>61.76</v>
      </c>
      <c r="M189" s="826">
        <v>61.76</v>
      </c>
      <c r="N189" s="823">
        <v>1</v>
      </c>
      <c r="O189" s="827">
        <v>1</v>
      </c>
      <c r="P189" s="826">
        <v>61.76</v>
      </c>
      <c r="Q189" s="828">
        <v>1</v>
      </c>
      <c r="R189" s="823">
        <v>1</v>
      </c>
      <c r="S189" s="828">
        <v>1</v>
      </c>
      <c r="T189" s="827">
        <v>1</v>
      </c>
      <c r="U189" s="829">
        <v>1</v>
      </c>
    </row>
    <row r="190" spans="1:21" ht="14.45" customHeight="1" x14ac:dyDescent="0.2">
      <c r="A190" s="822">
        <v>50</v>
      </c>
      <c r="B190" s="823" t="s">
        <v>1887</v>
      </c>
      <c r="C190" s="823" t="s">
        <v>1893</v>
      </c>
      <c r="D190" s="824" t="s">
        <v>2977</v>
      </c>
      <c r="E190" s="825" t="s">
        <v>1904</v>
      </c>
      <c r="F190" s="823" t="s">
        <v>1888</v>
      </c>
      <c r="G190" s="823" t="s">
        <v>1921</v>
      </c>
      <c r="H190" s="823" t="s">
        <v>625</v>
      </c>
      <c r="I190" s="823" t="s">
        <v>1624</v>
      </c>
      <c r="J190" s="823" t="s">
        <v>967</v>
      </c>
      <c r="K190" s="823" t="s">
        <v>1625</v>
      </c>
      <c r="L190" s="826">
        <v>103.4</v>
      </c>
      <c r="M190" s="826">
        <v>103.4</v>
      </c>
      <c r="N190" s="823">
        <v>1</v>
      </c>
      <c r="O190" s="827">
        <v>1</v>
      </c>
      <c r="P190" s="826">
        <v>103.4</v>
      </c>
      <c r="Q190" s="828">
        <v>1</v>
      </c>
      <c r="R190" s="823">
        <v>1</v>
      </c>
      <c r="S190" s="828">
        <v>1</v>
      </c>
      <c r="T190" s="827">
        <v>1</v>
      </c>
      <c r="U190" s="829">
        <v>1</v>
      </c>
    </row>
    <row r="191" spans="1:21" ht="14.45" customHeight="1" x14ac:dyDescent="0.2">
      <c r="A191" s="822">
        <v>50</v>
      </c>
      <c r="B191" s="823" t="s">
        <v>1887</v>
      </c>
      <c r="C191" s="823" t="s">
        <v>1893</v>
      </c>
      <c r="D191" s="824" t="s">
        <v>2977</v>
      </c>
      <c r="E191" s="825" t="s">
        <v>1904</v>
      </c>
      <c r="F191" s="823" t="s">
        <v>1888</v>
      </c>
      <c r="G191" s="823" t="s">
        <v>2268</v>
      </c>
      <c r="H191" s="823" t="s">
        <v>625</v>
      </c>
      <c r="I191" s="823" t="s">
        <v>2269</v>
      </c>
      <c r="J191" s="823" t="s">
        <v>2270</v>
      </c>
      <c r="K191" s="823" t="s">
        <v>2271</v>
      </c>
      <c r="L191" s="826">
        <v>704.73</v>
      </c>
      <c r="M191" s="826">
        <v>704.73</v>
      </c>
      <c r="N191" s="823">
        <v>1</v>
      </c>
      <c r="O191" s="827">
        <v>0.5</v>
      </c>
      <c r="P191" s="826">
        <v>704.73</v>
      </c>
      <c r="Q191" s="828">
        <v>1</v>
      </c>
      <c r="R191" s="823">
        <v>1</v>
      </c>
      <c r="S191" s="828">
        <v>1</v>
      </c>
      <c r="T191" s="827">
        <v>0.5</v>
      </c>
      <c r="U191" s="829">
        <v>1</v>
      </c>
    </row>
    <row r="192" spans="1:21" ht="14.45" customHeight="1" x14ac:dyDescent="0.2">
      <c r="A192" s="822">
        <v>50</v>
      </c>
      <c r="B192" s="823" t="s">
        <v>1887</v>
      </c>
      <c r="C192" s="823" t="s">
        <v>1893</v>
      </c>
      <c r="D192" s="824" t="s">
        <v>2977</v>
      </c>
      <c r="E192" s="825" t="s">
        <v>1904</v>
      </c>
      <c r="F192" s="823" t="s">
        <v>1888</v>
      </c>
      <c r="G192" s="823" t="s">
        <v>2146</v>
      </c>
      <c r="H192" s="823" t="s">
        <v>625</v>
      </c>
      <c r="I192" s="823" t="s">
        <v>2272</v>
      </c>
      <c r="J192" s="823" t="s">
        <v>1628</v>
      </c>
      <c r="K192" s="823" t="s">
        <v>2273</v>
      </c>
      <c r="L192" s="826">
        <v>7.47</v>
      </c>
      <c r="M192" s="826">
        <v>7.47</v>
      </c>
      <c r="N192" s="823">
        <v>1</v>
      </c>
      <c r="O192" s="827">
        <v>1</v>
      </c>
      <c r="P192" s="826"/>
      <c r="Q192" s="828">
        <v>0</v>
      </c>
      <c r="R192" s="823"/>
      <c r="S192" s="828">
        <v>0</v>
      </c>
      <c r="T192" s="827"/>
      <c r="U192" s="829">
        <v>0</v>
      </c>
    </row>
    <row r="193" spans="1:21" ht="14.45" customHeight="1" x14ac:dyDescent="0.2">
      <c r="A193" s="822">
        <v>50</v>
      </c>
      <c r="B193" s="823" t="s">
        <v>1887</v>
      </c>
      <c r="C193" s="823" t="s">
        <v>1893</v>
      </c>
      <c r="D193" s="824" t="s">
        <v>2977</v>
      </c>
      <c r="E193" s="825" t="s">
        <v>1904</v>
      </c>
      <c r="F193" s="823" t="s">
        <v>1888</v>
      </c>
      <c r="G193" s="823" t="s">
        <v>2146</v>
      </c>
      <c r="H193" s="823" t="s">
        <v>625</v>
      </c>
      <c r="I193" s="823" t="s">
        <v>2274</v>
      </c>
      <c r="J193" s="823" t="s">
        <v>1628</v>
      </c>
      <c r="K193" s="823" t="s">
        <v>2275</v>
      </c>
      <c r="L193" s="826">
        <v>114.88</v>
      </c>
      <c r="M193" s="826">
        <v>229.76</v>
      </c>
      <c r="N193" s="823">
        <v>2</v>
      </c>
      <c r="O193" s="827">
        <v>1</v>
      </c>
      <c r="P193" s="826">
        <v>114.88</v>
      </c>
      <c r="Q193" s="828">
        <v>0.5</v>
      </c>
      <c r="R193" s="823">
        <v>1</v>
      </c>
      <c r="S193" s="828">
        <v>0.5</v>
      </c>
      <c r="T193" s="827">
        <v>0.5</v>
      </c>
      <c r="U193" s="829">
        <v>0.5</v>
      </c>
    </row>
    <row r="194" spans="1:21" ht="14.45" customHeight="1" x14ac:dyDescent="0.2">
      <c r="A194" s="822">
        <v>50</v>
      </c>
      <c r="B194" s="823" t="s">
        <v>1887</v>
      </c>
      <c r="C194" s="823" t="s">
        <v>1893</v>
      </c>
      <c r="D194" s="824" t="s">
        <v>2977</v>
      </c>
      <c r="E194" s="825" t="s">
        <v>1904</v>
      </c>
      <c r="F194" s="823" t="s">
        <v>1888</v>
      </c>
      <c r="G194" s="823" t="s">
        <v>1985</v>
      </c>
      <c r="H194" s="823" t="s">
        <v>329</v>
      </c>
      <c r="I194" s="823" t="s">
        <v>2276</v>
      </c>
      <c r="J194" s="823" t="s">
        <v>998</v>
      </c>
      <c r="K194" s="823" t="s">
        <v>2277</v>
      </c>
      <c r="L194" s="826">
        <v>64.349999999999994</v>
      </c>
      <c r="M194" s="826">
        <v>64.349999999999994</v>
      </c>
      <c r="N194" s="823">
        <v>1</v>
      </c>
      <c r="O194" s="827">
        <v>1</v>
      </c>
      <c r="P194" s="826"/>
      <c r="Q194" s="828">
        <v>0</v>
      </c>
      <c r="R194" s="823"/>
      <c r="S194" s="828">
        <v>0</v>
      </c>
      <c r="T194" s="827"/>
      <c r="U194" s="829">
        <v>0</v>
      </c>
    </row>
    <row r="195" spans="1:21" ht="14.45" customHeight="1" x14ac:dyDescent="0.2">
      <c r="A195" s="822">
        <v>50</v>
      </c>
      <c r="B195" s="823" t="s">
        <v>1887</v>
      </c>
      <c r="C195" s="823" t="s">
        <v>1893</v>
      </c>
      <c r="D195" s="824" t="s">
        <v>2977</v>
      </c>
      <c r="E195" s="825" t="s">
        <v>1904</v>
      </c>
      <c r="F195" s="823" t="s">
        <v>1888</v>
      </c>
      <c r="G195" s="823" t="s">
        <v>1988</v>
      </c>
      <c r="H195" s="823" t="s">
        <v>329</v>
      </c>
      <c r="I195" s="823" t="s">
        <v>2157</v>
      </c>
      <c r="J195" s="823" t="s">
        <v>1047</v>
      </c>
      <c r="K195" s="823" t="s">
        <v>2158</v>
      </c>
      <c r="L195" s="826">
        <v>210.38</v>
      </c>
      <c r="M195" s="826">
        <v>210.38</v>
      </c>
      <c r="N195" s="823">
        <v>1</v>
      </c>
      <c r="O195" s="827">
        <v>0.5</v>
      </c>
      <c r="P195" s="826"/>
      <c r="Q195" s="828">
        <v>0</v>
      </c>
      <c r="R195" s="823"/>
      <c r="S195" s="828">
        <v>0</v>
      </c>
      <c r="T195" s="827"/>
      <c r="U195" s="829">
        <v>0</v>
      </c>
    </row>
    <row r="196" spans="1:21" ht="14.45" customHeight="1" x14ac:dyDescent="0.2">
      <c r="A196" s="822">
        <v>50</v>
      </c>
      <c r="B196" s="823" t="s">
        <v>1887</v>
      </c>
      <c r="C196" s="823" t="s">
        <v>1893</v>
      </c>
      <c r="D196" s="824" t="s">
        <v>2977</v>
      </c>
      <c r="E196" s="825" t="s">
        <v>1904</v>
      </c>
      <c r="F196" s="823" t="s">
        <v>1888</v>
      </c>
      <c r="G196" s="823" t="s">
        <v>1988</v>
      </c>
      <c r="H196" s="823" t="s">
        <v>329</v>
      </c>
      <c r="I196" s="823" t="s">
        <v>1989</v>
      </c>
      <c r="J196" s="823" t="s">
        <v>1047</v>
      </c>
      <c r="K196" s="823" t="s">
        <v>1990</v>
      </c>
      <c r="L196" s="826">
        <v>42.08</v>
      </c>
      <c r="M196" s="826">
        <v>42.08</v>
      </c>
      <c r="N196" s="823">
        <v>1</v>
      </c>
      <c r="O196" s="827">
        <v>1</v>
      </c>
      <c r="P196" s="826"/>
      <c r="Q196" s="828">
        <v>0</v>
      </c>
      <c r="R196" s="823"/>
      <c r="S196" s="828">
        <v>0</v>
      </c>
      <c r="T196" s="827"/>
      <c r="U196" s="829">
        <v>0</v>
      </c>
    </row>
    <row r="197" spans="1:21" ht="14.45" customHeight="1" x14ac:dyDescent="0.2">
      <c r="A197" s="822">
        <v>50</v>
      </c>
      <c r="B197" s="823" t="s">
        <v>1887</v>
      </c>
      <c r="C197" s="823" t="s">
        <v>1893</v>
      </c>
      <c r="D197" s="824" t="s">
        <v>2977</v>
      </c>
      <c r="E197" s="825" t="s">
        <v>1904</v>
      </c>
      <c r="F197" s="823" t="s">
        <v>1888</v>
      </c>
      <c r="G197" s="823" t="s">
        <v>1997</v>
      </c>
      <c r="H197" s="823" t="s">
        <v>329</v>
      </c>
      <c r="I197" s="823" t="s">
        <v>1998</v>
      </c>
      <c r="J197" s="823" t="s">
        <v>1999</v>
      </c>
      <c r="K197" s="823" t="s">
        <v>2000</v>
      </c>
      <c r="L197" s="826">
        <v>93.43</v>
      </c>
      <c r="M197" s="826">
        <v>186.86</v>
      </c>
      <c r="N197" s="823">
        <v>2</v>
      </c>
      <c r="O197" s="827">
        <v>2</v>
      </c>
      <c r="P197" s="826">
        <v>93.43</v>
      </c>
      <c r="Q197" s="828">
        <v>0.5</v>
      </c>
      <c r="R197" s="823">
        <v>1</v>
      </c>
      <c r="S197" s="828">
        <v>0.5</v>
      </c>
      <c r="T197" s="827">
        <v>1</v>
      </c>
      <c r="U197" s="829">
        <v>0.5</v>
      </c>
    </row>
    <row r="198" spans="1:21" ht="14.45" customHeight="1" x14ac:dyDescent="0.2">
      <c r="A198" s="822">
        <v>50</v>
      </c>
      <c r="B198" s="823" t="s">
        <v>1887</v>
      </c>
      <c r="C198" s="823" t="s">
        <v>1893</v>
      </c>
      <c r="D198" s="824" t="s">
        <v>2977</v>
      </c>
      <c r="E198" s="825" t="s">
        <v>1904</v>
      </c>
      <c r="F198" s="823" t="s">
        <v>1888</v>
      </c>
      <c r="G198" s="823" t="s">
        <v>2001</v>
      </c>
      <c r="H198" s="823" t="s">
        <v>625</v>
      </c>
      <c r="I198" s="823" t="s">
        <v>2186</v>
      </c>
      <c r="J198" s="823" t="s">
        <v>2187</v>
      </c>
      <c r="K198" s="823" t="s">
        <v>2188</v>
      </c>
      <c r="L198" s="826">
        <v>120.61</v>
      </c>
      <c r="M198" s="826">
        <v>241.22</v>
      </c>
      <c r="N198" s="823">
        <v>2</v>
      </c>
      <c r="O198" s="827">
        <v>1.5</v>
      </c>
      <c r="P198" s="826">
        <v>120.61</v>
      </c>
      <c r="Q198" s="828">
        <v>0.5</v>
      </c>
      <c r="R198" s="823">
        <v>1</v>
      </c>
      <c r="S198" s="828">
        <v>0.5</v>
      </c>
      <c r="T198" s="827">
        <v>0.5</v>
      </c>
      <c r="U198" s="829">
        <v>0.33333333333333331</v>
      </c>
    </row>
    <row r="199" spans="1:21" ht="14.45" customHeight="1" x14ac:dyDescent="0.2">
      <c r="A199" s="822">
        <v>50</v>
      </c>
      <c r="B199" s="823" t="s">
        <v>1887</v>
      </c>
      <c r="C199" s="823" t="s">
        <v>1893</v>
      </c>
      <c r="D199" s="824" t="s">
        <v>2977</v>
      </c>
      <c r="E199" s="825" t="s">
        <v>1904</v>
      </c>
      <c r="F199" s="823" t="s">
        <v>1888</v>
      </c>
      <c r="G199" s="823" t="s">
        <v>2001</v>
      </c>
      <c r="H199" s="823" t="s">
        <v>329</v>
      </c>
      <c r="I199" s="823" t="s">
        <v>2278</v>
      </c>
      <c r="J199" s="823" t="s">
        <v>2187</v>
      </c>
      <c r="K199" s="823" t="s">
        <v>2275</v>
      </c>
      <c r="L199" s="826">
        <v>184.74</v>
      </c>
      <c r="M199" s="826">
        <v>184.74</v>
      </c>
      <c r="N199" s="823">
        <v>1</v>
      </c>
      <c r="O199" s="827">
        <v>0.5</v>
      </c>
      <c r="P199" s="826"/>
      <c r="Q199" s="828">
        <v>0</v>
      </c>
      <c r="R199" s="823"/>
      <c r="S199" s="828">
        <v>0</v>
      </c>
      <c r="T199" s="827"/>
      <c r="U199" s="829">
        <v>0</v>
      </c>
    </row>
    <row r="200" spans="1:21" ht="14.45" customHeight="1" x14ac:dyDescent="0.2">
      <c r="A200" s="822">
        <v>50</v>
      </c>
      <c r="B200" s="823" t="s">
        <v>1887</v>
      </c>
      <c r="C200" s="823" t="s">
        <v>1893</v>
      </c>
      <c r="D200" s="824" t="s">
        <v>2977</v>
      </c>
      <c r="E200" s="825" t="s">
        <v>1904</v>
      </c>
      <c r="F200" s="823" t="s">
        <v>1888</v>
      </c>
      <c r="G200" s="823" t="s">
        <v>2002</v>
      </c>
      <c r="H200" s="823" t="s">
        <v>625</v>
      </c>
      <c r="I200" s="823" t="s">
        <v>2190</v>
      </c>
      <c r="J200" s="823" t="s">
        <v>1574</v>
      </c>
      <c r="K200" s="823" t="s">
        <v>2191</v>
      </c>
      <c r="L200" s="826">
        <v>4961.1400000000003</v>
      </c>
      <c r="M200" s="826">
        <v>4961.1400000000003</v>
      </c>
      <c r="N200" s="823">
        <v>1</v>
      </c>
      <c r="O200" s="827">
        <v>1</v>
      </c>
      <c r="P200" s="826"/>
      <c r="Q200" s="828">
        <v>0</v>
      </c>
      <c r="R200" s="823"/>
      <c r="S200" s="828">
        <v>0</v>
      </c>
      <c r="T200" s="827"/>
      <c r="U200" s="829">
        <v>0</v>
      </c>
    </row>
    <row r="201" spans="1:21" ht="14.45" customHeight="1" x14ac:dyDescent="0.2">
      <c r="A201" s="822">
        <v>50</v>
      </c>
      <c r="B201" s="823" t="s">
        <v>1887</v>
      </c>
      <c r="C201" s="823" t="s">
        <v>1893</v>
      </c>
      <c r="D201" s="824" t="s">
        <v>2977</v>
      </c>
      <c r="E201" s="825" t="s">
        <v>1904</v>
      </c>
      <c r="F201" s="823" t="s">
        <v>1888</v>
      </c>
      <c r="G201" s="823" t="s">
        <v>2279</v>
      </c>
      <c r="H201" s="823" t="s">
        <v>329</v>
      </c>
      <c r="I201" s="823" t="s">
        <v>2280</v>
      </c>
      <c r="J201" s="823" t="s">
        <v>2281</v>
      </c>
      <c r="K201" s="823" t="s">
        <v>2282</v>
      </c>
      <c r="L201" s="826">
        <v>109.17</v>
      </c>
      <c r="M201" s="826">
        <v>109.17</v>
      </c>
      <c r="N201" s="823">
        <v>1</v>
      </c>
      <c r="O201" s="827">
        <v>1</v>
      </c>
      <c r="P201" s="826"/>
      <c r="Q201" s="828">
        <v>0</v>
      </c>
      <c r="R201" s="823"/>
      <c r="S201" s="828">
        <v>0</v>
      </c>
      <c r="T201" s="827"/>
      <c r="U201" s="829">
        <v>0</v>
      </c>
    </row>
    <row r="202" spans="1:21" ht="14.45" customHeight="1" x14ac:dyDescent="0.2">
      <c r="A202" s="822">
        <v>50</v>
      </c>
      <c r="B202" s="823" t="s">
        <v>1887</v>
      </c>
      <c r="C202" s="823" t="s">
        <v>1893</v>
      </c>
      <c r="D202" s="824" t="s">
        <v>2977</v>
      </c>
      <c r="E202" s="825" t="s">
        <v>1904</v>
      </c>
      <c r="F202" s="823" t="s">
        <v>1888</v>
      </c>
      <c r="G202" s="823" t="s">
        <v>2196</v>
      </c>
      <c r="H202" s="823" t="s">
        <v>329</v>
      </c>
      <c r="I202" s="823" t="s">
        <v>2283</v>
      </c>
      <c r="J202" s="823" t="s">
        <v>2198</v>
      </c>
      <c r="K202" s="823" t="s">
        <v>2284</v>
      </c>
      <c r="L202" s="826">
        <v>166.76</v>
      </c>
      <c r="M202" s="826">
        <v>166.76</v>
      </c>
      <c r="N202" s="823">
        <v>1</v>
      </c>
      <c r="O202" s="827">
        <v>1</v>
      </c>
      <c r="P202" s="826"/>
      <c r="Q202" s="828">
        <v>0</v>
      </c>
      <c r="R202" s="823"/>
      <c r="S202" s="828">
        <v>0</v>
      </c>
      <c r="T202" s="827"/>
      <c r="U202" s="829">
        <v>0</v>
      </c>
    </row>
    <row r="203" spans="1:21" ht="14.45" customHeight="1" x14ac:dyDescent="0.2">
      <c r="A203" s="822">
        <v>50</v>
      </c>
      <c r="B203" s="823" t="s">
        <v>1887</v>
      </c>
      <c r="C203" s="823" t="s">
        <v>1893</v>
      </c>
      <c r="D203" s="824" t="s">
        <v>2977</v>
      </c>
      <c r="E203" s="825" t="s">
        <v>1904</v>
      </c>
      <c r="F203" s="823" t="s">
        <v>1888</v>
      </c>
      <c r="G203" s="823" t="s">
        <v>2202</v>
      </c>
      <c r="H203" s="823" t="s">
        <v>625</v>
      </c>
      <c r="I203" s="823" t="s">
        <v>2285</v>
      </c>
      <c r="J203" s="823" t="s">
        <v>1653</v>
      </c>
      <c r="K203" s="823" t="s">
        <v>2286</v>
      </c>
      <c r="L203" s="826">
        <v>49.08</v>
      </c>
      <c r="M203" s="826">
        <v>49.08</v>
      </c>
      <c r="N203" s="823">
        <v>1</v>
      </c>
      <c r="O203" s="827">
        <v>0.5</v>
      </c>
      <c r="P203" s="826"/>
      <c r="Q203" s="828">
        <v>0</v>
      </c>
      <c r="R203" s="823"/>
      <c r="S203" s="828">
        <v>0</v>
      </c>
      <c r="T203" s="827"/>
      <c r="U203" s="829">
        <v>0</v>
      </c>
    </row>
    <row r="204" spans="1:21" ht="14.45" customHeight="1" x14ac:dyDescent="0.2">
      <c r="A204" s="822">
        <v>50</v>
      </c>
      <c r="B204" s="823" t="s">
        <v>1887</v>
      </c>
      <c r="C204" s="823" t="s">
        <v>1893</v>
      </c>
      <c r="D204" s="824" t="s">
        <v>2977</v>
      </c>
      <c r="E204" s="825" t="s">
        <v>1905</v>
      </c>
      <c r="F204" s="823" t="s">
        <v>1888</v>
      </c>
      <c r="G204" s="823" t="s">
        <v>2287</v>
      </c>
      <c r="H204" s="823" t="s">
        <v>329</v>
      </c>
      <c r="I204" s="823" t="s">
        <v>2288</v>
      </c>
      <c r="J204" s="823" t="s">
        <v>2289</v>
      </c>
      <c r="K204" s="823" t="s">
        <v>2290</v>
      </c>
      <c r="L204" s="826">
        <v>300.31</v>
      </c>
      <c r="M204" s="826">
        <v>300.31</v>
      </c>
      <c r="N204" s="823">
        <v>1</v>
      </c>
      <c r="O204" s="827">
        <v>1</v>
      </c>
      <c r="P204" s="826"/>
      <c r="Q204" s="828">
        <v>0</v>
      </c>
      <c r="R204" s="823"/>
      <c r="S204" s="828">
        <v>0</v>
      </c>
      <c r="T204" s="827"/>
      <c r="U204" s="829">
        <v>0</v>
      </c>
    </row>
    <row r="205" spans="1:21" ht="14.45" customHeight="1" x14ac:dyDescent="0.2">
      <c r="A205" s="822">
        <v>50</v>
      </c>
      <c r="B205" s="823" t="s">
        <v>1887</v>
      </c>
      <c r="C205" s="823" t="s">
        <v>1893</v>
      </c>
      <c r="D205" s="824" t="s">
        <v>2977</v>
      </c>
      <c r="E205" s="825" t="s">
        <v>1905</v>
      </c>
      <c r="F205" s="823" t="s">
        <v>1888</v>
      </c>
      <c r="G205" s="823" t="s">
        <v>1940</v>
      </c>
      <c r="H205" s="823" t="s">
        <v>625</v>
      </c>
      <c r="I205" s="823" t="s">
        <v>1705</v>
      </c>
      <c r="J205" s="823" t="s">
        <v>626</v>
      </c>
      <c r="K205" s="823" t="s">
        <v>627</v>
      </c>
      <c r="L205" s="826">
        <v>65.28</v>
      </c>
      <c r="M205" s="826">
        <v>195.84</v>
      </c>
      <c r="N205" s="823">
        <v>3</v>
      </c>
      <c r="O205" s="827">
        <v>1</v>
      </c>
      <c r="P205" s="826"/>
      <c r="Q205" s="828">
        <v>0</v>
      </c>
      <c r="R205" s="823"/>
      <c r="S205" s="828">
        <v>0</v>
      </c>
      <c r="T205" s="827"/>
      <c r="U205" s="829">
        <v>0</v>
      </c>
    </row>
    <row r="206" spans="1:21" ht="14.45" customHeight="1" x14ac:dyDescent="0.2">
      <c r="A206" s="822">
        <v>50</v>
      </c>
      <c r="B206" s="823" t="s">
        <v>1887</v>
      </c>
      <c r="C206" s="823" t="s">
        <v>1893</v>
      </c>
      <c r="D206" s="824" t="s">
        <v>2977</v>
      </c>
      <c r="E206" s="825" t="s">
        <v>1905</v>
      </c>
      <c r="F206" s="823" t="s">
        <v>1888</v>
      </c>
      <c r="G206" s="823" t="s">
        <v>1944</v>
      </c>
      <c r="H206" s="823" t="s">
        <v>625</v>
      </c>
      <c r="I206" s="823" t="s">
        <v>1581</v>
      </c>
      <c r="J206" s="823" t="s">
        <v>712</v>
      </c>
      <c r="K206" s="823" t="s">
        <v>1582</v>
      </c>
      <c r="L206" s="826">
        <v>80.010000000000005</v>
      </c>
      <c r="M206" s="826">
        <v>480.06</v>
      </c>
      <c r="N206" s="823">
        <v>6</v>
      </c>
      <c r="O206" s="827">
        <v>5</v>
      </c>
      <c r="P206" s="826">
        <v>80.010000000000005</v>
      </c>
      <c r="Q206" s="828">
        <v>0.16666666666666669</v>
      </c>
      <c r="R206" s="823">
        <v>1</v>
      </c>
      <c r="S206" s="828">
        <v>0.16666666666666666</v>
      </c>
      <c r="T206" s="827">
        <v>1</v>
      </c>
      <c r="U206" s="829">
        <v>0.2</v>
      </c>
    </row>
    <row r="207" spans="1:21" ht="14.45" customHeight="1" x14ac:dyDescent="0.2">
      <c r="A207" s="822">
        <v>50</v>
      </c>
      <c r="B207" s="823" t="s">
        <v>1887</v>
      </c>
      <c r="C207" s="823" t="s">
        <v>1893</v>
      </c>
      <c r="D207" s="824" t="s">
        <v>2977</v>
      </c>
      <c r="E207" s="825" t="s">
        <v>1905</v>
      </c>
      <c r="F207" s="823" t="s">
        <v>1888</v>
      </c>
      <c r="G207" s="823" t="s">
        <v>1932</v>
      </c>
      <c r="H207" s="823" t="s">
        <v>625</v>
      </c>
      <c r="I207" s="823" t="s">
        <v>1796</v>
      </c>
      <c r="J207" s="823" t="s">
        <v>1639</v>
      </c>
      <c r="K207" s="823" t="s">
        <v>1797</v>
      </c>
      <c r="L207" s="826">
        <v>220.53</v>
      </c>
      <c r="M207" s="826">
        <v>220.53</v>
      </c>
      <c r="N207" s="823">
        <v>1</v>
      </c>
      <c r="O207" s="827">
        <v>0.5</v>
      </c>
      <c r="P207" s="826">
        <v>220.53</v>
      </c>
      <c r="Q207" s="828">
        <v>1</v>
      </c>
      <c r="R207" s="823">
        <v>1</v>
      </c>
      <c r="S207" s="828">
        <v>1</v>
      </c>
      <c r="T207" s="827">
        <v>0.5</v>
      </c>
      <c r="U207" s="829">
        <v>1</v>
      </c>
    </row>
    <row r="208" spans="1:21" ht="14.45" customHeight="1" x14ac:dyDescent="0.2">
      <c r="A208" s="822">
        <v>50</v>
      </c>
      <c r="B208" s="823" t="s">
        <v>1887</v>
      </c>
      <c r="C208" s="823" t="s">
        <v>1893</v>
      </c>
      <c r="D208" s="824" t="s">
        <v>2977</v>
      </c>
      <c r="E208" s="825" t="s">
        <v>1905</v>
      </c>
      <c r="F208" s="823" t="s">
        <v>1888</v>
      </c>
      <c r="G208" s="823" t="s">
        <v>1932</v>
      </c>
      <c r="H208" s="823" t="s">
        <v>625</v>
      </c>
      <c r="I208" s="823" t="s">
        <v>1796</v>
      </c>
      <c r="J208" s="823" t="s">
        <v>1639</v>
      </c>
      <c r="K208" s="823" t="s">
        <v>1797</v>
      </c>
      <c r="L208" s="826">
        <v>130.51</v>
      </c>
      <c r="M208" s="826">
        <v>130.51</v>
      </c>
      <c r="N208" s="823">
        <v>1</v>
      </c>
      <c r="O208" s="827">
        <v>0.5</v>
      </c>
      <c r="P208" s="826">
        <v>130.51</v>
      </c>
      <c r="Q208" s="828">
        <v>1</v>
      </c>
      <c r="R208" s="823">
        <v>1</v>
      </c>
      <c r="S208" s="828">
        <v>1</v>
      </c>
      <c r="T208" s="827">
        <v>0.5</v>
      </c>
      <c r="U208" s="829">
        <v>1</v>
      </c>
    </row>
    <row r="209" spans="1:21" ht="14.45" customHeight="1" x14ac:dyDescent="0.2">
      <c r="A209" s="822">
        <v>50</v>
      </c>
      <c r="B209" s="823" t="s">
        <v>1887</v>
      </c>
      <c r="C209" s="823" t="s">
        <v>1893</v>
      </c>
      <c r="D209" s="824" t="s">
        <v>2977</v>
      </c>
      <c r="E209" s="825" t="s">
        <v>1905</v>
      </c>
      <c r="F209" s="823" t="s">
        <v>1888</v>
      </c>
      <c r="G209" s="823" t="s">
        <v>1932</v>
      </c>
      <c r="H209" s="823" t="s">
        <v>329</v>
      </c>
      <c r="I209" s="823" t="s">
        <v>1638</v>
      </c>
      <c r="J209" s="823" t="s">
        <v>1639</v>
      </c>
      <c r="K209" s="823" t="s">
        <v>1640</v>
      </c>
      <c r="L209" s="826">
        <v>143.35</v>
      </c>
      <c r="M209" s="826">
        <v>286.7</v>
      </c>
      <c r="N209" s="823">
        <v>2</v>
      </c>
      <c r="O209" s="827">
        <v>2</v>
      </c>
      <c r="P209" s="826"/>
      <c r="Q209" s="828">
        <v>0</v>
      </c>
      <c r="R209" s="823"/>
      <c r="S209" s="828">
        <v>0</v>
      </c>
      <c r="T209" s="827"/>
      <c r="U209" s="829">
        <v>0</v>
      </c>
    </row>
    <row r="210" spans="1:21" ht="14.45" customHeight="1" x14ac:dyDescent="0.2">
      <c r="A210" s="822">
        <v>50</v>
      </c>
      <c r="B210" s="823" t="s">
        <v>1887</v>
      </c>
      <c r="C210" s="823" t="s">
        <v>1893</v>
      </c>
      <c r="D210" s="824" t="s">
        <v>2977</v>
      </c>
      <c r="E210" s="825" t="s">
        <v>1905</v>
      </c>
      <c r="F210" s="823" t="s">
        <v>1888</v>
      </c>
      <c r="G210" s="823" t="s">
        <v>1932</v>
      </c>
      <c r="H210" s="823" t="s">
        <v>625</v>
      </c>
      <c r="I210" s="823" t="s">
        <v>2291</v>
      </c>
      <c r="J210" s="823" t="s">
        <v>1636</v>
      </c>
      <c r="K210" s="823" t="s">
        <v>2292</v>
      </c>
      <c r="L210" s="826">
        <v>55.14</v>
      </c>
      <c r="M210" s="826">
        <v>55.14</v>
      </c>
      <c r="N210" s="823">
        <v>1</v>
      </c>
      <c r="O210" s="827">
        <v>0.5</v>
      </c>
      <c r="P210" s="826"/>
      <c r="Q210" s="828">
        <v>0</v>
      </c>
      <c r="R210" s="823"/>
      <c r="S210" s="828">
        <v>0</v>
      </c>
      <c r="T210" s="827"/>
      <c r="U210" s="829">
        <v>0</v>
      </c>
    </row>
    <row r="211" spans="1:21" ht="14.45" customHeight="1" x14ac:dyDescent="0.2">
      <c r="A211" s="822">
        <v>50</v>
      </c>
      <c r="B211" s="823" t="s">
        <v>1887</v>
      </c>
      <c r="C211" s="823" t="s">
        <v>1893</v>
      </c>
      <c r="D211" s="824" t="s">
        <v>2977</v>
      </c>
      <c r="E211" s="825" t="s">
        <v>1905</v>
      </c>
      <c r="F211" s="823" t="s">
        <v>1888</v>
      </c>
      <c r="G211" s="823" t="s">
        <v>1932</v>
      </c>
      <c r="H211" s="823" t="s">
        <v>329</v>
      </c>
      <c r="I211" s="823" t="s">
        <v>2293</v>
      </c>
      <c r="J211" s="823" t="s">
        <v>2294</v>
      </c>
      <c r="K211" s="823" t="s">
        <v>1640</v>
      </c>
      <c r="L211" s="826">
        <v>143.35</v>
      </c>
      <c r="M211" s="826">
        <v>143.35</v>
      </c>
      <c r="N211" s="823">
        <v>1</v>
      </c>
      <c r="O211" s="827">
        <v>1</v>
      </c>
      <c r="P211" s="826"/>
      <c r="Q211" s="828">
        <v>0</v>
      </c>
      <c r="R211" s="823"/>
      <c r="S211" s="828">
        <v>0</v>
      </c>
      <c r="T211" s="827"/>
      <c r="U211" s="829">
        <v>0</v>
      </c>
    </row>
    <row r="212" spans="1:21" ht="14.45" customHeight="1" x14ac:dyDescent="0.2">
      <c r="A212" s="822">
        <v>50</v>
      </c>
      <c r="B212" s="823" t="s">
        <v>1887</v>
      </c>
      <c r="C212" s="823" t="s">
        <v>1893</v>
      </c>
      <c r="D212" s="824" t="s">
        <v>2977</v>
      </c>
      <c r="E212" s="825" t="s">
        <v>1905</v>
      </c>
      <c r="F212" s="823" t="s">
        <v>1888</v>
      </c>
      <c r="G212" s="823" t="s">
        <v>1914</v>
      </c>
      <c r="H212" s="823" t="s">
        <v>329</v>
      </c>
      <c r="I212" s="823" t="s">
        <v>1948</v>
      </c>
      <c r="J212" s="823" t="s">
        <v>1949</v>
      </c>
      <c r="K212" s="823" t="s">
        <v>1923</v>
      </c>
      <c r="L212" s="826">
        <v>35.11</v>
      </c>
      <c r="M212" s="826">
        <v>70.22</v>
      </c>
      <c r="N212" s="823">
        <v>2</v>
      </c>
      <c r="O212" s="827">
        <v>2</v>
      </c>
      <c r="P212" s="826"/>
      <c r="Q212" s="828">
        <v>0</v>
      </c>
      <c r="R212" s="823"/>
      <c r="S212" s="828">
        <v>0</v>
      </c>
      <c r="T212" s="827"/>
      <c r="U212" s="829">
        <v>0</v>
      </c>
    </row>
    <row r="213" spans="1:21" ht="14.45" customHeight="1" x14ac:dyDescent="0.2">
      <c r="A213" s="822">
        <v>50</v>
      </c>
      <c r="B213" s="823" t="s">
        <v>1887</v>
      </c>
      <c r="C213" s="823" t="s">
        <v>1893</v>
      </c>
      <c r="D213" s="824" t="s">
        <v>2977</v>
      </c>
      <c r="E213" s="825" t="s">
        <v>1905</v>
      </c>
      <c r="F213" s="823" t="s">
        <v>1888</v>
      </c>
      <c r="G213" s="823" t="s">
        <v>1914</v>
      </c>
      <c r="H213" s="823" t="s">
        <v>329</v>
      </c>
      <c r="I213" s="823" t="s">
        <v>2295</v>
      </c>
      <c r="J213" s="823" t="s">
        <v>704</v>
      </c>
      <c r="K213" s="823" t="s">
        <v>1923</v>
      </c>
      <c r="L213" s="826">
        <v>35.11</v>
      </c>
      <c r="M213" s="826">
        <v>105.33</v>
      </c>
      <c r="N213" s="823">
        <v>3</v>
      </c>
      <c r="O213" s="827">
        <v>3</v>
      </c>
      <c r="P213" s="826">
        <v>35.11</v>
      </c>
      <c r="Q213" s="828">
        <v>0.33333333333333331</v>
      </c>
      <c r="R213" s="823">
        <v>1</v>
      </c>
      <c r="S213" s="828">
        <v>0.33333333333333331</v>
      </c>
      <c r="T213" s="827">
        <v>1</v>
      </c>
      <c r="U213" s="829">
        <v>0.33333333333333331</v>
      </c>
    </row>
    <row r="214" spans="1:21" ht="14.45" customHeight="1" x14ac:dyDescent="0.2">
      <c r="A214" s="822">
        <v>50</v>
      </c>
      <c r="B214" s="823" t="s">
        <v>1887</v>
      </c>
      <c r="C214" s="823" t="s">
        <v>1893</v>
      </c>
      <c r="D214" s="824" t="s">
        <v>2977</v>
      </c>
      <c r="E214" s="825" t="s">
        <v>1905</v>
      </c>
      <c r="F214" s="823" t="s">
        <v>1888</v>
      </c>
      <c r="G214" s="823" t="s">
        <v>1914</v>
      </c>
      <c r="H214" s="823" t="s">
        <v>329</v>
      </c>
      <c r="I214" s="823" t="s">
        <v>2296</v>
      </c>
      <c r="J214" s="823" t="s">
        <v>673</v>
      </c>
      <c r="K214" s="823" t="s">
        <v>676</v>
      </c>
      <c r="L214" s="826">
        <v>17.559999999999999</v>
      </c>
      <c r="M214" s="826">
        <v>17.559999999999999</v>
      </c>
      <c r="N214" s="823">
        <v>1</v>
      </c>
      <c r="O214" s="827">
        <v>1</v>
      </c>
      <c r="P214" s="826">
        <v>17.559999999999999</v>
      </c>
      <c r="Q214" s="828">
        <v>1</v>
      </c>
      <c r="R214" s="823">
        <v>1</v>
      </c>
      <c r="S214" s="828">
        <v>1</v>
      </c>
      <c r="T214" s="827">
        <v>1</v>
      </c>
      <c r="U214" s="829">
        <v>1</v>
      </c>
    </row>
    <row r="215" spans="1:21" ht="14.45" customHeight="1" x14ac:dyDescent="0.2">
      <c r="A215" s="822">
        <v>50</v>
      </c>
      <c r="B215" s="823" t="s">
        <v>1887</v>
      </c>
      <c r="C215" s="823" t="s">
        <v>1893</v>
      </c>
      <c r="D215" s="824" t="s">
        <v>2977</v>
      </c>
      <c r="E215" s="825" t="s">
        <v>1905</v>
      </c>
      <c r="F215" s="823" t="s">
        <v>1888</v>
      </c>
      <c r="G215" s="823" t="s">
        <v>1914</v>
      </c>
      <c r="H215" s="823" t="s">
        <v>329</v>
      </c>
      <c r="I215" s="823" t="s">
        <v>1950</v>
      </c>
      <c r="J215" s="823" t="s">
        <v>1615</v>
      </c>
      <c r="K215" s="823" t="s">
        <v>676</v>
      </c>
      <c r="L215" s="826">
        <v>17.559999999999999</v>
      </c>
      <c r="M215" s="826">
        <v>17.559999999999999</v>
      </c>
      <c r="N215" s="823">
        <v>1</v>
      </c>
      <c r="O215" s="827">
        <v>1</v>
      </c>
      <c r="P215" s="826">
        <v>17.559999999999999</v>
      </c>
      <c r="Q215" s="828">
        <v>1</v>
      </c>
      <c r="R215" s="823">
        <v>1</v>
      </c>
      <c r="S215" s="828">
        <v>1</v>
      </c>
      <c r="T215" s="827">
        <v>1</v>
      </c>
      <c r="U215" s="829">
        <v>1</v>
      </c>
    </row>
    <row r="216" spans="1:21" ht="14.45" customHeight="1" x14ac:dyDescent="0.2">
      <c r="A216" s="822">
        <v>50</v>
      </c>
      <c r="B216" s="823" t="s">
        <v>1887</v>
      </c>
      <c r="C216" s="823" t="s">
        <v>1893</v>
      </c>
      <c r="D216" s="824" t="s">
        <v>2977</v>
      </c>
      <c r="E216" s="825" t="s">
        <v>1905</v>
      </c>
      <c r="F216" s="823" t="s">
        <v>1888</v>
      </c>
      <c r="G216" s="823" t="s">
        <v>1914</v>
      </c>
      <c r="H216" s="823" t="s">
        <v>329</v>
      </c>
      <c r="I216" s="823" t="s">
        <v>2297</v>
      </c>
      <c r="J216" s="823" t="s">
        <v>1615</v>
      </c>
      <c r="K216" s="823" t="s">
        <v>1923</v>
      </c>
      <c r="L216" s="826">
        <v>35.11</v>
      </c>
      <c r="M216" s="826">
        <v>35.11</v>
      </c>
      <c r="N216" s="823">
        <v>1</v>
      </c>
      <c r="O216" s="827">
        <v>0.5</v>
      </c>
      <c r="P216" s="826">
        <v>35.11</v>
      </c>
      <c r="Q216" s="828">
        <v>1</v>
      </c>
      <c r="R216" s="823">
        <v>1</v>
      </c>
      <c r="S216" s="828">
        <v>1</v>
      </c>
      <c r="T216" s="827">
        <v>0.5</v>
      </c>
      <c r="U216" s="829">
        <v>1</v>
      </c>
    </row>
    <row r="217" spans="1:21" ht="14.45" customHeight="1" x14ac:dyDescent="0.2">
      <c r="A217" s="822">
        <v>50</v>
      </c>
      <c r="B217" s="823" t="s">
        <v>1887</v>
      </c>
      <c r="C217" s="823" t="s">
        <v>1893</v>
      </c>
      <c r="D217" s="824" t="s">
        <v>2977</v>
      </c>
      <c r="E217" s="825" t="s">
        <v>1905</v>
      </c>
      <c r="F217" s="823" t="s">
        <v>1888</v>
      </c>
      <c r="G217" s="823" t="s">
        <v>2227</v>
      </c>
      <c r="H217" s="823" t="s">
        <v>329</v>
      </c>
      <c r="I217" s="823" t="s">
        <v>2228</v>
      </c>
      <c r="J217" s="823" t="s">
        <v>2229</v>
      </c>
      <c r="K217" s="823" t="s">
        <v>894</v>
      </c>
      <c r="L217" s="826">
        <v>0</v>
      </c>
      <c r="M217" s="826">
        <v>0</v>
      </c>
      <c r="N217" s="823">
        <v>1</v>
      </c>
      <c r="O217" s="827">
        <v>1</v>
      </c>
      <c r="P217" s="826">
        <v>0</v>
      </c>
      <c r="Q217" s="828"/>
      <c r="R217" s="823">
        <v>1</v>
      </c>
      <c r="S217" s="828">
        <v>1</v>
      </c>
      <c r="T217" s="827">
        <v>1</v>
      </c>
      <c r="U217" s="829">
        <v>1</v>
      </c>
    </row>
    <row r="218" spans="1:21" ht="14.45" customHeight="1" x14ac:dyDescent="0.2">
      <c r="A218" s="822">
        <v>50</v>
      </c>
      <c r="B218" s="823" t="s">
        <v>1887</v>
      </c>
      <c r="C218" s="823" t="s">
        <v>1893</v>
      </c>
      <c r="D218" s="824" t="s">
        <v>2977</v>
      </c>
      <c r="E218" s="825" t="s">
        <v>1905</v>
      </c>
      <c r="F218" s="823" t="s">
        <v>1888</v>
      </c>
      <c r="G218" s="823" t="s">
        <v>2298</v>
      </c>
      <c r="H218" s="823" t="s">
        <v>329</v>
      </c>
      <c r="I218" s="823" t="s">
        <v>2299</v>
      </c>
      <c r="J218" s="823" t="s">
        <v>2300</v>
      </c>
      <c r="K218" s="823" t="s">
        <v>2301</v>
      </c>
      <c r="L218" s="826">
        <v>314.11</v>
      </c>
      <c r="M218" s="826">
        <v>314.11</v>
      </c>
      <c r="N218" s="823">
        <v>1</v>
      </c>
      <c r="O218" s="827">
        <v>1</v>
      </c>
      <c r="P218" s="826"/>
      <c r="Q218" s="828">
        <v>0</v>
      </c>
      <c r="R218" s="823"/>
      <c r="S218" s="828">
        <v>0</v>
      </c>
      <c r="T218" s="827"/>
      <c r="U218" s="829">
        <v>0</v>
      </c>
    </row>
    <row r="219" spans="1:21" ht="14.45" customHeight="1" x14ac:dyDescent="0.2">
      <c r="A219" s="822">
        <v>50</v>
      </c>
      <c r="B219" s="823" t="s">
        <v>1887</v>
      </c>
      <c r="C219" s="823" t="s">
        <v>1893</v>
      </c>
      <c r="D219" s="824" t="s">
        <v>2977</v>
      </c>
      <c r="E219" s="825" t="s">
        <v>1905</v>
      </c>
      <c r="F219" s="823" t="s">
        <v>1888</v>
      </c>
      <c r="G219" s="823" t="s">
        <v>2035</v>
      </c>
      <c r="H219" s="823" t="s">
        <v>329</v>
      </c>
      <c r="I219" s="823" t="s">
        <v>2036</v>
      </c>
      <c r="J219" s="823" t="s">
        <v>2037</v>
      </c>
      <c r="K219" s="823" t="s">
        <v>2038</v>
      </c>
      <c r="L219" s="826">
        <v>134.44999999999999</v>
      </c>
      <c r="M219" s="826">
        <v>134.44999999999999</v>
      </c>
      <c r="N219" s="823">
        <v>1</v>
      </c>
      <c r="O219" s="827">
        <v>1</v>
      </c>
      <c r="P219" s="826">
        <v>134.44999999999999</v>
      </c>
      <c r="Q219" s="828">
        <v>1</v>
      </c>
      <c r="R219" s="823">
        <v>1</v>
      </c>
      <c r="S219" s="828">
        <v>1</v>
      </c>
      <c r="T219" s="827">
        <v>1</v>
      </c>
      <c r="U219" s="829">
        <v>1</v>
      </c>
    </row>
    <row r="220" spans="1:21" ht="14.45" customHeight="1" x14ac:dyDescent="0.2">
      <c r="A220" s="822">
        <v>50</v>
      </c>
      <c r="B220" s="823" t="s">
        <v>1887</v>
      </c>
      <c r="C220" s="823" t="s">
        <v>1893</v>
      </c>
      <c r="D220" s="824" t="s">
        <v>2977</v>
      </c>
      <c r="E220" s="825" t="s">
        <v>1905</v>
      </c>
      <c r="F220" s="823" t="s">
        <v>1888</v>
      </c>
      <c r="G220" s="823" t="s">
        <v>2066</v>
      </c>
      <c r="H220" s="823" t="s">
        <v>329</v>
      </c>
      <c r="I220" s="823" t="s">
        <v>2302</v>
      </c>
      <c r="J220" s="823" t="s">
        <v>727</v>
      </c>
      <c r="K220" s="823" t="s">
        <v>2303</v>
      </c>
      <c r="L220" s="826">
        <v>91.11</v>
      </c>
      <c r="M220" s="826">
        <v>182.22</v>
      </c>
      <c r="N220" s="823">
        <v>2</v>
      </c>
      <c r="O220" s="827">
        <v>1</v>
      </c>
      <c r="P220" s="826">
        <v>182.22</v>
      </c>
      <c r="Q220" s="828">
        <v>1</v>
      </c>
      <c r="R220" s="823">
        <v>2</v>
      </c>
      <c r="S220" s="828">
        <v>1</v>
      </c>
      <c r="T220" s="827">
        <v>1</v>
      </c>
      <c r="U220" s="829">
        <v>1</v>
      </c>
    </row>
    <row r="221" spans="1:21" ht="14.45" customHeight="1" x14ac:dyDescent="0.2">
      <c r="A221" s="822">
        <v>50</v>
      </c>
      <c r="B221" s="823" t="s">
        <v>1887</v>
      </c>
      <c r="C221" s="823" t="s">
        <v>1893</v>
      </c>
      <c r="D221" s="824" t="s">
        <v>2977</v>
      </c>
      <c r="E221" s="825" t="s">
        <v>1905</v>
      </c>
      <c r="F221" s="823" t="s">
        <v>1888</v>
      </c>
      <c r="G221" s="823" t="s">
        <v>2304</v>
      </c>
      <c r="H221" s="823" t="s">
        <v>329</v>
      </c>
      <c r="I221" s="823" t="s">
        <v>2305</v>
      </c>
      <c r="J221" s="823" t="s">
        <v>780</v>
      </c>
      <c r="K221" s="823" t="s">
        <v>2306</v>
      </c>
      <c r="L221" s="826">
        <v>159.16999999999999</v>
      </c>
      <c r="M221" s="826">
        <v>477.51</v>
      </c>
      <c r="N221" s="823">
        <v>3</v>
      </c>
      <c r="O221" s="827">
        <v>2</v>
      </c>
      <c r="P221" s="826">
        <v>318.33999999999997</v>
      </c>
      <c r="Q221" s="828">
        <v>0.66666666666666663</v>
      </c>
      <c r="R221" s="823">
        <v>2</v>
      </c>
      <c r="S221" s="828">
        <v>0.66666666666666663</v>
      </c>
      <c r="T221" s="827">
        <v>1</v>
      </c>
      <c r="U221" s="829">
        <v>0.5</v>
      </c>
    </row>
    <row r="222" spans="1:21" ht="14.45" customHeight="1" x14ac:dyDescent="0.2">
      <c r="A222" s="822">
        <v>50</v>
      </c>
      <c r="B222" s="823" t="s">
        <v>1887</v>
      </c>
      <c r="C222" s="823" t="s">
        <v>1893</v>
      </c>
      <c r="D222" s="824" t="s">
        <v>2977</v>
      </c>
      <c r="E222" s="825" t="s">
        <v>1905</v>
      </c>
      <c r="F222" s="823" t="s">
        <v>1888</v>
      </c>
      <c r="G222" s="823" t="s">
        <v>2307</v>
      </c>
      <c r="H222" s="823" t="s">
        <v>329</v>
      </c>
      <c r="I222" s="823" t="s">
        <v>2308</v>
      </c>
      <c r="J222" s="823" t="s">
        <v>2309</v>
      </c>
      <c r="K222" s="823" t="s">
        <v>2310</v>
      </c>
      <c r="L222" s="826">
        <v>123.2</v>
      </c>
      <c r="M222" s="826">
        <v>123.2</v>
      </c>
      <c r="N222" s="823">
        <v>1</v>
      </c>
      <c r="O222" s="827">
        <v>1</v>
      </c>
      <c r="P222" s="826">
        <v>123.2</v>
      </c>
      <c r="Q222" s="828">
        <v>1</v>
      </c>
      <c r="R222" s="823">
        <v>1</v>
      </c>
      <c r="S222" s="828">
        <v>1</v>
      </c>
      <c r="T222" s="827">
        <v>1</v>
      </c>
      <c r="U222" s="829">
        <v>1</v>
      </c>
    </row>
    <row r="223" spans="1:21" ht="14.45" customHeight="1" x14ac:dyDescent="0.2">
      <c r="A223" s="822">
        <v>50</v>
      </c>
      <c r="B223" s="823" t="s">
        <v>1887</v>
      </c>
      <c r="C223" s="823" t="s">
        <v>1893</v>
      </c>
      <c r="D223" s="824" t="s">
        <v>2977</v>
      </c>
      <c r="E223" s="825" t="s">
        <v>1905</v>
      </c>
      <c r="F223" s="823" t="s">
        <v>1888</v>
      </c>
      <c r="G223" s="823" t="s">
        <v>2072</v>
      </c>
      <c r="H223" s="823" t="s">
        <v>329</v>
      </c>
      <c r="I223" s="823" t="s">
        <v>2311</v>
      </c>
      <c r="J223" s="823" t="s">
        <v>1016</v>
      </c>
      <c r="K223" s="823" t="s">
        <v>2312</v>
      </c>
      <c r="L223" s="826">
        <v>414.96</v>
      </c>
      <c r="M223" s="826">
        <v>414.96</v>
      </c>
      <c r="N223" s="823">
        <v>1</v>
      </c>
      <c r="O223" s="827">
        <v>1</v>
      </c>
      <c r="P223" s="826">
        <v>414.96</v>
      </c>
      <c r="Q223" s="828">
        <v>1</v>
      </c>
      <c r="R223" s="823">
        <v>1</v>
      </c>
      <c r="S223" s="828">
        <v>1</v>
      </c>
      <c r="T223" s="827">
        <v>1</v>
      </c>
      <c r="U223" s="829">
        <v>1</v>
      </c>
    </row>
    <row r="224" spans="1:21" ht="14.45" customHeight="1" x14ac:dyDescent="0.2">
      <c r="A224" s="822">
        <v>50</v>
      </c>
      <c r="B224" s="823" t="s">
        <v>1887</v>
      </c>
      <c r="C224" s="823" t="s">
        <v>1893</v>
      </c>
      <c r="D224" s="824" t="s">
        <v>2977</v>
      </c>
      <c r="E224" s="825" t="s">
        <v>1905</v>
      </c>
      <c r="F224" s="823" t="s">
        <v>1888</v>
      </c>
      <c r="G224" s="823" t="s">
        <v>2072</v>
      </c>
      <c r="H224" s="823" t="s">
        <v>329</v>
      </c>
      <c r="I224" s="823" t="s">
        <v>2313</v>
      </c>
      <c r="J224" s="823" t="s">
        <v>2314</v>
      </c>
      <c r="K224" s="823" t="s">
        <v>2315</v>
      </c>
      <c r="L224" s="826">
        <v>124.49</v>
      </c>
      <c r="M224" s="826">
        <v>124.49</v>
      </c>
      <c r="N224" s="823">
        <v>1</v>
      </c>
      <c r="O224" s="827">
        <v>1</v>
      </c>
      <c r="P224" s="826"/>
      <c r="Q224" s="828">
        <v>0</v>
      </c>
      <c r="R224" s="823"/>
      <c r="S224" s="828">
        <v>0</v>
      </c>
      <c r="T224" s="827"/>
      <c r="U224" s="829">
        <v>0</v>
      </c>
    </row>
    <row r="225" spans="1:21" ht="14.45" customHeight="1" x14ac:dyDescent="0.2">
      <c r="A225" s="822">
        <v>50</v>
      </c>
      <c r="B225" s="823" t="s">
        <v>1887</v>
      </c>
      <c r="C225" s="823" t="s">
        <v>1893</v>
      </c>
      <c r="D225" s="824" t="s">
        <v>2977</v>
      </c>
      <c r="E225" s="825" t="s">
        <v>1905</v>
      </c>
      <c r="F225" s="823" t="s">
        <v>1888</v>
      </c>
      <c r="G225" s="823" t="s">
        <v>1952</v>
      </c>
      <c r="H225" s="823" t="s">
        <v>329</v>
      </c>
      <c r="I225" s="823" t="s">
        <v>1953</v>
      </c>
      <c r="J225" s="823" t="s">
        <v>1954</v>
      </c>
      <c r="K225" s="823" t="s">
        <v>1785</v>
      </c>
      <c r="L225" s="826">
        <v>42.51</v>
      </c>
      <c r="M225" s="826">
        <v>85.02</v>
      </c>
      <c r="N225" s="823">
        <v>2</v>
      </c>
      <c r="O225" s="827">
        <v>2</v>
      </c>
      <c r="P225" s="826">
        <v>42.51</v>
      </c>
      <c r="Q225" s="828">
        <v>0.5</v>
      </c>
      <c r="R225" s="823">
        <v>1</v>
      </c>
      <c r="S225" s="828">
        <v>0.5</v>
      </c>
      <c r="T225" s="827">
        <v>1</v>
      </c>
      <c r="U225" s="829">
        <v>0.5</v>
      </c>
    </row>
    <row r="226" spans="1:21" ht="14.45" customHeight="1" x14ac:dyDescent="0.2">
      <c r="A226" s="822">
        <v>50</v>
      </c>
      <c r="B226" s="823" t="s">
        <v>1887</v>
      </c>
      <c r="C226" s="823" t="s">
        <v>1893</v>
      </c>
      <c r="D226" s="824" t="s">
        <v>2977</v>
      </c>
      <c r="E226" s="825" t="s">
        <v>1905</v>
      </c>
      <c r="F226" s="823" t="s">
        <v>1888</v>
      </c>
      <c r="G226" s="823" t="s">
        <v>2316</v>
      </c>
      <c r="H226" s="823" t="s">
        <v>329</v>
      </c>
      <c r="I226" s="823" t="s">
        <v>2317</v>
      </c>
      <c r="J226" s="823" t="s">
        <v>2318</v>
      </c>
      <c r="K226" s="823" t="s">
        <v>1733</v>
      </c>
      <c r="L226" s="826">
        <v>339.47</v>
      </c>
      <c r="M226" s="826">
        <v>678.94</v>
      </c>
      <c r="N226" s="823">
        <v>2</v>
      </c>
      <c r="O226" s="827">
        <v>2</v>
      </c>
      <c r="P226" s="826"/>
      <c r="Q226" s="828">
        <v>0</v>
      </c>
      <c r="R226" s="823"/>
      <c r="S226" s="828">
        <v>0</v>
      </c>
      <c r="T226" s="827"/>
      <c r="U226" s="829">
        <v>0</v>
      </c>
    </row>
    <row r="227" spans="1:21" ht="14.45" customHeight="1" x14ac:dyDescent="0.2">
      <c r="A227" s="822">
        <v>50</v>
      </c>
      <c r="B227" s="823" t="s">
        <v>1887</v>
      </c>
      <c r="C227" s="823" t="s">
        <v>1893</v>
      </c>
      <c r="D227" s="824" t="s">
        <v>2977</v>
      </c>
      <c r="E227" s="825" t="s">
        <v>1905</v>
      </c>
      <c r="F227" s="823" t="s">
        <v>1888</v>
      </c>
      <c r="G227" s="823" t="s">
        <v>2230</v>
      </c>
      <c r="H227" s="823" t="s">
        <v>329</v>
      </c>
      <c r="I227" s="823" t="s">
        <v>2231</v>
      </c>
      <c r="J227" s="823" t="s">
        <v>870</v>
      </c>
      <c r="K227" s="823" t="s">
        <v>2232</v>
      </c>
      <c r="L227" s="826">
        <v>45.03</v>
      </c>
      <c r="M227" s="826">
        <v>45.03</v>
      </c>
      <c r="N227" s="823">
        <v>1</v>
      </c>
      <c r="O227" s="827">
        <v>1</v>
      </c>
      <c r="P227" s="826"/>
      <c r="Q227" s="828">
        <v>0</v>
      </c>
      <c r="R227" s="823"/>
      <c r="S227" s="828">
        <v>0</v>
      </c>
      <c r="T227" s="827"/>
      <c r="U227" s="829">
        <v>0</v>
      </c>
    </row>
    <row r="228" spans="1:21" ht="14.45" customHeight="1" x14ac:dyDescent="0.2">
      <c r="A228" s="822">
        <v>50</v>
      </c>
      <c r="B228" s="823" t="s">
        <v>1887</v>
      </c>
      <c r="C228" s="823" t="s">
        <v>1893</v>
      </c>
      <c r="D228" s="824" t="s">
        <v>2977</v>
      </c>
      <c r="E228" s="825" t="s">
        <v>1905</v>
      </c>
      <c r="F228" s="823" t="s">
        <v>1888</v>
      </c>
      <c r="G228" s="823" t="s">
        <v>2319</v>
      </c>
      <c r="H228" s="823" t="s">
        <v>329</v>
      </c>
      <c r="I228" s="823" t="s">
        <v>2320</v>
      </c>
      <c r="J228" s="823" t="s">
        <v>2321</v>
      </c>
      <c r="K228" s="823" t="s">
        <v>2322</v>
      </c>
      <c r="L228" s="826">
        <v>164.01</v>
      </c>
      <c r="M228" s="826">
        <v>164.01</v>
      </c>
      <c r="N228" s="823">
        <v>1</v>
      </c>
      <c r="O228" s="827">
        <v>1</v>
      </c>
      <c r="P228" s="826"/>
      <c r="Q228" s="828">
        <v>0</v>
      </c>
      <c r="R228" s="823"/>
      <c r="S228" s="828">
        <v>0</v>
      </c>
      <c r="T228" s="827"/>
      <c r="U228" s="829">
        <v>0</v>
      </c>
    </row>
    <row r="229" spans="1:21" ht="14.45" customHeight="1" x14ac:dyDescent="0.2">
      <c r="A229" s="822">
        <v>50</v>
      </c>
      <c r="B229" s="823" t="s">
        <v>1887</v>
      </c>
      <c r="C229" s="823" t="s">
        <v>1893</v>
      </c>
      <c r="D229" s="824" t="s">
        <v>2977</v>
      </c>
      <c r="E229" s="825" t="s">
        <v>1905</v>
      </c>
      <c r="F229" s="823" t="s">
        <v>1888</v>
      </c>
      <c r="G229" s="823" t="s">
        <v>2323</v>
      </c>
      <c r="H229" s="823" t="s">
        <v>329</v>
      </c>
      <c r="I229" s="823" t="s">
        <v>2324</v>
      </c>
      <c r="J229" s="823" t="s">
        <v>1115</v>
      </c>
      <c r="K229" s="823" t="s">
        <v>2325</v>
      </c>
      <c r="L229" s="826">
        <v>42.14</v>
      </c>
      <c r="M229" s="826">
        <v>84.28</v>
      </c>
      <c r="N229" s="823">
        <v>2</v>
      </c>
      <c r="O229" s="827">
        <v>2</v>
      </c>
      <c r="P229" s="826">
        <v>42.14</v>
      </c>
      <c r="Q229" s="828">
        <v>0.5</v>
      </c>
      <c r="R229" s="823">
        <v>1</v>
      </c>
      <c r="S229" s="828">
        <v>0.5</v>
      </c>
      <c r="T229" s="827">
        <v>1</v>
      </c>
      <c r="U229" s="829">
        <v>0.5</v>
      </c>
    </row>
    <row r="230" spans="1:21" ht="14.45" customHeight="1" x14ac:dyDescent="0.2">
      <c r="A230" s="822">
        <v>50</v>
      </c>
      <c r="B230" s="823" t="s">
        <v>1887</v>
      </c>
      <c r="C230" s="823" t="s">
        <v>1893</v>
      </c>
      <c r="D230" s="824" t="s">
        <v>2977</v>
      </c>
      <c r="E230" s="825" t="s">
        <v>1905</v>
      </c>
      <c r="F230" s="823" t="s">
        <v>1888</v>
      </c>
      <c r="G230" s="823" t="s">
        <v>1955</v>
      </c>
      <c r="H230" s="823" t="s">
        <v>625</v>
      </c>
      <c r="I230" s="823" t="s">
        <v>1567</v>
      </c>
      <c r="J230" s="823" t="s">
        <v>1568</v>
      </c>
      <c r="K230" s="823" t="s">
        <v>1569</v>
      </c>
      <c r="L230" s="826">
        <v>93.43</v>
      </c>
      <c r="M230" s="826">
        <v>747.44</v>
      </c>
      <c r="N230" s="823">
        <v>8</v>
      </c>
      <c r="O230" s="827">
        <v>7.5</v>
      </c>
      <c r="P230" s="826">
        <v>280.29000000000002</v>
      </c>
      <c r="Q230" s="828">
        <v>0.375</v>
      </c>
      <c r="R230" s="823">
        <v>3</v>
      </c>
      <c r="S230" s="828">
        <v>0.375</v>
      </c>
      <c r="T230" s="827">
        <v>2.5</v>
      </c>
      <c r="U230" s="829">
        <v>0.33333333333333331</v>
      </c>
    </row>
    <row r="231" spans="1:21" ht="14.45" customHeight="1" x14ac:dyDescent="0.2">
      <c r="A231" s="822">
        <v>50</v>
      </c>
      <c r="B231" s="823" t="s">
        <v>1887</v>
      </c>
      <c r="C231" s="823" t="s">
        <v>1893</v>
      </c>
      <c r="D231" s="824" t="s">
        <v>2977</v>
      </c>
      <c r="E231" s="825" t="s">
        <v>1905</v>
      </c>
      <c r="F231" s="823" t="s">
        <v>1888</v>
      </c>
      <c r="G231" s="823" t="s">
        <v>1915</v>
      </c>
      <c r="H231" s="823" t="s">
        <v>329</v>
      </c>
      <c r="I231" s="823" t="s">
        <v>1916</v>
      </c>
      <c r="J231" s="823" t="s">
        <v>1202</v>
      </c>
      <c r="K231" s="823" t="s">
        <v>1917</v>
      </c>
      <c r="L231" s="826">
        <v>73.989999999999995</v>
      </c>
      <c r="M231" s="826">
        <v>73.989999999999995</v>
      </c>
      <c r="N231" s="823">
        <v>1</v>
      </c>
      <c r="O231" s="827">
        <v>1</v>
      </c>
      <c r="P231" s="826">
        <v>73.989999999999995</v>
      </c>
      <c r="Q231" s="828">
        <v>1</v>
      </c>
      <c r="R231" s="823">
        <v>1</v>
      </c>
      <c r="S231" s="828">
        <v>1</v>
      </c>
      <c r="T231" s="827">
        <v>1</v>
      </c>
      <c r="U231" s="829">
        <v>1</v>
      </c>
    </row>
    <row r="232" spans="1:21" ht="14.45" customHeight="1" x14ac:dyDescent="0.2">
      <c r="A232" s="822">
        <v>50</v>
      </c>
      <c r="B232" s="823" t="s">
        <v>1887</v>
      </c>
      <c r="C232" s="823" t="s">
        <v>1893</v>
      </c>
      <c r="D232" s="824" t="s">
        <v>2977</v>
      </c>
      <c r="E232" s="825" t="s">
        <v>1905</v>
      </c>
      <c r="F232" s="823" t="s">
        <v>1888</v>
      </c>
      <c r="G232" s="823" t="s">
        <v>1918</v>
      </c>
      <c r="H232" s="823" t="s">
        <v>329</v>
      </c>
      <c r="I232" s="823" t="s">
        <v>1919</v>
      </c>
      <c r="J232" s="823" t="s">
        <v>642</v>
      </c>
      <c r="K232" s="823" t="s">
        <v>1920</v>
      </c>
      <c r="L232" s="826">
        <v>10.55</v>
      </c>
      <c r="M232" s="826">
        <v>21.1</v>
      </c>
      <c r="N232" s="823">
        <v>2</v>
      </c>
      <c r="O232" s="827">
        <v>2</v>
      </c>
      <c r="P232" s="826">
        <v>10.55</v>
      </c>
      <c r="Q232" s="828">
        <v>0.5</v>
      </c>
      <c r="R232" s="823">
        <v>1</v>
      </c>
      <c r="S232" s="828">
        <v>0.5</v>
      </c>
      <c r="T232" s="827">
        <v>1</v>
      </c>
      <c r="U232" s="829">
        <v>0.5</v>
      </c>
    </row>
    <row r="233" spans="1:21" ht="14.45" customHeight="1" x14ac:dyDescent="0.2">
      <c r="A233" s="822">
        <v>50</v>
      </c>
      <c r="B233" s="823" t="s">
        <v>1887</v>
      </c>
      <c r="C233" s="823" t="s">
        <v>1893</v>
      </c>
      <c r="D233" s="824" t="s">
        <v>2977</v>
      </c>
      <c r="E233" s="825" t="s">
        <v>1905</v>
      </c>
      <c r="F233" s="823" t="s">
        <v>1888</v>
      </c>
      <c r="G233" s="823" t="s">
        <v>1918</v>
      </c>
      <c r="H233" s="823" t="s">
        <v>329</v>
      </c>
      <c r="I233" s="823" t="s">
        <v>1960</v>
      </c>
      <c r="J233" s="823" t="s">
        <v>1961</v>
      </c>
      <c r="K233" s="823" t="s">
        <v>1962</v>
      </c>
      <c r="L233" s="826">
        <v>10.55</v>
      </c>
      <c r="M233" s="826">
        <v>52.75</v>
      </c>
      <c r="N233" s="823">
        <v>5</v>
      </c>
      <c r="O233" s="827">
        <v>4.5</v>
      </c>
      <c r="P233" s="826">
        <v>21.1</v>
      </c>
      <c r="Q233" s="828">
        <v>0.4</v>
      </c>
      <c r="R233" s="823">
        <v>2</v>
      </c>
      <c r="S233" s="828">
        <v>0.4</v>
      </c>
      <c r="T233" s="827">
        <v>1.5</v>
      </c>
      <c r="U233" s="829">
        <v>0.33333333333333331</v>
      </c>
    </row>
    <row r="234" spans="1:21" ht="14.45" customHeight="1" x14ac:dyDescent="0.2">
      <c r="A234" s="822">
        <v>50</v>
      </c>
      <c r="B234" s="823" t="s">
        <v>1887</v>
      </c>
      <c r="C234" s="823" t="s">
        <v>1893</v>
      </c>
      <c r="D234" s="824" t="s">
        <v>2977</v>
      </c>
      <c r="E234" s="825" t="s">
        <v>1905</v>
      </c>
      <c r="F234" s="823" t="s">
        <v>1888</v>
      </c>
      <c r="G234" s="823" t="s">
        <v>1918</v>
      </c>
      <c r="H234" s="823" t="s">
        <v>329</v>
      </c>
      <c r="I234" s="823" t="s">
        <v>2326</v>
      </c>
      <c r="J234" s="823" t="s">
        <v>2243</v>
      </c>
      <c r="K234" s="823" t="s">
        <v>2327</v>
      </c>
      <c r="L234" s="826">
        <v>31.65</v>
      </c>
      <c r="M234" s="826">
        <v>31.65</v>
      </c>
      <c r="N234" s="823">
        <v>1</v>
      </c>
      <c r="O234" s="827">
        <v>1</v>
      </c>
      <c r="P234" s="826"/>
      <c r="Q234" s="828">
        <v>0</v>
      </c>
      <c r="R234" s="823"/>
      <c r="S234" s="828">
        <v>0</v>
      </c>
      <c r="T234" s="827"/>
      <c r="U234" s="829">
        <v>0</v>
      </c>
    </row>
    <row r="235" spans="1:21" ht="14.45" customHeight="1" x14ac:dyDescent="0.2">
      <c r="A235" s="822">
        <v>50</v>
      </c>
      <c r="B235" s="823" t="s">
        <v>1887</v>
      </c>
      <c r="C235" s="823" t="s">
        <v>1893</v>
      </c>
      <c r="D235" s="824" t="s">
        <v>2977</v>
      </c>
      <c r="E235" s="825" t="s">
        <v>1905</v>
      </c>
      <c r="F235" s="823" t="s">
        <v>1888</v>
      </c>
      <c r="G235" s="823" t="s">
        <v>2328</v>
      </c>
      <c r="H235" s="823" t="s">
        <v>329</v>
      </c>
      <c r="I235" s="823" t="s">
        <v>2329</v>
      </c>
      <c r="J235" s="823" t="s">
        <v>2330</v>
      </c>
      <c r="K235" s="823" t="s">
        <v>2331</v>
      </c>
      <c r="L235" s="826">
        <v>73.150000000000006</v>
      </c>
      <c r="M235" s="826">
        <v>73.150000000000006</v>
      </c>
      <c r="N235" s="823">
        <v>1</v>
      </c>
      <c r="O235" s="827">
        <v>1</v>
      </c>
      <c r="P235" s="826"/>
      <c r="Q235" s="828">
        <v>0</v>
      </c>
      <c r="R235" s="823"/>
      <c r="S235" s="828">
        <v>0</v>
      </c>
      <c r="T235" s="827"/>
      <c r="U235" s="829">
        <v>0</v>
      </c>
    </row>
    <row r="236" spans="1:21" ht="14.45" customHeight="1" x14ac:dyDescent="0.2">
      <c r="A236" s="822">
        <v>50</v>
      </c>
      <c r="B236" s="823" t="s">
        <v>1887</v>
      </c>
      <c r="C236" s="823" t="s">
        <v>1893</v>
      </c>
      <c r="D236" s="824" t="s">
        <v>2977</v>
      </c>
      <c r="E236" s="825" t="s">
        <v>1905</v>
      </c>
      <c r="F236" s="823" t="s">
        <v>1888</v>
      </c>
      <c r="G236" s="823" t="s">
        <v>2104</v>
      </c>
      <c r="H236" s="823" t="s">
        <v>329</v>
      </c>
      <c r="I236" s="823" t="s">
        <v>2105</v>
      </c>
      <c r="J236" s="823" t="s">
        <v>2106</v>
      </c>
      <c r="K236" s="823" t="s">
        <v>2053</v>
      </c>
      <c r="L236" s="826">
        <v>176.32</v>
      </c>
      <c r="M236" s="826">
        <v>176.32</v>
      </c>
      <c r="N236" s="823">
        <v>1</v>
      </c>
      <c r="O236" s="827">
        <v>1</v>
      </c>
      <c r="P236" s="826">
        <v>176.32</v>
      </c>
      <c r="Q236" s="828">
        <v>1</v>
      </c>
      <c r="R236" s="823">
        <v>1</v>
      </c>
      <c r="S236" s="828">
        <v>1</v>
      </c>
      <c r="T236" s="827">
        <v>1</v>
      </c>
      <c r="U236" s="829">
        <v>1</v>
      </c>
    </row>
    <row r="237" spans="1:21" ht="14.45" customHeight="1" x14ac:dyDescent="0.2">
      <c r="A237" s="822">
        <v>50</v>
      </c>
      <c r="B237" s="823" t="s">
        <v>1887</v>
      </c>
      <c r="C237" s="823" t="s">
        <v>1893</v>
      </c>
      <c r="D237" s="824" t="s">
        <v>2977</v>
      </c>
      <c r="E237" s="825" t="s">
        <v>1905</v>
      </c>
      <c r="F237" s="823" t="s">
        <v>1888</v>
      </c>
      <c r="G237" s="823" t="s">
        <v>2332</v>
      </c>
      <c r="H237" s="823" t="s">
        <v>329</v>
      </c>
      <c r="I237" s="823" t="s">
        <v>2333</v>
      </c>
      <c r="J237" s="823" t="s">
        <v>1431</v>
      </c>
      <c r="K237" s="823" t="s">
        <v>1432</v>
      </c>
      <c r="L237" s="826">
        <v>54.18</v>
      </c>
      <c r="M237" s="826">
        <v>108.36</v>
      </c>
      <c r="N237" s="823">
        <v>2</v>
      </c>
      <c r="O237" s="827">
        <v>1</v>
      </c>
      <c r="P237" s="826">
        <v>108.36</v>
      </c>
      <c r="Q237" s="828">
        <v>1</v>
      </c>
      <c r="R237" s="823">
        <v>2</v>
      </c>
      <c r="S237" s="828">
        <v>1</v>
      </c>
      <c r="T237" s="827">
        <v>1</v>
      </c>
      <c r="U237" s="829">
        <v>1</v>
      </c>
    </row>
    <row r="238" spans="1:21" ht="14.45" customHeight="1" x14ac:dyDescent="0.2">
      <c r="A238" s="822">
        <v>50</v>
      </c>
      <c r="B238" s="823" t="s">
        <v>1887</v>
      </c>
      <c r="C238" s="823" t="s">
        <v>1893</v>
      </c>
      <c r="D238" s="824" t="s">
        <v>2977</v>
      </c>
      <c r="E238" s="825" t="s">
        <v>1905</v>
      </c>
      <c r="F238" s="823" t="s">
        <v>1888</v>
      </c>
      <c r="G238" s="823" t="s">
        <v>2255</v>
      </c>
      <c r="H238" s="823" t="s">
        <v>329</v>
      </c>
      <c r="I238" s="823" t="s">
        <v>2334</v>
      </c>
      <c r="J238" s="823" t="s">
        <v>2335</v>
      </c>
      <c r="K238" s="823" t="s">
        <v>2336</v>
      </c>
      <c r="L238" s="826">
        <v>36.14</v>
      </c>
      <c r="M238" s="826">
        <v>36.14</v>
      </c>
      <c r="N238" s="823">
        <v>1</v>
      </c>
      <c r="O238" s="827">
        <v>1</v>
      </c>
      <c r="P238" s="826">
        <v>36.14</v>
      </c>
      <c r="Q238" s="828">
        <v>1</v>
      </c>
      <c r="R238" s="823">
        <v>1</v>
      </c>
      <c r="S238" s="828">
        <v>1</v>
      </c>
      <c r="T238" s="827">
        <v>1</v>
      </c>
      <c r="U238" s="829">
        <v>1</v>
      </c>
    </row>
    <row r="239" spans="1:21" ht="14.45" customHeight="1" x14ac:dyDescent="0.2">
      <c r="A239" s="822">
        <v>50</v>
      </c>
      <c r="B239" s="823" t="s">
        <v>1887</v>
      </c>
      <c r="C239" s="823" t="s">
        <v>1893</v>
      </c>
      <c r="D239" s="824" t="s">
        <v>2977</v>
      </c>
      <c r="E239" s="825" t="s">
        <v>1905</v>
      </c>
      <c r="F239" s="823" t="s">
        <v>1888</v>
      </c>
      <c r="G239" s="823" t="s">
        <v>2255</v>
      </c>
      <c r="H239" s="823" t="s">
        <v>329</v>
      </c>
      <c r="I239" s="823" t="s">
        <v>2337</v>
      </c>
      <c r="J239" s="823" t="s">
        <v>1533</v>
      </c>
      <c r="K239" s="823" t="s">
        <v>2338</v>
      </c>
      <c r="L239" s="826">
        <v>0</v>
      </c>
      <c r="M239" s="826">
        <v>0</v>
      </c>
      <c r="N239" s="823">
        <v>1</v>
      </c>
      <c r="O239" s="827">
        <v>1</v>
      </c>
      <c r="P239" s="826"/>
      <c r="Q239" s="828"/>
      <c r="R239" s="823"/>
      <c r="S239" s="828">
        <v>0</v>
      </c>
      <c r="T239" s="827"/>
      <c r="U239" s="829">
        <v>0</v>
      </c>
    </row>
    <row r="240" spans="1:21" ht="14.45" customHeight="1" x14ac:dyDescent="0.2">
      <c r="A240" s="822">
        <v>50</v>
      </c>
      <c r="B240" s="823" t="s">
        <v>1887</v>
      </c>
      <c r="C240" s="823" t="s">
        <v>1893</v>
      </c>
      <c r="D240" s="824" t="s">
        <v>2977</v>
      </c>
      <c r="E240" s="825" t="s">
        <v>1905</v>
      </c>
      <c r="F240" s="823" t="s">
        <v>1888</v>
      </c>
      <c r="G240" s="823" t="s">
        <v>1966</v>
      </c>
      <c r="H240" s="823" t="s">
        <v>625</v>
      </c>
      <c r="I240" s="823" t="s">
        <v>1552</v>
      </c>
      <c r="J240" s="823" t="s">
        <v>809</v>
      </c>
      <c r="K240" s="823" t="s">
        <v>1553</v>
      </c>
      <c r="L240" s="826">
        <v>1385.62</v>
      </c>
      <c r="M240" s="826">
        <v>1385.62</v>
      </c>
      <c r="N240" s="823">
        <v>1</v>
      </c>
      <c r="O240" s="827">
        <v>0.5</v>
      </c>
      <c r="P240" s="826"/>
      <c r="Q240" s="828">
        <v>0</v>
      </c>
      <c r="R240" s="823"/>
      <c r="S240" s="828">
        <v>0</v>
      </c>
      <c r="T240" s="827"/>
      <c r="U240" s="829">
        <v>0</v>
      </c>
    </row>
    <row r="241" spans="1:21" ht="14.45" customHeight="1" x14ac:dyDescent="0.2">
      <c r="A241" s="822">
        <v>50</v>
      </c>
      <c r="B241" s="823" t="s">
        <v>1887</v>
      </c>
      <c r="C241" s="823" t="s">
        <v>1893</v>
      </c>
      <c r="D241" s="824" t="s">
        <v>2977</v>
      </c>
      <c r="E241" s="825" t="s">
        <v>1905</v>
      </c>
      <c r="F241" s="823" t="s">
        <v>1888</v>
      </c>
      <c r="G241" s="823" t="s">
        <v>1966</v>
      </c>
      <c r="H241" s="823" t="s">
        <v>625</v>
      </c>
      <c r="I241" s="823" t="s">
        <v>1560</v>
      </c>
      <c r="J241" s="823" t="s">
        <v>803</v>
      </c>
      <c r="K241" s="823" t="s">
        <v>1561</v>
      </c>
      <c r="L241" s="826">
        <v>736.33</v>
      </c>
      <c r="M241" s="826">
        <v>736.33</v>
      </c>
      <c r="N241" s="823">
        <v>1</v>
      </c>
      <c r="O241" s="827">
        <v>0.5</v>
      </c>
      <c r="P241" s="826"/>
      <c r="Q241" s="828">
        <v>0</v>
      </c>
      <c r="R241" s="823"/>
      <c r="S241" s="828">
        <v>0</v>
      </c>
      <c r="T241" s="827"/>
      <c r="U241" s="829">
        <v>0</v>
      </c>
    </row>
    <row r="242" spans="1:21" ht="14.45" customHeight="1" x14ac:dyDescent="0.2">
      <c r="A242" s="822">
        <v>50</v>
      </c>
      <c r="B242" s="823" t="s">
        <v>1887</v>
      </c>
      <c r="C242" s="823" t="s">
        <v>1893</v>
      </c>
      <c r="D242" s="824" t="s">
        <v>2977</v>
      </c>
      <c r="E242" s="825" t="s">
        <v>1905</v>
      </c>
      <c r="F242" s="823" t="s">
        <v>1888</v>
      </c>
      <c r="G242" s="823" t="s">
        <v>1966</v>
      </c>
      <c r="H242" s="823" t="s">
        <v>625</v>
      </c>
      <c r="I242" s="823" t="s">
        <v>1554</v>
      </c>
      <c r="J242" s="823" t="s">
        <v>809</v>
      </c>
      <c r="K242" s="823" t="s">
        <v>1555</v>
      </c>
      <c r="L242" s="826">
        <v>1847.49</v>
      </c>
      <c r="M242" s="826">
        <v>3694.98</v>
      </c>
      <c r="N242" s="823">
        <v>2</v>
      </c>
      <c r="O242" s="827">
        <v>1.5</v>
      </c>
      <c r="P242" s="826"/>
      <c r="Q242" s="828">
        <v>0</v>
      </c>
      <c r="R242" s="823"/>
      <c r="S242" s="828">
        <v>0</v>
      </c>
      <c r="T242" s="827"/>
      <c r="U242" s="829">
        <v>0</v>
      </c>
    </row>
    <row r="243" spans="1:21" ht="14.45" customHeight="1" x14ac:dyDescent="0.2">
      <c r="A243" s="822">
        <v>50</v>
      </c>
      <c r="B243" s="823" t="s">
        <v>1887</v>
      </c>
      <c r="C243" s="823" t="s">
        <v>1893</v>
      </c>
      <c r="D243" s="824" t="s">
        <v>2977</v>
      </c>
      <c r="E243" s="825" t="s">
        <v>1905</v>
      </c>
      <c r="F243" s="823" t="s">
        <v>1888</v>
      </c>
      <c r="G243" s="823" t="s">
        <v>1966</v>
      </c>
      <c r="H243" s="823" t="s">
        <v>625</v>
      </c>
      <c r="I243" s="823" t="s">
        <v>1556</v>
      </c>
      <c r="J243" s="823" t="s">
        <v>803</v>
      </c>
      <c r="K243" s="823" t="s">
        <v>1557</v>
      </c>
      <c r="L243" s="826">
        <v>923.74</v>
      </c>
      <c r="M243" s="826">
        <v>923.74</v>
      </c>
      <c r="N243" s="823">
        <v>1</v>
      </c>
      <c r="O243" s="827">
        <v>1</v>
      </c>
      <c r="P243" s="826"/>
      <c r="Q243" s="828">
        <v>0</v>
      </c>
      <c r="R243" s="823"/>
      <c r="S243" s="828">
        <v>0</v>
      </c>
      <c r="T243" s="827"/>
      <c r="U243" s="829">
        <v>0</v>
      </c>
    </row>
    <row r="244" spans="1:21" ht="14.45" customHeight="1" x14ac:dyDescent="0.2">
      <c r="A244" s="822">
        <v>50</v>
      </c>
      <c r="B244" s="823" t="s">
        <v>1887</v>
      </c>
      <c r="C244" s="823" t="s">
        <v>1893</v>
      </c>
      <c r="D244" s="824" t="s">
        <v>2977</v>
      </c>
      <c r="E244" s="825" t="s">
        <v>1905</v>
      </c>
      <c r="F244" s="823" t="s">
        <v>1888</v>
      </c>
      <c r="G244" s="823" t="s">
        <v>2339</v>
      </c>
      <c r="H244" s="823" t="s">
        <v>329</v>
      </c>
      <c r="I244" s="823" t="s">
        <v>2340</v>
      </c>
      <c r="J244" s="823" t="s">
        <v>2341</v>
      </c>
      <c r="K244" s="823" t="s">
        <v>2342</v>
      </c>
      <c r="L244" s="826">
        <v>32.76</v>
      </c>
      <c r="M244" s="826">
        <v>32.76</v>
      </c>
      <c r="N244" s="823">
        <v>1</v>
      </c>
      <c r="O244" s="827">
        <v>1</v>
      </c>
      <c r="P244" s="826"/>
      <c r="Q244" s="828">
        <v>0</v>
      </c>
      <c r="R244" s="823"/>
      <c r="S244" s="828">
        <v>0</v>
      </c>
      <c r="T244" s="827"/>
      <c r="U244" s="829">
        <v>0</v>
      </c>
    </row>
    <row r="245" spans="1:21" ht="14.45" customHeight="1" x14ac:dyDescent="0.2">
      <c r="A245" s="822">
        <v>50</v>
      </c>
      <c r="B245" s="823" t="s">
        <v>1887</v>
      </c>
      <c r="C245" s="823" t="s">
        <v>1893</v>
      </c>
      <c r="D245" s="824" t="s">
        <v>2977</v>
      </c>
      <c r="E245" s="825" t="s">
        <v>1905</v>
      </c>
      <c r="F245" s="823" t="s">
        <v>1888</v>
      </c>
      <c r="G245" s="823" t="s">
        <v>2120</v>
      </c>
      <c r="H245" s="823" t="s">
        <v>329</v>
      </c>
      <c r="I245" s="823" t="s">
        <v>2259</v>
      </c>
      <c r="J245" s="823" t="s">
        <v>939</v>
      </c>
      <c r="K245" s="823" t="s">
        <v>2260</v>
      </c>
      <c r="L245" s="826">
        <v>35.25</v>
      </c>
      <c r="M245" s="826">
        <v>70.5</v>
      </c>
      <c r="N245" s="823">
        <v>2</v>
      </c>
      <c r="O245" s="827">
        <v>2</v>
      </c>
      <c r="P245" s="826">
        <v>35.25</v>
      </c>
      <c r="Q245" s="828">
        <v>0.5</v>
      </c>
      <c r="R245" s="823">
        <v>1</v>
      </c>
      <c r="S245" s="828">
        <v>0.5</v>
      </c>
      <c r="T245" s="827">
        <v>1</v>
      </c>
      <c r="U245" s="829">
        <v>0.5</v>
      </c>
    </row>
    <row r="246" spans="1:21" ht="14.45" customHeight="1" x14ac:dyDescent="0.2">
      <c r="A246" s="822">
        <v>50</v>
      </c>
      <c r="B246" s="823" t="s">
        <v>1887</v>
      </c>
      <c r="C246" s="823" t="s">
        <v>1893</v>
      </c>
      <c r="D246" s="824" t="s">
        <v>2977</v>
      </c>
      <c r="E246" s="825" t="s">
        <v>1905</v>
      </c>
      <c r="F246" s="823" t="s">
        <v>1888</v>
      </c>
      <c r="G246" s="823" t="s">
        <v>2343</v>
      </c>
      <c r="H246" s="823" t="s">
        <v>329</v>
      </c>
      <c r="I246" s="823" t="s">
        <v>2344</v>
      </c>
      <c r="J246" s="823" t="s">
        <v>2345</v>
      </c>
      <c r="K246" s="823" t="s">
        <v>2346</v>
      </c>
      <c r="L246" s="826">
        <v>78.33</v>
      </c>
      <c r="M246" s="826">
        <v>156.66</v>
      </c>
      <c r="N246" s="823">
        <v>2</v>
      </c>
      <c r="O246" s="827">
        <v>1</v>
      </c>
      <c r="P246" s="826"/>
      <c r="Q246" s="828">
        <v>0</v>
      </c>
      <c r="R246" s="823"/>
      <c r="S246" s="828">
        <v>0</v>
      </c>
      <c r="T246" s="827"/>
      <c r="U246" s="829">
        <v>0</v>
      </c>
    </row>
    <row r="247" spans="1:21" ht="14.45" customHeight="1" x14ac:dyDescent="0.2">
      <c r="A247" s="822">
        <v>50</v>
      </c>
      <c r="B247" s="823" t="s">
        <v>1887</v>
      </c>
      <c r="C247" s="823" t="s">
        <v>1893</v>
      </c>
      <c r="D247" s="824" t="s">
        <v>2977</v>
      </c>
      <c r="E247" s="825" t="s">
        <v>1905</v>
      </c>
      <c r="F247" s="823" t="s">
        <v>1888</v>
      </c>
      <c r="G247" s="823" t="s">
        <v>1967</v>
      </c>
      <c r="H247" s="823" t="s">
        <v>329</v>
      </c>
      <c r="I247" s="823" t="s">
        <v>2347</v>
      </c>
      <c r="J247" s="823" t="s">
        <v>832</v>
      </c>
      <c r="K247" s="823" t="s">
        <v>2348</v>
      </c>
      <c r="L247" s="826">
        <v>185.26</v>
      </c>
      <c r="M247" s="826">
        <v>370.52</v>
      </c>
      <c r="N247" s="823">
        <v>2</v>
      </c>
      <c r="O247" s="827">
        <v>2</v>
      </c>
      <c r="P247" s="826">
        <v>370.52</v>
      </c>
      <c r="Q247" s="828">
        <v>1</v>
      </c>
      <c r="R247" s="823">
        <v>2</v>
      </c>
      <c r="S247" s="828">
        <v>1</v>
      </c>
      <c r="T247" s="827">
        <v>2</v>
      </c>
      <c r="U247" s="829">
        <v>1</v>
      </c>
    </row>
    <row r="248" spans="1:21" ht="14.45" customHeight="1" x14ac:dyDescent="0.2">
      <c r="A248" s="822">
        <v>50</v>
      </c>
      <c r="B248" s="823" t="s">
        <v>1887</v>
      </c>
      <c r="C248" s="823" t="s">
        <v>1893</v>
      </c>
      <c r="D248" s="824" t="s">
        <v>2977</v>
      </c>
      <c r="E248" s="825" t="s">
        <v>1905</v>
      </c>
      <c r="F248" s="823" t="s">
        <v>1888</v>
      </c>
      <c r="G248" s="823" t="s">
        <v>2349</v>
      </c>
      <c r="H248" s="823" t="s">
        <v>329</v>
      </c>
      <c r="I248" s="823" t="s">
        <v>2350</v>
      </c>
      <c r="J248" s="823" t="s">
        <v>2351</v>
      </c>
      <c r="K248" s="823" t="s">
        <v>2087</v>
      </c>
      <c r="L248" s="826">
        <v>46.81</v>
      </c>
      <c r="M248" s="826">
        <v>46.81</v>
      </c>
      <c r="N248" s="823">
        <v>1</v>
      </c>
      <c r="O248" s="827">
        <v>1</v>
      </c>
      <c r="P248" s="826"/>
      <c r="Q248" s="828">
        <v>0</v>
      </c>
      <c r="R248" s="823"/>
      <c r="S248" s="828">
        <v>0</v>
      </c>
      <c r="T248" s="827"/>
      <c r="U248" s="829">
        <v>0</v>
      </c>
    </row>
    <row r="249" spans="1:21" ht="14.45" customHeight="1" x14ac:dyDescent="0.2">
      <c r="A249" s="822">
        <v>50</v>
      </c>
      <c r="B249" s="823" t="s">
        <v>1887</v>
      </c>
      <c r="C249" s="823" t="s">
        <v>1893</v>
      </c>
      <c r="D249" s="824" t="s">
        <v>2977</v>
      </c>
      <c r="E249" s="825" t="s">
        <v>1905</v>
      </c>
      <c r="F249" s="823" t="s">
        <v>1888</v>
      </c>
      <c r="G249" s="823" t="s">
        <v>1973</v>
      </c>
      <c r="H249" s="823" t="s">
        <v>329</v>
      </c>
      <c r="I249" s="823" t="s">
        <v>1974</v>
      </c>
      <c r="J249" s="823" t="s">
        <v>706</v>
      </c>
      <c r="K249" s="823" t="s">
        <v>1975</v>
      </c>
      <c r="L249" s="826">
        <v>57.64</v>
      </c>
      <c r="M249" s="826">
        <v>230.56</v>
      </c>
      <c r="N249" s="823">
        <v>4</v>
      </c>
      <c r="O249" s="827">
        <v>4</v>
      </c>
      <c r="P249" s="826"/>
      <c r="Q249" s="828">
        <v>0</v>
      </c>
      <c r="R249" s="823"/>
      <c r="S249" s="828">
        <v>0</v>
      </c>
      <c r="T249" s="827"/>
      <c r="U249" s="829">
        <v>0</v>
      </c>
    </row>
    <row r="250" spans="1:21" ht="14.45" customHeight="1" x14ac:dyDescent="0.2">
      <c r="A250" s="822">
        <v>50</v>
      </c>
      <c r="B250" s="823" t="s">
        <v>1887</v>
      </c>
      <c r="C250" s="823" t="s">
        <v>1893</v>
      </c>
      <c r="D250" s="824" t="s">
        <v>2977</v>
      </c>
      <c r="E250" s="825" t="s">
        <v>1905</v>
      </c>
      <c r="F250" s="823" t="s">
        <v>1888</v>
      </c>
      <c r="G250" s="823" t="s">
        <v>1973</v>
      </c>
      <c r="H250" s="823" t="s">
        <v>329</v>
      </c>
      <c r="I250" s="823" t="s">
        <v>1974</v>
      </c>
      <c r="J250" s="823" t="s">
        <v>706</v>
      </c>
      <c r="K250" s="823" t="s">
        <v>1975</v>
      </c>
      <c r="L250" s="826">
        <v>27.37</v>
      </c>
      <c r="M250" s="826">
        <v>27.37</v>
      </c>
      <c r="N250" s="823">
        <v>1</v>
      </c>
      <c r="O250" s="827">
        <v>0.5</v>
      </c>
      <c r="P250" s="826"/>
      <c r="Q250" s="828">
        <v>0</v>
      </c>
      <c r="R250" s="823"/>
      <c r="S250" s="828">
        <v>0</v>
      </c>
      <c r="T250" s="827"/>
      <c r="U250" s="829">
        <v>0</v>
      </c>
    </row>
    <row r="251" spans="1:21" ht="14.45" customHeight="1" x14ac:dyDescent="0.2">
      <c r="A251" s="822">
        <v>50</v>
      </c>
      <c r="B251" s="823" t="s">
        <v>1887</v>
      </c>
      <c r="C251" s="823" t="s">
        <v>1893</v>
      </c>
      <c r="D251" s="824" t="s">
        <v>2977</v>
      </c>
      <c r="E251" s="825" t="s">
        <v>1905</v>
      </c>
      <c r="F251" s="823" t="s">
        <v>1888</v>
      </c>
      <c r="G251" s="823" t="s">
        <v>1973</v>
      </c>
      <c r="H251" s="823" t="s">
        <v>625</v>
      </c>
      <c r="I251" s="823" t="s">
        <v>1522</v>
      </c>
      <c r="J251" s="823" t="s">
        <v>706</v>
      </c>
      <c r="K251" s="823" t="s">
        <v>1523</v>
      </c>
      <c r="L251" s="826">
        <v>102.93</v>
      </c>
      <c r="M251" s="826">
        <v>102.93</v>
      </c>
      <c r="N251" s="823">
        <v>1</v>
      </c>
      <c r="O251" s="827">
        <v>1</v>
      </c>
      <c r="P251" s="826">
        <v>102.93</v>
      </c>
      <c r="Q251" s="828">
        <v>1</v>
      </c>
      <c r="R251" s="823">
        <v>1</v>
      </c>
      <c r="S251" s="828">
        <v>1</v>
      </c>
      <c r="T251" s="827">
        <v>1</v>
      </c>
      <c r="U251" s="829">
        <v>1</v>
      </c>
    </row>
    <row r="252" spans="1:21" ht="14.45" customHeight="1" x14ac:dyDescent="0.2">
      <c r="A252" s="822">
        <v>50</v>
      </c>
      <c r="B252" s="823" t="s">
        <v>1887</v>
      </c>
      <c r="C252" s="823" t="s">
        <v>1893</v>
      </c>
      <c r="D252" s="824" t="s">
        <v>2977</v>
      </c>
      <c r="E252" s="825" t="s">
        <v>1905</v>
      </c>
      <c r="F252" s="823" t="s">
        <v>1888</v>
      </c>
      <c r="G252" s="823" t="s">
        <v>1973</v>
      </c>
      <c r="H252" s="823" t="s">
        <v>625</v>
      </c>
      <c r="I252" s="823" t="s">
        <v>1976</v>
      </c>
      <c r="J252" s="823" t="s">
        <v>706</v>
      </c>
      <c r="K252" s="823" t="s">
        <v>1977</v>
      </c>
      <c r="L252" s="826">
        <v>28.81</v>
      </c>
      <c r="M252" s="826">
        <v>57.62</v>
      </c>
      <c r="N252" s="823">
        <v>2</v>
      </c>
      <c r="O252" s="827">
        <v>2</v>
      </c>
      <c r="P252" s="826"/>
      <c r="Q252" s="828">
        <v>0</v>
      </c>
      <c r="R252" s="823"/>
      <c r="S252" s="828">
        <v>0</v>
      </c>
      <c r="T252" s="827"/>
      <c r="U252" s="829">
        <v>0</v>
      </c>
    </row>
    <row r="253" spans="1:21" ht="14.45" customHeight="1" x14ac:dyDescent="0.2">
      <c r="A253" s="822">
        <v>50</v>
      </c>
      <c r="B253" s="823" t="s">
        <v>1887</v>
      </c>
      <c r="C253" s="823" t="s">
        <v>1893</v>
      </c>
      <c r="D253" s="824" t="s">
        <v>2977</v>
      </c>
      <c r="E253" s="825" t="s">
        <v>1905</v>
      </c>
      <c r="F253" s="823" t="s">
        <v>1888</v>
      </c>
      <c r="G253" s="823" t="s">
        <v>1921</v>
      </c>
      <c r="H253" s="823" t="s">
        <v>625</v>
      </c>
      <c r="I253" s="823" t="s">
        <v>1922</v>
      </c>
      <c r="J253" s="823" t="s">
        <v>967</v>
      </c>
      <c r="K253" s="823" t="s">
        <v>1923</v>
      </c>
      <c r="L253" s="826">
        <v>34.47</v>
      </c>
      <c r="M253" s="826">
        <v>241.29</v>
      </c>
      <c r="N253" s="823">
        <v>7</v>
      </c>
      <c r="O253" s="827">
        <v>6.5</v>
      </c>
      <c r="P253" s="826">
        <v>68.94</v>
      </c>
      <c r="Q253" s="828">
        <v>0.2857142857142857</v>
      </c>
      <c r="R253" s="823">
        <v>2</v>
      </c>
      <c r="S253" s="828">
        <v>0.2857142857142857</v>
      </c>
      <c r="T253" s="827">
        <v>2</v>
      </c>
      <c r="U253" s="829">
        <v>0.30769230769230771</v>
      </c>
    </row>
    <row r="254" spans="1:21" ht="14.45" customHeight="1" x14ac:dyDescent="0.2">
      <c r="A254" s="822">
        <v>50</v>
      </c>
      <c r="B254" s="823" t="s">
        <v>1887</v>
      </c>
      <c r="C254" s="823" t="s">
        <v>1893</v>
      </c>
      <c r="D254" s="824" t="s">
        <v>2977</v>
      </c>
      <c r="E254" s="825" t="s">
        <v>1905</v>
      </c>
      <c r="F254" s="823" t="s">
        <v>1888</v>
      </c>
      <c r="G254" s="823" t="s">
        <v>2268</v>
      </c>
      <c r="H254" s="823" t="s">
        <v>625</v>
      </c>
      <c r="I254" s="823" t="s">
        <v>2352</v>
      </c>
      <c r="J254" s="823" t="s">
        <v>2270</v>
      </c>
      <c r="K254" s="823" t="s">
        <v>2353</v>
      </c>
      <c r="L254" s="826">
        <v>545.82000000000005</v>
      </c>
      <c r="M254" s="826">
        <v>545.82000000000005</v>
      </c>
      <c r="N254" s="823">
        <v>1</v>
      </c>
      <c r="O254" s="827">
        <v>1</v>
      </c>
      <c r="P254" s="826">
        <v>545.82000000000005</v>
      </c>
      <c r="Q254" s="828">
        <v>1</v>
      </c>
      <c r="R254" s="823">
        <v>1</v>
      </c>
      <c r="S254" s="828">
        <v>1</v>
      </c>
      <c r="T254" s="827">
        <v>1</v>
      </c>
      <c r="U254" s="829">
        <v>1</v>
      </c>
    </row>
    <row r="255" spans="1:21" ht="14.45" customHeight="1" x14ac:dyDescent="0.2">
      <c r="A255" s="822">
        <v>50</v>
      </c>
      <c r="B255" s="823" t="s">
        <v>1887</v>
      </c>
      <c r="C255" s="823" t="s">
        <v>1893</v>
      </c>
      <c r="D255" s="824" t="s">
        <v>2977</v>
      </c>
      <c r="E255" s="825" t="s">
        <v>1905</v>
      </c>
      <c r="F255" s="823" t="s">
        <v>1888</v>
      </c>
      <c r="G255" s="823" t="s">
        <v>2268</v>
      </c>
      <c r="H255" s="823" t="s">
        <v>625</v>
      </c>
      <c r="I255" s="823" t="s">
        <v>2354</v>
      </c>
      <c r="J255" s="823" t="s">
        <v>2355</v>
      </c>
      <c r="K255" s="823" t="s">
        <v>2356</v>
      </c>
      <c r="L255" s="826">
        <v>181.94</v>
      </c>
      <c r="M255" s="826">
        <v>181.94</v>
      </c>
      <c r="N255" s="823">
        <v>1</v>
      </c>
      <c r="O255" s="827">
        <v>1</v>
      </c>
      <c r="P255" s="826"/>
      <c r="Q255" s="828">
        <v>0</v>
      </c>
      <c r="R255" s="823"/>
      <c r="S255" s="828">
        <v>0</v>
      </c>
      <c r="T255" s="827"/>
      <c r="U255" s="829">
        <v>0</v>
      </c>
    </row>
    <row r="256" spans="1:21" ht="14.45" customHeight="1" x14ac:dyDescent="0.2">
      <c r="A256" s="822">
        <v>50</v>
      </c>
      <c r="B256" s="823" t="s">
        <v>1887</v>
      </c>
      <c r="C256" s="823" t="s">
        <v>1893</v>
      </c>
      <c r="D256" s="824" t="s">
        <v>2977</v>
      </c>
      <c r="E256" s="825" t="s">
        <v>1905</v>
      </c>
      <c r="F256" s="823" t="s">
        <v>1888</v>
      </c>
      <c r="G256" s="823" t="s">
        <v>2138</v>
      </c>
      <c r="H256" s="823" t="s">
        <v>329</v>
      </c>
      <c r="I256" s="823" t="s">
        <v>2357</v>
      </c>
      <c r="J256" s="823" t="s">
        <v>2140</v>
      </c>
      <c r="K256" s="823" t="s">
        <v>2358</v>
      </c>
      <c r="L256" s="826">
        <v>145.72999999999999</v>
      </c>
      <c r="M256" s="826">
        <v>145.72999999999999</v>
      </c>
      <c r="N256" s="823">
        <v>1</v>
      </c>
      <c r="O256" s="827">
        <v>1</v>
      </c>
      <c r="P256" s="826">
        <v>145.72999999999999</v>
      </c>
      <c r="Q256" s="828">
        <v>1</v>
      </c>
      <c r="R256" s="823">
        <v>1</v>
      </c>
      <c r="S256" s="828">
        <v>1</v>
      </c>
      <c r="T256" s="827">
        <v>1</v>
      </c>
      <c r="U256" s="829">
        <v>1</v>
      </c>
    </row>
    <row r="257" spans="1:21" ht="14.45" customHeight="1" x14ac:dyDescent="0.2">
      <c r="A257" s="822">
        <v>50</v>
      </c>
      <c r="B257" s="823" t="s">
        <v>1887</v>
      </c>
      <c r="C257" s="823" t="s">
        <v>1893</v>
      </c>
      <c r="D257" s="824" t="s">
        <v>2977</v>
      </c>
      <c r="E257" s="825" t="s">
        <v>1905</v>
      </c>
      <c r="F257" s="823" t="s">
        <v>1888</v>
      </c>
      <c r="G257" s="823" t="s">
        <v>2359</v>
      </c>
      <c r="H257" s="823" t="s">
        <v>329</v>
      </c>
      <c r="I257" s="823" t="s">
        <v>2360</v>
      </c>
      <c r="J257" s="823" t="s">
        <v>700</v>
      </c>
      <c r="K257" s="823" t="s">
        <v>2361</v>
      </c>
      <c r="L257" s="826">
        <v>0</v>
      </c>
      <c r="M257" s="826">
        <v>0</v>
      </c>
      <c r="N257" s="823">
        <v>3</v>
      </c>
      <c r="O257" s="827">
        <v>3</v>
      </c>
      <c r="P257" s="826">
        <v>0</v>
      </c>
      <c r="Q257" s="828"/>
      <c r="R257" s="823">
        <v>1</v>
      </c>
      <c r="S257" s="828">
        <v>0.33333333333333331</v>
      </c>
      <c r="T257" s="827">
        <v>1</v>
      </c>
      <c r="U257" s="829">
        <v>0.33333333333333331</v>
      </c>
    </row>
    <row r="258" spans="1:21" ht="14.45" customHeight="1" x14ac:dyDescent="0.2">
      <c r="A258" s="822">
        <v>50</v>
      </c>
      <c r="B258" s="823" t="s">
        <v>1887</v>
      </c>
      <c r="C258" s="823" t="s">
        <v>1893</v>
      </c>
      <c r="D258" s="824" t="s">
        <v>2977</v>
      </c>
      <c r="E258" s="825" t="s">
        <v>1905</v>
      </c>
      <c r="F258" s="823" t="s">
        <v>1888</v>
      </c>
      <c r="G258" s="823" t="s">
        <v>2146</v>
      </c>
      <c r="H258" s="823" t="s">
        <v>625</v>
      </c>
      <c r="I258" s="823" t="s">
        <v>1627</v>
      </c>
      <c r="J258" s="823" t="s">
        <v>1628</v>
      </c>
      <c r="K258" s="823" t="s">
        <v>1629</v>
      </c>
      <c r="L258" s="826">
        <v>11.48</v>
      </c>
      <c r="M258" s="826">
        <v>11.48</v>
      </c>
      <c r="N258" s="823">
        <v>1</v>
      </c>
      <c r="O258" s="827">
        <v>1</v>
      </c>
      <c r="P258" s="826"/>
      <c r="Q258" s="828">
        <v>0</v>
      </c>
      <c r="R258" s="823"/>
      <c r="S258" s="828">
        <v>0</v>
      </c>
      <c r="T258" s="827"/>
      <c r="U258" s="829">
        <v>0</v>
      </c>
    </row>
    <row r="259" spans="1:21" ht="14.45" customHeight="1" x14ac:dyDescent="0.2">
      <c r="A259" s="822">
        <v>50</v>
      </c>
      <c r="B259" s="823" t="s">
        <v>1887</v>
      </c>
      <c r="C259" s="823" t="s">
        <v>1893</v>
      </c>
      <c r="D259" s="824" t="s">
        <v>2977</v>
      </c>
      <c r="E259" s="825" t="s">
        <v>1905</v>
      </c>
      <c r="F259" s="823" t="s">
        <v>1888</v>
      </c>
      <c r="G259" s="823" t="s">
        <v>2146</v>
      </c>
      <c r="H259" s="823" t="s">
        <v>625</v>
      </c>
      <c r="I259" s="823" t="s">
        <v>2362</v>
      </c>
      <c r="J259" s="823" t="s">
        <v>1628</v>
      </c>
      <c r="K259" s="823" t="s">
        <v>2019</v>
      </c>
      <c r="L259" s="826">
        <v>34.47</v>
      </c>
      <c r="M259" s="826">
        <v>34.47</v>
      </c>
      <c r="N259" s="823">
        <v>1</v>
      </c>
      <c r="O259" s="827">
        <v>1</v>
      </c>
      <c r="P259" s="826">
        <v>34.47</v>
      </c>
      <c r="Q259" s="828">
        <v>1</v>
      </c>
      <c r="R259" s="823">
        <v>1</v>
      </c>
      <c r="S259" s="828">
        <v>1</v>
      </c>
      <c r="T259" s="827">
        <v>1</v>
      </c>
      <c r="U259" s="829">
        <v>1</v>
      </c>
    </row>
    <row r="260" spans="1:21" ht="14.45" customHeight="1" x14ac:dyDescent="0.2">
      <c r="A260" s="822">
        <v>50</v>
      </c>
      <c r="B260" s="823" t="s">
        <v>1887</v>
      </c>
      <c r="C260" s="823" t="s">
        <v>1893</v>
      </c>
      <c r="D260" s="824" t="s">
        <v>2977</v>
      </c>
      <c r="E260" s="825" t="s">
        <v>1905</v>
      </c>
      <c r="F260" s="823" t="s">
        <v>1888</v>
      </c>
      <c r="G260" s="823" t="s">
        <v>2146</v>
      </c>
      <c r="H260" s="823" t="s">
        <v>329</v>
      </c>
      <c r="I260" s="823" t="s">
        <v>2363</v>
      </c>
      <c r="J260" s="823" t="s">
        <v>2364</v>
      </c>
      <c r="K260" s="823" t="s">
        <v>2017</v>
      </c>
      <c r="L260" s="826">
        <v>103.4</v>
      </c>
      <c r="M260" s="826">
        <v>206.8</v>
      </c>
      <c r="N260" s="823">
        <v>2</v>
      </c>
      <c r="O260" s="827">
        <v>2</v>
      </c>
      <c r="P260" s="826"/>
      <c r="Q260" s="828">
        <v>0</v>
      </c>
      <c r="R260" s="823"/>
      <c r="S260" s="828">
        <v>0</v>
      </c>
      <c r="T260" s="827"/>
      <c r="U260" s="829">
        <v>0</v>
      </c>
    </row>
    <row r="261" spans="1:21" ht="14.45" customHeight="1" x14ac:dyDescent="0.2">
      <c r="A261" s="822">
        <v>50</v>
      </c>
      <c r="B261" s="823" t="s">
        <v>1887</v>
      </c>
      <c r="C261" s="823" t="s">
        <v>1893</v>
      </c>
      <c r="D261" s="824" t="s">
        <v>2977</v>
      </c>
      <c r="E261" s="825" t="s">
        <v>1905</v>
      </c>
      <c r="F261" s="823" t="s">
        <v>1888</v>
      </c>
      <c r="G261" s="823" t="s">
        <v>1982</v>
      </c>
      <c r="H261" s="823" t="s">
        <v>329</v>
      </c>
      <c r="I261" s="823" t="s">
        <v>2365</v>
      </c>
      <c r="J261" s="823" t="s">
        <v>1984</v>
      </c>
      <c r="K261" s="823" t="s">
        <v>1854</v>
      </c>
      <c r="L261" s="826">
        <v>143.35</v>
      </c>
      <c r="M261" s="826">
        <v>286.7</v>
      </c>
      <c r="N261" s="823">
        <v>2</v>
      </c>
      <c r="O261" s="827">
        <v>2</v>
      </c>
      <c r="P261" s="826">
        <v>143.35</v>
      </c>
      <c r="Q261" s="828">
        <v>0.5</v>
      </c>
      <c r="R261" s="823">
        <v>1</v>
      </c>
      <c r="S261" s="828">
        <v>0.5</v>
      </c>
      <c r="T261" s="827">
        <v>1</v>
      </c>
      <c r="U261" s="829">
        <v>0.5</v>
      </c>
    </row>
    <row r="262" spans="1:21" ht="14.45" customHeight="1" x14ac:dyDescent="0.2">
      <c r="A262" s="822">
        <v>50</v>
      </c>
      <c r="B262" s="823" t="s">
        <v>1887</v>
      </c>
      <c r="C262" s="823" t="s">
        <v>1893</v>
      </c>
      <c r="D262" s="824" t="s">
        <v>2977</v>
      </c>
      <c r="E262" s="825" t="s">
        <v>1905</v>
      </c>
      <c r="F262" s="823" t="s">
        <v>1888</v>
      </c>
      <c r="G262" s="823" t="s">
        <v>1982</v>
      </c>
      <c r="H262" s="823" t="s">
        <v>329</v>
      </c>
      <c r="I262" s="823" t="s">
        <v>2366</v>
      </c>
      <c r="J262" s="823" t="s">
        <v>2367</v>
      </c>
      <c r="K262" s="823" t="s">
        <v>2368</v>
      </c>
      <c r="L262" s="826">
        <v>928.81</v>
      </c>
      <c r="M262" s="826">
        <v>928.81</v>
      </c>
      <c r="N262" s="823">
        <v>1</v>
      </c>
      <c r="O262" s="827">
        <v>1</v>
      </c>
      <c r="P262" s="826"/>
      <c r="Q262" s="828">
        <v>0</v>
      </c>
      <c r="R262" s="823"/>
      <c r="S262" s="828">
        <v>0</v>
      </c>
      <c r="T262" s="827"/>
      <c r="U262" s="829">
        <v>0</v>
      </c>
    </row>
    <row r="263" spans="1:21" ht="14.45" customHeight="1" x14ac:dyDescent="0.2">
      <c r="A263" s="822">
        <v>50</v>
      </c>
      <c r="B263" s="823" t="s">
        <v>1887</v>
      </c>
      <c r="C263" s="823" t="s">
        <v>1893</v>
      </c>
      <c r="D263" s="824" t="s">
        <v>2977</v>
      </c>
      <c r="E263" s="825" t="s">
        <v>1905</v>
      </c>
      <c r="F263" s="823" t="s">
        <v>1888</v>
      </c>
      <c r="G263" s="823" t="s">
        <v>1985</v>
      </c>
      <c r="H263" s="823" t="s">
        <v>329</v>
      </c>
      <c r="I263" s="823" t="s">
        <v>1986</v>
      </c>
      <c r="J263" s="823" t="s">
        <v>998</v>
      </c>
      <c r="K263" s="823" t="s">
        <v>1987</v>
      </c>
      <c r="L263" s="826">
        <v>128.69999999999999</v>
      </c>
      <c r="M263" s="826">
        <v>514.79999999999995</v>
      </c>
      <c r="N263" s="823">
        <v>4</v>
      </c>
      <c r="O263" s="827">
        <v>3.5</v>
      </c>
      <c r="P263" s="826">
        <v>128.69999999999999</v>
      </c>
      <c r="Q263" s="828">
        <v>0.25</v>
      </c>
      <c r="R263" s="823">
        <v>1</v>
      </c>
      <c r="S263" s="828">
        <v>0.25</v>
      </c>
      <c r="T263" s="827">
        <v>1</v>
      </c>
      <c r="U263" s="829">
        <v>0.2857142857142857</v>
      </c>
    </row>
    <row r="264" spans="1:21" ht="14.45" customHeight="1" x14ac:dyDescent="0.2">
      <c r="A264" s="822">
        <v>50</v>
      </c>
      <c r="B264" s="823" t="s">
        <v>1887</v>
      </c>
      <c r="C264" s="823" t="s">
        <v>1893</v>
      </c>
      <c r="D264" s="824" t="s">
        <v>2977</v>
      </c>
      <c r="E264" s="825" t="s">
        <v>1905</v>
      </c>
      <c r="F264" s="823" t="s">
        <v>1888</v>
      </c>
      <c r="G264" s="823" t="s">
        <v>2369</v>
      </c>
      <c r="H264" s="823" t="s">
        <v>329</v>
      </c>
      <c r="I264" s="823" t="s">
        <v>2370</v>
      </c>
      <c r="J264" s="823" t="s">
        <v>2371</v>
      </c>
      <c r="K264" s="823" t="s">
        <v>2372</v>
      </c>
      <c r="L264" s="826">
        <v>829.52</v>
      </c>
      <c r="M264" s="826">
        <v>829.52</v>
      </c>
      <c r="N264" s="823">
        <v>1</v>
      </c>
      <c r="O264" s="827">
        <v>1</v>
      </c>
      <c r="P264" s="826"/>
      <c r="Q264" s="828">
        <v>0</v>
      </c>
      <c r="R264" s="823"/>
      <c r="S264" s="828">
        <v>0</v>
      </c>
      <c r="T264" s="827"/>
      <c r="U264" s="829">
        <v>0</v>
      </c>
    </row>
    <row r="265" spans="1:21" ht="14.45" customHeight="1" x14ac:dyDescent="0.2">
      <c r="A265" s="822">
        <v>50</v>
      </c>
      <c r="B265" s="823" t="s">
        <v>1887</v>
      </c>
      <c r="C265" s="823" t="s">
        <v>1893</v>
      </c>
      <c r="D265" s="824" t="s">
        <v>2977</v>
      </c>
      <c r="E265" s="825" t="s">
        <v>1905</v>
      </c>
      <c r="F265" s="823" t="s">
        <v>1888</v>
      </c>
      <c r="G265" s="823" t="s">
        <v>2373</v>
      </c>
      <c r="H265" s="823" t="s">
        <v>625</v>
      </c>
      <c r="I265" s="823" t="s">
        <v>1711</v>
      </c>
      <c r="J265" s="823" t="s">
        <v>946</v>
      </c>
      <c r="K265" s="823" t="s">
        <v>947</v>
      </c>
      <c r="L265" s="826">
        <v>0</v>
      </c>
      <c r="M265" s="826">
        <v>0</v>
      </c>
      <c r="N265" s="823">
        <v>4</v>
      </c>
      <c r="O265" s="827">
        <v>2.5</v>
      </c>
      <c r="P265" s="826">
        <v>0</v>
      </c>
      <c r="Q265" s="828"/>
      <c r="R265" s="823">
        <v>2</v>
      </c>
      <c r="S265" s="828">
        <v>0.5</v>
      </c>
      <c r="T265" s="827">
        <v>1</v>
      </c>
      <c r="U265" s="829">
        <v>0.4</v>
      </c>
    </row>
    <row r="266" spans="1:21" ht="14.45" customHeight="1" x14ac:dyDescent="0.2">
      <c r="A266" s="822">
        <v>50</v>
      </c>
      <c r="B266" s="823" t="s">
        <v>1887</v>
      </c>
      <c r="C266" s="823" t="s">
        <v>1893</v>
      </c>
      <c r="D266" s="824" t="s">
        <v>2977</v>
      </c>
      <c r="E266" s="825" t="s">
        <v>1905</v>
      </c>
      <c r="F266" s="823" t="s">
        <v>1888</v>
      </c>
      <c r="G266" s="823" t="s">
        <v>1988</v>
      </c>
      <c r="H266" s="823" t="s">
        <v>329</v>
      </c>
      <c r="I266" s="823" t="s">
        <v>1989</v>
      </c>
      <c r="J266" s="823" t="s">
        <v>1047</v>
      </c>
      <c r="K266" s="823" t="s">
        <v>1990</v>
      </c>
      <c r="L266" s="826">
        <v>42.08</v>
      </c>
      <c r="M266" s="826">
        <v>42.08</v>
      </c>
      <c r="N266" s="823">
        <v>1</v>
      </c>
      <c r="O266" s="827">
        <v>0.5</v>
      </c>
      <c r="P266" s="826"/>
      <c r="Q266" s="828">
        <v>0</v>
      </c>
      <c r="R266" s="823"/>
      <c r="S266" s="828">
        <v>0</v>
      </c>
      <c r="T266" s="827"/>
      <c r="U266" s="829">
        <v>0</v>
      </c>
    </row>
    <row r="267" spans="1:21" ht="14.45" customHeight="1" x14ac:dyDescent="0.2">
      <c r="A267" s="822">
        <v>50</v>
      </c>
      <c r="B267" s="823" t="s">
        <v>1887</v>
      </c>
      <c r="C267" s="823" t="s">
        <v>1893</v>
      </c>
      <c r="D267" s="824" t="s">
        <v>2977</v>
      </c>
      <c r="E267" s="825" t="s">
        <v>1905</v>
      </c>
      <c r="F267" s="823" t="s">
        <v>1888</v>
      </c>
      <c r="G267" s="823" t="s">
        <v>1991</v>
      </c>
      <c r="H267" s="823" t="s">
        <v>329</v>
      </c>
      <c r="I267" s="823" t="s">
        <v>1992</v>
      </c>
      <c r="J267" s="823" t="s">
        <v>1147</v>
      </c>
      <c r="K267" s="823" t="s">
        <v>1993</v>
      </c>
      <c r="L267" s="826">
        <v>219.37</v>
      </c>
      <c r="M267" s="826">
        <v>1316.22</v>
      </c>
      <c r="N267" s="823">
        <v>6</v>
      </c>
      <c r="O267" s="827">
        <v>4</v>
      </c>
      <c r="P267" s="826">
        <v>877.48</v>
      </c>
      <c r="Q267" s="828">
        <v>0.66666666666666663</v>
      </c>
      <c r="R267" s="823">
        <v>4</v>
      </c>
      <c r="S267" s="828">
        <v>0.66666666666666663</v>
      </c>
      <c r="T267" s="827">
        <v>2</v>
      </c>
      <c r="U267" s="829">
        <v>0.5</v>
      </c>
    </row>
    <row r="268" spans="1:21" ht="14.45" customHeight="1" x14ac:dyDescent="0.2">
      <c r="A268" s="822">
        <v>50</v>
      </c>
      <c r="B268" s="823" t="s">
        <v>1887</v>
      </c>
      <c r="C268" s="823" t="s">
        <v>1893</v>
      </c>
      <c r="D268" s="824" t="s">
        <v>2977</v>
      </c>
      <c r="E268" s="825" t="s">
        <v>1905</v>
      </c>
      <c r="F268" s="823" t="s">
        <v>1888</v>
      </c>
      <c r="G268" s="823" t="s">
        <v>2170</v>
      </c>
      <c r="H268" s="823" t="s">
        <v>625</v>
      </c>
      <c r="I268" s="823" t="s">
        <v>2171</v>
      </c>
      <c r="J268" s="823" t="s">
        <v>2172</v>
      </c>
      <c r="K268" s="823" t="s">
        <v>2173</v>
      </c>
      <c r="L268" s="826">
        <v>131.86000000000001</v>
      </c>
      <c r="M268" s="826">
        <v>131.86000000000001</v>
      </c>
      <c r="N268" s="823">
        <v>1</v>
      </c>
      <c r="O268" s="827">
        <v>1</v>
      </c>
      <c r="P268" s="826"/>
      <c r="Q268" s="828">
        <v>0</v>
      </c>
      <c r="R268" s="823"/>
      <c r="S268" s="828">
        <v>0</v>
      </c>
      <c r="T268" s="827"/>
      <c r="U268" s="829">
        <v>0</v>
      </c>
    </row>
    <row r="269" spans="1:21" ht="14.45" customHeight="1" x14ac:dyDescent="0.2">
      <c r="A269" s="822">
        <v>50</v>
      </c>
      <c r="B269" s="823" t="s">
        <v>1887</v>
      </c>
      <c r="C269" s="823" t="s">
        <v>1893</v>
      </c>
      <c r="D269" s="824" t="s">
        <v>2977</v>
      </c>
      <c r="E269" s="825" t="s">
        <v>1905</v>
      </c>
      <c r="F269" s="823" t="s">
        <v>1888</v>
      </c>
      <c r="G269" s="823" t="s">
        <v>2374</v>
      </c>
      <c r="H269" s="823" t="s">
        <v>329</v>
      </c>
      <c r="I269" s="823" t="s">
        <v>2375</v>
      </c>
      <c r="J269" s="823" t="s">
        <v>2376</v>
      </c>
      <c r="K269" s="823" t="s">
        <v>2377</v>
      </c>
      <c r="L269" s="826">
        <v>65.989999999999995</v>
      </c>
      <c r="M269" s="826">
        <v>65.989999999999995</v>
      </c>
      <c r="N269" s="823">
        <v>1</v>
      </c>
      <c r="O269" s="827">
        <v>1</v>
      </c>
      <c r="P269" s="826">
        <v>65.989999999999995</v>
      </c>
      <c r="Q269" s="828">
        <v>1</v>
      </c>
      <c r="R269" s="823">
        <v>1</v>
      </c>
      <c r="S269" s="828">
        <v>1</v>
      </c>
      <c r="T269" s="827">
        <v>1</v>
      </c>
      <c r="U269" s="829">
        <v>1</v>
      </c>
    </row>
    <row r="270" spans="1:21" ht="14.45" customHeight="1" x14ac:dyDescent="0.2">
      <c r="A270" s="822">
        <v>50</v>
      </c>
      <c r="B270" s="823" t="s">
        <v>1887</v>
      </c>
      <c r="C270" s="823" t="s">
        <v>1893</v>
      </c>
      <c r="D270" s="824" t="s">
        <v>2977</v>
      </c>
      <c r="E270" s="825" t="s">
        <v>1905</v>
      </c>
      <c r="F270" s="823" t="s">
        <v>1888</v>
      </c>
      <c r="G270" s="823" t="s">
        <v>2001</v>
      </c>
      <c r="H270" s="823" t="s">
        <v>625</v>
      </c>
      <c r="I270" s="823" t="s">
        <v>1549</v>
      </c>
      <c r="J270" s="823" t="s">
        <v>1547</v>
      </c>
      <c r="K270" s="823" t="s">
        <v>1550</v>
      </c>
      <c r="L270" s="826">
        <v>184.74</v>
      </c>
      <c r="M270" s="826">
        <v>738.96</v>
      </c>
      <c r="N270" s="823">
        <v>4</v>
      </c>
      <c r="O270" s="827">
        <v>3</v>
      </c>
      <c r="P270" s="826"/>
      <c r="Q270" s="828">
        <v>0</v>
      </c>
      <c r="R270" s="823"/>
      <c r="S270" s="828">
        <v>0</v>
      </c>
      <c r="T270" s="827"/>
      <c r="U270" s="829">
        <v>0</v>
      </c>
    </row>
    <row r="271" spans="1:21" ht="14.45" customHeight="1" x14ac:dyDescent="0.2">
      <c r="A271" s="822">
        <v>50</v>
      </c>
      <c r="B271" s="823" t="s">
        <v>1887</v>
      </c>
      <c r="C271" s="823" t="s">
        <v>1893</v>
      </c>
      <c r="D271" s="824" t="s">
        <v>2977</v>
      </c>
      <c r="E271" s="825" t="s">
        <v>1905</v>
      </c>
      <c r="F271" s="823" t="s">
        <v>1888</v>
      </c>
      <c r="G271" s="823" t="s">
        <v>2378</v>
      </c>
      <c r="H271" s="823" t="s">
        <v>329</v>
      </c>
      <c r="I271" s="823" t="s">
        <v>2379</v>
      </c>
      <c r="J271" s="823" t="s">
        <v>2380</v>
      </c>
      <c r="K271" s="823" t="s">
        <v>2381</v>
      </c>
      <c r="L271" s="826">
        <v>900.59</v>
      </c>
      <c r="M271" s="826">
        <v>1801.18</v>
      </c>
      <c r="N271" s="823">
        <v>2</v>
      </c>
      <c r="O271" s="827">
        <v>2</v>
      </c>
      <c r="P271" s="826">
        <v>900.59</v>
      </c>
      <c r="Q271" s="828">
        <v>0.5</v>
      </c>
      <c r="R271" s="823">
        <v>1</v>
      </c>
      <c r="S271" s="828">
        <v>0.5</v>
      </c>
      <c r="T271" s="827">
        <v>1</v>
      </c>
      <c r="U271" s="829">
        <v>0.5</v>
      </c>
    </row>
    <row r="272" spans="1:21" ht="14.45" customHeight="1" x14ac:dyDescent="0.2">
      <c r="A272" s="822">
        <v>50</v>
      </c>
      <c r="B272" s="823" t="s">
        <v>1887</v>
      </c>
      <c r="C272" s="823" t="s">
        <v>1893</v>
      </c>
      <c r="D272" s="824" t="s">
        <v>2977</v>
      </c>
      <c r="E272" s="825" t="s">
        <v>1905</v>
      </c>
      <c r="F272" s="823" t="s">
        <v>1888</v>
      </c>
      <c r="G272" s="823" t="s">
        <v>2279</v>
      </c>
      <c r="H272" s="823" t="s">
        <v>329</v>
      </c>
      <c r="I272" s="823" t="s">
        <v>2280</v>
      </c>
      <c r="J272" s="823" t="s">
        <v>2281</v>
      </c>
      <c r="K272" s="823" t="s">
        <v>2282</v>
      </c>
      <c r="L272" s="826">
        <v>109.17</v>
      </c>
      <c r="M272" s="826">
        <v>109.17</v>
      </c>
      <c r="N272" s="823">
        <v>1</v>
      </c>
      <c r="O272" s="827">
        <v>1</v>
      </c>
      <c r="P272" s="826"/>
      <c r="Q272" s="828">
        <v>0</v>
      </c>
      <c r="R272" s="823"/>
      <c r="S272" s="828">
        <v>0</v>
      </c>
      <c r="T272" s="827"/>
      <c r="U272" s="829">
        <v>0</v>
      </c>
    </row>
    <row r="273" spans="1:21" ht="14.45" customHeight="1" x14ac:dyDescent="0.2">
      <c r="A273" s="822">
        <v>50</v>
      </c>
      <c r="B273" s="823" t="s">
        <v>1887</v>
      </c>
      <c r="C273" s="823" t="s">
        <v>1893</v>
      </c>
      <c r="D273" s="824" t="s">
        <v>2977</v>
      </c>
      <c r="E273" s="825" t="s">
        <v>1905</v>
      </c>
      <c r="F273" s="823" t="s">
        <v>1888</v>
      </c>
      <c r="G273" s="823" t="s">
        <v>2382</v>
      </c>
      <c r="H273" s="823" t="s">
        <v>329</v>
      </c>
      <c r="I273" s="823" t="s">
        <v>2383</v>
      </c>
      <c r="J273" s="823" t="s">
        <v>2384</v>
      </c>
      <c r="K273" s="823" t="s">
        <v>2385</v>
      </c>
      <c r="L273" s="826">
        <v>3968.05</v>
      </c>
      <c r="M273" s="826">
        <v>7936.1</v>
      </c>
      <c r="N273" s="823">
        <v>2</v>
      </c>
      <c r="O273" s="827">
        <v>2</v>
      </c>
      <c r="P273" s="826">
        <v>7936.1</v>
      </c>
      <c r="Q273" s="828">
        <v>1</v>
      </c>
      <c r="R273" s="823">
        <v>2</v>
      </c>
      <c r="S273" s="828">
        <v>1</v>
      </c>
      <c r="T273" s="827">
        <v>2</v>
      </c>
      <c r="U273" s="829">
        <v>1</v>
      </c>
    </row>
    <row r="274" spans="1:21" ht="14.45" customHeight="1" x14ac:dyDescent="0.2">
      <c r="A274" s="822">
        <v>50</v>
      </c>
      <c r="B274" s="823" t="s">
        <v>1887</v>
      </c>
      <c r="C274" s="823" t="s">
        <v>1893</v>
      </c>
      <c r="D274" s="824" t="s">
        <v>2977</v>
      </c>
      <c r="E274" s="825" t="s">
        <v>1905</v>
      </c>
      <c r="F274" s="823" t="s">
        <v>1888</v>
      </c>
      <c r="G274" s="823" t="s">
        <v>2196</v>
      </c>
      <c r="H274" s="823" t="s">
        <v>329</v>
      </c>
      <c r="I274" s="823" t="s">
        <v>2197</v>
      </c>
      <c r="J274" s="823" t="s">
        <v>2198</v>
      </c>
      <c r="K274" s="823" t="s">
        <v>2199</v>
      </c>
      <c r="L274" s="826">
        <v>83.38</v>
      </c>
      <c r="M274" s="826">
        <v>166.76</v>
      </c>
      <c r="N274" s="823">
        <v>2</v>
      </c>
      <c r="O274" s="827">
        <v>1.5</v>
      </c>
      <c r="P274" s="826">
        <v>83.38</v>
      </c>
      <c r="Q274" s="828">
        <v>0.5</v>
      </c>
      <c r="R274" s="823">
        <v>1</v>
      </c>
      <c r="S274" s="828">
        <v>0.5</v>
      </c>
      <c r="T274" s="827">
        <v>0.5</v>
      </c>
      <c r="U274" s="829">
        <v>0.33333333333333331</v>
      </c>
    </row>
    <row r="275" spans="1:21" ht="14.45" customHeight="1" x14ac:dyDescent="0.2">
      <c r="A275" s="822">
        <v>50</v>
      </c>
      <c r="B275" s="823" t="s">
        <v>1887</v>
      </c>
      <c r="C275" s="823" t="s">
        <v>1893</v>
      </c>
      <c r="D275" s="824" t="s">
        <v>2977</v>
      </c>
      <c r="E275" s="825" t="s">
        <v>1905</v>
      </c>
      <c r="F275" s="823" t="s">
        <v>1888</v>
      </c>
      <c r="G275" s="823" t="s">
        <v>2202</v>
      </c>
      <c r="H275" s="823" t="s">
        <v>625</v>
      </c>
      <c r="I275" s="823" t="s">
        <v>1652</v>
      </c>
      <c r="J275" s="823" t="s">
        <v>1653</v>
      </c>
      <c r="K275" s="823" t="s">
        <v>1654</v>
      </c>
      <c r="L275" s="826">
        <v>84.18</v>
      </c>
      <c r="M275" s="826">
        <v>84.18</v>
      </c>
      <c r="N275" s="823">
        <v>1</v>
      </c>
      <c r="O275" s="827">
        <v>1</v>
      </c>
      <c r="P275" s="826"/>
      <c r="Q275" s="828">
        <v>0</v>
      </c>
      <c r="R275" s="823"/>
      <c r="S275" s="828">
        <v>0</v>
      </c>
      <c r="T275" s="827"/>
      <c r="U275" s="829">
        <v>0</v>
      </c>
    </row>
    <row r="276" spans="1:21" ht="14.45" customHeight="1" x14ac:dyDescent="0.2">
      <c r="A276" s="822">
        <v>50</v>
      </c>
      <c r="B276" s="823" t="s">
        <v>1887</v>
      </c>
      <c r="C276" s="823" t="s">
        <v>1893</v>
      </c>
      <c r="D276" s="824" t="s">
        <v>2977</v>
      </c>
      <c r="E276" s="825" t="s">
        <v>1905</v>
      </c>
      <c r="F276" s="823" t="s">
        <v>1888</v>
      </c>
      <c r="G276" s="823" t="s">
        <v>2386</v>
      </c>
      <c r="H276" s="823" t="s">
        <v>329</v>
      </c>
      <c r="I276" s="823" t="s">
        <v>2387</v>
      </c>
      <c r="J276" s="823" t="s">
        <v>2388</v>
      </c>
      <c r="K276" s="823" t="s">
        <v>2389</v>
      </c>
      <c r="L276" s="826">
        <v>0</v>
      </c>
      <c r="M276" s="826">
        <v>0</v>
      </c>
      <c r="N276" s="823">
        <v>1</v>
      </c>
      <c r="O276" s="827">
        <v>0.5</v>
      </c>
      <c r="P276" s="826"/>
      <c r="Q276" s="828"/>
      <c r="R276" s="823"/>
      <c r="S276" s="828">
        <v>0</v>
      </c>
      <c r="T276" s="827"/>
      <c r="U276" s="829">
        <v>0</v>
      </c>
    </row>
    <row r="277" spans="1:21" ht="14.45" customHeight="1" x14ac:dyDescent="0.2">
      <c r="A277" s="822">
        <v>50</v>
      </c>
      <c r="B277" s="823" t="s">
        <v>1887</v>
      </c>
      <c r="C277" s="823" t="s">
        <v>1893</v>
      </c>
      <c r="D277" s="824" t="s">
        <v>2977</v>
      </c>
      <c r="E277" s="825" t="s">
        <v>1905</v>
      </c>
      <c r="F277" s="823" t="s">
        <v>1888</v>
      </c>
      <c r="G277" s="823" t="s">
        <v>2390</v>
      </c>
      <c r="H277" s="823" t="s">
        <v>329</v>
      </c>
      <c r="I277" s="823" t="s">
        <v>2391</v>
      </c>
      <c r="J277" s="823" t="s">
        <v>2392</v>
      </c>
      <c r="K277" s="823" t="s">
        <v>2393</v>
      </c>
      <c r="L277" s="826">
        <v>1020.22</v>
      </c>
      <c r="M277" s="826">
        <v>1020.22</v>
      </c>
      <c r="N277" s="823">
        <v>1</v>
      </c>
      <c r="O277" s="827">
        <v>1</v>
      </c>
      <c r="P277" s="826">
        <v>1020.22</v>
      </c>
      <c r="Q277" s="828">
        <v>1</v>
      </c>
      <c r="R277" s="823">
        <v>1</v>
      </c>
      <c r="S277" s="828">
        <v>1</v>
      </c>
      <c r="T277" s="827">
        <v>1</v>
      </c>
      <c r="U277" s="829">
        <v>1</v>
      </c>
    </row>
    <row r="278" spans="1:21" ht="14.45" customHeight="1" x14ac:dyDescent="0.2">
      <c r="A278" s="822">
        <v>50</v>
      </c>
      <c r="B278" s="823" t="s">
        <v>1887</v>
      </c>
      <c r="C278" s="823" t="s">
        <v>1893</v>
      </c>
      <c r="D278" s="824" t="s">
        <v>2977</v>
      </c>
      <c r="E278" s="825" t="s">
        <v>1905</v>
      </c>
      <c r="F278" s="823" t="s">
        <v>1888</v>
      </c>
      <c r="G278" s="823" t="s">
        <v>2390</v>
      </c>
      <c r="H278" s="823" t="s">
        <v>329</v>
      </c>
      <c r="I278" s="823" t="s">
        <v>2394</v>
      </c>
      <c r="J278" s="823" t="s">
        <v>2395</v>
      </c>
      <c r="K278" s="823" t="s">
        <v>2396</v>
      </c>
      <c r="L278" s="826">
        <v>510.12</v>
      </c>
      <c r="M278" s="826">
        <v>510.12</v>
      </c>
      <c r="N278" s="823">
        <v>1</v>
      </c>
      <c r="O278" s="827">
        <v>1</v>
      </c>
      <c r="P278" s="826">
        <v>510.12</v>
      </c>
      <c r="Q278" s="828">
        <v>1</v>
      </c>
      <c r="R278" s="823">
        <v>1</v>
      </c>
      <c r="S278" s="828">
        <v>1</v>
      </c>
      <c r="T278" s="827">
        <v>1</v>
      </c>
      <c r="U278" s="829">
        <v>1</v>
      </c>
    </row>
    <row r="279" spans="1:21" ht="14.45" customHeight="1" x14ac:dyDescent="0.2">
      <c r="A279" s="822">
        <v>50</v>
      </c>
      <c r="B279" s="823" t="s">
        <v>1887</v>
      </c>
      <c r="C279" s="823" t="s">
        <v>1893</v>
      </c>
      <c r="D279" s="824" t="s">
        <v>2977</v>
      </c>
      <c r="E279" s="825" t="s">
        <v>1905</v>
      </c>
      <c r="F279" s="823" t="s">
        <v>1888</v>
      </c>
      <c r="G279" s="823" t="s">
        <v>2206</v>
      </c>
      <c r="H279" s="823" t="s">
        <v>329</v>
      </c>
      <c r="I279" s="823" t="s">
        <v>2207</v>
      </c>
      <c r="J279" s="823" t="s">
        <v>1271</v>
      </c>
      <c r="K279" s="823" t="s">
        <v>1272</v>
      </c>
      <c r="L279" s="826">
        <v>121.92</v>
      </c>
      <c r="M279" s="826">
        <v>365.76</v>
      </c>
      <c r="N279" s="823">
        <v>3</v>
      </c>
      <c r="O279" s="827">
        <v>1</v>
      </c>
      <c r="P279" s="826"/>
      <c r="Q279" s="828">
        <v>0</v>
      </c>
      <c r="R279" s="823"/>
      <c r="S279" s="828">
        <v>0</v>
      </c>
      <c r="T279" s="827"/>
      <c r="U279" s="829">
        <v>0</v>
      </c>
    </row>
    <row r="280" spans="1:21" ht="14.45" customHeight="1" x14ac:dyDescent="0.2">
      <c r="A280" s="822">
        <v>50</v>
      </c>
      <c r="B280" s="823" t="s">
        <v>1887</v>
      </c>
      <c r="C280" s="823" t="s">
        <v>1893</v>
      </c>
      <c r="D280" s="824" t="s">
        <v>2977</v>
      </c>
      <c r="E280" s="825" t="s">
        <v>1906</v>
      </c>
      <c r="F280" s="823" t="s">
        <v>1888</v>
      </c>
      <c r="G280" s="823" t="s">
        <v>1914</v>
      </c>
      <c r="H280" s="823" t="s">
        <v>329</v>
      </c>
      <c r="I280" s="823" t="s">
        <v>1948</v>
      </c>
      <c r="J280" s="823" t="s">
        <v>1949</v>
      </c>
      <c r="K280" s="823" t="s">
        <v>1923</v>
      </c>
      <c r="L280" s="826">
        <v>35.11</v>
      </c>
      <c r="M280" s="826">
        <v>105.33</v>
      </c>
      <c r="N280" s="823">
        <v>3</v>
      </c>
      <c r="O280" s="827">
        <v>0.5</v>
      </c>
      <c r="P280" s="826">
        <v>105.33</v>
      </c>
      <c r="Q280" s="828">
        <v>1</v>
      </c>
      <c r="R280" s="823">
        <v>3</v>
      </c>
      <c r="S280" s="828">
        <v>1</v>
      </c>
      <c r="T280" s="827">
        <v>0.5</v>
      </c>
      <c r="U280" s="829">
        <v>1</v>
      </c>
    </row>
    <row r="281" spans="1:21" ht="14.45" customHeight="1" x14ac:dyDescent="0.2">
      <c r="A281" s="822">
        <v>50</v>
      </c>
      <c r="B281" s="823" t="s">
        <v>1887</v>
      </c>
      <c r="C281" s="823" t="s">
        <v>1893</v>
      </c>
      <c r="D281" s="824" t="s">
        <v>2977</v>
      </c>
      <c r="E281" s="825" t="s">
        <v>1906</v>
      </c>
      <c r="F281" s="823" t="s">
        <v>1888</v>
      </c>
      <c r="G281" s="823" t="s">
        <v>2189</v>
      </c>
      <c r="H281" s="823" t="s">
        <v>625</v>
      </c>
      <c r="I281" s="823" t="s">
        <v>1745</v>
      </c>
      <c r="J281" s="823" t="s">
        <v>1066</v>
      </c>
      <c r="K281" s="823" t="s">
        <v>1746</v>
      </c>
      <c r="L281" s="826">
        <v>0</v>
      </c>
      <c r="M281" s="826">
        <v>0</v>
      </c>
      <c r="N281" s="823">
        <v>2</v>
      </c>
      <c r="O281" s="827">
        <v>1.5</v>
      </c>
      <c r="P281" s="826">
        <v>0</v>
      </c>
      <c r="Q281" s="828"/>
      <c r="R281" s="823">
        <v>2</v>
      </c>
      <c r="S281" s="828">
        <v>1</v>
      </c>
      <c r="T281" s="827">
        <v>1.5</v>
      </c>
      <c r="U281" s="829">
        <v>1</v>
      </c>
    </row>
    <row r="282" spans="1:21" ht="14.45" customHeight="1" x14ac:dyDescent="0.2">
      <c r="A282" s="822">
        <v>50</v>
      </c>
      <c r="B282" s="823" t="s">
        <v>1887</v>
      </c>
      <c r="C282" s="823" t="s">
        <v>1893</v>
      </c>
      <c r="D282" s="824" t="s">
        <v>2977</v>
      </c>
      <c r="E282" s="825" t="s">
        <v>1907</v>
      </c>
      <c r="F282" s="823" t="s">
        <v>1888</v>
      </c>
      <c r="G282" s="823" t="s">
        <v>2397</v>
      </c>
      <c r="H282" s="823" t="s">
        <v>329</v>
      </c>
      <c r="I282" s="823" t="s">
        <v>2398</v>
      </c>
      <c r="J282" s="823" t="s">
        <v>2399</v>
      </c>
      <c r="K282" s="823" t="s">
        <v>1246</v>
      </c>
      <c r="L282" s="826">
        <v>35.11</v>
      </c>
      <c r="M282" s="826">
        <v>140.44</v>
      </c>
      <c r="N282" s="823">
        <v>4</v>
      </c>
      <c r="O282" s="827">
        <v>1.5</v>
      </c>
      <c r="P282" s="826"/>
      <c r="Q282" s="828">
        <v>0</v>
      </c>
      <c r="R282" s="823"/>
      <c r="S282" s="828">
        <v>0</v>
      </c>
      <c r="T282" s="827"/>
      <c r="U282" s="829">
        <v>0</v>
      </c>
    </row>
    <row r="283" spans="1:21" ht="14.45" customHeight="1" x14ac:dyDescent="0.2">
      <c r="A283" s="822">
        <v>50</v>
      </c>
      <c r="B283" s="823" t="s">
        <v>1887</v>
      </c>
      <c r="C283" s="823" t="s">
        <v>1893</v>
      </c>
      <c r="D283" s="824" t="s">
        <v>2977</v>
      </c>
      <c r="E283" s="825" t="s">
        <v>1907</v>
      </c>
      <c r="F283" s="823" t="s">
        <v>1888</v>
      </c>
      <c r="G283" s="823" t="s">
        <v>1940</v>
      </c>
      <c r="H283" s="823" t="s">
        <v>329</v>
      </c>
      <c r="I283" s="823" t="s">
        <v>2400</v>
      </c>
      <c r="J283" s="823" t="s">
        <v>2401</v>
      </c>
      <c r="K283" s="823" t="s">
        <v>628</v>
      </c>
      <c r="L283" s="826">
        <v>72.55</v>
      </c>
      <c r="M283" s="826">
        <v>72.55</v>
      </c>
      <c r="N283" s="823">
        <v>1</v>
      </c>
      <c r="O283" s="827">
        <v>0.5</v>
      </c>
      <c r="P283" s="826"/>
      <c r="Q283" s="828">
        <v>0</v>
      </c>
      <c r="R283" s="823"/>
      <c r="S283" s="828">
        <v>0</v>
      </c>
      <c r="T283" s="827"/>
      <c r="U283" s="829">
        <v>0</v>
      </c>
    </row>
    <row r="284" spans="1:21" ht="14.45" customHeight="1" x14ac:dyDescent="0.2">
      <c r="A284" s="822">
        <v>50</v>
      </c>
      <c r="B284" s="823" t="s">
        <v>1887</v>
      </c>
      <c r="C284" s="823" t="s">
        <v>1893</v>
      </c>
      <c r="D284" s="824" t="s">
        <v>2977</v>
      </c>
      <c r="E284" s="825" t="s">
        <v>1907</v>
      </c>
      <c r="F284" s="823" t="s">
        <v>1888</v>
      </c>
      <c r="G284" s="823" t="s">
        <v>1940</v>
      </c>
      <c r="H284" s="823" t="s">
        <v>625</v>
      </c>
      <c r="I284" s="823" t="s">
        <v>1704</v>
      </c>
      <c r="J284" s="823" t="s">
        <v>626</v>
      </c>
      <c r="K284" s="823" t="s">
        <v>628</v>
      </c>
      <c r="L284" s="826">
        <v>72.55</v>
      </c>
      <c r="M284" s="826">
        <v>290.2</v>
      </c>
      <c r="N284" s="823">
        <v>4</v>
      </c>
      <c r="O284" s="827">
        <v>3.5</v>
      </c>
      <c r="P284" s="826"/>
      <c r="Q284" s="828">
        <v>0</v>
      </c>
      <c r="R284" s="823"/>
      <c r="S284" s="828">
        <v>0</v>
      </c>
      <c r="T284" s="827"/>
      <c r="U284" s="829">
        <v>0</v>
      </c>
    </row>
    <row r="285" spans="1:21" ht="14.45" customHeight="1" x14ac:dyDescent="0.2">
      <c r="A285" s="822">
        <v>50</v>
      </c>
      <c r="B285" s="823" t="s">
        <v>1887</v>
      </c>
      <c r="C285" s="823" t="s">
        <v>1893</v>
      </c>
      <c r="D285" s="824" t="s">
        <v>2977</v>
      </c>
      <c r="E285" s="825" t="s">
        <v>1907</v>
      </c>
      <c r="F285" s="823" t="s">
        <v>1888</v>
      </c>
      <c r="G285" s="823" t="s">
        <v>1940</v>
      </c>
      <c r="H285" s="823" t="s">
        <v>625</v>
      </c>
      <c r="I285" s="823" t="s">
        <v>2402</v>
      </c>
      <c r="J285" s="823" t="s">
        <v>626</v>
      </c>
      <c r="K285" s="823" t="s">
        <v>2264</v>
      </c>
      <c r="L285" s="826">
        <v>21.76</v>
      </c>
      <c r="M285" s="826">
        <v>43.52</v>
      </c>
      <c r="N285" s="823">
        <v>2</v>
      </c>
      <c r="O285" s="827">
        <v>0.5</v>
      </c>
      <c r="P285" s="826"/>
      <c r="Q285" s="828">
        <v>0</v>
      </c>
      <c r="R285" s="823"/>
      <c r="S285" s="828">
        <v>0</v>
      </c>
      <c r="T285" s="827"/>
      <c r="U285" s="829">
        <v>0</v>
      </c>
    </row>
    <row r="286" spans="1:21" ht="14.45" customHeight="1" x14ac:dyDescent="0.2">
      <c r="A286" s="822">
        <v>50</v>
      </c>
      <c r="B286" s="823" t="s">
        <v>1887</v>
      </c>
      <c r="C286" s="823" t="s">
        <v>1893</v>
      </c>
      <c r="D286" s="824" t="s">
        <v>2977</v>
      </c>
      <c r="E286" s="825" t="s">
        <v>1907</v>
      </c>
      <c r="F286" s="823" t="s">
        <v>1888</v>
      </c>
      <c r="G286" s="823" t="s">
        <v>1940</v>
      </c>
      <c r="H286" s="823" t="s">
        <v>625</v>
      </c>
      <c r="I286" s="823" t="s">
        <v>1705</v>
      </c>
      <c r="J286" s="823" t="s">
        <v>626</v>
      </c>
      <c r="K286" s="823" t="s">
        <v>627</v>
      </c>
      <c r="L286" s="826">
        <v>65.28</v>
      </c>
      <c r="M286" s="826">
        <v>391.68</v>
      </c>
      <c r="N286" s="823">
        <v>6</v>
      </c>
      <c r="O286" s="827">
        <v>1</v>
      </c>
      <c r="P286" s="826"/>
      <c r="Q286" s="828">
        <v>0</v>
      </c>
      <c r="R286" s="823"/>
      <c r="S286" s="828">
        <v>0</v>
      </c>
      <c r="T286" s="827"/>
      <c r="U286" s="829">
        <v>0</v>
      </c>
    </row>
    <row r="287" spans="1:21" ht="14.45" customHeight="1" x14ac:dyDescent="0.2">
      <c r="A287" s="822">
        <v>50</v>
      </c>
      <c r="B287" s="823" t="s">
        <v>1887</v>
      </c>
      <c r="C287" s="823" t="s">
        <v>1893</v>
      </c>
      <c r="D287" s="824" t="s">
        <v>2977</v>
      </c>
      <c r="E287" s="825" t="s">
        <v>1907</v>
      </c>
      <c r="F287" s="823" t="s">
        <v>1888</v>
      </c>
      <c r="G287" s="823" t="s">
        <v>1941</v>
      </c>
      <c r="H287" s="823" t="s">
        <v>329</v>
      </c>
      <c r="I287" s="823" t="s">
        <v>2403</v>
      </c>
      <c r="J287" s="823" t="s">
        <v>2404</v>
      </c>
      <c r="K287" s="823" t="s">
        <v>1737</v>
      </c>
      <c r="L287" s="826">
        <v>11.71</v>
      </c>
      <c r="M287" s="826">
        <v>23.42</v>
      </c>
      <c r="N287" s="823">
        <v>2</v>
      </c>
      <c r="O287" s="827">
        <v>0.5</v>
      </c>
      <c r="P287" s="826"/>
      <c r="Q287" s="828">
        <v>0</v>
      </c>
      <c r="R287" s="823"/>
      <c r="S287" s="828">
        <v>0</v>
      </c>
      <c r="T287" s="827"/>
      <c r="U287" s="829">
        <v>0</v>
      </c>
    </row>
    <row r="288" spans="1:21" ht="14.45" customHeight="1" x14ac:dyDescent="0.2">
      <c r="A288" s="822">
        <v>50</v>
      </c>
      <c r="B288" s="823" t="s">
        <v>1887</v>
      </c>
      <c r="C288" s="823" t="s">
        <v>1893</v>
      </c>
      <c r="D288" s="824" t="s">
        <v>2977</v>
      </c>
      <c r="E288" s="825" t="s">
        <v>1907</v>
      </c>
      <c r="F288" s="823" t="s">
        <v>1888</v>
      </c>
      <c r="G288" s="823" t="s">
        <v>1941</v>
      </c>
      <c r="H288" s="823" t="s">
        <v>625</v>
      </c>
      <c r="I288" s="823" t="s">
        <v>1843</v>
      </c>
      <c r="J288" s="823" t="s">
        <v>1736</v>
      </c>
      <c r="K288" s="823" t="s">
        <v>1844</v>
      </c>
      <c r="L288" s="826">
        <v>23.4</v>
      </c>
      <c r="M288" s="826">
        <v>93.6</v>
      </c>
      <c r="N288" s="823">
        <v>4</v>
      </c>
      <c r="O288" s="827">
        <v>1</v>
      </c>
      <c r="P288" s="826">
        <v>93.6</v>
      </c>
      <c r="Q288" s="828">
        <v>1</v>
      </c>
      <c r="R288" s="823">
        <v>4</v>
      </c>
      <c r="S288" s="828">
        <v>1</v>
      </c>
      <c r="T288" s="827">
        <v>1</v>
      </c>
      <c r="U288" s="829">
        <v>1</v>
      </c>
    </row>
    <row r="289" spans="1:21" ht="14.45" customHeight="1" x14ac:dyDescent="0.2">
      <c r="A289" s="822">
        <v>50</v>
      </c>
      <c r="B289" s="823" t="s">
        <v>1887</v>
      </c>
      <c r="C289" s="823" t="s">
        <v>1893</v>
      </c>
      <c r="D289" s="824" t="s">
        <v>2977</v>
      </c>
      <c r="E289" s="825" t="s">
        <v>1907</v>
      </c>
      <c r="F289" s="823" t="s">
        <v>1888</v>
      </c>
      <c r="G289" s="823" t="s">
        <v>1941</v>
      </c>
      <c r="H289" s="823" t="s">
        <v>625</v>
      </c>
      <c r="I289" s="823" t="s">
        <v>2013</v>
      </c>
      <c r="J289" s="823" t="s">
        <v>1736</v>
      </c>
      <c r="K289" s="823" t="s">
        <v>2014</v>
      </c>
      <c r="L289" s="826">
        <v>46.81</v>
      </c>
      <c r="M289" s="826">
        <v>93.62</v>
      </c>
      <c r="N289" s="823">
        <v>2</v>
      </c>
      <c r="O289" s="827">
        <v>1</v>
      </c>
      <c r="P289" s="826">
        <v>93.62</v>
      </c>
      <c r="Q289" s="828">
        <v>1</v>
      </c>
      <c r="R289" s="823">
        <v>2</v>
      </c>
      <c r="S289" s="828">
        <v>1</v>
      </c>
      <c r="T289" s="827">
        <v>1</v>
      </c>
      <c r="U289" s="829">
        <v>1</v>
      </c>
    </row>
    <row r="290" spans="1:21" ht="14.45" customHeight="1" x14ac:dyDescent="0.2">
      <c r="A290" s="822">
        <v>50</v>
      </c>
      <c r="B290" s="823" t="s">
        <v>1887</v>
      </c>
      <c r="C290" s="823" t="s">
        <v>1893</v>
      </c>
      <c r="D290" s="824" t="s">
        <v>2977</v>
      </c>
      <c r="E290" s="825" t="s">
        <v>1907</v>
      </c>
      <c r="F290" s="823" t="s">
        <v>1888</v>
      </c>
      <c r="G290" s="823" t="s">
        <v>1941</v>
      </c>
      <c r="H290" s="823" t="s">
        <v>329</v>
      </c>
      <c r="I290" s="823" t="s">
        <v>1942</v>
      </c>
      <c r="J290" s="823" t="s">
        <v>1943</v>
      </c>
      <c r="K290" s="823" t="s">
        <v>1737</v>
      </c>
      <c r="L290" s="826">
        <v>11.71</v>
      </c>
      <c r="M290" s="826">
        <v>58.550000000000004</v>
      </c>
      <c r="N290" s="823">
        <v>5</v>
      </c>
      <c r="O290" s="827">
        <v>1</v>
      </c>
      <c r="P290" s="826"/>
      <c r="Q290" s="828">
        <v>0</v>
      </c>
      <c r="R290" s="823"/>
      <c r="S290" s="828">
        <v>0</v>
      </c>
      <c r="T290" s="827"/>
      <c r="U290" s="829">
        <v>0</v>
      </c>
    </row>
    <row r="291" spans="1:21" ht="14.45" customHeight="1" x14ac:dyDescent="0.2">
      <c r="A291" s="822">
        <v>50</v>
      </c>
      <c r="B291" s="823" t="s">
        <v>1887</v>
      </c>
      <c r="C291" s="823" t="s">
        <v>1893</v>
      </c>
      <c r="D291" s="824" t="s">
        <v>2977</v>
      </c>
      <c r="E291" s="825" t="s">
        <v>1907</v>
      </c>
      <c r="F291" s="823" t="s">
        <v>1888</v>
      </c>
      <c r="G291" s="823" t="s">
        <v>1941</v>
      </c>
      <c r="H291" s="823" t="s">
        <v>625</v>
      </c>
      <c r="I291" s="823" t="s">
        <v>1735</v>
      </c>
      <c r="J291" s="823" t="s">
        <v>1736</v>
      </c>
      <c r="K291" s="823" t="s">
        <v>1737</v>
      </c>
      <c r="L291" s="826">
        <v>11.71</v>
      </c>
      <c r="M291" s="826">
        <v>35.130000000000003</v>
      </c>
      <c r="N291" s="823">
        <v>3</v>
      </c>
      <c r="O291" s="827">
        <v>1</v>
      </c>
      <c r="P291" s="826">
        <v>35.130000000000003</v>
      </c>
      <c r="Q291" s="828">
        <v>1</v>
      </c>
      <c r="R291" s="823">
        <v>3</v>
      </c>
      <c r="S291" s="828">
        <v>1</v>
      </c>
      <c r="T291" s="827">
        <v>1</v>
      </c>
      <c r="U291" s="829">
        <v>1</v>
      </c>
    </row>
    <row r="292" spans="1:21" ht="14.45" customHeight="1" x14ac:dyDescent="0.2">
      <c r="A292" s="822">
        <v>50</v>
      </c>
      <c r="B292" s="823" t="s">
        <v>1887</v>
      </c>
      <c r="C292" s="823" t="s">
        <v>1893</v>
      </c>
      <c r="D292" s="824" t="s">
        <v>2977</v>
      </c>
      <c r="E292" s="825" t="s">
        <v>1907</v>
      </c>
      <c r="F292" s="823" t="s">
        <v>1888</v>
      </c>
      <c r="G292" s="823" t="s">
        <v>1944</v>
      </c>
      <c r="H292" s="823" t="s">
        <v>625</v>
      </c>
      <c r="I292" s="823" t="s">
        <v>1581</v>
      </c>
      <c r="J292" s="823" t="s">
        <v>712</v>
      </c>
      <c r="K292" s="823" t="s">
        <v>1582</v>
      </c>
      <c r="L292" s="826">
        <v>80.010000000000005</v>
      </c>
      <c r="M292" s="826">
        <v>80.010000000000005</v>
      </c>
      <c r="N292" s="823">
        <v>1</v>
      </c>
      <c r="O292" s="827">
        <v>0.5</v>
      </c>
      <c r="P292" s="826">
        <v>80.010000000000005</v>
      </c>
      <c r="Q292" s="828">
        <v>1</v>
      </c>
      <c r="R292" s="823">
        <v>1</v>
      </c>
      <c r="S292" s="828">
        <v>1</v>
      </c>
      <c r="T292" s="827">
        <v>0.5</v>
      </c>
      <c r="U292" s="829">
        <v>1</v>
      </c>
    </row>
    <row r="293" spans="1:21" ht="14.45" customHeight="1" x14ac:dyDescent="0.2">
      <c r="A293" s="822">
        <v>50</v>
      </c>
      <c r="B293" s="823" t="s">
        <v>1887</v>
      </c>
      <c r="C293" s="823" t="s">
        <v>1893</v>
      </c>
      <c r="D293" s="824" t="s">
        <v>2977</v>
      </c>
      <c r="E293" s="825" t="s">
        <v>1907</v>
      </c>
      <c r="F293" s="823" t="s">
        <v>1888</v>
      </c>
      <c r="G293" s="823" t="s">
        <v>1944</v>
      </c>
      <c r="H293" s="823" t="s">
        <v>625</v>
      </c>
      <c r="I293" s="823" t="s">
        <v>1583</v>
      </c>
      <c r="J293" s="823" t="s">
        <v>712</v>
      </c>
      <c r="K293" s="823" t="s">
        <v>1584</v>
      </c>
      <c r="L293" s="826">
        <v>160.03</v>
      </c>
      <c r="M293" s="826">
        <v>320.06</v>
      </c>
      <c r="N293" s="823">
        <v>2</v>
      </c>
      <c r="O293" s="827">
        <v>0.5</v>
      </c>
      <c r="P293" s="826">
        <v>320.06</v>
      </c>
      <c r="Q293" s="828">
        <v>1</v>
      </c>
      <c r="R293" s="823">
        <v>2</v>
      </c>
      <c r="S293" s="828">
        <v>1</v>
      </c>
      <c r="T293" s="827">
        <v>0.5</v>
      </c>
      <c r="U293" s="829">
        <v>1</v>
      </c>
    </row>
    <row r="294" spans="1:21" ht="14.45" customHeight="1" x14ac:dyDescent="0.2">
      <c r="A294" s="822">
        <v>50</v>
      </c>
      <c r="B294" s="823" t="s">
        <v>1887</v>
      </c>
      <c r="C294" s="823" t="s">
        <v>1893</v>
      </c>
      <c r="D294" s="824" t="s">
        <v>2977</v>
      </c>
      <c r="E294" s="825" t="s">
        <v>1907</v>
      </c>
      <c r="F294" s="823" t="s">
        <v>1888</v>
      </c>
      <c r="G294" s="823" t="s">
        <v>2015</v>
      </c>
      <c r="H294" s="823" t="s">
        <v>329</v>
      </c>
      <c r="I294" s="823" t="s">
        <v>2405</v>
      </c>
      <c r="J294" s="823" t="s">
        <v>2406</v>
      </c>
      <c r="K294" s="823" t="s">
        <v>2275</v>
      </c>
      <c r="L294" s="826">
        <v>103.64</v>
      </c>
      <c r="M294" s="826">
        <v>103.64</v>
      </c>
      <c r="N294" s="823">
        <v>1</v>
      </c>
      <c r="O294" s="827">
        <v>1</v>
      </c>
      <c r="P294" s="826">
        <v>103.64</v>
      </c>
      <c r="Q294" s="828">
        <v>1</v>
      </c>
      <c r="R294" s="823">
        <v>1</v>
      </c>
      <c r="S294" s="828">
        <v>1</v>
      </c>
      <c r="T294" s="827">
        <v>1</v>
      </c>
      <c r="U294" s="829">
        <v>1</v>
      </c>
    </row>
    <row r="295" spans="1:21" ht="14.45" customHeight="1" x14ac:dyDescent="0.2">
      <c r="A295" s="822">
        <v>50</v>
      </c>
      <c r="B295" s="823" t="s">
        <v>1887</v>
      </c>
      <c r="C295" s="823" t="s">
        <v>1893</v>
      </c>
      <c r="D295" s="824" t="s">
        <v>2977</v>
      </c>
      <c r="E295" s="825" t="s">
        <v>1907</v>
      </c>
      <c r="F295" s="823" t="s">
        <v>1888</v>
      </c>
      <c r="G295" s="823" t="s">
        <v>2015</v>
      </c>
      <c r="H295" s="823" t="s">
        <v>329</v>
      </c>
      <c r="I295" s="823" t="s">
        <v>2407</v>
      </c>
      <c r="J295" s="823" t="s">
        <v>2408</v>
      </c>
      <c r="K295" s="823" t="s">
        <v>1550</v>
      </c>
      <c r="L295" s="826">
        <v>103.64</v>
      </c>
      <c r="M295" s="826">
        <v>103.64</v>
      </c>
      <c r="N295" s="823">
        <v>1</v>
      </c>
      <c r="O295" s="827">
        <v>0.5</v>
      </c>
      <c r="P295" s="826"/>
      <c r="Q295" s="828">
        <v>0</v>
      </c>
      <c r="R295" s="823"/>
      <c r="S295" s="828">
        <v>0</v>
      </c>
      <c r="T295" s="827"/>
      <c r="U295" s="829">
        <v>0</v>
      </c>
    </row>
    <row r="296" spans="1:21" ht="14.45" customHeight="1" x14ac:dyDescent="0.2">
      <c r="A296" s="822">
        <v>50</v>
      </c>
      <c r="B296" s="823" t="s">
        <v>1887</v>
      </c>
      <c r="C296" s="823" t="s">
        <v>1893</v>
      </c>
      <c r="D296" s="824" t="s">
        <v>2977</v>
      </c>
      <c r="E296" s="825" t="s">
        <v>1907</v>
      </c>
      <c r="F296" s="823" t="s">
        <v>1888</v>
      </c>
      <c r="G296" s="823" t="s">
        <v>2015</v>
      </c>
      <c r="H296" s="823" t="s">
        <v>329</v>
      </c>
      <c r="I296" s="823" t="s">
        <v>2409</v>
      </c>
      <c r="J296" s="823" t="s">
        <v>2406</v>
      </c>
      <c r="K296" s="823" t="s">
        <v>1622</v>
      </c>
      <c r="L296" s="826">
        <v>207.27</v>
      </c>
      <c r="M296" s="826">
        <v>621.81000000000006</v>
      </c>
      <c r="N296" s="823">
        <v>3</v>
      </c>
      <c r="O296" s="827">
        <v>2.5</v>
      </c>
      <c r="P296" s="826"/>
      <c r="Q296" s="828">
        <v>0</v>
      </c>
      <c r="R296" s="823"/>
      <c r="S296" s="828">
        <v>0</v>
      </c>
      <c r="T296" s="827"/>
      <c r="U296" s="829">
        <v>0</v>
      </c>
    </row>
    <row r="297" spans="1:21" ht="14.45" customHeight="1" x14ac:dyDescent="0.2">
      <c r="A297" s="822">
        <v>50</v>
      </c>
      <c r="B297" s="823" t="s">
        <v>1887</v>
      </c>
      <c r="C297" s="823" t="s">
        <v>1893</v>
      </c>
      <c r="D297" s="824" t="s">
        <v>2977</v>
      </c>
      <c r="E297" s="825" t="s">
        <v>1907</v>
      </c>
      <c r="F297" s="823" t="s">
        <v>1888</v>
      </c>
      <c r="G297" s="823" t="s">
        <v>2410</v>
      </c>
      <c r="H297" s="823" t="s">
        <v>329</v>
      </c>
      <c r="I297" s="823" t="s">
        <v>2411</v>
      </c>
      <c r="J297" s="823" t="s">
        <v>2412</v>
      </c>
      <c r="K297" s="823" t="s">
        <v>2413</v>
      </c>
      <c r="L297" s="826">
        <v>80.23</v>
      </c>
      <c r="M297" s="826">
        <v>80.23</v>
      </c>
      <c r="N297" s="823">
        <v>1</v>
      </c>
      <c r="O297" s="827">
        <v>1</v>
      </c>
      <c r="P297" s="826"/>
      <c r="Q297" s="828">
        <v>0</v>
      </c>
      <c r="R297" s="823"/>
      <c r="S297" s="828">
        <v>0</v>
      </c>
      <c r="T297" s="827"/>
      <c r="U297" s="829">
        <v>0</v>
      </c>
    </row>
    <row r="298" spans="1:21" ht="14.45" customHeight="1" x14ac:dyDescent="0.2">
      <c r="A298" s="822">
        <v>50</v>
      </c>
      <c r="B298" s="823" t="s">
        <v>1887</v>
      </c>
      <c r="C298" s="823" t="s">
        <v>1893</v>
      </c>
      <c r="D298" s="824" t="s">
        <v>2977</v>
      </c>
      <c r="E298" s="825" t="s">
        <v>1907</v>
      </c>
      <c r="F298" s="823" t="s">
        <v>1888</v>
      </c>
      <c r="G298" s="823" t="s">
        <v>1932</v>
      </c>
      <c r="H298" s="823" t="s">
        <v>625</v>
      </c>
      <c r="I298" s="823" t="s">
        <v>1796</v>
      </c>
      <c r="J298" s="823" t="s">
        <v>1639</v>
      </c>
      <c r="K298" s="823" t="s">
        <v>1797</v>
      </c>
      <c r="L298" s="826">
        <v>220.53</v>
      </c>
      <c r="M298" s="826">
        <v>4631.13</v>
      </c>
      <c r="N298" s="823">
        <v>21</v>
      </c>
      <c r="O298" s="827">
        <v>5.5</v>
      </c>
      <c r="P298" s="826">
        <v>1984.77</v>
      </c>
      <c r="Q298" s="828">
        <v>0.42857142857142855</v>
      </c>
      <c r="R298" s="823">
        <v>9</v>
      </c>
      <c r="S298" s="828">
        <v>0.42857142857142855</v>
      </c>
      <c r="T298" s="827">
        <v>3</v>
      </c>
      <c r="U298" s="829">
        <v>0.54545454545454541</v>
      </c>
    </row>
    <row r="299" spans="1:21" ht="14.45" customHeight="1" x14ac:dyDescent="0.2">
      <c r="A299" s="822">
        <v>50</v>
      </c>
      <c r="B299" s="823" t="s">
        <v>1887</v>
      </c>
      <c r="C299" s="823" t="s">
        <v>1893</v>
      </c>
      <c r="D299" s="824" t="s">
        <v>2977</v>
      </c>
      <c r="E299" s="825" t="s">
        <v>1907</v>
      </c>
      <c r="F299" s="823" t="s">
        <v>1888</v>
      </c>
      <c r="G299" s="823" t="s">
        <v>1932</v>
      </c>
      <c r="H299" s="823" t="s">
        <v>625</v>
      </c>
      <c r="I299" s="823" t="s">
        <v>1796</v>
      </c>
      <c r="J299" s="823" t="s">
        <v>1639</v>
      </c>
      <c r="K299" s="823" t="s">
        <v>1797</v>
      </c>
      <c r="L299" s="826">
        <v>130.51</v>
      </c>
      <c r="M299" s="826">
        <v>1435.61</v>
      </c>
      <c r="N299" s="823">
        <v>11</v>
      </c>
      <c r="O299" s="827">
        <v>3</v>
      </c>
      <c r="P299" s="826">
        <v>913.56999999999994</v>
      </c>
      <c r="Q299" s="828">
        <v>0.63636363636363635</v>
      </c>
      <c r="R299" s="823">
        <v>7</v>
      </c>
      <c r="S299" s="828">
        <v>0.63636363636363635</v>
      </c>
      <c r="T299" s="827">
        <v>1.5</v>
      </c>
      <c r="U299" s="829">
        <v>0.5</v>
      </c>
    </row>
    <row r="300" spans="1:21" ht="14.45" customHeight="1" x14ac:dyDescent="0.2">
      <c r="A300" s="822">
        <v>50</v>
      </c>
      <c r="B300" s="823" t="s">
        <v>1887</v>
      </c>
      <c r="C300" s="823" t="s">
        <v>1893</v>
      </c>
      <c r="D300" s="824" t="s">
        <v>2977</v>
      </c>
      <c r="E300" s="825" t="s">
        <v>1907</v>
      </c>
      <c r="F300" s="823" t="s">
        <v>1888</v>
      </c>
      <c r="G300" s="823" t="s">
        <v>1932</v>
      </c>
      <c r="H300" s="823" t="s">
        <v>329</v>
      </c>
      <c r="I300" s="823" t="s">
        <v>2024</v>
      </c>
      <c r="J300" s="823" t="s">
        <v>1636</v>
      </c>
      <c r="K300" s="823" t="s">
        <v>2025</v>
      </c>
      <c r="L300" s="826">
        <v>254.49</v>
      </c>
      <c r="M300" s="826">
        <v>254.49</v>
      </c>
      <c r="N300" s="823">
        <v>1</v>
      </c>
      <c r="O300" s="827">
        <v>1</v>
      </c>
      <c r="P300" s="826">
        <v>254.49</v>
      </c>
      <c r="Q300" s="828">
        <v>1</v>
      </c>
      <c r="R300" s="823">
        <v>1</v>
      </c>
      <c r="S300" s="828">
        <v>1</v>
      </c>
      <c r="T300" s="827">
        <v>1</v>
      </c>
      <c r="U300" s="829">
        <v>1</v>
      </c>
    </row>
    <row r="301" spans="1:21" ht="14.45" customHeight="1" x14ac:dyDescent="0.2">
      <c r="A301" s="822">
        <v>50</v>
      </c>
      <c r="B301" s="823" t="s">
        <v>1887</v>
      </c>
      <c r="C301" s="823" t="s">
        <v>1893</v>
      </c>
      <c r="D301" s="824" t="s">
        <v>2977</v>
      </c>
      <c r="E301" s="825" t="s">
        <v>1907</v>
      </c>
      <c r="F301" s="823" t="s">
        <v>1888</v>
      </c>
      <c r="G301" s="823" t="s">
        <v>1932</v>
      </c>
      <c r="H301" s="823" t="s">
        <v>625</v>
      </c>
      <c r="I301" s="823" t="s">
        <v>1635</v>
      </c>
      <c r="J301" s="823" t="s">
        <v>1636</v>
      </c>
      <c r="K301" s="823" t="s">
        <v>1637</v>
      </c>
      <c r="L301" s="826">
        <v>165.41</v>
      </c>
      <c r="M301" s="826">
        <v>165.41</v>
      </c>
      <c r="N301" s="823">
        <v>1</v>
      </c>
      <c r="O301" s="827">
        <v>1</v>
      </c>
      <c r="P301" s="826"/>
      <c r="Q301" s="828">
        <v>0</v>
      </c>
      <c r="R301" s="823"/>
      <c r="S301" s="828">
        <v>0</v>
      </c>
      <c r="T301" s="827"/>
      <c r="U301" s="829">
        <v>0</v>
      </c>
    </row>
    <row r="302" spans="1:21" ht="14.45" customHeight="1" x14ac:dyDescent="0.2">
      <c r="A302" s="822">
        <v>50</v>
      </c>
      <c r="B302" s="823" t="s">
        <v>1887</v>
      </c>
      <c r="C302" s="823" t="s">
        <v>1893</v>
      </c>
      <c r="D302" s="824" t="s">
        <v>2977</v>
      </c>
      <c r="E302" s="825" t="s">
        <v>1907</v>
      </c>
      <c r="F302" s="823" t="s">
        <v>1888</v>
      </c>
      <c r="G302" s="823" t="s">
        <v>1932</v>
      </c>
      <c r="H302" s="823" t="s">
        <v>329</v>
      </c>
      <c r="I302" s="823" t="s">
        <v>2414</v>
      </c>
      <c r="J302" s="823" t="s">
        <v>1639</v>
      </c>
      <c r="K302" s="823" t="s">
        <v>2153</v>
      </c>
      <c r="L302" s="826">
        <v>155.30000000000001</v>
      </c>
      <c r="M302" s="826">
        <v>1397.6999999999998</v>
      </c>
      <c r="N302" s="823">
        <v>9</v>
      </c>
      <c r="O302" s="827">
        <v>7.5</v>
      </c>
      <c r="P302" s="826">
        <v>310.60000000000002</v>
      </c>
      <c r="Q302" s="828">
        <v>0.22222222222222227</v>
      </c>
      <c r="R302" s="823">
        <v>2</v>
      </c>
      <c r="S302" s="828">
        <v>0.22222222222222221</v>
      </c>
      <c r="T302" s="827">
        <v>1.5</v>
      </c>
      <c r="U302" s="829">
        <v>0.2</v>
      </c>
    </row>
    <row r="303" spans="1:21" ht="14.45" customHeight="1" x14ac:dyDescent="0.2">
      <c r="A303" s="822">
        <v>50</v>
      </c>
      <c r="B303" s="823" t="s">
        <v>1887</v>
      </c>
      <c r="C303" s="823" t="s">
        <v>1893</v>
      </c>
      <c r="D303" s="824" t="s">
        <v>2977</v>
      </c>
      <c r="E303" s="825" t="s">
        <v>1907</v>
      </c>
      <c r="F303" s="823" t="s">
        <v>1888</v>
      </c>
      <c r="G303" s="823" t="s">
        <v>1932</v>
      </c>
      <c r="H303" s="823" t="s">
        <v>329</v>
      </c>
      <c r="I303" s="823" t="s">
        <v>2414</v>
      </c>
      <c r="J303" s="823" t="s">
        <v>1639</v>
      </c>
      <c r="K303" s="823" t="s">
        <v>2153</v>
      </c>
      <c r="L303" s="826">
        <v>91.9</v>
      </c>
      <c r="M303" s="826">
        <v>551.40000000000009</v>
      </c>
      <c r="N303" s="823">
        <v>6</v>
      </c>
      <c r="O303" s="827">
        <v>3.5</v>
      </c>
      <c r="P303" s="826">
        <v>183.8</v>
      </c>
      <c r="Q303" s="828">
        <v>0.33333333333333331</v>
      </c>
      <c r="R303" s="823">
        <v>2</v>
      </c>
      <c r="S303" s="828">
        <v>0.33333333333333331</v>
      </c>
      <c r="T303" s="827">
        <v>1.5</v>
      </c>
      <c r="U303" s="829">
        <v>0.42857142857142855</v>
      </c>
    </row>
    <row r="304" spans="1:21" ht="14.45" customHeight="1" x14ac:dyDescent="0.2">
      <c r="A304" s="822">
        <v>50</v>
      </c>
      <c r="B304" s="823" t="s">
        <v>1887</v>
      </c>
      <c r="C304" s="823" t="s">
        <v>1893</v>
      </c>
      <c r="D304" s="824" t="s">
        <v>2977</v>
      </c>
      <c r="E304" s="825" t="s">
        <v>1907</v>
      </c>
      <c r="F304" s="823" t="s">
        <v>1888</v>
      </c>
      <c r="G304" s="823" t="s">
        <v>1932</v>
      </c>
      <c r="H304" s="823" t="s">
        <v>329</v>
      </c>
      <c r="I304" s="823" t="s">
        <v>2223</v>
      </c>
      <c r="J304" s="823" t="s">
        <v>1639</v>
      </c>
      <c r="K304" s="823" t="s">
        <v>2224</v>
      </c>
      <c r="L304" s="826">
        <v>310.58999999999997</v>
      </c>
      <c r="M304" s="826">
        <v>2174.13</v>
      </c>
      <c r="N304" s="823">
        <v>7</v>
      </c>
      <c r="O304" s="827">
        <v>5.5</v>
      </c>
      <c r="P304" s="826">
        <v>1242.3599999999999</v>
      </c>
      <c r="Q304" s="828">
        <v>0.5714285714285714</v>
      </c>
      <c r="R304" s="823">
        <v>4</v>
      </c>
      <c r="S304" s="828">
        <v>0.5714285714285714</v>
      </c>
      <c r="T304" s="827">
        <v>3.5</v>
      </c>
      <c r="U304" s="829">
        <v>0.63636363636363635</v>
      </c>
    </row>
    <row r="305" spans="1:21" ht="14.45" customHeight="1" x14ac:dyDescent="0.2">
      <c r="A305" s="822">
        <v>50</v>
      </c>
      <c r="B305" s="823" t="s">
        <v>1887</v>
      </c>
      <c r="C305" s="823" t="s">
        <v>1893</v>
      </c>
      <c r="D305" s="824" t="s">
        <v>2977</v>
      </c>
      <c r="E305" s="825" t="s">
        <v>1907</v>
      </c>
      <c r="F305" s="823" t="s">
        <v>1888</v>
      </c>
      <c r="G305" s="823" t="s">
        <v>1932</v>
      </c>
      <c r="H305" s="823" t="s">
        <v>329</v>
      </c>
      <c r="I305" s="823" t="s">
        <v>2223</v>
      </c>
      <c r="J305" s="823" t="s">
        <v>1639</v>
      </c>
      <c r="K305" s="823" t="s">
        <v>2224</v>
      </c>
      <c r="L305" s="826">
        <v>183.79</v>
      </c>
      <c r="M305" s="826">
        <v>183.79</v>
      </c>
      <c r="N305" s="823">
        <v>1</v>
      </c>
      <c r="O305" s="827">
        <v>1</v>
      </c>
      <c r="P305" s="826">
        <v>183.79</v>
      </c>
      <c r="Q305" s="828">
        <v>1</v>
      </c>
      <c r="R305" s="823">
        <v>1</v>
      </c>
      <c r="S305" s="828">
        <v>1</v>
      </c>
      <c r="T305" s="827">
        <v>1</v>
      </c>
      <c r="U305" s="829">
        <v>1</v>
      </c>
    </row>
    <row r="306" spans="1:21" ht="14.45" customHeight="1" x14ac:dyDescent="0.2">
      <c r="A306" s="822">
        <v>50</v>
      </c>
      <c r="B306" s="823" t="s">
        <v>1887</v>
      </c>
      <c r="C306" s="823" t="s">
        <v>1893</v>
      </c>
      <c r="D306" s="824" t="s">
        <v>2977</v>
      </c>
      <c r="E306" s="825" t="s">
        <v>1907</v>
      </c>
      <c r="F306" s="823" t="s">
        <v>1888</v>
      </c>
      <c r="G306" s="823" t="s">
        <v>1932</v>
      </c>
      <c r="H306" s="823" t="s">
        <v>329</v>
      </c>
      <c r="I306" s="823" t="s">
        <v>1638</v>
      </c>
      <c r="J306" s="823" t="s">
        <v>1639</v>
      </c>
      <c r="K306" s="823" t="s">
        <v>1640</v>
      </c>
      <c r="L306" s="826">
        <v>143.35</v>
      </c>
      <c r="M306" s="826">
        <v>143.35</v>
      </c>
      <c r="N306" s="823">
        <v>1</v>
      </c>
      <c r="O306" s="827">
        <v>0.5</v>
      </c>
      <c r="P306" s="826">
        <v>143.35</v>
      </c>
      <c r="Q306" s="828">
        <v>1</v>
      </c>
      <c r="R306" s="823">
        <v>1</v>
      </c>
      <c r="S306" s="828">
        <v>1</v>
      </c>
      <c r="T306" s="827">
        <v>0.5</v>
      </c>
      <c r="U306" s="829">
        <v>1</v>
      </c>
    </row>
    <row r="307" spans="1:21" ht="14.45" customHeight="1" x14ac:dyDescent="0.2">
      <c r="A307" s="822">
        <v>50</v>
      </c>
      <c r="B307" s="823" t="s">
        <v>1887</v>
      </c>
      <c r="C307" s="823" t="s">
        <v>1893</v>
      </c>
      <c r="D307" s="824" t="s">
        <v>2977</v>
      </c>
      <c r="E307" s="825" t="s">
        <v>1907</v>
      </c>
      <c r="F307" s="823" t="s">
        <v>1888</v>
      </c>
      <c r="G307" s="823" t="s">
        <v>1932</v>
      </c>
      <c r="H307" s="823" t="s">
        <v>329</v>
      </c>
      <c r="I307" s="823" t="s">
        <v>2415</v>
      </c>
      <c r="J307" s="823" t="s">
        <v>1639</v>
      </c>
      <c r="K307" s="823" t="s">
        <v>2416</v>
      </c>
      <c r="L307" s="826">
        <v>477.84</v>
      </c>
      <c r="M307" s="826">
        <v>3822.7200000000003</v>
      </c>
      <c r="N307" s="823">
        <v>8</v>
      </c>
      <c r="O307" s="827">
        <v>6</v>
      </c>
      <c r="P307" s="826">
        <v>477.84</v>
      </c>
      <c r="Q307" s="828">
        <v>0.12499999999999999</v>
      </c>
      <c r="R307" s="823">
        <v>1</v>
      </c>
      <c r="S307" s="828">
        <v>0.125</v>
      </c>
      <c r="T307" s="827">
        <v>1</v>
      </c>
      <c r="U307" s="829">
        <v>0.16666666666666666</v>
      </c>
    </row>
    <row r="308" spans="1:21" ht="14.45" customHeight="1" x14ac:dyDescent="0.2">
      <c r="A308" s="822">
        <v>50</v>
      </c>
      <c r="B308" s="823" t="s">
        <v>1887</v>
      </c>
      <c r="C308" s="823" t="s">
        <v>1893</v>
      </c>
      <c r="D308" s="824" t="s">
        <v>2977</v>
      </c>
      <c r="E308" s="825" t="s">
        <v>1907</v>
      </c>
      <c r="F308" s="823" t="s">
        <v>1888</v>
      </c>
      <c r="G308" s="823" t="s">
        <v>1932</v>
      </c>
      <c r="H308" s="823" t="s">
        <v>329</v>
      </c>
      <c r="I308" s="823" t="s">
        <v>2415</v>
      </c>
      <c r="J308" s="823" t="s">
        <v>1639</v>
      </c>
      <c r="K308" s="823" t="s">
        <v>2416</v>
      </c>
      <c r="L308" s="826">
        <v>282.76</v>
      </c>
      <c r="M308" s="826">
        <v>282.76</v>
      </c>
      <c r="N308" s="823">
        <v>1</v>
      </c>
      <c r="O308" s="827">
        <v>0.5</v>
      </c>
      <c r="P308" s="826"/>
      <c r="Q308" s="828">
        <v>0</v>
      </c>
      <c r="R308" s="823"/>
      <c r="S308" s="828">
        <v>0</v>
      </c>
      <c r="T308" s="827"/>
      <c r="U308" s="829">
        <v>0</v>
      </c>
    </row>
    <row r="309" spans="1:21" ht="14.45" customHeight="1" x14ac:dyDescent="0.2">
      <c r="A309" s="822">
        <v>50</v>
      </c>
      <c r="B309" s="823" t="s">
        <v>1887</v>
      </c>
      <c r="C309" s="823" t="s">
        <v>1893</v>
      </c>
      <c r="D309" s="824" t="s">
        <v>2977</v>
      </c>
      <c r="E309" s="825" t="s">
        <v>1907</v>
      </c>
      <c r="F309" s="823" t="s">
        <v>1888</v>
      </c>
      <c r="G309" s="823" t="s">
        <v>1932</v>
      </c>
      <c r="H309" s="823" t="s">
        <v>329</v>
      </c>
      <c r="I309" s="823" t="s">
        <v>2417</v>
      </c>
      <c r="J309" s="823" t="s">
        <v>2418</v>
      </c>
      <c r="K309" s="823" t="s">
        <v>2224</v>
      </c>
      <c r="L309" s="826">
        <v>310.58999999999997</v>
      </c>
      <c r="M309" s="826">
        <v>310.58999999999997</v>
      </c>
      <c r="N309" s="823">
        <v>1</v>
      </c>
      <c r="O309" s="827">
        <v>1</v>
      </c>
      <c r="P309" s="826"/>
      <c r="Q309" s="828">
        <v>0</v>
      </c>
      <c r="R309" s="823"/>
      <c r="S309" s="828">
        <v>0</v>
      </c>
      <c r="T309" s="827"/>
      <c r="U309" s="829">
        <v>0</v>
      </c>
    </row>
    <row r="310" spans="1:21" ht="14.45" customHeight="1" x14ac:dyDescent="0.2">
      <c r="A310" s="822">
        <v>50</v>
      </c>
      <c r="B310" s="823" t="s">
        <v>1887</v>
      </c>
      <c r="C310" s="823" t="s">
        <v>1893</v>
      </c>
      <c r="D310" s="824" t="s">
        <v>2977</v>
      </c>
      <c r="E310" s="825" t="s">
        <v>1907</v>
      </c>
      <c r="F310" s="823" t="s">
        <v>1888</v>
      </c>
      <c r="G310" s="823" t="s">
        <v>1932</v>
      </c>
      <c r="H310" s="823" t="s">
        <v>329</v>
      </c>
      <c r="I310" s="823" t="s">
        <v>2419</v>
      </c>
      <c r="J310" s="823" t="s">
        <v>2418</v>
      </c>
      <c r="K310" s="823" t="s">
        <v>2153</v>
      </c>
      <c r="L310" s="826">
        <v>155.30000000000001</v>
      </c>
      <c r="M310" s="826">
        <v>155.30000000000001</v>
      </c>
      <c r="N310" s="823">
        <v>1</v>
      </c>
      <c r="O310" s="827">
        <v>1</v>
      </c>
      <c r="P310" s="826"/>
      <c r="Q310" s="828">
        <v>0</v>
      </c>
      <c r="R310" s="823"/>
      <c r="S310" s="828">
        <v>0</v>
      </c>
      <c r="T310" s="827"/>
      <c r="U310" s="829">
        <v>0</v>
      </c>
    </row>
    <row r="311" spans="1:21" ht="14.45" customHeight="1" x14ac:dyDescent="0.2">
      <c r="A311" s="822">
        <v>50</v>
      </c>
      <c r="B311" s="823" t="s">
        <v>1887</v>
      </c>
      <c r="C311" s="823" t="s">
        <v>1893</v>
      </c>
      <c r="D311" s="824" t="s">
        <v>2977</v>
      </c>
      <c r="E311" s="825" t="s">
        <v>1907</v>
      </c>
      <c r="F311" s="823" t="s">
        <v>1888</v>
      </c>
      <c r="G311" s="823" t="s">
        <v>2420</v>
      </c>
      <c r="H311" s="823" t="s">
        <v>329</v>
      </c>
      <c r="I311" s="823" t="s">
        <v>2421</v>
      </c>
      <c r="J311" s="823" t="s">
        <v>2422</v>
      </c>
      <c r="K311" s="823" t="s">
        <v>2423</v>
      </c>
      <c r="L311" s="826">
        <v>233.04</v>
      </c>
      <c r="M311" s="826">
        <v>233.04</v>
      </c>
      <c r="N311" s="823">
        <v>1</v>
      </c>
      <c r="O311" s="827">
        <v>1</v>
      </c>
      <c r="P311" s="826">
        <v>233.04</v>
      </c>
      <c r="Q311" s="828">
        <v>1</v>
      </c>
      <c r="R311" s="823">
        <v>1</v>
      </c>
      <c r="S311" s="828">
        <v>1</v>
      </c>
      <c r="T311" s="827">
        <v>1</v>
      </c>
      <c r="U311" s="829">
        <v>1</v>
      </c>
    </row>
    <row r="312" spans="1:21" ht="14.45" customHeight="1" x14ac:dyDescent="0.2">
      <c r="A312" s="822">
        <v>50</v>
      </c>
      <c r="B312" s="823" t="s">
        <v>1887</v>
      </c>
      <c r="C312" s="823" t="s">
        <v>1893</v>
      </c>
      <c r="D312" s="824" t="s">
        <v>2977</v>
      </c>
      <c r="E312" s="825" t="s">
        <v>1907</v>
      </c>
      <c r="F312" s="823" t="s">
        <v>1888</v>
      </c>
      <c r="G312" s="823" t="s">
        <v>2420</v>
      </c>
      <c r="H312" s="823" t="s">
        <v>625</v>
      </c>
      <c r="I312" s="823" t="s">
        <v>2424</v>
      </c>
      <c r="J312" s="823" t="s">
        <v>2422</v>
      </c>
      <c r="K312" s="823" t="s">
        <v>2284</v>
      </c>
      <c r="L312" s="826">
        <v>108.78</v>
      </c>
      <c r="M312" s="826">
        <v>1631.7000000000003</v>
      </c>
      <c r="N312" s="823">
        <v>15</v>
      </c>
      <c r="O312" s="827">
        <v>5.5</v>
      </c>
      <c r="P312" s="826"/>
      <c r="Q312" s="828">
        <v>0</v>
      </c>
      <c r="R312" s="823"/>
      <c r="S312" s="828">
        <v>0</v>
      </c>
      <c r="T312" s="827"/>
      <c r="U312" s="829">
        <v>0</v>
      </c>
    </row>
    <row r="313" spans="1:21" ht="14.45" customHeight="1" x14ac:dyDescent="0.2">
      <c r="A313" s="822">
        <v>50</v>
      </c>
      <c r="B313" s="823" t="s">
        <v>1887</v>
      </c>
      <c r="C313" s="823" t="s">
        <v>1893</v>
      </c>
      <c r="D313" s="824" t="s">
        <v>2977</v>
      </c>
      <c r="E313" s="825" t="s">
        <v>1907</v>
      </c>
      <c r="F313" s="823" t="s">
        <v>1888</v>
      </c>
      <c r="G313" s="823" t="s">
        <v>2420</v>
      </c>
      <c r="H313" s="823" t="s">
        <v>625</v>
      </c>
      <c r="I313" s="823" t="s">
        <v>2425</v>
      </c>
      <c r="J313" s="823" t="s">
        <v>2422</v>
      </c>
      <c r="K313" s="823" t="s">
        <v>2426</v>
      </c>
      <c r="L313" s="826">
        <v>77.69</v>
      </c>
      <c r="M313" s="826">
        <v>3418.3599999999997</v>
      </c>
      <c r="N313" s="823">
        <v>44</v>
      </c>
      <c r="O313" s="827">
        <v>11.5</v>
      </c>
      <c r="P313" s="826">
        <v>388.45</v>
      </c>
      <c r="Q313" s="828">
        <v>0.11363636363636365</v>
      </c>
      <c r="R313" s="823">
        <v>5</v>
      </c>
      <c r="S313" s="828">
        <v>0.11363636363636363</v>
      </c>
      <c r="T313" s="827">
        <v>2</v>
      </c>
      <c r="U313" s="829">
        <v>0.17391304347826086</v>
      </c>
    </row>
    <row r="314" spans="1:21" ht="14.45" customHeight="1" x14ac:dyDescent="0.2">
      <c r="A314" s="822">
        <v>50</v>
      </c>
      <c r="B314" s="823" t="s">
        <v>1887</v>
      </c>
      <c r="C314" s="823" t="s">
        <v>1893</v>
      </c>
      <c r="D314" s="824" t="s">
        <v>2977</v>
      </c>
      <c r="E314" s="825" t="s">
        <v>1907</v>
      </c>
      <c r="F314" s="823" t="s">
        <v>1888</v>
      </c>
      <c r="G314" s="823" t="s">
        <v>2427</v>
      </c>
      <c r="H314" s="823" t="s">
        <v>625</v>
      </c>
      <c r="I314" s="823" t="s">
        <v>1805</v>
      </c>
      <c r="J314" s="823" t="s">
        <v>1806</v>
      </c>
      <c r="K314" s="823" t="s">
        <v>1807</v>
      </c>
      <c r="L314" s="826">
        <v>119.7</v>
      </c>
      <c r="M314" s="826">
        <v>957.6</v>
      </c>
      <c r="N314" s="823">
        <v>8</v>
      </c>
      <c r="O314" s="827">
        <v>5</v>
      </c>
      <c r="P314" s="826">
        <v>478.8</v>
      </c>
      <c r="Q314" s="828">
        <v>0.5</v>
      </c>
      <c r="R314" s="823">
        <v>4</v>
      </c>
      <c r="S314" s="828">
        <v>0.5</v>
      </c>
      <c r="T314" s="827">
        <v>2</v>
      </c>
      <c r="U314" s="829">
        <v>0.4</v>
      </c>
    </row>
    <row r="315" spans="1:21" ht="14.45" customHeight="1" x14ac:dyDescent="0.2">
      <c r="A315" s="822">
        <v>50</v>
      </c>
      <c r="B315" s="823" t="s">
        <v>1887</v>
      </c>
      <c r="C315" s="823" t="s">
        <v>1893</v>
      </c>
      <c r="D315" s="824" t="s">
        <v>2977</v>
      </c>
      <c r="E315" s="825" t="s">
        <v>1907</v>
      </c>
      <c r="F315" s="823" t="s">
        <v>1888</v>
      </c>
      <c r="G315" s="823" t="s">
        <v>2032</v>
      </c>
      <c r="H315" s="823" t="s">
        <v>625</v>
      </c>
      <c r="I315" s="823" t="s">
        <v>2428</v>
      </c>
      <c r="J315" s="823" t="s">
        <v>1608</v>
      </c>
      <c r="K315" s="823" t="s">
        <v>2429</v>
      </c>
      <c r="L315" s="826">
        <v>65.540000000000006</v>
      </c>
      <c r="M315" s="826">
        <v>393.24</v>
      </c>
      <c r="N315" s="823">
        <v>6</v>
      </c>
      <c r="O315" s="827">
        <v>2.5</v>
      </c>
      <c r="P315" s="826"/>
      <c r="Q315" s="828">
        <v>0</v>
      </c>
      <c r="R315" s="823"/>
      <c r="S315" s="828">
        <v>0</v>
      </c>
      <c r="T315" s="827"/>
      <c r="U315" s="829">
        <v>0</v>
      </c>
    </row>
    <row r="316" spans="1:21" ht="14.45" customHeight="1" x14ac:dyDescent="0.2">
      <c r="A316" s="822">
        <v>50</v>
      </c>
      <c r="B316" s="823" t="s">
        <v>1887</v>
      </c>
      <c r="C316" s="823" t="s">
        <v>1893</v>
      </c>
      <c r="D316" s="824" t="s">
        <v>2977</v>
      </c>
      <c r="E316" s="825" t="s">
        <v>1907</v>
      </c>
      <c r="F316" s="823" t="s">
        <v>1888</v>
      </c>
      <c r="G316" s="823" t="s">
        <v>2032</v>
      </c>
      <c r="H316" s="823" t="s">
        <v>625</v>
      </c>
      <c r="I316" s="823" t="s">
        <v>1607</v>
      </c>
      <c r="J316" s="823" t="s">
        <v>1608</v>
      </c>
      <c r="K316" s="823" t="s">
        <v>1609</v>
      </c>
      <c r="L316" s="826">
        <v>229.38</v>
      </c>
      <c r="M316" s="826">
        <v>1605.6599999999999</v>
      </c>
      <c r="N316" s="823">
        <v>7</v>
      </c>
      <c r="O316" s="827">
        <v>5.5</v>
      </c>
      <c r="P316" s="826">
        <v>917.52</v>
      </c>
      <c r="Q316" s="828">
        <v>0.57142857142857151</v>
      </c>
      <c r="R316" s="823">
        <v>4</v>
      </c>
      <c r="S316" s="828">
        <v>0.5714285714285714</v>
      </c>
      <c r="T316" s="827">
        <v>3.5</v>
      </c>
      <c r="U316" s="829">
        <v>0.63636363636363635</v>
      </c>
    </row>
    <row r="317" spans="1:21" ht="14.45" customHeight="1" x14ac:dyDescent="0.2">
      <c r="A317" s="822">
        <v>50</v>
      </c>
      <c r="B317" s="823" t="s">
        <v>1887</v>
      </c>
      <c r="C317" s="823" t="s">
        <v>1893</v>
      </c>
      <c r="D317" s="824" t="s">
        <v>2977</v>
      </c>
      <c r="E317" s="825" t="s">
        <v>1907</v>
      </c>
      <c r="F317" s="823" t="s">
        <v>1888</v>
      </c>
      <c r="G317" s="823" t="s">
        <v>1914</v>
      </c>
      <c r="H317" s="823" t="s">
        <v>329</v>
      </c>
      <c r="I317" s="823" t="s">
        <v>2430</v>
      </c>
      <c r="J317" s="823" t="s">
        <v>1949</v>
      </c>
      <c r="K317" s="823" t="s">
        <v>2431</v>
      </c>
      <c r="L317" s="826">
        <v>105.32</v>
      </c>
      <c r="M317" s="826">
        <v>210.64</v>
      </c>
      <c r="N317" s="823">
        <v>2</v>
      </c>
      <c r="O317" s="827">
        <v>1.5</v>
      </c>
      <c r="P317" s="826">
        <v>105.32</v>
      </c>
      <c r="Q317" s="828">
        <v>0.5</v>
      </c>
      <c r="R317" s="823">
        <v>1</v>
      </c>
      <c r="S317" s="828">
        <v>0.5</v>
      </c>
      <c r="T317" s="827">
        <v>1</v>
      </c>
      <c r="U317" s="829">
        <v>0.66666666666666663</v>
      </c>
    </row>
    <row r="318" spans="1:21" ht="14.45" customHeight="1" x14ac:dyDescent="0.2">
      <c r="A318" s="822">
        <v>50</v>
      </c>
      <c r="B318" s="823" t="s">
        <v>1887</v>
      </c>
      <c r="C318" s="823" t="s">
        <v>1893</v>
      </c>
      <c r="D318" s="824" t="s">
        <v>2977</v>
      </c>
      <c r="E318" s="825" t="s">
        <v>1907</v>
      </c>
      <c r="F318" s="823" t="s">
        <v>1888</v>
      </c>
      <c r="G318" s="823" t="s">
        <v>1914</v>
      </c>
      <c r="H318" s="823" t="s">
        <v>329</v>
      </c>
      <c r="I318" s="823" t="s">
        <v>2432</v>
      </c>
      <c r="J318" s="823" t="s">
        <v>1949</v>
      </c>
      <c r="K318" s="823" t="s">
        <v>1766</v>
      </c>
      <c r="L318" s="826">
        <v>0</v>
      </c>
      <c r="M318" s="826">
        <v>0</v>
      </c>
      <c r="N318" s="823">
        <v>1</v>
      </c>
      <c r="O318" s="827">
        <v>0.5</v>
      </c>
      <c r="P318" s="826"/>
      <c r="Q318" s="828"/>
      <c r="R318" s="823"/>
      <c r="S318" s="828">
        <v>0</v>
      </c>
      <c r="T318" s="827"/>
      <c r="U318" s="829">
        <v>0</v>
      </c>
    </row>
    <row r="319" spans="1:21" ht="14.45" customHeight="1" x14ac:dyDescent="0.2">
      <c r="A319" s="822">
        <v>50</v>
      </c>
      <c r="B319" s="823" t="s">
        <v>1887</v>
      </c>
      <c r="C319" s="823" t="s">
        <v>1893</v>
      </c>
      <c r="D319" s="824" t="s">
        <v>2977</v>
      </c>
      <c r="E319" s="825" t="s">
        <v>1907</v>
      </c>
      <c r="F319" s="823" t="s">
        <v>1888</v>
      </c>
      <c r="G319" s="823" t="s">
        <v>1914</v>
      </c>
      <c r="H319" s="823" t="s">
        <v>329</v>
      </c>
      <c r="I319" s="823" t="s">
        <v>2432</v>
      </c>
      <c r="J319" s="823" t="s">
        <v>1949</v>
      </c>
      <c r="K319" s="823" t="s">
        <v>1766</v>
      </c>
      <c r="L319" s="826">
        <v>210.66</v>
      </c>
      <c r="M319" s="826">
        <v>210.66</v>
      </c>
      <c r="N319" s="823">
        <v>1</v>
      </c>
      <c r="O319" s="827">
        <v>0.5</v>
      </c>
      <c r="P319" s="826">
        <v>210.66</v>
      </c>
      <c r="Q319" s="828">
        <v>1</v>
      </c>
      <c r="R319" s="823">
        <v>1</v>
      </c>
      <c r="S319" s="828">
        <v>1</v>
      </c>
      <c r="T319" s="827">
        <v>0.5</v>
      </c>
      <c r="U319" s="829">
        <v>1</v>
      </c>
    </row>
    <row r="320" spans="1:21" ht="14.45" customHeight="1" x14ac:dyDescent="0.2">
      <c r="A320" s="822">
        <v>50</v>
      </c>
      <c r="B320" s="823" t="s">
        <v>1887</v>
      </c>
      <c r="C320" s="823" t="s">
        <v>1893</v>
      </c>
      <c r="D320" s="824" t="s">
        <v>2977</v>
      </c>
      <c r="E320" s="825" t="s">
        <v>1907</v>
      </c>
      <c r="F320" s="823" t="s">
        <v>1888</v>
      </c>
      <c r="G320" s="823" t="s">
        <v>1914</v>
      </c>
      <c r="H320" s="823" t="s">
        <v>329</v>
      </c>
      <c r="I320" s="823" t="s">
        <v>1945</v>
      </c>
      <c r="J320" s="823" t="s">
        <v>1946</v>
      </c>
      <c r="K320" s="823" t="s">
        <v>1947</v>
      </c>
      <c r="L320" s="826">
        <v>16.38</v>
      </c>
      <c r="M320" s="826">
        <v>32.76</v>
      </c>
      <c r="N320" s="823">
        <v>2</v>
      </c>
      <c r="O320" s="827">
        <v>0.5</v>
      </c>
      <c r="P320" s="826"/>
      <c r="Q320" s="828">
        <v>0</v>
      </c>
      <c r="R320" s="823"/>
      <c r="S320" s="828">
        <v>0</v>
      </c>
      <c r="T320" s="827"/>
      <c r="U320" s="829">
        <v>0</v>
      </c>
    </row>
    <row r="321" spans="1:21" ht="14.45" customHeight="1" x14ac:dyDescent="0.2">
      <c r="A321" s="822">
        <v>50</v>
      </c>
      <c r="B321" s="823" t="s">
        <v>1887</v>
      </c>
      <c r="C321" s="823" t="s">
        <v>1893</v>
      </c>
      <c r="D321" s="824" t="s">
        <v>2977</v>
      </c>
      <c r="E321" s="825" t="s">
        <v>1907</v>
      </c>
      <c r="F321" s="823" t="s">
        <v>1888</v>
      </c>
      <c r="G321" s="823" t="s">
        <v>1914</v>
      </c>
      <c r="H321" s="823" t="s">
        <v>329</v>
      </c>
      <c r="I321" s="823" t="s">
        <v>2033</v>
      </c>
      <c r="J321" s="823" t="s">
        <v>1946</v>
      </c>
      <c r="K321" s="823" t="s">
        <v>2034</v>
      </c>
      <c r="L321" s="826">
        <v>32.76</v>
      </c>
      <c r="M321" s="826">
        <v>393.12</v>
      </c>
      <c r="N321" s="823">
        <v>12</v>
      </c>
      <c r="O321" s="827">
        <v>2</v>
      </c>
      <c r="P321" s="826">
        <v>393.12</v>
      </c>
      <c r="Q321" s="828">
        <v>1</v>
      </c>
      <c r="R321" s="823">
        <v>12</v>
      </c>
      <c r="S321" s="828">
        <v>1</v>
      </c>
      <c r="T321" s="827">
        <v>2</v>
      </c>
      <c r="U321" s="829">
        <v>1</v>
      </c>
    </row>
    <row r="322" spans="1:21" ht="14.45" customHeight="1" x14ac:dyDescent="0.2">
      <c r="A322" s="822">
        <v>50</v>
      </c>
      <c r="B322" s="823" t="s">
        <v>1887</v>
      </c>
      <c r="C322" s="823" t="s">
        <v>1893</v>
      </c>
      <c r="D322" s="824" t="s">
        <v>2977</v>
      </c>
      <c r="E322" s="825" t="s">
        <v>1907</v>
      </c>
      <c r="F322" s="823" t="s">
        <v>1888</v>
      </c>
      <c r="G322" s="823" t="s">
        <v>1914</v>
      </c>
      <c r="H322" s="823" t="s">
        <v>329</v>
      </c>
      <c r="I322" s="823" t="s">
        <v>1948</v>
      </c>
      <c r="J322" s="823" t="s">
        <v>1949</v>
      </c>
      <c r="K322" s="823" t="s">
        <v>1923</v>
      </c>
      <c r="L322" s="826">
        <v>35.11</v>
      </c>
      <c r="M322" s="826">
        <v>140.44</v>
      </c>
      <c r="N322" s="823">
        <v>4</v>
      </c>
      <c r="O322" s="827">
        <v>2</v>
      </c>
      <c r="P322" s="826"/>
      <c r="Q322" s="828">
        <v>0</v>
      </c>
      <c r="R322" s="823"/>
      <c r="S322" s="828">
        <v>0</v>
      </c>
      <c r="T322" s="827"/>
      <c r="U322" s="829">
        <v>0</v>
      </c>
    </row>
    <row r="323" spans="1:21" ht="14.45" customHeight="1" x14ac:dyDescent="0.2">
      <c r="A323" s="822">
        <v>50</v>
      </c>
      <c r="B323" s="823" t="s">
        <v>1887</v>
      </c>
      <c r="C323" s="823" t="s">
        <v>1893</v>
      </c>
      <c r="D323" s="824" t="s">
        <v>2977</v>
      </c>
      <c r="E323" s="825" t="s">
        <v>1907</v>
      </c>
      <c r="F323" s="823" t="s">
        <v>1888</v>
      </c>
      <c r="G323" s="823" t="s">
        <v>1914</v>
      </c>
      <c r="H323" s="823" t="s">
        <v>329</v>
      </c>
      <c r="I323" s="823" t="s">
        <v>2433</v>
      </c>
      <c r="J323" s="823" t="s">
        <v>1949</v>
      </c>
      <c r="K323" s="823" t="s">
        <v>674</v>
      </c>
      <c r="L323" s="826">
        <v>70.23</v>
      </c>
      <c r="M323" s="826">
        <v>140.46</v>
      </c>
      <c r="N323" s="823">
        <v>2</v>
      </c>
      <c r="O323" s="827">
        <v>0.5</v>
      </c>
      <c r="P323" s="826"/>
      <c r="Q323" s="828">
        <v>0</v>
      </c>
      <c r="R323" s="823"/>
      <c r="S323" s="828">
        <v>0</v>
      </c>
      <c r="T323" s="827"/>
      <c r="U323" s="829">
        <v>0</v>
      </c>
    </row>
    <row r="324" spans="1:21" ht="14.45" customHeight="1" x14ac:dyDescent="0.2">
      <c r="A324" s="822">
        <v>50</v>
      </c>
      <c r="B324" s="823" t="s">
        <v>1887</v>
      </c>
      <c r="C324" s="823" t="s">
        <v>1893</v>
      </c>
      <c r="D324" s="824" t="s">
        <v>2977</v>
      </c>
      <c r="E324" s="825" t="s">
        <v>1907</v>
      </c>
      <c r="F324" s="823" t="s">
        <v>1888</v>
      </c>
      <c r="G324" s="823" t="s">
        <v>1914</v>
      </c>
      <c r="H324" s="823" t="s">
        <v>329</v>
      </c>
      <c r="I324" s="823" t="s">
        <v>2434</v>
      </c>
      <c r="J324" s="823" t="s">
        <v>673</v>
      </c>
      <c r="K324" s="823" t="s">
        <v>2153</v>
      </c>
      <c r="L324" s="826">
        <v>234.07</v>
      </c>
      <c r="M324" s="826">
        <v>234.07</v>
      </c>
      <c r="N324" s="823">
        <v>1</v>
      </c>
      <c r="O324" s="827">
        <v>1</v>
      </c>
      <c r="P324" s="826"/>
      <c r="Q324" s="828">
        <v>0</v>
      </c>
      <c r="R324" s="823"/>
      <c r="S324" s="828">
        <v>0</v>
      </c>
      <c r="T324" s="827"/>
      <c r="U324" s="829">
        <v>0</v>
      </c>
    </row>
    <row r="325" spans="1:21" ht="14.45" customHeight="1" x14ac:dyDescent="0.2">
      <c r="A325" s="822">
        <v>50</v>
      </c>
      <c r="B325" s="823" t="s">
        <v>1887</v>
      </c>
      <c r="C325" s="823" t="s">
        <v>1893</v>
      </c>
      <c r="D325" s="824" t="s">
        <v>2977</v>
      </c>
      <c r="E325" s="825" t="s">
        <v>1907</v>
      </c>
      <c r="F325" s="823" t="s">
        <v>1888</v>
      </c>
      <c r="G325" s="823" t="s">
        <v>1914</v>
      </c>
      <c r="H325" s="823" t="s">
        <v>625</v>
      </c>
      <c r="I325" s="823" t="s">
        <v>2435</v>
      </c>
      <c r="J325" s="823" t="s">
        <v>673</v>
      </c>
      <c r="K325" s="823" t="s">
        <v>674</v>
      </c>
      <c r="L325" s="826">
        <v>70.23</v>
      </c>
      <c r="M325" s="826">
        <v>140.46</v>
      </c>
      <c r="N325" s="823">
        <v>2</v>
      </c>
      <c r="O325" s="827">
        <v>1</v>
      </c>
      <c r="P325" s="826">
        <v>140.46</v>
      </c>
      <c r="Q325" s="828">
        <v>1</v>
      </c>
      <c r="R325" s="823">
        <v>2</v>
      </c>
      <c r="S325" s="828">
        <v>1</v>
      </c>
      <c r="T325" s="827">
        <v>1</v>
      </c>
      <c r="U325" s="829">
        <v>1</v>
      </c>
    </row>
    <row r="326" spans="1:21" ht="14.45" customHeight="1" x14ac:dyDescent="0.2">
      <c r="A326" s="822">
        <v>50</v>
      </c>
      <c r="B326" s="823" t="s">
        <v>1887</v>
      </c>
      <c r="C326" s="823" t="s">
        <v>1893</v>
      </c>
      <c r="D326" s="824" t="s">
        <v>2977</v>
      </c>
      <c r="E326" s="825" t="s">
        <v>1907</v>
      </c>
      <c r="F326" s="823" t="s">
        <v>1888</v>
      </c>
      <c r="G326" s="823" t="s">
        <v>1914</v>
      </c>
      <c r="H326" s="823" t="s">
        <v>329</v>
      </c>
      <c r="I326" s="823" t="s">
        <v>2225</v>
      </c>
      <c r="J326" s="823" t="s">
        <v>704</v>
      </c>
      <c r="K326" s="823" t="s">
        <v>705</v>
      </c>
      <c r="L326" s="826">
        <v>117.03</v>
      </c>
      <c r="M326" s="826">
        <v>117.03</v>
      </c>
      <c r="N326" s="823">
        <v>1</v>
      </c>
      <c r="O326" s="827">
        <v>0.5</v>
      </c>
      <c r="P326" s="826">
        <v>117.03</v>
      </c>
      <c r="Q326" s="828">
        <v>1</v>
      </c>
      <c r="R326" s="823">
        <v>1</v>
      </c>
      <c r="S326" s="828">
        <v>1</v>
      </c>
      <c r="T326" s="827">
        <v>0.5</v>
      </c>
      <c r="U326" s="829">
        <v>1</v>
      </c>
    </row>
    <row r="327" spans="1:21" ht="14.45" customHeight="1" x14ac:dyDescent="0.2">
      <c r="A327" s="822">
        <v>50</v>
      </c>
      <c r="B327" s="823" t="s">
        <v>1887</v>
      </c>
      <c r="C327" s="823" t="s">
        <v>1893</v>
      </c>
      <c r="D327" s="824" t="s">
        <v>2977</v>
      </c>
      <c r="E327" s="825" t="s">
        <v>1907</v>
      </c>
      <c r="F327" s="823" t="s">
        <v>1888</v>
      </c>
      <c r="G327" s="823" t="s">
        <v>1914</v>
      </c>
      <c r="H327" s="823" t="s">
        <v>329</v>
      </c>
      <c r="I327" s="823" t="s">
        <v>2436</v>
      </c>
      <c r="J327" s="823" t="s">
        <v>1946</v>
      </c>
      <c r="K327" s="823" t="s">
        <v>705</v>
      </c>
      <c r="L327" s="826">
        <v>117.03</v>
      </c>
      <c r="M327" s="826">
        <v>117.03</v>
      </c>
      <c r="N327" s="823">
        <v>1</v>
      </c>
      <c r="O327" s="827">
        <v>0.5</v>
      </c>
      <c r="P327" s="826"/>
      <c r="Q327" s="828">
        <v>0</v>
      </c>
      <c r="R327" s="823"/>
      <c r="S327" s="828">
        <v>0</v>
      </c>
      <c r="T327" s="827"/>
      <c r="U327" s="829">
        <v>0</v>
      </c>
    </row>
    <row r="328" spans="1:21" ht="14.45" customHeight="1" x14ac:dyDescent="0.2">
      <c r="A328" s="822">
        <v>50</v>
      </c>
      <c r="B328" s="823" t="s">
        <v>1887</v>
      </c>
      <c r="C328" s="823" t="s">
        <v>1893</v>
      </c>
      <c r="D328" s="824" t="s">
        <v>2977</v>
      </c>
      <c r="E328" s="825" t="s">
        <v>1907</v>
      </c>
      <c r="F328" s="823" t="s">
        <v>1888</v>
      </c>
      <c r="G328" s="823" t="s">
        <v>1914</v>
      </c>
      <c r="H328" s="823" t="s">
        <v>625</v>
      </c>
      <c r="I328" s="823" t="s">
        <v>1617</v>
      </c>
      <c r="J328" s="823" t="s">
        <v>673</v>
      </c>
      <c r="K328" s="823" t="s">
        <v>705</v>
      </c>
      <c r="L328" s="826">
        <v>117.03</v>
      </c>
      <c r="M328" s="826">
        <v>1638.4199999999998</v>
      </c>
      <c r="N328" s="823">
        <v>14</v>
      </c>
      <c r="O328" s="827">
        <v>9.5</v>
      </c>
      <c r="P328" s="826">
        <v>702.18</v>
      </c>
      <c r="Q328" s="828">
        <v>0.4285714285714286</v>
      </c>
      <c r="R328" s="823">
        <v>6</v>
      </c>
      <c r="S328" s="828">
        <v>0.42857142857142855</v>
      </c>
      <c r="T328" s="827">
        <v>4</v>
      </c>
      <c r="U328" s="829">
        <v>0.42105263157894735</v>
      </c>
    </row>
    <row r="329" spans="1:21" ht="14.45" customHeight="1" x14ac:dyDescent="0.2">
      <c r="A329" s="822">
        <v>50</v>
      </c>
      <c r="B329" s="823" t="s">
        <v>1887</v>
      </c>
      <c r="C329" s="823" t="s">
        <v>1893</v>
      </c>
      <c r="D329" s="824" t="s">
        <v>2977</v>
      </c>
      <c r="E329" s="825" t="s">
        <v>1907</v>
      </c>
      <c r="F329" s="823" t="s">
        <v>1888</v>
      </c>
      <c r="G329" s="823" t="s">
        <v>1914</v>
      </c>
      <c r="H329" s="823" t="s">
        <v>625</v>
      </c>
      <c r="I329" s="823" t="s">
        <v>2437</v>
      </c>
      <c r="J329" s="823" t="s">
        <v>673</v>
      </c>
      <c r="K329" s="823" t="s">
        <v>2153</v>
      </c>
      <c r="L329" s="826">
        <v>234.07</v>
      </c>
      <c r="M329" s="826">
        <v>936.28</v>
      </c>
      <c r="N329" s="823">
        <v>4</v>
      </c>
      <c r="O329" s="827">
        <v>3.5</v>
      </c>
      <c r="P329" s="826">
        <v>702.21</v>
      </c>
      <c r="Q329" s="828">
        <v>0.75000000000000011</v>
      </c>
      <c r="R329" s="823">
        <v>3</v>
      </c>
      <c r="S329" s="828">
        <v>0.75</v>
      </c>
      <c r="T329" s="827">
        <v>3</v>
      </c>
      <c r="U329" s="829">
        <v>0.8571428571428571</v>
      </c>
    </row>
    <row r="330" spans="1:21" ht="14.45" customHeight="1" x14ac:dyDescent="0.2">
      <c r="A330" s="822">
        <v>50</v>
      </c>
      <c r="B330" s="823" t="s">
        <v>1887</v>
      </c>
      <c r="C330" s="823" t="s">
        <v>1893</v>
      </c>
      <c r="D330" s="824" t="s">
        <v>2977</v>
      </c>
      <c r="E330" s="825" t="s">
        <v>1907</v>
      </c>
      <c r="F330" s="823" t="s">
        <v>1888</v>
      </c>
      <c r="G330" s="823" t="s">
        <v>1914</v>
      </c>
      <c r="H330" s="823" t="s">
        <v>625</v>
      </c>
      <c r="I330" s="823" t="s">
        <v>1616</v>
      </c>
      <c r="J330" s="823" t="s">
        <v>673</v>
      </c>
      <c r="K330" s="823" t="s">
        <v>676</v>
      </c>
      <c r="L330" s="826">
        <v>17.559999999999999</v>
      </c>
      <c r="M330" s="826">
        <v>35.119999999999997</v>
      </c>
      <c r="N330" s="823">
        <v>2</v>
      </c>
      <c r="O330" s="827">
        <v>1</v>
      </c>
      <c r="P330" s="826">
        <v>17.559999999999999</v>
      </c>
      <c r="Q330" s="828">
        <v>0.5</v>
      </c>
      <c r="R330" s="823">
        <v>1</v>
      </c>
      <c r="S330" s="828">
        <v>0.5</v>
      </c>
      <c r="T330" s="827">
        <v>0.5</v>
      </c>
      <c r="U330" s="829">
        <v>0.5</v>
      </c>
    </row>
    <row r="331" spans="1:21" ht="14.45" customHeight="1" x14ac:dyDescent="0.2">
      <c r="A331" s="822">
        <v>50</v>
      </c>
      <c r="B331" s="823" t="s">
        <v>1887</v>
      </c>
      <c r="C331" s="823" t="s">
        <v>1893</v>
      </c>
      <c r="D331" s="824" t="s">
        <v>2977</v>
      </c>
      <c r="E331" s="825" t="s">
        <v>1907</v>
      </c>
      <c r="F331" s="823" t="s">
        <v>1888</v>
      </c>
      <c r="G331" s="823" t="s">
        <v>1914</v>
      </c>
      <c r="H331" s="823" t="s">
        <v>625</v>
      </c>
      <c r="I331" s="823" t="s">
        <v>1618</v>
      </c>
      <c r="J331" s="823" t="s">
        <v>673</v>
      </c>
      <c r="K331" s="823" t="s">
        <v>674</v>
      </c>
      <c r="L331" s="826">
        <v>70.23</v>
      </c>
      <c r="M331" s="826">
        <v>210.69</v>
      </c>
      <c r="N331" s="823">
        <v>3</v>
      </c>
      <c r="O331" s="827">
        <v>0.5</v>
      </c>
      <c r="P331" s="826">
        <v>210.69</v>
      </c>
      <c r="Q331" s="828">
        <v>1</v>
      </c>
      <c r="R331" s="823">
        <v>3</v>
      </c>
      <c r="S331" s="828">
        <v>1</v>
      </c>
      <c r="T331" s="827">
        <v>0.5</v>
      </c>
      <c r="U331" s="829">
        <v>1</v>
      </c>
    </row>
    <row r="332" spans="1:21" ht="14.45" customHeight="1" x14ac:dyDescent="0.2">
      <c r="A332" s="822">
        <v>50</v>
      </c>
      <c r="B332" s="823" t="s">
        <v>1887</v>
      </c>
      <c r="C332" s="823" t="s">
        <v>1893</v>
      </c>
      <c r="D332" s="824" t="s">
        <v>2977</v>
      </c>
      <c r="E332" s="825" t="s">
        <v>1907</v>
      </c>
      <c r="F332" s="823" t="s">
        <v>1888</v>
      </c>
      <c r="G332" s="823" t="s">
        <v>1914</v>
      </c>
      <c r="H332" s="823" t="s">
        <v>625</v>
      </c>
      <c r="I332" s="823" t="s">
        <v>2226</v>
      </c>
      <c r="J332" s="823" t="s">
        <v>673</v>
      </c>
      <c r="K332" s="823" t="s">
        <v>1923</v>
      </c>
      <c r="L332" s="826">
        <v>35.11</v>
      </c>
      <c r="M332" s="826">
        <v>140.44</v>
      </c>
      <c r="N332" s="823">
        <v>4</v>
      </c>
      <c r="O332" s="827">
        <v>2.5</v>
      </c>
      <c r="P332" s="826">
        <v>35.11</v>
      </c>
      <c r="Q332" s="828">
        <v>0.25</v>
      </c>
      <c r="R332" s="823">
        <v>1</v>
      </c>
      <c r="S332" s="828">
        <v>0.25</v>
      </c>
      <c r="T332" s="827">
        <v>0.5</v>
      </c>
      <c r="U332" s="829">
        <v>0.2</v>
      </c>
    </row>
    <row r="333" spans="1:21" ht="14.45" customHeight="1" x14ac:dyDescent="0.2">
      <c r="A333" s="822">
        <v>50</v>
      </c>
      <c r="B333" s="823" t="s">
        <v>1887</v>
      </c>
      <c r="C333" s="823" t="s">
        <v>1893</v>
      </c>
      <c r="D333" s="824" t="s">
        <v>2977</v>
      </c>
      <c r="E333" s="825" t="s">
        <v>1907</v>
      </c>
      <c r="F333" s="823" t="s">
        <v>1888</v>
      </c>
      <c r="G333" s="823" t="s">
        <v>2227</v>
      </c>
      <c r="H333" s="823" t="s">
        <v>329</v>
      </c>
      <c r="I333" s="823" t="s">
        <v>2228</v>
      </c>
      <c r="J333" s="823" t="s">
        <v>2229</v>
      </c>
      <c r="K333" s="823" t="s">
        <v>894</v>
      </c>
      <c r="L333" s="826">
        <v>0</v>
      </c>
      <c r="M333" s="826">
        <v>0</v>
      </c>
      <c r="N333" s="823">
        <v>13</v>
      </c>
      <c r="O333" s="827">
        <v>6</v>
      </c>
      <c r="P333" s="826">
        <v>0</v>
      </c>
      <c r="Q333" s="828"/>
      <c r="R333" s="823">
        <v>7</v>
      </c>
      <c r="S333" s="828">
        <v>0.53846153846153844</v>
      </c>
      <c r="T333" s="827">
        <v>4</v>
      </c>
      <c r="U333" s="829">
        <v>0.66666666666666663</v>
      </c>
    </row>
    <row r="334" spans="1:21" ht="14.45" customHeight="1" x14ac:dyDescent="0.2">
      <c r="A334" s="822">
        <v>50</v>
      </c>
      <c r="B334" s="823" t="s">
        <v>1887</v>
      </c>
      <c r="C334" s="823" t="s">
        <v>1893</v>
      </c>
      <c r="D334" s="824" t="s">
        <v>2977</v>
      </c>
      <c r="E334" s="825" t="s">
        <v>1907</v>
      </c>
      <c r="F334" s="823" t="s">
        <v>1888</v>
      </c>
      <c r="G334" s="823" t="s">
        <v>2438</v>
      </c>
      <c r="H334" s="823" t="s">
        <v>329</v>
      </c>
      <c r="I334" s="823" t="s">
        <v>2439</v>
      </c>
      <c r="J334" s="823" t="s">
        <v>2440</v>
      </c>
      <c r="K334" s="823" t="s">
        <v>705</v>
      </c>
      <c r="L334" s="826">
        <v>229.76</v>
      </c>
      <c r="M334" s="826">
        <v>229.76</v>
      </c>
      <c r="N334" s="823">
        <v>1</v>
      </c>
      <c r="O334" s="827">
        <v>1</v>
      </c>
      <c r="P334" s="826"/>
      <c r="Q334" s="828">
        <v>0</v>
      </c>
      <c r="R334" s="823"/>
      <c r="S334" s="828">
        <v>0</v>
      </c>
      <c r="T334" s="827"/>
      <c r="U334" s="829">
        <v>0</v>
      </c>
    </row>
    <row r="335" spans="1:21" ht="14.45" customHeight="1" x14ac:dyDescent="0.2">
      <c r="A335" s="822">
        <v>50</v>
      </c>
      <c r="B335" s="823" t="s">
        <v>1887</v>
      </c>
      <c r="C335" s="823" t="s">
        <v>1893</v>
      </c>
      <c r="D335" s="824" t="s">
        <v>2977</v>
      </c>
      <c r="E335" s="825" t="s">
        <v>1907</v>
      </c>
      <c r="F335" s="823" t="s">
        <v>1888</v>
      </c>
      <c r="G335" s="823" t="s">
        <v>2441</v>
      </c>
      <c r="H335" s="823" t="s">
        <v>329</v>
      </c>
      <c r="I335" s="823" t="s">
        <v>2442</v>
      </c>
      <c r="J335" s="823" t="s">
        <v>2443</v>
      </c>
      <c r="K335" s="823" t="s">
        <v>674</v>
      </c>
      <c r="L335" s="826">
        <v>65.989999999999995</v>
      </c>
      <c r="M335" s="826">
        <v>395.93999999999994</v>
      </c>
      <c r="N335" s="823">
        <v>6</v>
      </c>
      <c r="O335" s="827">
        <v>2</v>
      </c>
      <c r="P335" s="826">
        <v>395.93999999999994</v>
      </c>
      <c r="Q335" s="828">
        <v>1</v>
      </c>
      <c r="R335" s="823">
        <v>6</v>
      </c>
      <c r="S335" s="828">
        <v>1</v>
      </c>
      <c r="T335" s="827">
        <v>2</v>
      </c>
      <c r="U335" s="829">
        <v>1</v>
      </c>
    </row>
    <row r="336" spans="1:21" ht="14.45" customHeight="1" x14ac:dyDescent="0.2">
      <c r="A336" s="822">
        <v>50</v>
      </c>
      <c r="B336" s="823" t="s">
        <v>1887</v>
      </c>
      <c r="C336" s="823" t="s">
        <v>1893</v>
      </c>
      <c r="D336" s="824" t="s">
        <v>2977</v>
      </c>
      <c r="E336" s="825" t="s">
        <v>1907</v>
      </c>
      <c r="F336" s="823" t="s">
        <v>1888</v>
      </c>
      <c r="G336" s="823" t="s">
        <v>2441</v>
      </c>
      <c r="H336" s="823" t="s">
        <v>329</v>
      </c>
      <c r="I336" s="823" t="s">
        <v>2444</v>
      </c>
      <c r="J336" s="823" t="s">
        <v>2443</v>
      </c>
      <c r="K336" s="823" t="s">
        <v>2445</v>
      </c>
      <c r="L336" s="826">
        <v>264</v>
      </c>
      <c r="M336" s="826">
        <v>1056</v>
      </c>
      <c r="N336" s="823">
        <v>4</v>
      </c>
      <c r="O336" s="827">
        <v>2</v>
      </c>
      <c r="P336" s="826">
        <v>1056</v>
      </c>
      <c r="Q336" s="828">
        <v>1</v>
      </c>
      <c r="R336" s="823">
        <v>4</v>
      </c>
      <c r="S336" s="828">
        <v>1</v>
      </c>
      <c r="T336" s="827">
        <v>2</v>
      </c>
      <c r="U336" s="829">
        <v>1</v>
      </c>
    </row>
    <row r="337" spans="1:21" ht="14.45" customHeight="1" x14ac:dyDescent="0.2">
      <c r="A337" s="822">
        <v>50</v>
      </c>
      <c r="B337" s="823" t="s">
        <v>1887</v>
      </c>
      <c r="C337" s="823" t="s">
        <v>1893</v>
      </c>
      <c r="D337" s="824" t="s">
        <v>2977</v>
      </c>
      <c r="E337" s="825" t="s">
        <v>1907</v>
      </c>
      <c r="F337" s="823" t="s">
        <v>1888</v>
      </c>
      <c r="G337" s="823" t="s">
        <v>2044</v>
      </c>
      <c r="H337" s="823" t="s">
        <v>329</v>
      </c>
      <c r="I337" s="823" t="s">
        <v>2045</v>
      </c>
      <c r="J337" s="823" t="s">
        <v>2046</v>
      </c>
      <c r="K337" s="823" t="s">
        <v>2047</v>
      </c>
      <c r="L337" s="826">
        <v>1771.84</v>
      </c>
      <c r="M337" s="826">
        <v>17718.399999999998</v>
      </c>
      <c r="N337" s="823">
        <v>10</v>
      </c>
      <c r="O337" s="827">
        <v>4</v>
      </c>
      <c r="P337" s="826"/>
      <c r="Q337" s="828">
        <v>0</v>
      </c>
      <c r="R337" s="823"/>
      <c r="S337" s="828">
        <v>0</v>
      </c>
      <c r="T337" s="827"/>
      <c r="U337" s="829">
        <v>0</v>
      </c>
    </row>
    <row r="338" spans="1:21" ht="14.45" customHeight="1" x14ac:dyDescent="0.2">
      <c r="A338" s="822">
        <v>50</v>
      </c>
      <c r="B338" s="823" t="s">
        <v>1887</v>
      </c>
      <c r="C338" s="823" t="s">
        <v>1893</v>
      </c>
      <c r="D338" s="824" t="s">
        <v>2977</v>
      </c>
      <c r="E338" s="825" t="s">
        <v>1907</v>
      </c>
      <c r="F338" s="823" t="s">
        <v>1888</v>
      </c>
      <c r="G338" s="823" t="s">
        <v>2050</v>
      </c>
      <c r="H338" s="823" t="s">
        <v>329</v>
      </c>
      <c r="I338" s="823" t="s">
        <v>2446</v>
      </c>
      <c r="J338" s="823" t="s">
        <v>2447</v>
      </c>
      <c r="K338" s="823" t="s">
        <v>2431</v>
      </c>
      <c r="L338" s="826">
        <v>176.32</v>
      </c>
      <c r="M338" s="826">
        <v>176.32</v>
      </c>
      <c r="N338" s="823">
        <v>1</v>
      </c>
      <c r="O338" s="827">
        <v>1</v>
      </c>
      <c r="P338" s="826"/>
      <c r="Q338" s="828">
        <v>0</v>
      </c>
      <c r="R338" s="823"/>
      <c r="S338" s="828">
        <v>0</v>
      </c>
      <c r="T338" s="827"/>
      <c r="U338" s="829">
        <v>0</v>
      </c>
    </row>
    <row r="339" spans="1:21" ht="14.45" customHeight="1" x14ac:dyDescent="0.2">
      <c r="A339" s="822">
        <v>50</v>
      </c>
      <c r="B339" s="823" t="s">
        <v>1887</v>
      </c>
      <c r="C339" s="823" t="s">
        <v>1893</v>
      </c>
      <c r="D339" s="824" t="s">
        <v>2977</v>
      </c>
      <c r="E339" s="825" t="s">
        <v>1907</v>
      </c>
      <c r="F339" s="823" t="s">
        <v>1888</v>
      </c>
      <c r="G339" s="823" t="s">
        <v>2050</v>
      </c>
      <c r="H339" s="823" t="s">
        <v>625</v>
      </c>
      <c r="I339" s="823" t="s">
        <v>2051</v>
      </c>
      <c r="J339" s="823" t="s">
        <v>2052</v>
      </c>
      <c r="K339" s="823" t="s">
        <v>2053</v>
      </c>
      <c r="L339" s="826">
        <v>176.32</v>
      </c>
      <c r="M339" s="826">
        <v>528.96</v>
      </c>
      <c r="N339" s="823">
        <v>3</v>
      </c>
      <c r="O339" s="827">
        <v>2</v>
      </c>
      <c r="P339" s="826">
        <v>176.32</v>
      </c>
      <c r="Q339" s="828">
        <v>0.33333333333333331</v>
      </c>
      <c r="R339" s="823">
        <v>1</v>
      </c>
      <c r="S339" s="828">
        <v>0.33333333333333331</v>
      </c>
      <c r="T339" s="827">
        <v>1</v>
      </c>
      <c r="U339" s="829">
        <v>0.5</v>
      </c>
    </row>
    <row r="340" spans="1:21" ht="14.45" customHeight="1" x14ac:dyDescent="0.2">
      <c r="A340" s="822">
        <v>50</v>
      </c>
      <c r="B340" s="823" t="s">
        <v>1887</v>
      </c>
      <c r="C340" s="823" t="s">
        <v>1893</v>
      </c>
      <c r="D340" s="824" t="s">
        <v>2977</v>
      </c>
      <c r="E340" s="825" t="s">
        <v>1907</v>
      </c>
      <c r="F340" s="823" t="s">
        <v>1888</v>
      </c>
      <c r="G340" s="823" t="s">
        <v>2050</v>
      </c>
      <c r="H340" s="823" t="s">
        <v>625</v>
      </c>
      <c r="I340" s="823" t="s">
        <v>2448</v>
      </c>
      <c r="J340" s="823" t="s">
        <v>2052</v>
      </c>
      <c r="K340" s="823" t="s">
        <v>2449</v>
      </c>
      <c r="L340" s="826">
        <v>97.96</v>
      </c>
      <c r="M340" s="826">
        <v>97.96</v>
      </c>
      <c r="N340" s="823">
        <v>1</v>
      </c>
      <c r="O340" s="827">
        <v>1</v>
      </c>
      <c r="P340" s="826">
        <v>97.96</v>
      </c>
      <c r="Q340" s="828">
        <v>1</v>
      </c>
      <c r="R340" s="823">
        <v>1</v>
      </c>
      <c r="S340" s="828">
        <v>1</v>
      </c>
      <c r="T340" s="827">
        <v>1</v>
      </c>
      <c r="U340" s="829">
        <v>1</v>
      </c>
    </row>
    <row r="341" spans="1:21" ht="14.45" customHeight="1" x14ac:dyDescent="0.2">
      <c r="A341" s="822">
        <v>50</v>
      </c>
      <c r="B341" s="823" t="s">
        <v>1887</v>
      </c>
      <c r="C341" s="823" t="s">
        <v>1893</v>
      </c>
      <c r="D341" s="824" t="s">
        <v>2977</v>
      </c>
      <c r="E341" s="825" t="s">
        <v>1907</v>
      </c>
      <c r="F341" s="823" t="s">
        <v>1888</v>
      </c>
      <c r="G341" s="823" t="s">
        <v>2450</v>
      </c>
      <c r="H341" s="823" t="s">
        <v>329</v>
      </c>
      <c r="I341" s="823" t="s">
        <v>2451</v>
      </c>
      <c r="J341" s="823" t="s">
        <v>1273</v>
      </c>
      <c r="K341" s="823" t="s">
        <v>1274</v>
      </c>
      <c r="L341" s="826">
        <v>42.05</v>
      </c>
      <c r="M341" s="826">
        <v>126.14999999999999</v>
      </c>
      <c r="N341" s="823">
        <v>3</v>
      </c>
      <c r="O341" s="827">
        <v>2</v>
      </c>
      <c r="P341" s="826">
        <v>84.1</v>
      </c>
      <c r="Q341" s="828">
        <v>0.66666666666666663</v>
      </c>
      <c r="R341" s="823">
        <v>2</v>
      </c>
      <c r="S341" s="828">
        <v>0.66666666666666663</v>
      </c>
      <c r="T341" s="827">
        <v>1</v>
      </c>
      <c r="U341" s="829">
        <v>0.5</v>
      </c>
    </row>
    <row r="342" spans="1:21" ht="14.45" customHeight="1" x14ac:dyDescent="0.2">
      <c r="A342" s="822">
        <v>50</v>
      </c>
      <c r="B342" s="823" t="s">
        <v>1887</v>
      </c>
      <c r="C342" s="823" t="s">
        <v>1893</v>
      </c>
      <c r="D342" s="824" t="s">
        <v>2977</v>
      </c>
      <c r="E342" s="825" t="s">
        <v>1907</v>
      </c>
      <c r="F342" s="823" t="s">
        <v>1888</v>
      </c>
      <c r="G342" s="823" t="s">
        <v>2058</v>
      </c>
      <c r="H342" s="823" t="s">
        <v>329</v>
      </c>
      <c r="I342" s="823" t="s">
        <v>2452</v>
      </c>
      <c r="J342" s="823" t="s">
        <v>2060</v>
      </c>
      <c r="K342" s="823" t="s">
        <v>2453</v>
      </c>
      <c r="L342" s="826">
        <v>47.46</v>
      </c>
      <c r="M342" s="826">
        <v>94.92</v>
      </c>
      <c r="N342" s="823">
        <v>2</v>
      </c>
      <c r="O342" s="827">
        <v>0.5</v>
      </c>
      <c r="P342" s="826"/>
      <c r="Q342" s="828">
        <v>0</v>
      </c>
      <c r="R342" s="823"/>
      <c r="S342" s="828">
        <v>0</v>
      </c>
      <c r="T342" s="827"/>
      <c r="U342" s="829">
        <v>0</v>
      </c>
    </row>
    <row r="343" spans="1:21" ht="14.45" customHeight="1" x14ac:dyDescent="0.2">
      <c r="A343" s="822">
        <v>50</v>
      </c>
      <c r="B343" s="823" t="s">
        <v>1887</v>
      </c>
      <c r="C343" s="823" t="s">
        <v>1893</v>
      </c>
      <c r="D343" s="824" t="s">
        <v>2977</v>
      </c>
      <c r="E343" s="825" t="s">
        <v>1907</v>
      </c>
      <c r="F343" s="823" t="s">
        <v>1888</v>
      </c>
      <c r="G343" s="823" t="s">
        <v>2058</v>
      </c>
      <c r="H343" s="823" t="s">
        <v>329</v>
      </c>
      <c r="I343" s="823" t="s">
        <v>2059</v>
      </c>
      <c r="J343" s="823" t="s">
        <v>2060</v>
      </c>
      <c r="K343" s="823" t="s">
        <v>2061</v>
      </c>
      <c r="L343" s="826">
        <v>23.72</v>
      </c>
      <c r="M343" s="826">
        <v>142.32</v>
      </c>
      <c r="N343" s="823">
        <v>6</v>
      </c>
      <c r="O343" s="827">
        <v>1.5</v>
      </c>
      <c r="P343" s="826"/>
      <c r="Q343" s="828">
        <v>0</v>
      </c>
      <c r="R343" s="823"/>
      <c r="S343" s="828">
        <v>0</v>
      </c>
      <c r="T343" s="827"/>
      <c r="U343" s="829">
        <v>0</v>
      </c>
    </row>
    <row r="344" spans="1:21" ht="14.45" customHeight="1" x14ac:dyDescent="0.2">
      <c r="A344" s="822">
        <v>50</v>
      </c>
      <c r="B344" s="823" t="s">
        <v>1887</v>
      </c>
      <c r="C344" s="823" t="s">
        <v>1893</v>
      </c>
      <c r="D344" s="824" t="s">
        <v>2977</v>
      </c>
      <c r="E344" s="825" t="s">
        <v>1907</v>
      </c>
      <c r="F344" s="823" t="s">
        <v>1888</v>
      </c>
      <c r="G344" s="823" t="s">
        <v>2062</v>
      </c>
      <c r="H344" s="823" t="s">
        <v>329</v>
      </c>
      <c r="I344" s="823" t="s">
        <v>2063</v>
      </c>
      <c r="J344" s="823" t="s">
        <v>2064</v>
      </c>
      <c r="K344" s="823" t="s">
        <v>2065</v>
      </c>
      <c r="L344" s="826">
        <v>52.87</v>
      </c>
      <c r="M344" s="826">
        <v>52.87</v>
      </c>
      <c r="N344" s="823">
        <v>1</v>
      </c>
      <c r="O344" s="827">
        <v>0.5</v>
      </c>
      <c r="P344" s="826"/>
      <c r="Q344" s="828">
        <v>0</v>
      </c>
      <c r="R344" s="823"/>
      <c r="S344" s="828">
        <v>0</v>
      </c>
      <c r="T344" s="827"/>
      <c r="U344" s="829">
        <v>0</v>
      </c>
    </row>
    <row r="345" spans="1:21" ht="14.45" customHeight="1" x14ac:dyDescent="0.2">
      <c r="A345" s="822">
        <v>50</v>
      </c>
      <c r="B345" s="823" t="s">
        <v>1887</v>
      </c>
      <c r="C345" s="823" t="s">
        <v>1893</v>
      </c>
      <c r="D345" s="824" t="s">
        <v>2977</v>
      </c>
      <c r="E345" s="825" t="s">
        <v>1907</v>
      </c>
      <c r="F345" s="823" t="s">
        <v>1888</v>
      </c>
      <c r="G345" s="823" t="s">
        <v>2062</v>
      </c>
      <c r="H345" s="823" t="s">
        <v>329</v>
      </c>
      <c r="I345" s="823" t="s">
        <v>2454</v>
      </c>
      <c r="J345" s="823" t="s">
        <v>1169</v>
      </c>
      <c r="K345" s="823" t="s">
        <v>2455</v>
      </c>
      <c r="L345" s="826">
        <v>234.94</v>
      </c>
      <c r="M345" s="826">
        <v>234.94</v>
      </c>
      <c r="N345" s="823">
        <v>1</v>
      </c>
      <c r="O345" s="827">
        <v>0.5</v>
      </c>
      <c r="P345" s="826">
        <v>234.94</v>
      </c>
      <c r="Q345" s="828">
        <v>1</v>
      </c>
      <c r="R345" s="823">
        <v>1</v>
      </c>
      <c r="S345" s="828">
        <v>1</v>
      </c>
      <c r="T345" s="827">
        <v>0.5</v>
      </c>
      <c r="U345" s="829">
        <v>1</v>
      </c>
    </row>
    <row r="346" spans="1:21" ht="14.45" customHeight="1" x14ac:dyDescent="0.2">
      <c r="A346" s="822">
        <v>50</v>
      </c>
      <c r="B346" s="823" t="s">
        <v>1887</v>
      </c>
      <c r="C346" s="823" t="s">
        <v>1893</v>
      </c>
      <c r="D346" s="824" t="s">
        <v>2977</v>
      </c>
      <c r="E346" s="825" t="s">
        <v>1907</v>
      </c>
      <c r="F346" s="823" t="s">
        <v>1888</v>
      </c>
      <c r="G346" s="823" t="s">
        <v>2062</v>
      </c>
      <c r="H346" s="823" t="s">
        <v>329</v>
      </c>
      <c r="I346" s="823" t="s">
        <v>2456</v>
      </c>
      <c r="J346" s="823" t="s">
        <v>739</v>
      </c>
      <c r="K346" s="823" t="s">
        <v>1939</v>
      </c>
      <c r="L346" s="826">
        <v>117.47</v>
      </c>
      <c r="M346" s="826">
        <v>234.94</v>
      </c>
      <c r="N346" s="823">
        <v>2</v>
      </c>
      <c r="O346" s="827">
        <v>0.5</v>
      </c>
      <c r="P346" s="826">
        <v>234.94</v>
      </c>
      <c r="Q346" s="828">
        <v>1</v>
      </c>
      <c r="R346" s="823">
        <v>2</v>
      </c>
      <c r="S346" s="828">
        <v>1</v>
      </c>
      <c r="T346" s="827">
        <v>0.5</v>
      </c>
      <c r="U346" s="829">
        <v>1</v>
      </c>
    </row>
    <row r="347" spans="1:21" ht="14.45" customHeight="1" x14ac:dyDescent="0.2">
      <c r="A347" s="822">
        <v>50</v>
      </c>
      <c r="B347" s="823" t="s">
        <v>1887</v>
      </c>
      <c r="C347" s="823" t="s">
        <v>1893</v>
      </c>
      <c r="D347" s="824" t="s">
        <v>2977</v>
      </c>
      <c r="E347" s="825" t="s">
        <v>1907</v>
      </c>
      <c r="F347" s="823" t="s">
        <v>1888</v>
      </c>
      <c r="G347" s="823" t="s">
        <v>2062</v>
      </c>
      <c r="H347" s="823" t="s">
        <v>329</v>
      </c>
      <c r="I347" s="823" t="s">
        <v>2457</v>
      </c>
      <c r="J347" s="823" t="s">
        <v>2458</v>
      </c>
      <c r="K347" s="823" t="s">
        <v>2459</v>
      </c>
      <c r="L347" s="826">
        <v>23.49</v>
      </c>
      <c r="M347" s="826">
        <v>70.47</v>
      </c>
      <c r="N347" s="823">
        <v>3</v>
      </c>
      <c r="O347" s="827">
        <v>1</v>
      </c>
      <c r="P347" s="826"/>
      <c r="Q347" s="828">
        <v>0</v>
      </c>
      <c r="R347" s="823"/>
      <c r="S347" s="828">
        <v>0</v>
      </c>
      <c r="T347" s="827"/>
      <c r="U347" s="829">
        <v>0</v>
      </c>
    </row>
    <row r="348" spans="1:21" ht="14.45" customHeight="1" x14ac:dyDescent="0.2">
      <c r="A348" s="822">
        <v>50</v>
      </c>
      <c r="B348" s="823" t="s">
        <v>1887</v>
      </c>
      <c r="C348" s="823" t="s">
        <v>1893</v>
      </c>
      <c r="D348" s="824" t="s">
        <v>2977</v>
      </c>
      <c r="E348" s="825" t="s">
        <v>1907</v>
      </c>
      <c r="F348" s="823" t="s">
        <v>1888</v>
      </c>
      <c r="G348" s="823" t="s">
        <v>2066</v>
      </c>
      <c r="H348" s="823" t="s">
        <v>329</v>
      </c>
      <c r="I348" s="823" t="s">
        <v>2460</v>
      </c>
      <c r="J348" s="823" t="s">
        <v>727</v>
      </c>
      <c r="K348" s="823" t="s">
        <v>2303</v>
      </c>
      <c r="L348" s="826">
        <v>91.11</v>
      </c>
      <c r="M348" s="826">
        <v>91.11</v>
      </c>
      <c r="N348" s="823">
        <v>1</v>
      </c>
      <c r="O348" s="827">
        <v>0.5</v>
      </c>
      <c r="P348" s="826">
        <v>91.11</v>
      </c>
      <c r="Q348" s="828">
        <v>1</v>
      </c>
      <c r="R348" s="823">
        <v>1</v>
      </c>
      <c r="S348" s="828">
        <v>1</v>
      </c>
      <c r="T348" s="827">
        <v>0.5</v>
      </c>
      <c r="U348" s="829">
        <v>1</v>
      </c>
    </row>
    <row r="349" spans="1:21" ht="14.45" customHeight="1" x14ac:dyDescent="0.2">
      <c r="A349" s="822">
        <v>50</v>
      </c>
      <c r="B349" s="823" t="s">
        <v>1887</v>
      </c>
      <c r="C349" s="823" t="s">
        <v>1893</v>
      </c>
      <c r="D349" s="824" t="s">
        <v>2977</v>
      </c>
      <c r="E349" s="825" t="s">
        <v>1907</v>
      </c>
      <c r="F349" s="823" t="s">
        <v>1888</v>
      </c>
      <c r="G349" s="823" t="s">
        <v>2066</v>
      </c>
      <c r="H349" s="823" t="s">
        <v>329</v>
      </c>
      <c r="I349" s="823" t="s">
        <v>2461</v>
      </c>
      <c r="J349" s="823" t="s">
        <v>727</v>
      </c>
      <c r="K349" s="823" t="s">
        <v>2068</v>
      </c>
      <c r="L349" s="826">
        <v>182.22</v>
      </c>
      <c r="M349" s="826">
        <v>182.22</v>
      </c>
      <c r="N349" s="823">
        <v>1</v>
      </c>
      <c r="O349" s="827">
        <v>0.5</v>
      </c>
      <c r="P349" s="826">
        <v>182.22</v>
      </c>
      <c r="Q349" s="828">
        <v>1</v>
      </c>
      <c r="R349" s="823">
        <v>1</v>
      </c>
      <c r="S349" s="828">
        <v>1</v>
      </c>
      <c r="T349" s="827">
        <v>0.5</v>
      </c>
      <c r="U349" s="829">
        <v>1</v>
      </c>
    </row>
    <row r="350" spans="1:21" ht="14.45" customHeight="1" x14ac:dyDescent="0.2">
      <c r="A350" s="822">
        <v>50</v>
      </c>
      <c r="B350" s="823" t="s">
        <v>1887</v>
      </c>
      <c r="C350" s="823" t="s">
        <v>1893</v>
      </c>
      <c r="D350" s="824" t="s">
        <v>2977</v>
      </c>
      <c r="E350" s="825" t="s">
        <v>1907</v>
      </c>
      <c r="F350" s="823" t="s">
        <v>1888</v>
      </c>
      <c r="G350" s="823" t="s">
        <v>2066</v>
      </c>
      <c r="H350" s="823" t="s">
        <v>329</v>
      </c>
      <c r="I350" s="823" t="s">
        <v>2462</v>
      </c>
      <c r="J350" s="823" t="s">
        <v>727</v>
      </c>
      <c r="K350" s="823" t="s">
        <v>2463</v>
      </c>
      <c r="L350" s="826">
        <v>273.33</v>
      </c>
      <c r="M350" s="826">
        <v>2459.9699999999998</v>
      </c>
      <c r="N350" s="823">
        <v>9</v>
      </c>
      <c r="O350" s="827">
        <v>8.5</v>
      </c>
      <c r="P350" s="826">
        <v>1639.9799999999998</v>
      </c>
      <c r="Q350" s="828">
        <v>0.66666666666666663</v>
      </c>
      <c r="R350" s="823">
        <v>6</v>
      </c>
      <c r="S350" s="828">
        <v>0.66666666666666663</v>
      </c>
      <c r="T350" s="827">
        <v>5.5</v>
      </c>
      <c r="U350" s="829">
        <v>0.6470588235294118</v>
      </c>
    </row>
    <row r="351" spans="1:21" ht="14.45" customHeight="1" x14ac:dyDescent="0.2">
      <c r="A351" s="822">
        <v>50</v>
      </c>
      <c r="B351" s="823" t="s">
        <v>1887</v>
      </c>
      <c r="C351" s="823" t="s">
        <v>1893</v>
      </c>
      <c r="D351" s="824" t="s">
        <v>2977</v>
      </c>
      <c r="E351" s="825" t="s">
        <v>1907</v>
      </c>
      <c r="F351" s="823" t="s">
        <v>1888</v>
      </c>
      <c r="G351" s="823" t="s">
        <v>2069</v>
      </c>
      <c r="H351" s="823" t="s">
        <v>329</v>
      </c>
      <c r="I351" s="823" t="s">
        <v>2070</v>
      </c>
      <c r="J351" s="823" t="s">
        <v>1194</v>
      </c>
      <c r="K351" s="823" t="s">
        <v>2071</v>
      </c>
      <c r="L351" s="826">
        <v>0</v>
      </c>
      <c r="M351" s="826">
        <v>0</v>
      </c>
      <c r="N351" s="823">
        <v>5</v>
      </c>
      <c r="O351" s="827">
        <v>2.5</v>
      </c>
      <c r="P351" s="826">
        <v>0</v>
      </c>
      <c r="Q351" s="828"/>
      <c r="R351" s="823">
        <v>3</v>
      </c>
      <c r="S351" s="828">
        <v>0.6</v>
      </c>
      <c r="T351" s="827">
        <v>2</v>
      </c>
      <c r="U351" s="829">
        <v>0.8</v>
      </c>
    </row>
    <row r="352" spans="1:21" ht="14.45" customHeight="1" x14ac:dyDescent="0.2">
      <c r="A352" s="822">
        <v>50</v>
      </c>
      <c r="B352" s="823" t="s">
        <v>1887</v>
      </c>
      <c r="C352" s="823" t="s">
        <v>1893</v>
      </c>
      <c r="D352" s="824" t="s">
        <v>2977</v>
      </c>
      <c r="E352" s="825" t="s">
        <v>1907</v>
      </c>
      <c r="F352" s="823" t="s">
        <v>1888</v>
      </c>
      <c r="G352" s="823" t="s">
        <v>2464</v>
      </c>
      <c r="H352" s="823" t="s">
        <v>329</v>
      </c>
      <c r="I352" s="823" t="s">
        <v>2465</v>
      </c>
      <c r="J352" s="823" t="s">
        <v>1595</v>
      </c>
      <c r="K352" s="823" t="s">
        <v>2466</v>
      </c>
      <c r="L352" s="826">
        <v>63.11</v>
      </c>
      <c r="M352" s="826">
        <v>189.32999999999998</v>
      </c>
      <c r="N352" s="823">
        <v>3</v>
      </c>
      <c r="O352" s="827">
        <v>1</v>
      </c>
      <c r="P352" s="826">
        <v>189.32999999999998</v>
      </c>
      <c r="Q352" s="828">
        <v>1</v>
      </c>
      <c r="R352" s="823">
        <v>3</v>
      </c>
      <c r="S352" s="828">
        <v>1</v>
      </c>
      <c r="T352" s="827">
        <v>1</v>
      </c>
      <c r="U352" s="829">
        <v>1</v>
      </c>
    </row>
    <row r="353" spans="1:21" ht="14.45" customHeight="1" x14ac:dyDescent="0.2">
      <c r="A353" s="822">
        <v>50</v>
      </c>
      <c r="B353" s="823" t="s">
        <v>1887</v>
      </c>
      <c r="C353" s="823" t="s">
        <v>1893</v>
      </c>
      <c r="D353" s="824" t="s">
        <v>2977</v>
      </c>
      <c r="E353" s="825" t="s">
        <v>1907</v>
      </c>
      <c r="F353" s="823" t="s">
        <v>1888</v>
      </c>
      <c r="G353" s="823" t="s">
        <v>2464</v>
      </c>
      <c r="H353" s="823" t="s">
        <v>329</v>
      </c>
      <c r="I353" s="823" t="s">
        <v>1594</v>
      </c>
      <c r="J353" s="823" t="s">
        <v>1595</v>
      </c>
      <c r="K353" s="823" t="s">
        <v>1596</v>
      </c>
      <c r="L353" s="826">
        <v>21.44</v>
      </c>
      <c r="M353" s="826">
        <v>128.64000000000001</v>
      </c>
      <c r="N353" s="823">
        <v>6</v>
      </c>
      <c r="O353" s="827">
        <v>1</v>
      </c>
      <c r="P353" s="826">
        <v>128.64000000000001</v>
      </c>
      <c r="Q353" s="828">
        <v>1</v>
      </c>
      <c r="R353" s="823">
        <v>6</v>
      </c>
      <c r="S353" s="828">
        <v>1</v>
      </c>
      <c r="T353" s="827">
        <v>1</v>
      </c>
      <c r="U353" s="829">
        <v>1</v>
      </c>
    </row>
    <row r="354" spans="1:21" ht="14.45" customHeight="1" x14ac:dyDescent="0.2">
      <c r="A354" s="822">
        <v>50</v>
      </c>
      <c r="B354" s="823" t="s">
        <v>1887</v>
      </c>
      <c r="C354" s="823" t="s">
        <v>1893</v>
      </c>
      <c r="D354" s="824" t="s">
        <v>2977</v>
      </c>
      <c r="E354" s="825" t="s">
        <v>1907</v>
      </c>
      <c r="F354" s="823" t="s">
        <v>1888</v>
      </c>
      <c r="G354" s="823" t="s">
        <v>1952</v>
      </c>
      <c r="H354" s="823" t="s">
        <v>625</v>
      </c>
      <c r="I354" s="823" t="s">
        <v>1784</v>
      </c>
      <c r="J354" s="823" t="s">
        <v>811</v>
      </c>
      <c r="K354" s="823" t="s">
        <v>1785</v>
      </c>
      <c r="L354" s="826">
        <v>42.51</v>
      </c>
      <c r="M354" s="826">
        <v>170.04</v>
      </c>
      <c r="N354" s="823">
        <v>4</v>
      </c>
      <c r="O354" s="827">
        <v>2.5</v>
      </c>
      <c r="P354" s="826">
        <v>42.51</v>
      </c>
      <c r="Q354" s="828">
        <v>0.25</v>
      </c>
      <c r="R354" s="823">
        <v>1</v>
      </c>
      <c r="S354" s="828">
        <v>0.25</v>
      </c>
      <c r="T354" s="827">
        <v>0.5</v>
      </c>
      <c r="U354" s="829">
        <v>0.2</v>
      </c>
    </row>
    <row r="355" spans="1:21" ht="14.45" customHeight="1" x14ac:dyDescent="0.2">
      <c r="A355" s="822">
        <v>50</v>
      </c>
      <c r="B355" s="823" t="s">
        <v>1887</v>
      </c>
      <c r="C355" s="823" t="s">
        <v>1893</v>
      </c>
      <c r="D355" s="824" t="s">
        <v>2977</v>
      </c>
      <c r="E355" s="825" t="s">
        <v>1907</v>
      </c>
      <c r="F355" s="823" t="s">
        <v>1888</v>
      </c>
      <c r="G355" s="823" t="s">
        <v>1952</v>
      </c>
      <c r="H355" s="823" t="s">
        <v>625</v>
      </c>
      <c r="I355" s="823" t="s">
        <v>1591</v>
      </c>
      <c r="J355" s="823" t="s">
        <v>811</v>
      </c>
      <c r="K355" s="823" t="s">
        <v>1592</v>
      </c>
      <c r="L355" s="826">
        <v>85.02</v>
      </c>
      <c r="M355" s="826">
        <v>680.16</v>
      </c>
      <c r="N355" s="823">
        <v>8</v>
      </c>
      <c r="O355" s="827">
        <v>4</v>
      </c>
      <c r="P355" s="826">
        <v>255.06</v>
      </c>
      <c r="Q355" s="828">
        <v>0.375</v>
      </c>
      <c r="R355" s="823">
        <v>3</v>
      </c>
      <c r="S355" s="828">
        <v>0.375</v>
      </c>
      <c r="T355" s="827">
        <v>1</v>
      </c>
      <c r="U355" s="829">
        <v>0.25</v>
      </c>
    </row>
    <row r="356" spans="1:21" ht="14.45" customHeight="1" x14ac:dyDescent="0.2">
      <c r="A356" s="822">
        <v>50</v>
      </c>
      <c r="B356" s="823" t="s">
        <v>1887</v>
      </c>
      <c r="C356" s="823" t="s">
        <v>1893</v>
      </c>
      <c r="D356" s="824" t="s">
        <v>2977</v>
      </c>
      <c r="E356" s="825" t="s">
        <v>1907</v>
      </c>
      <c r="F356" s="823" t="s">
        <v>1888</v>
      </c>
      <c r="G356" s="823" t="s">
        <v>1952</v>
      </c>
      <c r="H356" s="823" t="s">
        <v>329</v>
      </c>
      <c r="I356" s="823" t="s">
        <v>1953</v>
      </c>
      <c r="J356" s="823" t="s">
        <v>1954</v>
      </c>
      <c r="K356" s="823" t="s">
        <v>1785</v>
      </c>
      <c r="L356" s="826">
        <v>42.51</v>
      </c>
      <c r="M356" s="826">
        <v>170.04</v>
      </c>
      <c r="N356" s="823">
        <v>4</v>
      </c>
      <c r="O356" s="827">
        <v>2.5</v>
      </c>
      <c r="P356" s="826">
        <v>42.51</v>
      </c>
      <c r="Q356" s="828">
        <v>0.25</v>
      </c>
      <c r="R356" s="823">
        <v>1</v>
      </c>
      <c r="S356" s="828">
        <v>0.25</v>
      </c>
      <c r="T356" s="827">
        <v>1</v>
      </c>
      <c r="U356" s="829">
        <v>0.4</v>
      </c>
    </row>
    <row r="357" spans="1:21" ht="14.45" customHeight="1" x14ac:dyDescent="0.2">
      <c r="A357" s="822">
        <v>50</v>
      </c>
      <c r="B357" s="823" t="s">
        <v>1887</v>
      </c>
      <c r="C357" s="823" t="s">
        <v>1893</v>
      </c>
      <c r="D357" s="824" t="s">
        <v>2977</v>
      </c>
      <c r="E357" s="825" t="s">
        <v>1907</v>
      </c>
      <c r="F357" s="823" t="s">
        <v>1888</v>
      </c>
      <c r="G357" s="823" t="s">
        <v>2467</v>
      </c>
      <c r="H357" s="823" t="s">
        <v>329</v>
      </c>
      <c r="I357" s="823" t="s">
        <v>2468</v>
      </c>
      <c r="J357" s="823" t="s">
        <v>2469</v>
      </c>
      <c r="K357" s="823" t="s">
        <v>2470</v>
      </c>
      <c r="L357" s="826">
        <v>101.72</v>
      </c>
      <c r="M357" s="826">
        <v>203.44</v>
      </c>
      <c r="N357" s="823">
        <v>2</v>
      </c>
      <c r="O357" s="827">
        <v>2</v>
      </c>
      <c r="P357" s="826">
        <v>203.44</v>
      </c>
      <c r="Q357" s="828">
        <v>1</v>
      </c>
      <c r="R357" s="823">
        <v>2</v>
      </c>
      <c r="S357" s="828">
        <v>1</v>
      </c>
      <c r="T357" s="827">
        <v>2</v>
      </c>
      <c r="U357" s="829">
        <v>1</v>
      </c>
    </row>
    <row r="358" spans="1:21" ht="14.45" customHeight="1" x14ac:dyDescent="0.2">
      <c r="A358" s="822">
        <v>50</v>
      </c>
      <c r="B358" s="823" t="s">
        <v>1887</v>
      </c>
      <c r="C358" s="823" t="s">
        <v>1893</v>
      </c>
      <c r="D358" s="824" t="s">
        <v>2977</v>
      </c>
      <c r="E358" s="825" t="s">
        <v>1907</v>
      </c>
      <c r="F358" s="823" t="s">
        <v>1888</v>
      </c>
      <c r="G358" s="823" t="s">
        <v>2471</v>
      </c>
      <c r="H358" s="823" t="s">
        <v>329</v>
      </c>
      <c r="I358" s="823" t="s">
        <v>2472</v>
      </c>
      <c r="J358" s="823" t="s">
        <v>2473</v>
      </c>
      <c r="K358" s="823" t="s">
        <v>1990</v>
      </c>
      <c r="L358" s="826">
        <v>32.81</v>
      </c>
      <c r="M358" s="826">
        <v>98.43</v>
      </c>
      <c r="N358" s="823">
        <v>3</v>
      </c>
      <c r="O358" s="827">
        <v>0.5</v>
      </c>
      <c r="P358" s="826"/>
      <c r="Q358" s="828">
        <v>0</v>
      </c>
      <c r="R358" s="823"/>
      <c r="S358" s="828">
        <v>0</v>
      </c>
      <c r="T358" s="827"/>
      <c r="U358" s="829">
        <v>0</v>
      </c>
    </row>
    <row r="359" spans="1:21" ht="14.45" customHeight="1" x14ac:dyDescent="0.2">
      <c r="A359" s="822">
        <v>50</v>
      </c>
      <c r="B359" s="823" t="s">
        <v>1887</v>
      </c>
      <c r="C359" s="823" t="s">
        <v>1893</v>
      </c>
      <c r="D359" s="824" t="s">
        <v>2977</v>
      </c>
      <c r="E359" s="825" t="s">
        <v>1907</v>
      </c>
      <c r="F359" s="823" t="s">
        <v>1888</v>
      </c>
      <c r="G359" s="823" t="s">
        <v>2230</v>
      </c>
      <c r="H359" s="823" t="s">
        <v>329</v>
      </c>
      <c r="I359" s="823" t="s">
        <v>2474</v>
      </c>
      <c r="J359" s="823" t="s">
        <v>866</v>
      </c>
      <c r="K359" s="823" t="s">
        <v>2475</v>
      </c>
      <c r="L359" s="826">
        <v>75.05</v>
      </c>
      <c r="M359" s="826">
        <v>225.14999999999998</v>
      </c>
      <c r="N359" s="823">
        <v>3</v>
      </c>
      <c r="O359" s="827">
        <v>1</v>
      </c>
      <c r="P359" s="826"/>
      <c r="Q359" s="828">
        <v>0</v>
      </c>
      <c r="R359" s="823"/>
      <c r="S359" s="828">
        <v>0</v>
      </c>
      <c r="T359" s="827"/>
      <c r="U359" s="829">
        <v>0</v>
      </c>
    </row>
    <row r="360" spans="1:21" ht="14.45" customHeight="1" x14ac:dyDescent="0.2">
      <c r="A360" s="822">
        <v>50</v>
      </c>
      <c r="B360" s="823" t="s">
        <v>1887</v>
      </c>
      <c r="C360" s="823" t="s">
        <v>1893</v>
      </c>
      <c r="D360" s="824" t="s">
        <v>2977</v>
      </c>
      <c r="E360" s="825" t="s">
        <v>1907</v>
      </c>
      <c r="F360" s="823" t="s">
        <v>1888</v>
      </c>
      <c r="G360" s="823" t="s">
        <v>2230</v>
      </c>
      <c r="H360" s="823" t="s">
        <v>329</v>
      </c>
      <c r="I360" s="823" t="s">
        <v>2231</v>
      </c>
      <c r="J360" s="823" t="s">
        <v>870</v>
      </c>
      <c r="K360" s="823" t="s">
        <v>2232</v>
      </c>
      <c r="L360" s="826">
        <v>45.03</v>
      </c>
      <c r="M360" s="826">
        <v>90.06</v>
      </c>
      <c r="N360" s="823">
        <v>2</v>
      </c>
      <c r="O360" s="827">
        <v>1</v>
      </c>
      <c r="P360" s="826">
        <v>45.03</v>
      </c>
      <c r="Q360" s="828">
        <v>0.5</v>
      </c>
      <c r="R360" s="823">
        <v>1</v>
      </c>
      <c r="S360" s="828">
        <v>0.5</v>
      </c>
      <c r="T360" s="827">
        <v>0.5</v>
      </c>
      <c r="U360" s="829">
        <v>0.5</v>
      </c>
    </row>
    <row r="361" spans="1:21" ht="14.45" customHeight="1" x14ac:dyDescent="0.2">
      <c r="A361" s="822">
        <v>50</v>
      </c>
      <c r="B361" s="823" t="s">
        <v>1887</v>
      </c>
      <c r="C361" s="823" t="s">
        <v>1893</v>
      </c>
      <c r="D361" s="824" t="s">
        <v>2977</v>
      </c>
      <c r="E361" s="825" t="s">
        <v>1907</v>
      </c>
      <c r="F361" s="823" t="s">
        <v>1888</v>
      </c>
      <c r="G361" s="823" t="s">
        <v>2476</v>
      </c>
      <c r="H361" s="823" t="s">
        <v>329</v>
      </c>
      <c r="I361" s="823" t="s">
        <v>2477</v>
      </c>
      <c r="J361" s="823" t="s">
        <v>2478</v>
      </c>
      <c r="K361" s="823" t="s">
        <v>2479</v>
      </c>
      <c r="L361" s="826">
        <v>94.7</v>
      </c>
      <c r="M361" s="826">
        <v>94.7</v>
      </c>
      <c r="N361" s="823">
        <v>1</v>
      </c>
      <c r="O361" s="827">
        <v>1</v>
      </c>
      <c r="P361" s="826">
        <v>94.7</v>
      </c>
      <c r="Q361" s="828">
        <v>1</v>
      </c>
      <c r="R361" s="823">
        <v>1</v>
      </c>
      <c r="S361" s="828">
        <v>1</v>
      </c>
      <c r="T361" s="827">
        <v>1</v>
      </c>
      <c r="U361" s="829">
        <v>1</v>
      </c>
    </row>
    <row r="362" spans="1:21" ht="14.45" customHeight="1" x14ac:dyDescent="0.2">
      <c r="A362" s="822">
        <v>50</v>
      </c>
      <c r="B362" s="823" t="s">
        <v>1887</v>
      </c>
      <c r="C362" s="823" t="s">
        <v>1893</v>
      </c>
      <c r="D362" s="824" t="s">
        <v>2977</v>
      </c>
      <c r="E362" s="825" t="s">
        <v>1907</v>
      </c>
      <c r="F362" s="823" t="s">
        <v>1888</v>
      </c>
      <c r="G362" s="823" t="s">
        <v>2319</v>
      </c>
      <c r="H362" s="823" t="s">
        <v>329</v>
      </c>
      <c r="I362" s="823" t="s">
        <v>2480</v>
      </c>
      <c r="J362" s="823" t="s">
        <v>2481</v>
      </c>
      <c r="K362" s="823" t="s">
        <v>2482</v>
      </c>
      <c r="L362" s="826">
        <v>164.01</v>
      </c>
      <c r="M362" s="826">
        <v>164.01</v>
      </c>
      <c r="N362" s="823">
        <v>1</v>
      </c>
      <c r="O362" s="827">
        <v>0.5</v>
      </c>
      <c r="P362" s="826"/>
      <c r="Q362" s="828">
        <v>0</v>
      </c>
      <c r="R362" s="823"/>
      <c r="S362" s="828">
        <v>0</v>
      </c>
      <c r="T362" s="827"/>
      <c r="U362" s="829">
        <v>0</v>
      </c>
    </row>
    <row r="363" spans="1:21" ht="14.45" customHeight="1" x14ac:dyDescent="0.2">
      <c r="A363" s="822">
        <v>50</v>
      </c>
      <c r="B363" s="823" t="s">
        <v>1887</v>
      </c>
      <c r="C363" s="823" t="s">
        <v>1893</v>
      </c>
      <c r="D363" s="824" t="s">
        <v>2977</v>
      </c>
      <c r="E363" s="825" t="s">
        <v>1907</v>
      </c>
      <c r="F363" s="823" t="s">
        <v>1888</v>
      </c>
      <c r="G363" s="823" t="s">
        <v>2091</v>
      </c>
      <c r="H363" s="823" t="s">
        <v>329</v>
      </c>
      <c r="I363" s="823" t="s">
        <v>2483</v>
      </c>
      <c r="J363" s="823" t="s">
        <v>2484</v>
      </c>
      <c r="K363" s="823" t="s">
        <v>2485</v>
      </c>
      <c r="L363" s="826">
        <v>593.25</v>
      </c>
      <c r="M363" s="826">
        <v>593.25</v>
      </c>
      <c r="N363" s="823">
        <v>1</v>
      </c>
      <c r="O363" s="827">
        <v>0.5</v>
      </c>
      <c r="P363" s="826"/>
      <c r="Q363" s="828">
        <v>0</v>
      </c>
      <c r="R363" s="823"/>
      <c r="S363" s="828">
        <v>0</v>
      </c>
      <c r="T363" s="827"/>
      <c r="U363" s="829">
        <v>0</v>
      </c>
    </row>
    <row r="364" spans="1:21" ht="14.45" customHeight="1" x14ac:dyDescent="0.2">
      <c r="A364" s="822">
        <v>50</v>
      </c>
      <c r="B364" s="823" t="s">
        <v>1887</v>
      </c>
      <c r="C364" s="823" t="s">
        <v>1893</v>
      </c>
      <c r="D364" s="824" t="s">
        <v>2977</v>
      </c>
      <c r="E364" s="825" t="s">
        <v>1907</v>
      </c>
      <c r="F364" s="823" t="s">
        <v>1888</v>
      </c>
      <c r="G364" s="823" t="s">
        <v>2233</v>
      </c>
      <c r="H364" s="823" t="s">
        <v>329</v>
      </c>
      <c r="I364" s="823" t="s">
        <v>2234</v>
      </c>
      <c r="J364" s="823" t="s">
        <v>2235</v>
      </c>
      <c r="K364" s="823" t="s">
        <v>2236</v>
      </c>
      <c r="L364" s="826">
        <v>0</v>
      </c>
      <c r="M364" s="826">
        <v>0</v>
      </c>
      <c r="N364" s="823">
        <v>1</v>
      </c>
      <c r="O364" s="827">
        <v>1</v>
      </c>
      <c r="P364" s="826"/>
      <c r="Q364" s="828"/>
      <c r="R364" s="823"/>
      <c r="S364" s="828">
        <v>0</v>
      </c>
      <c r="T364" s="827"/>
      <c r="U364" s="829">
        <v>0</v>
      </c>
    </row>
    <row r="365" spans="1:21" ht="14.45" customHeight="1" x14ac:dyDescent="0.2">
      <c r="A365" s="822">
        <v>50</v>
      </c>
      <c r="B365" s="823" t="s">
        <v>1887</v>
      </c>
      <c r="C365" s="823" t="s">
        <v>1893</v>
      </c>
      <c r="D365" s="824" t="s">
        <v>2977</v>
      </c>
      <c r="E365" s="825" t="s">
        <v>1907</v>
      </c>
      <c r="F365" s="823" t="s">
        <v>1888</v>
      </c>
      <c r="G365" s="823" t="s">
        <v>1955</v>
      </c>
      <c r="H365" s="823" t="s">
        <v>625</v>
      </c>
      <c r="I365" s="823" t="s">
        <v>1567</v>
      </c>
      <c r="J365" s="823" t="s">
        <v>1568</v>
      </c>
      <c r="K365" s="823" t="s">
        <v>1569</v>
      </c>
      <c r="L365" s="826">
        <v>93.43</v>
      </c>
      <c r="M365" s="826">
        <v>373.72</v>
      </c>
      <c r="N365" s="823">
        <v>4</v>
      </c>
      <c r="O365" s="827">
        <v>2</v>
      </c>
      <c r="P365" s="826">
        <v>186.86</v>
      </c>
      <c r="Q365" s="828">
        <v>0.5</v>
      </c>
      <c r="R365" s="823">
        <v>2</v>
      </c>
      <c r="S365" s="828">
        <v>0.5</v>
      </c>
      <c r="T365" s="827">
        <v>1</v>
      </c>
      <c r="U365" s="829">
        <v>0.5</v>
      </c>
    </row>
    <row r="366" spans="1:21" ht="14.45" customHeight="1" x14ac:dyDescent="0.2">
      <c r="A366" s="822">
        <v>50</v>
      </c>
      <c r="B366" s="823" t="s">
        <v>1887</v>
      </c>
      <c r="C366" s="823" t="s">
        <v>1893</v>
      </c>
      <c r="D366" s="824" t="s">
        <v>2977</v>
      </c>
      <c r="E366" s="825" t="s">
        <v>1907</v>
      </c>
      <c r="F366" s="823" t="s">
        <v>1888</v>
      </c>
      <c r="G366" s="823" t="s">
        <v>1955</v>
      </c>
      <c r="H366" s="823" t="s">
        <v>625</v>
      </c>
      <c r="I366" s="823" t="s">
        <v>1570</v>
      </c>
      <c r="J366" s="823" t="s">
        <v>1568</v>
      </c>
      <c r="K366" s="823" t="s">
        <v>1571</v>
      </c>
      <c r="L366" s="826">
        <v>186.87</v>
      </c>
      <c r="M366" s="826">
        <v>2616.1800000000003</v>
      </c>
      <c r="N366" s="823">
        <v>14</v>
      </c>
      <c r="O366" s="827">
        <v>4</v>
      </c>
      <c r="P366" s="826">
        <v>1121.22</v>
      </c>
      <c r="Q366" s="828">
        <v>0.42857142857142855</v>
      </c>
      <c r="R366" s="823">
        <v>6</v>
      </c>
      <c r="S366" s="828">
        <v>0.42857142857142855</v>
      </c>
      <c r="T366" s="827">
        <v>2</v>
      </c>
      <c r="U366" s="829">
        <v>0.5</v>
      </c>
    </row>
    <row r="367" spans="1:21" ht="14.45" customHeight="1" x14ac:dyDescent="0.2">
      <c r="A367" s="822">
        <v>50</v>
      </c>
      <c r="B367" s="823" t="s">
        <v>1887</v>
      </c>
      <c r="C367" s="823" t="s">
        <v>1893</v>
      </c>
      <c r="D367" s="824" t="s">
        <v>2977</v>
      </c>
      <c r="E367" s="825" t="s">
        <v>1907</v>
      </c>
      <c r="F367" s="823" t="s">
        <v>1888</v>
      </c>
      <c r="G367" s="823" t="s">
        <v>1915</v>
      </c>
      <c r="H367" s="823" t="s">
        <v>329</v>
      </c>
      <c r="I367" s="823" t="s">
        <v>2486</v>
      </c>
      <c r="J367" s="823" t="s">
        <v>1202</v>
      </c>
      <c r="K367" s="823" t="s">
        <v>1917</v>
      </c>
      <c r="L367" s="826">
        <v>73.989999999999995</v>
      </c>
      <c r="M367" s="826">
        <v>295.95999999999998</v>
      </c>
      <c r="N367" s="823">
        <v>4</v>
      </c>
      <c r="O367" s="827">
        <v>1.5</v>
      </c>
      <c r="P367" s="826">
        <v>295.95999999999998</v>
      </c>
      <c r="Q367" s="828">
        <v>1</v>
      </c>
      <c r="R367" s="823">
        <v>4</v>
      </c>
      <c r="S367" s="828">
        <v>1</v>
      </c>
      <c r="T367" s="827">
        <v>1.5</v>
      </c>
      <c r="U367" s="829">
        <v>1</v>
      </c>
    </row>
    <row r="368" spans="1:21" ht="14.45" customHeight="1" x14ac:dyDescent="0.2">
      <c r="A368" s="822">
        <v>50</v>
      </c>
      <c r="B368" s="823" t="s">
        <v>1887</v>
      </c>
      <c r="C368" s="823" t="s">
        <v>1893</v>
      </c>
      <c r="D368" s="824" t="s">
        <v>2977</v>
      </c>
      <c r="E368" s="825" t="s">
        <v>1907</v>
      </c>
      <c r="F368" s="823" t="s">
        <v>1888</v>
      </c>
      <c r="G368" s="823" t="s">
        <v>1956</v>
      </c>
      <c r="H368" s="823" t="s">
        <v>329</v>
      </c>
      <c r="I368" s="823" t="s">
        <v>1957</v>
      </c>
      <c r="J368" s="823" t="s">
        <v>1958</v>
      </c>
      <c r="K368" s="823" t="s">
        <v>1959</v>
      </c>
      <c r="L368" s="826">
        <v>577.88</v>
      </c>
      <c r="M368" s="826">
        <v>1155.76</v>
      </c>
      <c r="N368" s="823">
        <v>2</v>
      </c>
      <c r="O368" s="827">
        <v>2</v>
      </c>
      <c r="P368" s="826">
        <v>1155.76</v>
      </c>
      <c r="Q368" s="828">
        <v>1</v>
      </c>
      <c r="R368" s="823">
        <v>2</v>
      </c>
      <c r="S368" s="828">
        <v>1</v>
      </c>
      <c r="T368" s="827">
        <v>2</v>
      </c>
      <c r="U368" s="829">
        <v>1</v>
      </c>
    </row>
    <row r="369" spans="1:21" ht="14.45" customHeight="1" x14ac:dyDescent="0.2">
      <c r="A369" s="822">
        <v>50</v>
      </c>
      <c r="B369" s="823" t="s">
        <v>1887</v>
      </c>
      <c r="C369" s="823" t="s">
        <v>1893</v>
      </c>
      <c r="D369" s="824" t="s">
        <v>2977</v>
      </c>
      <c r="E369" s="825" t="s">
        <v>1907</v>
      </c>
      <c r="F369" s="823" t="s">
        <v>1888</v>
      </c>
      <c r="G369" s="823" t="s">
        <v>1918</v>
      </c>
      <c r="H369" s="823" t="s">
        <v>329</v>
      </c>
      <c r="I369" s="823" t="s">
        <v>2487</v>
      </c>
      <c r="J369" s="823" t="s">
        <v>1961</v>
      </c>
      <c r="K369" s="823" t="s">
        <v>2488</v>
      </c>
      <c r="L369" s="826">
        <v>52.75</v>
      </c>
      <c r="M369" s="826">
        <v>685.75</v>
      </c>
      <c r="N369" s="823">
        <v>13</v>
      </c>
      <c r="O369" s="827">
        <v>10.5</v>
      </c>
      <c r="P369" s="826">
        <v>369.25</v>
      </c>
      <c r="Q369" s="828">
        <v>0.53846153846153844</v>
      </c>
      <c r="R369" s="823">
        <v>7</v>
      </c>
      <c r="S369" s="828">
        <v>0.53846153846153844</v>
      </c>
      <c r="T369" s="827">
        <v>6</v>
      </c>
      <c r="U369" s="829">
        <v>0.5714285714285714</v>
      </c>
    </row>
    <row r="370" spans="1:21" ht="14.45" customHeight="1" x14ac:dyDescent="0.2">
      <c r="A370" s="822">
        <v>50</v>
      </c>
      <c r="B370" s="823" t="s">
        <v>1887</v>
      </c>
      <c r="C370" s="823" t="s">
        <v>1893</v>
      </c>
      <c r="D370" s="824" t="s">
        <v>2977</v>
      </c>
      <c r="E370" s="825" t="s">
        <v>1907</v>
      </c>
      <c r="F370" s="823" t="s">
        <v>1888</v>
      </c>
      <c r="G370" s="823" t="s">
        <v>1918</v>
      </c>
      <c r="H370" s="823" t="s">
        <v>329</v>
      </c>
      <c r="I370" s="823" t="s">
        <v>2242</v>
      </c>
      <c r="J370" s="823" t="s">
        <v>2243</v>
      </c>
      <c r="K370" s="823" t="s">
        <v>2244</v>
      </c>
      <c r="L370" s="826">
        <v>52.75</v>
      </c>
      <c r="M370" s="826">
        <v>422</v>
      </c>
      <c r="N370" s="823">
        <v>8</v>
      </c>
      <c r="O370" s="827">
        <v>6.5</v>
      </c>
      <c r="P370" s="826">
        <v>158.25</v>
      </c>
      <c r="Q370" s="828">
        <v>0.375</v>
      </c>
      <c r="R370" s="823">
        <v>3</v>
      </c>
      <c r="S370" s="828">
        <v>0.375</v>
      </c>
      <c r="T370" s="827">
        <v>2.5</v>
      </c>
      <c r="U370" s="829">
        <v>0.38461538461538464</v>
      </c>
    </row>
    <row r="371" spans="1:21" ht="14.45" customHeight="1" x14ac:dyDescent="0.2">
      <c r="A371" s="822">
        <v>50</v>
      </c>
      <c r="B371" s="823" t="s">
        <v>1887</v>
      </c>
      <c r="C371" s="823" t="s">
        <v>1893</v>
      </c>
      <c r="D371" s="824" t="s">
        <v>2977</v>
      </c>
      <c r="E371" s="825" t="s">
        <v>1907</v>
      </c>
      <c r="F371" s="823" t="s">
        <v>1888</v>
      </c>
      <c r="G371" s="823" t="s">
        <v>1918</v>
      </c>
      <c r="H371" s="823" t="s">
        <v>329</v>
      </c>
      <c r="I371" s="823" t="s">
        <v>2326</v>
      </c>
      <c r="J371" s="823" t="s">
        <v>2243</v>
      </c>
      <c r="K371" s="823" t="s">
        <v>2327</v>
      </c>
      <c r="L371" s="826">
        <v>31.65</v>
      </c>
      <c r="M371" s="826">
        <v>126.6</v>
      </c>
      <c r="N371" s="823">
        <v>4</v>
      </c>
      <c r="O371" s="827">
        <v>2</v>
      </c>
      <c r="P371" s="826">
        <v>63.3</v>
      </c>
      <c r="Q371" s="828">
        <v>0.5</v>
      </c>
      <c r="R371" s="823">
        <v>2</v>
      </c>
      <c r="S371" s="828">
        <v>0.5</v>
      </c>
      <c r="T371" s="827">
        <v>1</v>
      </c>
      <c r="U371" s="829">
        <v>0.5</v>
      </c>
    </row>
    <row r="372" spans="1:21" ht="14.45" customHeight="1" x14ac:dyDescent="0.2">
      <c r="A372" s="822">
        <v>50</v>
      </c>
      <c r="B372" s="823" t="s">
        <v>1887</v>
      </c>
      <c r="C372" s="823" t="s">
        <v>1893</v>
      </c>
      <c r="D372" s="824" t="s">
        <v>2977</v>
      </c>
      <c r="E372" s="825" t="s">
        <v>1907</v>
      </c>
      <c r="F372" s="823" t="s">
        <v>1888</v>
      </c>
      <c r="G372" s="823" t="s">
        <v>2489</v>
      </c>
      <c r="H372" s="823" t="s">
        <v>329</v>
      </c>
      <c r="I372" s="823" t="s">
        <v>2490</v>
      </c>
      <c r="J372" s="823" t="s">
        <v>2491</v>
      </c>
      <c r="K372" s="823" t="s">
        <v>2492</v>
      </c>
      <c r="L372" s="826">
        <v>760.22</v>
      </c>
      <c r="M372" s="826">
        <v>1520.44</v>
      </c>
      <c r="N372" s="823">
        <v>2</v>
      </c>
      <c r="O372" s="827">
        <v>1</v>
      </c>
      <c r="P372" s="826">
        <v>1520.44</v>
      </c>
      <c r="Q372" s="828">
        <v>1</v>
      </c>
      <c r="R372" s="823">
        <v>2</v>
      </c>
      <c r="S372" s="828">
        <v>1</v>
      </c>
      <c r="T372" s="827">
        <v>1</v>
      </c>
      <c r="U372" s="829">
        <v>1</v>
      </c>
    </row>
    <row r="373" spans="1:21" ht="14.45" customHeight="1" x14ac:dyDescent="0.2">
      <c r="A373" s="822">
        <v>50</v>
      </c>
      <c r="B373" s="823" t="s">
        <v>1887</v>
      </c>
      <c r="C373" s="823" t="s">
        <v>1893</v>
      </c>
      <c r="D373" s="824" t="s">
        <v>2977</v>
      </c>
      <c r="E373" s="825" t="s">
        <v>1907</v>
      </c>
      <c r="F373" s="823" t="s">
        <v>1888</v>
      </c>
      <c r="G373" s="823" t="s">
        <v>2493</v>
      </c>
      <c r="H373" s="823" t="s">
        <v>625</v>
      </c>
      <c r="I373" s="823" t="s">
        <v>1839</v>
      </c>
      <c r="J373" s="823" t="s">
        <v>1725</v>
      </c>
      <c r="K373" s="823" t="s">
        <v>1840</v>
      </c>
      <c r="L373" s="826">
        <v>366.31</v>
      </c>
      <c r="M373" s="826">
        <v>732.62</v>
      </c>
      <c r="N373" s="823">
        <v>2</v>
      </c>
      <c r="O373" s="827">
        <v>0.5</v>
      </c>
      <c r="P373" s="826">
        <v>732.62</v>
      </c>
      <c r="Q373" s="828">
        <v>1</v>
      </c>
      <c r="R373" s="823">
        <v>2</v>
      </c>
      <c r="S373" s="828">
        <v>1</v>
      </c>
      <c r="T373" s="827">
        <v>0.5</v>
      </c>
      <c r="U373" s="829">
        <v>1</v>
      </c>
    </row>
    <row r="374" spans="1:21" ht="14.45" customHeight="1" x14ac:dyDescent="0.2">
      <c r="A374" s="822">
        <v>50</v>
      </c>
      <c r="B374" s="823" t="s">
        <v>1887</v>
      </c>
      <c r="C374" s="823" t="s">
        <v>1893</v>
      </c>
      <c r="D374" s="824" t="s">
        <v>2977</v>
      </c>
      <c r="E374" s="825" t="s">
        <v>1907</v>
      </c>
      <c r="F374" s="823" t="s">
        <v>1888</v>
      </c>
      <c r="G374" s="823" t="s">
        <v>2245</v>
      </c>
      <c r="H374" s="823" t="s">
        <v>625</v>
      </c>
      <c r="I374" s="823" t="s">
        <v>2246</v>
      </c>
      <c r="J374" s="823" t="s">
        <v>2247</v>
      </c>
      <c r="K374" s="823" t="s">
        <v>2248</v>
      </c>
      <c r="L374" s="826">
        <v>115.27</v>
      </c>
      <c r="M374" s="826">
        <v>230.54</v>
      </c>
      <c r="N374" s="823">
        <v>2</v>
      </c>
      <c r="O374" s="827">
        <v>0.5</v>
      </c>
      <c r="P374" s="826">
        <v>230.54</v>
      </c>
      <c r="Q374" s="828">
        <v>1</v>
      </c>
      <c r="R374" s="823">
        <v>2</v>
      </c>
      <c r="S374" s="828">
        <v>1</v>
      </c>
      <c r="T374" s="827">
        <v>0.5</v>
      </c>
      <c r="U374" s="829">
        <v>1</v>
      </c>
    </row>
    <row r="375" spans="1:21" ht="14.45" customHeight="1" x14ac:dyDescent="0.2">
      <c r="A375" s="822">
        <v>50</v>
      </c>
      <c r="B375" s="823" t="s">
        <v>1887</v>
      </c>
      <c r="C375" s="823" t="s">
        <v>1893</v>
      </c>
      <c r="D375" s="824" t="s">
        <v>2977</v>
      </c>
      <c r="E375" s="825" t="s">
        <v>1907</v>
      </c>
      <c r="F375" s="823" t="s">
        <v>1888</v>
      </c>
      <c r="G375" s="823" t="s">
        <v>2494</v>
      </c>
      <c r="H375" s="823" t="s">
        <v>329</v>
      </c>
      <c r="I375" s="823" t="s">
        <v>2495</v>
      </c>
      <c r="J375" s="823" t="s">
        <v>2496</v>
      </c>
      <c r="K375" s="823" t="s">
        <v>1733</v>
      </c>
      <c r="L375" s="826">
        <v>0</v>
      </c>
      <c r="M375" s="826">
        <v>0</v>
      </c>
      <c r="N375" s="823">
        <v>2</v>
      </c>
      <c r="O375" s="827">
        <v>0.5</v>
      </c>
      <c r="P375" s="826"/>
      <c r="Q375" s="828"/>
      <c r="R375" s="823"/>
      <c r="S375" s="828">
        <v>0</v>
      </c>
      <c r="T375" s="827"/>
      <c r="U375" s="829">
        <v>0</v>
      </c>
    </row>
    <row r="376" spans="1:21" ht="14.45" customHeight="1" x14ac:dyDescent="0.2">
      <c r="A376" s="822">
        <v>50</v>
      </c>
      <c r="B376" s="823" t="s">
        <v>1887</v>
      </c>
      <c r="C376" s="823" t="s">
        <v>1893</v>
      </c>
      <c r="D376" s="824" t="s">
        <v>2977</v>
      </c>
      <c r="E376" s="825" t="s">
        <v>1907</v>
      </c>
      <c r="F376" s="823" t="s">
        <v>1888</v>
      </c>
      <c r="G376" s="823" t="s">
        <v>2497</v>
      </c>
      <c r="H376" s="823" t="s">
        <v>625</v>
      </c>
      <c r="I376" s="823" t="s">
        <v>2498</v>
      </c>
      <c r="J376" s="823" t="s">
        <v>2499</v>
      </c>
      <c r="K376" s="823" t="s">
        <v>2500</v>
      </c>
      <c r="L376" s="826">
        <v>103.64</v>
      </c>
      <c r="M376" s="826">
        <v>207.28</v>
      </c>
      <c r="N376" s="823">
        <v>2</v>
      </c>
      <c r="O376" s="827">
        <v>1</v>
      </c>
      <c r="P376" s="826"/>
      <c r="Q376" s="828">
        <v>0</v>
      </c>
      <c r="R376" s="823"/>
      <c r="S376" s="828">
        <v>0</v>
      </c>
      <c r="T376" s="827"/>
      <c r="U376" s="829">
        <v>0</v>
      </c>
    </row>
    <row r="377" spans="1:21" ht="14.45" customHeight="1" x14ac:dyDescent="0.2">
      <c r="A377" s="822">
        <v>50</v>
      </c>
      <c r="B377" s="823" t="s">
        <v>1887</v>
      </c>
      <c r="C377" s="823" t="s">
        <v>1893</v>
      </c>
      <c r="D377" s="824" t="s">
        <v>2977</v>
      </c>
      <c r="E377" s="825" t="s">
        <v>1907</v>
      </c>
      <c r="F377" s="823" t="s">
        <v>1888</v>
      </c>
      <c r="G377" s="823" t="s">
        <v>2497</v>
      </c>
      <c r="H377" s="823" t="s">
        <v>625</v>
      </c>
      <c r="I377" s="823" t="s">
        <v>2501</v>
      </c>
      <c r="J377" s="823" t="s">
        <v>2499</v>
      </c>
      <c r="K377" s="823" t="s">
        <v>2502</v>
      </c>
      <c r="L377" s="826">
        <v>207.27</v>
      </c>
      <c r="M377" s="826">
        <v>207.27</v>
      </c>
      <c r="N377" s="823">
        <v>1</v>
      </c>
      <c r="O377" s="827">
        <v>1</v>
      </c>
      <c r="P377" s="826"/>
      <c r="Q377" s="828">
        <v>0</v>
      </c>
      <c r="R377" s="823"/>
      <c r="S377" s="828">
        <v>0</v>
      </c>
      <c r="T377" s="827"/>
      <c r="U377" s="829">
        <v>0</v>
      </c>
    </row>
    <row r="378" spans="1:21" ht="14.45" customHeight="1" x14ac:dyDescent="0.2">
      <c r="A378" s="822">
        <v>50</v>
      </c>
      <c r="B378" s="823" t="s">
        <v>1887</v>
      </c>
      <c r="C378" s="823" t="s">
        <v>1893</v>
      </c>
      <c r="D378" s="824" t="s">
        <v>2977</v>
      </c>
      <c r="E378" s="825" t="s">
        <v>1907</v>
      </c>
      <c r="F378" s="823" t="s">
        <v>1888</v>
      </c>
      <c r="G378" s="823" t="s">
        <v>2104</v>
      </c>
      <c r="H378" s="823" t="s">
        <v>329</v>
      </c>
      <c r="I378" s="823" t="s">
        <v>2105</v>
      </c>
      <c r="J378" s="823" t="s">
        <v>2106</v>
      </c>
      <c r="K378" s="823" t="s">
        <v>2053</v>
      </c>
      <c r="L378" s="826">
        <v>176.32</v>
      </c>
      <c r="M378" s="826">
        <v>176.32</v>
      </c>
      <c r="N378" s="823">
        <v>1</v>
      </c>
      <c r="O378" s="827">
        <v>1</v>
      </c>
      <c r="P378" s="826"/>
      <c r="Q378" s="828">
        <v>0</v>
      </c>
      <c r="R378" s="823"/>
      <c r="S378" s="828">
        <v>0</v>
      </c>
      <c r="T378" s="827"/>
      <c r="U378" s="829">
        <v>0</v>
      </c>
    </row>
    <row r="379" spans="1:21" ht="14.45" customHeight="1" x14ac:dyDescent="0.2">
      <c r="A379" s="822">
        <v>50</v>
      </c>
      <c r="B379" s="823" t="s">
        <v>1887</v>
      </c>
      <c r="C379" s="823" t="s">
        <v>1893</v>
      </c>
      <c r="D379" s="824" t="s">
        <v>2977</v>
      </c>
      <c r="E379" s="825" t="s">
        <v>1907</v>
      </c>
      <c r="F379" s="823" t="s">
        <v>1888</v>
      </c>
      <c r="G379" s="823" t="s">
        <v>2104</v>
      </c>
      <c r="H379" s="823" t="s">
        <v>329</v>
      </c>
      <c r="I379" s="823" t="s">
        <v>2503</v>
      </c>
      <c r="J379" s="823" t="s">
        <v>2504</v>
      </c>
      <c r="K379" s="823" t="s">
        <v>2431</v>
      </c>
      <c r="L379" s="826">
        <v>176.32</v>
      </c>
      <c r="M379" s="826">
        <v>176.32</v>
      </c>
      <c r="N379" s="823">
        <v>1</v>
      </c>
      <c r="O379" s="827">
        <v>1</v>
      </c>
      <c r="P379" s="826"/>
      <c r="Q379" s="828">
        <v>0</v>
      </c>
      <c r="R379" s="823"/>
      <c r="S379" s="828">
        <v>0</v>
      </c>
      <c r="T379" s="827"/>
      <c r="U379" s="829">
        <v>0</v>
      </c>
    </row>
    <row r="380" spans="1:21" ht="14.45" customHeight="1" x14ac:dyDescent="0.2">
      <c r="A380" s="822">
        <v>50</v>
      </c>
      <c r="B380" s="823" t="s">
        <v>1887</v>
      </c>
      <c r="C380" s="823" t="s">
        <v>1893</v>
      </c>
      <c r="D380" s="824" t="s">
        <v>2977</v>
      </c>
      <c r="E380" s="825" t="s">
        <v>1907</v>
      </c>
      <c r="F380" s="823" t="s">
        <v>1888</v>
      </c>
      <c r="G380" s="823" t="s">
        <v>2104</v>
      </c>
      <c r="H380" s="823" t="s">
        <v>329</v>
      </c>
      <c r="I380" s="823" t="s">
        <v>2505</v>
      </c>
      <c r="J380" s="823" t="s">
        <v>2506</v>
      </c>
      <c r="K380" s="823" t="s">
        <v>2507</v>
      </c>
      <c r="L380" s="826">
        <v>176.32</v>
      </c>
      <c r="M380" s="826">
        <v>352.64</v>
      </c>
      <c r="N380" s="823">
        <v>2</v>
      </c>
      <c r="O380" s="827">
        <v>2</v>
      </c>
      <c r="P380" s="826">
        <v>176.32</v>
      </c>
      <c r="Q380" s="828">
        <v>0.5</v>
      </c>
      <c r="R380" s="823">
        <v>1</v>
      </c>
      <c r="S380" s="828">
        <v>0.5</v>
      </c>
      <c r="T380" s="827">
        <v>1</v>
      </c>
      <c r="U380" s="829">
        <v>0.5</v>
      </c>
    </row>
    <row r="381" spans="1:21" ht="14.45" customHeight="1" x14ac:dyDescent="0.2">
      <c r="A381" s="822">
        <v>50</v>
      </c>
      <c r="B381" s="823" t="s">
        <v>1887</v>
      </c>
      <c r="C381" s="823" t="s">
        <v>1893</v>
      </c>
      <c r="D381" s="824" t="s">
        <v>2977</v>
      </c>
      <c r="E381" s="825" t="s">
        <v>1907</v>
      </c>
      <c r="F381" s="823" t="s">
        <v>1888</v>
      </c>
      <c r="G381" s="823" t="s">
        <v>2104</v>
      </c>
      <c r="H381" s="823" t="s">
        <v>329</v>
      </c>
      <c r="I381" s="823" t="s">
        <v>2508</v>
      </c>
      <c r="J381" s="823" t="s">
        <v>2506</v>
      </c>
      <c r="K381" s="823" t="s">
        <v>2509</v>
      </c>
      <c r="L381" s="826">
        <v>97.96</v>
      </c>
      <c r="M381" s="826">
        <v>97.96</v>
      </c>
      <c r="N381" s="823">
        <v>1</v>
      </c>
      <c r="O381" s="827">
        <v>0.5</v>
      </c>
      <c r="P381" s="826"/>
      <c r="Q381" s="828">
        <v>0</v>
      </c>
      <c r="R381" s="823"/>
      <c r="S381" s="828">
        <v>0</v>
      </c>
      <c r="T381" s="827"/>
      <c r="U381" s="829">
        <v>0</v>
      </c>
    </row>
    <row r="382" spans="1:21" ht="14.45" customHeight="1" x14ac:dyDescent="0.2">
      <c r="A382" s="822">
        <v>50</v>
      </c>
      <c r="B382" s="823" t="s">
        <v>1887</v>
      </c>
      <c r="C382" s="823" t="s">
        <v>1893</v>
      </c>
      <c r="D382" s="824" t="s">
        <v>2977</v>
      </c>
      <c r="E382" s="825" t="s">
        <v>1907</v>
      </c>
      <c r="F382" s="823" t="s">
        <v>1888</v>
      </c>
      <c r="G382" s="823" t="s">
        <v>2107</v>
      </c>
      <c r="H382" s="823" t="s">
        <v>625</v>
      </c>
      <c r="I382" s="823" t="s">
        <v>2108</v>
      </c>
      <c r="J382" s="823" t="s">
        <v>2109</v>
      </c>
      <c r="K382" s="823" t="s">
        <v>2110</v>
      </c>
      <c r="L382" s="826">
        <v>118.65</v>
      </c>
      <c r="M382" s="826">
        <v>474.6</v>
      </c>
      <c r="N382" s="823">
        <v>4</v>
      </c>
      <c r="O382" s="827">
        <v>3.5</v>
      </c>
      <c r="P382" s="826">
        <v>355.95000000000005</v>
      </c>
      <c r="Q382" s="828">
        <v>0.75000000000000011</v>
      </c>
      <c r="R382" s="823">
        <v>3</v>
      </c>
      <c r="S382" s="828">
        <v>0.75</v>
      </c>
      <c r="T382" s="827">
        <v>2.5</v>
      </c>
      <c r="U382" s="829">
        <v>0.7142857142857143</v>
      </c>
    </row>
    <row r="383" spans="1:21" ht="14.45" customHeight="1" x14ac:dyDescent="0.2">
      <c r="A383" s="822">
        <v>50</v>
      </c>
      <c r="B383" s="823" t="s">
        <v>1887</v>
      </c>
      <c r="C383" s="823" t="s">
        <v>1893</v>
      </c>
      <c r="D383" s="824" t="s">
        <v>2977</v>
      </c>
      <c r="E383" s="825" t="s">
        <v>1907</v>
      </c>
      <c r="F383" s="823" t="s">
        <v>1888</v>
      </c>
      <c r="G383" s="823" t="s">
        <v>2510</v>
      </c>
      <c r="H383" s="823" t="s">
        <v>625</v>
      </c>
      <c r="I383" s="823" t="s">
        <v>2511</v>
      </c>
      <c r="J383" s="823" t="s">
        <v>2512</v>
      </c>
      <c r="K383" s="823" t="s">
        <v>2513</v>
      </c>
      <c r="L383" s="826">
        <v>77.790000000000006</v>
      </c>
      <c r="M383" s="826">
        <v>77.790000000000006</v>
      </c>
      <c r="N383" s="823">
        <v>1</v>
      </c>
      <c r="O383" s="827">
        <v>1</v>
      </c>
      <c r="P383" s="826">
        <v>77.790000000000006</v>
      </c>
      <c r="Q383" s="828">
        <v>1</v>
      </c>
      <c r="R383" s="823">
        <v>1</v>
      </c>
      <c r="S383" s="828">
        <v>1</v>
      </c>
      <c r="T383" s="827">
        <v>1</v>
      </c>
      <c r="U383" s="829">
        <v>1</v>
      </c>
    </row>
    <row r="384" spans="1:21" ht="14.45" customHeight="1" x14ac:dyDescent="0.2">
      <c r="A384" s="822">
        <v>50</v>
      </c>
      <c r="B384" s="823" t="s">
        <v>1887</v>
      </c>
      <c r="C384" s="823" t="s">
        <v>1893</v>
      </c>
      <c r="D384" s="824" t="s">
        <v>2977</v>
      </c>
      <c r="E384" s="825" t="s">
        <v>1907</v>
      </c>
      <c r="F384" s="823" t="s">
        <v>1888</v>
      </c>
      <c r="G384" s="823" t="s">
        <v>2255</v>
      </c>
      <c r="H384" s="823" t="s">
        <v>329</v>
      </c>
      <c r="I384" s="823" t="s">
        <v>2514</v>
      </c>
      <c r="J384" s="823" t="s">
        <v>2335</v>
      </c>
      <c r="K384" s="823" t="s">
        <v>2515</v>
      </c>
      <c r="L384" s="826">
        <v>56.17</v>
      </c>
      <c r="M384" s="826">
        <v>112.34</v>
      </c>
      <c r="N384" s="823">
        <v>2</v>
      </c>
      <c r="O384" s="827">
        <v>0.5</v>
      </c>
      <c r="P384" s="826"/>
      <c r="Q384" s="828">
        <v>0</v>
      </c>
      <c r="R384" s="823"/>
      <c r="S384" s="828">
        <v>0</v>
      </c>
      <c r="T384" s="827"/>
      <c r="U384" s="829">
        <v>0</v>
      </c>
    </row>
    <row r="385" spans="1:21" ht="14.45" customHeight="1" x14ac:dyDescent="0.2">
      <c r="A385" s="822">
        <v>50</v>
      </c>
      <c r="B385" s="823" t="s">
        <v>1887</v>
      </c>
      <c r="C385" s="823" t="s">
        <v>1893</v>
      </c>
      <c r="D385" s="824" t="s">
        <v>2977</v>
      </c>
      <c r="E385" s="825" t="s">
        <v>1907</v>
      </c>
      <c r="F385" s="823" t="s">
        <v>1888</v>
      </c>
      <c r="G385" s="823" t="s">
        <v>1933</v>
      </c>
      <c r="H385" s="823" t="s">
        <v>329</v>
      </c>
      <c r="I385" s="823" t="s">
        <v>2256</v>
      </c>
      <c r="J385" s="823" t="s">
        <v>1185</v>
      </c>
      <c r="K385" s="823" t="s">
        <v>1187</v>
      </c>
      <c r="L385" s="826">
        <v>38.04</v>
      </c>
      <c r="M385" s="826">
        <v>76.08</v>
      </c>
      <c r="N385" s="823">
        <v>2</v>
      </c>
      <c r="O385" s="827">
        <v>1.5</v>
      </c>
      <c r="P385" s="826">
        <v>38.04</v>
      </c>
      <c r="Q385" s="828">
        <v>0.5</v>
      </c>
      <c r="R385" s="823">
        <v>1</v>
      </c>
      <c r="S385" s="828">
        <v>0.5</v>
      </c>
      <c r="T385" s="827">
        <v>1</v>
      </c>
      <c r="U385" s="829">
        <v>0.66666666666666663</v>
      </c>
    </row>
    <row r="386" spans="1:21" ht="14.45" customHeight="1" x14ac:dyDescent="0.2">
      <c r="A386" s="822">
        <v>50</v>
      </c>
      <c r="B386" s="823" t="s">
        <v>1887</v>
      </c>
      <c r="C386" s="823" t="s">
        <v>1893</v>
      </c>
      <c r="D386" s="824" t="s">
        <v>2977</v>
      </c>
      <c r="E386" s="825" t="s">
        <v>1907</v>
      </c>
      <c r="F386" s="823" t="s">
        <v>1888</v>
      </c>
      <c r="G386" s="823" t="s">
        <v>1933</v>
      </c>
      <c r="H386" s="823" t="s">
        <v>329</v>
      </c>
      <c r="I386" s="823" t="s">
        <v>2516</v>
      </c>
      <c r="J386" s="823" t="s">
        <v>2517</v>
      </c>
      <c r="K386" s="823" t="s">
        <v>2518</v>
      </c>
      <c r="L386" s="826">
        <v>234.07</v>
      </c>
      <c r="M386" s="826">
        <v>936.28</v>
      </c>
      <c r="N386" s="823">
        <v>4</v>
      </c>
      <c r="O386" s="827">
        <v>3.5</v>
      </c>
      <c r="P386" s="826">
        <v>468.14</v>
      </c>
      <c r="Q386" s="828">
        <v>0.5</v>
      </c>
      <c r="R386" s="823">
        <v>2</v>
      </c>
      <c r="S386" s="828">
        <v>0.5</v>
      </c>
      <c r="T386" s="827">
        <v>2</v>
      </c>
      <c r="U386" s="829">
        <v>0.5714285714285714</v>
      </c>
    </row>
    <row r="387" spans="1:21" ht="14.45" customHeight="1" x14ac:dyDescent="0.2">
      <c r="A387" s="822">
        <v>50</v>
      </c>
      <c r="B387" s="823" t="s">
        <v>1887</v>
      </c>
      <c r="C387" s="823" t="s">
        <v>1893</v>
      </c>
      <c r="D387" s="824" t="s">
        <v>2977</v>
      </c>
      <c r="E387" s="825" t="s">
        <v>1907</v>
      </c>
      <c r="F387" s="823" t="s">
        <v>1888</v>
      </c>
      <c r="G387" s="823" t="s">
        <v>1933</v>
      </c>
      <c r="H387" s="823" t="s">
        <v>329</v>
      </c>
      <c r="I387" s="823" t="s">
        <v>1963</v>
      </c>
      <c r="J387" s="823" t="s">
        <v>1185</v>
      </c>
      <c r="K387" s="823" t="s">
        <v>1186</v>
      </c>
      <c r="L387" s="826">
        <v>58.52</v>
      </c>
      <c r="M387" s="826">
        <v>175.56</v>
      </c>
      <c r="N387" s="823">
        <v>3</v>
      </c>
      <c r="O387" s="827">
        <v>2</v>
      </c>
      <c r="P387" s="826"/>
      <c r="Q387" s="828">
        <v>0</v>
      </c>
      <c r="R387" s="823"/>
      <c r="S387" s="828">
        <v>0</v>
      </c>
      <c r="T387" s="827"/>
      <c r="U387" s="829">
        <v>0</v>
      </c>
    </row>
    <row r="388" spans="1:21" ht="14.45" customHeight="1" x14ac:dyDescent="0.2">
      <c r="A388" s="822">
        <v>50</v>
      </c>
      <c r="B388" s="823" t="s">
        <v>1887</v>
      </c>
      <c r="C388" s="823" t="s">
        <v>1893</v>
      </c>
      <c r="D388" s="824" t="s">
        <v>2977</v>
      </c>
      <c r="E388" s="825" t="s">
        <v>1907</v>
      </c>
      <c r="F388" s="823" t="s">
        <v>1888</v>
      </c>
      <c r="G388" s="823" t="s">
        <v>1933</v>
      </c>
      <c r="H388" s="823" t="s">
        <v>329</v>
      </c>
      <c r="I388" s="823" t="s">
        <v>2519</v>
      </c>
      <c r="J388" s="823" t="s">
        <v>1185</v>
      </c>
      <c r="K388" s="823" t="s">
        <v>2518</v>
      </c>
      <c r="L388" s="826">
        <v>234.07</v>
      </c>
      <c r="M388" s="826">
        <v>234.07</v>
      </c>
      <c r="N388" s="823">
        <v>1</v>
      </c>
      <c r="O388" s="827">
        <v>1</v>
      </c>
      <c r="P388" s="826">
        <v>234.07</v>
      </c>
      <c r="Q388" s="828">
        <v>1</v>
      </c>
      <c r="R388" s="823">
        <v>1</v>
      </c>
      <c r="S388" s="828">
        <v>1</v>
      </c>
      <c r="T388" s="827">
        <v>1</v>
      </c>
      <c r="U388" s="829">
        <v>1</v>
      </c>
    </row>
    <row r="389" spans="1:21" ht="14.45" customHeight="1" x14ac:dyDescent="0.2">
      <c r="A389" s="822">
        <v>50</v>
      </c>
      <c r="B389" s="823" t="s">
        <v>1887</v>
      </c>
      <c r="C389" s="823" t="s">
        <v>1893</v>
      </c>
      <c r="D389" s="824" t="s">
        <v>2977</v>
      </c>
      <c r="E389" s="825" t="s">
        <v>1907</v>
      </c>
      <c r="F389" s="823" t="s">
        <v>1888</v>
      </c>
      <c r="G389" s="823" t="s">
        <v>1933</v>
      </c>
      <c r="H389" s="823" t="s">
        <v>625</v>
      </c>
      <c r="I389" s="823" t="s">
        <v>2520</v>
      </c>
      <c r="J389" s="823" t="s">
        <v>2517</v>
      </c>
      <c r="K389" s="823" t="s">
        <v>2518</v>
      </c>
      <c r="L389" s="826">
        <v>234.07</v>
      </c>
      <c r="M389" s="826">
        <v>234.07</v>
      </c>
      <c r="N389" s="823">
        <v>1</v>
      </c>
      <c r="O389" s="827">
        <v>0.5</v>
      </c>
      <c r="P389" s="826">
        <v>234.07</v>
      </c>
      <c r="Q389" s="828">
        <v>1</v>
      </c>
      <c r="R389" s="823">
        <v>1</v>
      </c>
      <c r="S389" s="828">
        <v>1</v>
      </c>
      <c r="T389" s="827">
        <v>0.5</v>
      </c>
      <c r="U389" s="829">
        <v>1</v>
      </c>
    </row>
    <row r="390" spans="1:21" ht="14.45" customHeight="1" x14ac:dyDescent="0.2">
      <c r="A390" s="822">
        <v>50</v>
      </c>
      <c r="B390" s="823" t="s">
        <v>1887</v>
      </c>
      <c r="C390" s="823" t="s">
        <v>1893</v>
      </c>
      <c r="D390" s="824" t="s">
        <v>2977</v>
      </c>
      <c r="E390" s="825" t="s">
        <v>1907</v>
      </c>
      <c r="F390" s="823" t="s">
        <v>1888</v>
      </c>
      <c r="G390" s="823" t="s">
        <v>1933</v>
      </c>
      <c r="H390" s="823" t="s">
        <v>625</v>
      </c>
      <c r="I390" s="823" t="s">
        <v>2521</v>
      </c>
      <c r="J390" s="823" t="s">
        <v>1185</v>
      </c>
      <c r="K390" s="823" t="s">
        <v>2119</v>
      </c>
      <c r="L390" s="826">
        <v>117.03</v>
      </c>
      <c r="M390" s="826">
        <v>117.03</v>
      </c>
      <c r="N390" s="823">
        <v>1</v>
      </c>
      <c r="O390" s="827">
        <v>1</v>
      </c>
      <c r="P390" s="826"/>
      <c r="Q390" s="828">
        <v>0</v>
      </c>
      <c r="R390" s="823"/>
      <c r="S390" s="828">
        <v>0</v>
      </c>
      <c r="T390" s="827"/>
      <c r="U390" s="829">
        <v>0</v>
      </c>
    </row>
    <row r="391" spans="1:21" ht="14.45" customHeight="1" x14ac:dyDescent="0.2">
      <c r="A391" s="822">
        <v>50</v>
      </c>
      <c r="B391" s="823" t="s">
        <v>1887</v>
      </c>
      <c r="C391" s="823" t="s">
        <v>1893</v>
      </c>
      <c r="D391" s="824" t="s">
        <v>2977</v>
      </c>
      <c r="E391" s="825" t="s">
        <v>1907</v>
      </c>
      <c r="F391" s="823" t="s">
        <v>1888</v>
      </c>
      <c r="G391" s="823" t="s">
        <v>1933</v>
      </c>
      <c r="H391" s="823" t="s">
        <v>625</v>
      </c>
      <c r="I391" s="823" t="s">
        <v>1789</v>
      </c>
      <c r="J391" s="823" t="s">
        <v>1185</v>
      </c>
      <c r="K391" s="823" t="s">
        <v>1186</v>
      </c>
      <c r="L391" s="826">
        <v>58.52</v>
      </c>
      <c r="M391" s="826">
        <v>58.52</v>
      </c>
      <c r="N391" s="823">
        <v>1</v>
      </c>
      <c r="O391" s="827">
        <v>1</v>
      </c>
      <c r="P391" s="826">
        <v>58.52</v>
      </c>
      <c r="Q391" s="828">
        <v>1</v>
      </c>
      <c r="R391" s="823">
        <v>1</v>
      </c>
      <c r="S391" s="828">
        <v>1</v>
      </c>
      <c r="T391" s="827">
        <v>1</v>
      </c>
      <c r="U391" s="829">
        <v>1</v>
      </c>
    </row>
    <row r="392" spans="1:21" ht="14.45" customHeight="1" x14ac:dyDescent="0.2">
      <c r="A392" s="822">
        <v>50</v>
      </c>
      <c r="B392" s="823" t="s">
        <v>1887</v>
      </c>
      <c r="C392" s="823" t="s">
        <v>1893</v>
      </c>
      <c r="D392" s="824" t="s">
        <v>2977</v>
      </c>
      <c r="E392" s="825" t="s">
        <v>1907</v>
      </c>
      <c r="F392" s="823" t="s">
        <v>1888</v>
      </c>
      <c r="G392" s="823" t="s">
        <v>2522</v>
      </c>
      <c r="H392" s="823" t="s">
        <v>329</v>
      </c>
      <c r="I392" s="823" t="s">
        <v>2523</v>
      </c>
      <c r="J392" s="823" t="s">
        <v>774</v>
      </c>
      <c r="K392" s="823" t="s">
        <v>2524</v>
      </c>
      <c r="L392" s="826">
        <v>92.04</v>
      </c>
      <c r="M392" s="826">
        <v>92.04</v>
      </c>
      <c r="N392" s="823">
        <v>1</v>
      </c>
      <c r="O392" s="827">
        <v>1</v>
      </c>
      <c r="P392" s="826">
        <v>92.04</v>
      </c>
      <c r="Q392" s="828">
        <v>1</v>
      </c>
      <c r="R392" s="823">
        <v>1</v>
      </c>
      <c r="S392" s="828">
        <v>1</v>
      </c>
      <c r="T392" s="827">
        <v>1</v>
      </c>
      <c r="U392" s="829">
        <v>1</v>
      </c>
    </row>
    <row r="393" spans="1:21" ht="14.45" customHeight="1" x14ac:dyDescent="0.2">
      <c r="A393" s="822">
        <v>50</v>
      </c>
      <c r="B393" s="823" t="s">
        <v>1887</v>
      </c>
      <c r="C393" s="823" t="s">
        <v>1893</v>
      </c>
      <c r="D393" s="824" t="s">
        <v>2977</v>
      </c>
      <c r="E393" s="825" t="s">
        <v>1907</v>
      </c>
      <c r="F393" s="823" t="s">
        <v>1888</v>
      </c>
      <c r="G393" s="823" t="s">
        <v>2522</v>
      </c>
      <c r="H393" s="823" t="s">
        <v>625</v>
      </c>
      <c r="I393" s="823" t="s">
        <v>2525</v>
      </c>
      <c r="J393" s="823" t="s">
        <v>2526</v>
      </c>
      <c r="K393" s="823" t="s">
        <v>2527</v>
      </c>
      <c r="L393" s="826">
        <v>141.25</v>
      </c>
      <c r="M393" s="826">
        <v>141.25</v>
      </c>
      <c r="N393" s="823">
        <v>1</v>
      </c>
      <c r="O393" s="827">
        <v>0.5</v>
      </c>
      <c r="P393" s="826"/>
      <c r="Q393" s="828">
        <v>0</v>
      </c>
      <c r="R393" s="823"/>
      <c r="S393" s="828">
        <v>0</v>
      </c>
      <c r="T393" s="827"/>
      <c r="U393" s="829">
        <v>0</v>
      </c>
    </row>
    <row r="394" spans="1:21" ht="14.45" customHeight="1" x14ac:dyDescent="0.2">
      <c r="A394" s="822">
        <v>50</v>
      </c>
      <c r="B394" s="823" t="s">
        <v>1887</v>
      </c>
      <c r="C394" s="823" t="s">
        <v>1893</v>
      </c>
      <c r="D394" s="824" t="s">
        <v>2977</v>
      </c>
      <c r="E394" s="825" t="s">
        <v>1907</v>
      </c>
      <c r="F394" s="823" t="s">
        <v>1888</v>
      </c>
      <c r="G394" s="823" t="s">
        <v>2528</v>
      </c>
      <c r="H394" s="823" t="s">
        <v>625</v>
      </c>
      <c r="I394" s="823" t="s">
        <v>2529</v>
      </c>
      <c r="J394" s="823" t="s">
        <v>2530</v>
      </c>
      <c r="K394" s="823" t="s">
        <v>2531</v>
      </c>
      <c r="L394" s="826">
        <v>234.32</v>
      </c>
      <c r="M394" s="826">
        <v>234.32</v>
      </c>
      <c r="N394" s="823">
        <v>1</v>
      </c>
      <c r="O394" s="827">
        <v>1</v>
      </c>
      <c r="P394" s="826">
        <v>234.32</v>
      </c>
      <c r="Q394" s="828">
        <v>1</v>
      </c>
      <c r="R394" s="823">
        <v>1</v>
      </c>
      <c r="S394" s="828">
        <v>1</v>
      </c>
      <c r="T394" s="827">
        <v>1</v>
      </c>
      <c r="U394" s="829">
        <v>1</v>
      </c>
    </row>
    <row r="395" spans="1:21" ht="14.45" customHeight="1" x14ac:dyDescent="0.2">
      <c r="A395" s="822">
        <v>50</v>
      </c>
      <c r="B395" s="823" t="s">
        <v>1887</v>
      </c>
      <c r="C395" s="823" t="s">
        <v>1893</v>
      </c>
      <c r="D395" s="824" t="s">
        <v>2977</v>
      </c>
      <c r="E395" s="825" t="s">
        <v>1907</v>
      </c>
      <c r="F395" s="823" t="s">
        <v>1888</v>
      </c>
      <c r="G395" s="823" t="s">
        <v>2528</v>
      </c>
      <c r="H395" s="823" t="s">
        <v>329</v>
      </c>
      <c r="I395" s="823" t="s">
        <v>2532</v>
      </c>
      <c r="J395" s="823" t="s">
        <v>2533</v>
      </c>
      <c r="K395" s="823" t="s">
        <v>2534</v>
      </c>
      <c r="L395" s="826">
        <v>459.26</v>
      </c>
      <c r="M395" s="826">
        <v>918.52</v>
      </c>
      <c r="N395" s="823">
        <v>2</v>
      </c>
      <c r="O395" s="827">
        <v>1.5</v>
      </c>
      <c r="P395" s="826">
        <v>459.26</v>
      </c>
      <c r="Q395" s="828">
        <v>0.5</v>
      </c>
      <c r="R395" s="823">
        <v>1</v>
      </c>
      <c r="S395" s="828">
        <v>0.5</v>
      </c>
      <c r="T395" s="827">
        <v>1</v>
      </c>
      <c r="U395" s="829">
        <v>0.66666666666666663</v>
      </c>
    </row>
    <row r="396" spans="1:21" ht="14.45" customHeight="1" x14ac:dyDescent="0.2">
      <c r="A396" s="822">
        <v>50</v>
      </c>
      <c r="B396" s="823" t="s">
        <v>1887</v>
      </c>
      <c r="C396" s="823" t="s">
        <v>1893</v>
      </c>
      <c r="D396" s="824" t="s">
        <v>2977</v>
      </c>
      <c r="E396" s="825" t="s">
        <v>1907</v>
      </c>
      <c r="F396" s="823" t="s">
        <v>1888</v>
      </c>
      <c r="G396" s="823" t="s">
        <v>1966</v>
      </c>
      <c r="H396" s="823" t="s">
        <v>625</v>
      </c>
      <c r="I396" s="823" t="s">
        <v>1554</v>
      </c>
      <c r="J396" s="823" t="s">
        <v>809</v>
      </c>
      <c r="K396" s="823" t="s">
        <v>1555</v>
      </c>
      <c r="L396" s="826">
        <v>1847.49</v>
      </c>
      <c r="M396" s="826">
        <v>1847.49</v>
      </c>
      <c r="N396" s="823">
        <v>1</v>
      </c>
      <c r="O396" s="827">
        <v>1</v>
      </c>
      <c r="P396" s="826">
        <v>1847.49</v>
      </c>
      <c r="Q396" s="828">
        <v>1</v>
      </c>
      <c r="R396" s="823">
        <v>1</v>
      </c>
      <c r="S396" s="828">
        <v>1</v>
      </c>
      <c r="T396" s="827">
        <v>1</v>
      </c>
      <c r="U396" s="829">
        <v>1</v>
      </c>
    </row>
    <row r="397" spans="1:21" ht="14.45" customHeight="1" x14ac:dyDescent="0.2">
      <c r="A397" s="822">
        <v>50</v>
      </c>
      <c r="B397" s="823" t="s">
        <v>1887</v>
      </c>
      <c r="C397" s="823" t="s">
        <v>1893</v>
      </c>
      <c r="D397" s="824" t="s">
        <v>2977</v>
      </c>
      <c r="E397" s="825" t="s">
        <v>1907</v>
      </c>
      <c r="F397" s="823" t="s">
        <v>1888</v>
      </c>
      <c r="G397" s="823" t="s">
        <v>2339</v>
      </c>
      <c r="H397" s="823" t="s">
        <v>625</v>
      </c>
      <c r="I397" s="823" t="s">
        <v>2535</v>
      </c>
      <c r="J397" s="823" t="s">
        <v>2341</v>
      </c>
      <c r="K397" s="823" t="s">
        <v>2536</v>
      </c>
      <c r="L397" s="826">
        <v>114.65</v>
      </c>
      <c r="M397" s="826">
        <v>114.65</v>
      </c>
      <c r="N397" s="823">
        <v>1</v>
      </c>
      <c r="O397" s="827">
        <v>1</v>
      </c>
      <c r="P397" s="826">
        <v>114.65</v>
      </c>
      <c r="Q397" s="828">
        <v>1</v>
      </c>
      <c r="R397" s="823">
        <v>1</v>
      </c>
      <c r="S397" s="828">
        <v>1</v>
      </c>
      <c r="T397" s="827">
        <v>1</v>
      </c>
      <c r="U397" s="829">
        <v>1</v>
      </c>
    </row>
    <row r="398" spans="1:21" ht="14.45" customHeight="1" x14ac:dyDescent="0.2">
      <c r="A398" s="822">
        <v>50</v>
      </c>
      <c r="B398" s="823" t="s">
        <v>1887</v>
      </c>
      <c r="C398" s="823" t="s">
        <v>1893</v>
      </c>
      <c r="D398" s="824" t="s">
        <v>2977</v>
      </c>
      <c r="E398" s="825" t="s">
        <v>1907</v>
      </c>
      <c r="F398" s="823" t="s">
        <v>1888</v>
      </c>
      <c r="G398" s="823" t="s">
        <v>2120</v>
      </c>
      <c r="H398" s="823" t="s">
        <v>329</v>
      </c>
      <c r="I398" s="823" t="s">
        <v>2121</v>
      </c>
      <c r="J398" s="823" t="s">
        <v>2122</v>
      </c>
      <c r="K398" s="823" t="s">
        <v>2123</v>
      </c>
      <c r="L398" s="826">
        <v>35.25</v>
      </c>
      <c r="M398" s="826">
        <v>70.5</v>
      </c>
      <c r="N398" s="823">
        <v>2</v>
      </c>
      <c r="O398" s="827">
        <v>1</v>
      </c>
      <c r="P398" s="826"/>
      <c r="Q398" s="828">
        <v>0</v>
      </c>
      <c r="R398" s="823"/>
      <c r="S398" s="828">
        <v>0</v>
      </c>
      <c r="T398" s="827"/>
      <c r="U398" s="829">
        <v>0</v>
      </c>
    </row>
    <row r="399" spans="1:21" ht="14.45" customHeight="1" x14ac:dyDescent="0.2">
      <c r="A399" s="822">
        <v>50</v>
      </c>
      <c r="B399" s="823" t="s">
        <v>1887</v>
      </c>
      <c r="C399" s="823" t="s">
        <v>1893</v>
      </c>
      <c r="D399" s="824" t="s">
        <v>2977</v>
      </c>
      <c r="E399" s="825" t="s">
        <v>1907</v>
      </c>
      <c r="F399" s="823" t="s">
        <v>1888</v>
      </c>
      <c r="G399" s="823" t="s">
        <v>2120</v>
      </c>
      <c r="H399" s="823" t="s">
        <v>329</v>
      </c>
      <c r="I399" s="823" t="s">
        <v>2259</v>
      </c>
      <c r="J399" s="823" t="s">
        <v>939</v>
      </c>
      <c r="K399" s="823" t="s">
        <v>2260</v>
      </c>
      <c r="L399" s="826">
        <v>35.25</v>
      </c>
      <c r="M399" s="826">
        <v>141</v>
      </c>
      <c r="N399" s="823">
        <v>4</v>
      </c>
      <c r="O399" s="827">
        <v>1.5</v>
      </c>
      <c r="P399" s="826">
        <v>70.5</v>
      </c>
      <c r="Q399" s="828">
        <v>0.5</v>
      </c>
      <c r="R399" s="823">
        <v>2</v>
      </c>
      <c r="S399" s="828">
        <v>0.5</v>
      </c>
      <c r="T399" s="827">
        <v>1</v>
      </c>
      <c r="U399" s="829">
        <v>0.66666666666666663</v>
      </c>
    </row>
    <row r="400" spans="1:21" ht="14.45" customHeight="1" x14ac:dyDescent="0.2">
      <c r="A400" s="822">
        <v>50</v>
      </c>
      <c r="B400" s="823" t="s">
        <v>1887</v>
      </c>
      <c r="C400" s="823" t="s">
        <v>1893</v>
      </c>
      <c r="D400" s="824" t="s">
        <v>2977</v>
      </c>
      <c r="E400" s="825" t="s">
        <v>1907</v>
      </c>
      <c r="F400" s="823" t="s">
        <v>1888</v>
      </c>
      <c r="G400" s="823" t="s">
        <v>2124</v>
      </c>
      <c r="H400" s="823" t="s">
        <v>625</v>
      </c>
      <c r="I400" s="823" t="s">
        <v>2125</v>
      </c>
      <c r="J400" s="823" t="s">
        <v>1621</v>
      </c>
      <c r="K400" s="823" t="s">
        <v>2126</v>
      </c>
      <c r="L400" s="826">
        <v>103.64</v>
      </c>
      <c r="M400" s="826">
        <v>414.56</v>
      </c>
      <c r="N400" s="823">
        <v>4</v>
      </c>
      <c r="O400" s="827">
        <v>1.5</v>
      </c>
      <c r="P400" s="826">
        <v>207.28</v>
      </c>
      <c r="Q400" s="828">
        <v>0.5</v>
      </c>
      <c r="R400" s="823">
        <v>2</v>
      </c>
      <c r="S400" s="828">
        <v>0.5</v>
      </c>
      <c r="T400" s="827">
        <v>0.5</v>
      </c>
      <c r="U400" s="829">
        <v>0.33333333333333331</v>
      </c>
    </row>
    <row r="401" spans="1:21" ht="14.45" customHeight="1" x14ac:dyDescent="0.2">
      <c r="A401" s="822">
        <v>50</v>
      </c>
      <c r="B401" s="823" t="s">
        <v>1887</v>
      </c>
      <c r="C401" s="823" t="s">
        <v>1893</v>
      </c>
      <c r="D401" s="824" t="s">
        <v>2977</v>
      </c>
      <c r="E401" s="825" t="s">
        <v>1907</v>
      </c>
      <c r="F401" s="823" t="s">
        <v>1888</v>
      </c>
      <c r="G401" s="823" t="s">
        <v>1967</v>
      </c>
      <c r="H401" s="823" t="s">
        <v>329</v>
      </c>
      <c r="I401" s="823" t="s">
        <v>2347</v>
      </c>
      <c r="J401" s="823" t="s">
        <v>832</v>
      </c>
      <c r="K401" s="823" t="s">
        <v>2348</v>
      </c>
      <c r="L401" s="826">
        <v>185.26</v>
      </c>
      <c r="M401" s="826">
        <v>185.26</v>
      </c>
      <c r="N401" s="823">
        <v>1</v>
      </c>
      <c r="O401" s="827">
        <v>0.5</v>
      </c>
      <c r="P401" s="826"/>
      <c r="Q401" s="828">
        <v>0</v>
      </c>
      <c r="R401" s="823"/>
      <c r="S401" s="828">
        <v>0</v>
      </c>
      <c r="T401" s="827"/>
      <c r="U401" s="829">
        <v>0</v>
      </c>
    </row>
    <row r="402" spans="1:21" ht="14.45" customHeight="1" x14ac:dyDescent="0.2">
      <c r="A402" s="822">
        <v>50</v>
      </c>
      <c r="B402" s="823" t="s">
        <v>1887</v>
      </c>
      <c r="C402" s="823" t="s">
        <v>1893</v>
      </c>
      <c r="D402" s="824" t="s">
        <v>2977</v>
      </c>
      <c r="E402" s="825" t="s">
        <v>1907</v>
      </c>
      <c r="F402" s="823" t="s">
        <v>1888</v>
      </c>
      <c r="G402" s="823" t="s">
        <v>1967</v>
      </c>
      <c r="H402" s="823" t="s">
        <v>329</v>
      </c>
      <c r="I402" s="823" t="s">
        <v>2347</v>
      </c>
      <c r="J402" s="823" t="s">
        <v>832</v>
      </c>
      <c r="K402" s="823" t="s">
        <v>2348</v>
      </c>
      <c r="L402" s="826">
        <v>87.98</v>
      </c>
      <c r="M402" s="826">
        <v>87.98</v>
      </c>
      <c r="N402" s="823">
        <v>1</v>
      </c>
      <c r="O402" s="827">
        <v>0.5</v>
      </c>
      <c r="P402" s="826"/>
      <c r="Q402" s="828">
        <v>0</v>
      </c>
      <c r="R402" s="823"/>
      <c r="S402" s="828">
        <v>0</v>
      </c>
      <c r="T402" s="827"/>
      <c r="U402" s="829">
        <v>0</v>
      </c>
    </row>
    <row r="403" spans="1:21" ht="14.45" customHeight="1" x14ac:dyDescent="0.2">
      <c r="A403" s="822">
        <v>50</v>
      </c>
      <c r="B403" s="823" t="s">
        <v>1887</v>
      </c>
      <c r="C403" s="823" t="s">
        <v>1893</v>
      </c>
      <c r="D403" s="824" t="s">
        <v>2977</v>
      </c>
      <c r="E403" s="825" t="s">
        <v>1907</v>
      </c>
      <c r="F403" s="823" t="s">
        <v>1888</v>
      </c>
      <c r="G403" s="823" t="s">
        <v>1967</v>
      </c>
      <c r="H403" s="823" t="s">
        <v>329</v>
      </c>
      <c r="I403" s="823" t="s">
        <v>2537</v>
      </c>
      <c r="J403" s="823" t="s">
        <v>832</v>
      </c>
      <c r="K403" s="823" t="s">
        <v>2348</v>
      </c>
      <c r="L403" s="826">
        <v>301.2</v>
      </c>
      <c r="M403" s="826">
        <v>301.2</v>
      </c>
      <c r="N403" s="823">
        <v>1</v>
      </c>
      <c r="O403" s="827">
        <v>1</v>
      </c>
      <c r="P403" s="826"/>
      <c r="Q403" s="828">
        <v>0</v>
      </c>
      <c r="R403" s="823"/>
      <c r="S403" s="828">
        <v>0</v>
      </c>
      <c r="T403" s="827"/>
      <c r="U403" s="829">
        <v>0</v>
      </c>
    </row>
    <row r="404" spans="1:21" ht="14.45" customHeight="1" x14ac:dyDescent="0.2">
      <c r="A404" s="822">
        <v>50</v>
      </c>
      <c r="B404" s="823" t="s">
        <v>1887</v>
      </c>
      <c r="C404" s="823" t="s">
        <v>1893</v>
      </c>
      <c r="D404" s="824" t="s">
        <v>2977</v>
      </c>
      <c r="E404" s="825" t="s">
        <v>1907</v>
      </c>
      <c r="F404" s="823" t="s">
        <v>1888</v>
      </c>
      <c r="G404" s="823" t="s">
        <v>2538</v>
      </c>
      <c r="H404" s="823" t="s">
        <v>329</v>
      </c>
      <c r="I404" s="823" t="s">
        <v>2539</v>
      </c>
      <c r="J404" s="823" t="s">
        <v>2540</v>
      </c>
      <c r="K404" s="823" t="s">
        <v>2541</v>
      </c>
      <c r="L404" s="826">
        <v>119.84</v>
      </c>
      <c r="M404" s="826">
        <v>119.84</v>
      </c>
      <c r="N404" s="823">
        <v>1</v>
      </c>
      <c r="O404" s="827">
        <v>0.5</v>
      </c>
      <c r="P404" s="826">
        <v>119.84</v>
      </c>
      <c r="Q404" s="828">
        <v>1</v>
      </c>
      <c r="R404" s="823">
        <v>1</v>
      </c>
      <c r="S404" s="828">
        <v>1</v>
      </c>
      <c r="T404" s="827">
        <v>0.5</v>
      </c>
      <c r="U404" s="829">
        <v>1</v>
      </c>
    </row>
    <row r="405" spans="1:21" ht="14.45" customHeight="1" x14ac:dyDescent="0.2">
      <c r="A405" s="822">
        <v>50</v>
      </c>
      <c r="B405" s="823" t="s">
        <v>1887</v>
      </c>
      <c r="C405" s="823" t="s">
        <v>1893</v>
      </c>
      <c r="D405" s="824" t="s">
        <v>2977</v>
      </c>
      <c r="E405" s="825" t="s">
        <v>1907</v>
      </c>
      <c r="F405" s="823" t="s">
        <v>1888</v>
      </c>
      <c r="G405" s="823" t="s">
        <v>1973</v>
      </c>
      <c r="H405" s="823" t="s">
        <v>329</v>
      </c>
      <c r="I405" s="823" t="s">
        <v>1974</v>
      </c>
      <c r="J405" s="823" t="s">
        <v>706</v>
      </c>
      <c r="K405" s="823" t="s">
        <v>1975</v>
      </c>
      <c r="L405" s="826">
        <v>27.37</v>
      </c>
      <c r="M405" s="826">
        <v>82.11</v>
      </c>
      <c r="N405" s="823">
        <v>3</v>
      </c>
      <c r="O405" s="827">
        <v>1.5</v>
      </c>
      <c r="P405" s="826">
        <v>54.74</v>
      </c>
      <c r="Q405" s="828">
        <v>0.66666666666666674</v>
      </c>
      <c r="R405" s="823">
        <v>2</v>
      </c>
      <c r="S405" s="828">
        <v>0.66666666666666663</v>
      </c>
      <c r="T405" s="827">
        <v>1</v>
      </c>
      <c r="U405" s="829">
        <v>0.66666666666666663</v>
      </c>
    </row>
    <row r="406" spans="1:21" ht="14.45" customHeight="1" x14ac:dyDescent="0.2">
      <c r="A406" s="822">
        <v>50</v>
      </c>
      <c r="B406" s="823" t="s">
        <v>1887</v>
      </c>
      <c r="C406" s="823" t="s">
        <v>1893</v>
      </c>
      <c r="D406" s="824" t="s">
        <v>2977</v>
      </c>
      <c r="E406" s="825" t="s">
        <v>1907</v>
      </c>
      <c r="F406" s="823" t="s">
        <v>1888</v>
      </c>
      <c r="G406" s="823" t="s">
        <v>1973</v>
      </c>
      <c r="H406" s="823" t="s">
        <v>625</v>
      </c>
      <c r="I406" s="823" t="s">
        <v>1522</v>
      </c>
      <c r="J406" s="823" t="s">
        <v>706</v>
      </c>
      <c r="K406" s="823" t="s">
        <v>1523</v>
      </c>
      <c r="L406" s="826">
        <v>48.89</v>
      </c>
      <c r="M406" s="826">
        <v>48.89</v>
      </c>
      <c r="N406" s="823">
        <v>1</v>
      </c>
      <c r="O406" s="827">
        <v>0.5</v>
      </c>
      <c r="P406" s="826">
        <v>48.89</v>
      </c>
      <c r="Q406" s="828">
        <v>1</v>
      </c>
      <c r="R406" s="823">
        <v>1</v>
      </c>
      <c r="S406" s="828">
        <v>1</v>
      </c>
      <c r="T406" s="827">
        <v>0.5</v>
      </c>
      <c r="U406" s="829">
        <v>1</v>
      </c>
    </row>
    <row r="407" spans="1:21" ht="14.45" customHeight="1" x14ac:dyDescent="0.2">
      <c r="A407" s="822">
        <v>50</v>
      </c>
      <c r="B407" s="823" t="s">
        <v>1887</v>
      </c>
      <c r="C407" s="823" t="s">
        <v>1893</v>
      </c>
      <c r="D407" s="824" t="s">
        <v>2977</v>
      </c>
      <c r="E407" s="825" t="s">
        <v>1907</v>
      </c>
      <c r="F407" s="823" t="s">
        <v>1888</v>
      </c>
      <c r="G407" s="823" t="s">
        <v>1973</v>
      </c>
      <c r="H407" s="823" t="s">
        <v>329</v>
      </c>
      <c r="I407" s="823" t="s">
        <v>2127</v>
      </c>
      <c r="J407" s="823" t="s">
        <v>706</v>
      </c>
      <c r="K407" s="823" t="s">
        <v>707</v>
      </c>
      <c r="L407" s="826">
        <v>205.84</v>
      </c>
      <c r="M407" s="826">
        <v>1852.56</v>
      </c>
      <c r="N407" s="823">
        <v>9</v>
      </c>
      <c r="O407" s="827">
        <v>5.5</v>
      </c>
      <c r="P407" s="826">
        <v>823.36</v>
      </c>
      <c r="Q407" s="828">
        <v>0.44444444444444448</v>
      </c>
      <c r="R407" s="823">
        <v>4</v>
      </c>
      <c r="S407" s="828">
        <v>0.44444444444444442</v>
      </c>
      <c r="T407" s="827">
        <v>2</v>
      </c>
      <c r="U407" s="829">
        <v>0.36363636363636365</v>
      </c>
    </row>
    <row r="408" spans="1:21" ht="14.45" customHeight="1" x14ac:dyDescent="0.2">
      <c r="A408" s="822">
        <v>50</v>
      </c>
      <c r="B408" s="823" t="s">
        <v>1887</v>
      </c>
      <c r="C408" s="823" t="s">
        <v>1893</v>
      </c>
      <c r="D408" s="824" t="s">
        <v>2977</v>
      </c>
      <c r="E408" s="825" t="s">
        <v>1907</v>
      </c>
      <c r="F408" s="823" t="s">
        <v>1888</v>
      </c>
      <c r="G408" s="823" t="s">
        <v>1973</v>
      </c>
      <c r="H408" s="823" t="s">
        <v>329</v>
      </c>
      <c r="I408" s="823" t="s">
        <v>2127</v>
      </c>
      <c r="J408" s="823" t="s">
        <v>706</v>
      </c>
      <c r="K408" s="823" t="s">
        <v>707</v>
      </c>
      <c r="L408" s="826">
        <v>97.76</v>
      </c>
      <c r="M408" s="826">
        <v>586.56000000000006</v>
      </c>
      <c r="N408" s="823">
        <v>6</v>
      </c>
      <c r="O408" s="827">
        <v>3</v>
      </c>
      <c r="P408" s="826">
        <v>391.04</v>
      </c>
      <c r="Q408" s="828">
        <v>0.66666666666666663</v>
      </c>
      <c r="R408" s="823">
        <v>4</v>
      </c>
      <c r="S408" s="828">
        <v>0.66666666666666663</v>
      </c>
      <c r="T408" s="827">
        <v>2</v>
      </c>
      <c r="U408" s="829">
        <v>0.66666666666666663</v>
      </c>
    </row>
    <row r="409" spans="1:21" ht="14.45" customHeight="1" x14ac:dyDescent="0.2">
      <c r="A409" s="822">
        <v>50</v>
      </c>
      <c r="B409" s="823" t="s">
        <v>1887</v>
      </c>
      <c r="C409" s="823" t="s">
        <v>1893</v>
      </c>
      <c r="D409" s="824" t="s">
        <v>2977</v>
      </c>
      <c r="E409" s="825" t="s">
        <v>1907</v>
      </c>
      <c r="F409" s="823" t="s">
        <v>1888</v>
      </c>
      <c r="G409" s="823" t="s">
        <v>1973</v>
      </c>
      <c r="H409" s="823" t="s">
        <v>625</v>
      </c>
      <c r="I409" s="823" t="s">
        <v>1976</v>
      </c>
      <c r="J409" s="823" t="s">
        <v>706</v>
      </c>
      <c r="K409" s="823" t="s">
        <v>1977</v>
      </c>
      <c r="L409" s="826">
        <v>13.68</v>
      </c>
      <c r="M409" s="826">
        <v>13.68</v>
      </c>
      <c r="N409" s="823">
        <v>1</v>
      </c>
      <c r="O409" s="827">
        <v>0.5</v>
      </c>
      <c r="P409" s="826"/>
      <c r="Q409" s="828">
        <v>0</v>
      </c>
      <c r="R409" s="823"/>
      <c r="S409" s="828">
        <v>0</v>
      </c>
      <c r="T409" s="827"/>
      <c r="U409" s="829">
        <v>0</v>
      </c>
    </row>
    <row r="410" spans="1:21" ht="14.45" customHeight="1" x14ac:dyDescent="0.2">
      <c r="A410" s="822">
        <v>50</v>
      </c>
      <c r="B410" s="823" t="s">
        <v>1887</v>
      </c>
      <c r="C410" s="823" t="s">
        <v>1893</v>
      </c>
      <c r="D410" s="824" t="s">
        <v>2977</v>
      </c>
      <c r="E410" s="825" t="s">
        <v>1907</v>
      </c>
      <c r="F410" s="823" t="s">
        <v>1888</v>
      </c>
      <c r="G410" s="823" t="s">
        <v>2128</v>
      </c>
      <c r="H410" s="823" t="s">
        <v>329</v>
      </c>
      <c r="I410" s="823" t="s">
        <v>2542</v>
      </c>
      <c r="J410" s="823" t="s">
        <v>2543</v>
      </c>
      <c r="K410" s="823" t="s">
        <v>620</v>
      </c>
      <c r="L410" s="826">
        <v>173.31</v>
      </c>
      <c r="M410" s="826">
        <v>346.62</v>
      </c>
      <c r="N410" s="823">
        <v>2</v>
      </c>
      <c r="O410" s="827">
        <v>1</v>
      </c>
      <c r="P410" s="826">
        <v>346.62</v>
      </c>
      <c r="Q410" s="828">
        <v>1</v>
      </c>
      <c r="R410" s="823">
        <v>2</v>
      </c>
      <c r="S410" s="828">
        <v>1</v>
      </c>
      <c r="T410" s="827">
        <v>1</v>
      </c>
      <c r="U410" s="829">
        <v>1</v>
      </c>
    </row>
    <row r="411" spans="1:21" ht="14.45" customHeight="1" x14ac:dyDescent="0.2">
      <c r="A411" s="822">
        <v>50</v>
      </c>
      <c r="B411" s="823" t="s">
        <v>1887</v>
      </c>
      <c r="C411" s="823" t="s">
        <v>1893</v>
      </c>
      <c r="D411" s="824" t="s">
        <v>2977</v>
      </c>
      <c r="E411" s="825" t="s">
        <v>1907</v>
      </c>
      <c r="F411" s="823" t="s">
        <v>1888</v>
      </c>
      <c r="G411" s="823" t="s">
        <v>1921</v>
      </c>
      <c r="H411" s="823" t="s">
        <v>625</v>
      </c>
      <c r="I411" s="823" t="s">
        <v>1624</v>
      </c>
      <c r="J411" s="823" t="s">
        <v>967</v>
      </c>
      <c r="K411" s="823" t="s">
        <v>1625</v>
      </c>
      <c r="L411" s="826">
        <v>103.4</v>
      </c>
      <c r="M411" s="826">
        <v>310.20000000000005</v>
      </c>
      <c r="N411" s="823">
        <v>3</v>
      </c>
      <c r="O411" s="827">
        <v>2</v>
      </c>
      <c r="P411" s="826">
        <v>103.4</v>
      </c>
      <c r="Q411" s="828">
        <v>0.33333333333333331</v>
      </c>
      <c r="R411" s="823">
        <v>1</v>
      </c>
      <c r="S411" s="828">
        <v>0.33333333333333331</v>
      </c>
      <c r="T411" s="827">
        <v>0.5</v>
      </c>
      <c r="U411" s="829">
        <v>0.25</v>
      </c>
    </row>
    <row r="412" spans="1:21" ht="14.45" customHeight="1" x14ac:dyDescent="0.2">
      <c r="A412" s="822">
        <v>50</v>
      </c>
      <c r="B412" s="823" t="s">
        <v>1887</v>
      </c>
      <c r="C412" s="823" t="s">
        <v>1893</v>
      </c>
      <c r="D412" s="824" t="s">
        <v>2977</v>
      </c>
      <c r="E412" s="825" t="s">
        <v>1907</v>
      </c>
      <c r="F412" s="823" t="s">
        <v>1888</v>
      </c>
      <c r="G412" s="823" t="s">
        <v>1921</v>
      </c>
      <c r="H412" s="823" t="s">
        <v>329</v>
      </c>
      <c r="I412" s="823" t="s">
        <v>2544</v>
      </c>
      <c r="J412" s="823" t="s">
        <v>2545</v>
      </c>
      <c r="K412" s="823" t="s">
        <v>2546</v>
      </c>
      <c r="L412" s="826">
        <v>68.930000000000007</v>
      </c>
      <c r="M412" s="826">
        <v>137.86000000000001</v>
      </c>
      <c r="N412" s="823">
        <v>2</v>
      </c>
      <c r="O412" s="827">
        <v>0.5</v>
      </c>
      <c r="P412" s="826"/>
      <c r="Q412" s="828">
        <v>0</v>
      </c>
      <c r="R412" s="823"/>
      <c r="S412" s="828">
        <v>0</v>
      </c>
      <c r="T412" s="827"/>
      <c r="U412" s="829">
        <v>0</v>
      </c>
    </row>
    <row r="413" spans="1:21" ht="14.45" customHeight="1" x14ac:dyDescent="0.2">
      <c r="A413" s="822">
        <v>50</v>
      </c>
      <c r="B413" s="823" t="s">
        <v>1887</v>
      </c>
      <c r="C413" s="823" t="s">
        <v>1893</v>
      </c>
      <c r="D413" s="824" t="s">
        <v>2977</v>
      </c>
      <c r="E413" s="825" t="s">
        <v>1907</v>
      </c>
      <c r="F413" s="823" t="s">
        <v>1888</v>
      </c>
      <c r="G413" s="823" t="s">
        <v>1921</v>
      </c>
      <c r="H413" s="823" t="s">
        <v>329</v>
      </c>
      <c r="I413" s="823" t="s">
        <v>2547</v>
      </c>
      <c r="J413" s="823" t="s">
        <v>2136</v>
      </c>
      <c r="K413" s="823" t="s">
        <v>2548</v>
      </c>
      <c r="L413" s="826">
        <v>103.4</v>
      </c>
      <c r="M413" s="826">
        <v>103.4</v>
      </c>
      <c r="N413" s="823">
        <v>1</v>
      </c>
      <c r="O413" s="827">
        <v>1</v>
      </c>
      <c r="P413" s="826">
        <v>103.4</v>
      </c>
      <c r="Q413" s="828">
        <v>1</v>
      </c>
      <c r="R413" s="823">
        <v>1</v>
      </c>
      <c r="S413" s="828">
        <v>1</v>
      </c>
      <c r="T413" s="827">
        <v>1</v>
      </c>
      <c r="U413" s="829">
        <v>1</v>
      </c>
    </row>
    <row r="414" spans="1:21" ht="14.45" customHeight="1" x14ac:dyDescent="0.2">
      <c r="A414" s="822">
        <v>50</v>
      </c>
      <c r="B414" s="823" t="s">
        <v>1887</v>
      </c>
      <c r="C414" s="823" t="s">
        <v>1893</v>
      </c>
      <c r="D414" s="824" t="s">
        <v>2977</v>
      </c>
      <c r="E414" s="825" t="s">
        <v>1907</v>
      </c>
      <c r="F414" s="823" t="s">
        <v>1888</v>
      </c>
      <c r="G414" s="823" t="s">
        <v>2268</v>
      </c>
      <c r="H414" s="823" t="s">
        <v>625</v>
      </c>
      <c r="I414" s="823" t="s">
        <v>2549</v>
      </c>
      <c r="J414" s="823" t="s">
        <v>2270</v>
      </c>
      <c r="K414" s="823" t="s">
        <v>2550</v>
      </c>
      <c r="L414" s="826">
        <v>819.07</v>
      </c>
      <c r="M414" s="826">
        <v>2457.21</v>
      </c>
      <c r="N414" s="823">
        <v>3</v>
      </c>
      <c r="O414" s="827">
        <v>1.5</v>
      </c>
      <c r="P414" s="826">
        <v>819.07</v>
      </c>
      <c r="Q414" s="828">
        <v>0.33333333333333337</v>
      </c>
      <c r="R414" s="823">
        <v>1</v>
      </c>
      <c r="S414" s="828">
        <v>0.33333333333333331</v>
      </c>
      <c r="T414" s="827">
        <v>0.5</v>
      </c>
      <c r="U414" s="829">
        <v>0.33333333333333331</v>
      </c>
    </row>
    <row r="415" spans="1:21" ht="14.45" customHeight="1" x14ac:dyDescent="0.2">
      <c r="A415" s="822">
        <v>50</v>
      </c>
      <c r="B415" s="823" t="s">
        <v>1887</v>
      </c>
      <c r="C415" s="823" t="s">
        <v>1893</v>
      </c>
      <c r="D415" s="824" t="s">
        <v>2977</v>
      </c>
      <c r="E415" s="825" t="s">
        <v>1907</v>
      </c>
      <c r="F415" s="823" t="s">
        <v>1888</v>
      </c>
      <c r="G415" s="823" t="s">
        <v>2138</v>
      </c>
      <c r="H415" s="823" t="s">
        <v>329</v>
      </c>
      <c r="I415" s="823" t="s">
        <v>2139</v>
      </c>
      <c r="J415" s="823" t="s">
        <v>2140</v>
      </c>
      <c r="K415" s="823" t="s">
        <v>2141</v>
      </c>
      <c r="L415" s="826">
        <v>218.62</v>
      </c>
      <c r="M415" s="826">
        <v>437.24</v>
      </c>
      <c r="N415" s="823">
        <v>2</v>
      </c>
      <c r="O415" s="827">
        <v>2</v>
      </c>
      <c r="P415" s="826">
        <v>218.62</v>
      </c>
      <c r="Q415" s="828">
        <v>0.5</v>
      </c>
      <c r="R415" s="823">
        <v>1</v>
      </c>
      <c r="S415" s="828">
        <v>0.5</v>
      </c>
      <c r="T415" s="827">
        <v>1</v>
      </c>
      <c r="U415" s="829">
        <v>0.5</v>
      </c>
    </row>
    <row r="416" spans="1:21" ht="14.45" customHeight="1" x14ac:dyDescent="0.2">
      <c r="A416" s="822">
        <v>50</v>
      </c>
      <c r="B416" s="823" t="s">
        <v>1887</v>
      </c>
      <c r="C416" s="823" t="s">
        <v>1893</v>
      </c>
      <c r="D416" s="824" t="s">
        <v>2977</v>
      </c>
      <c r="E416" s="825" t="s">
        <v>1907</v>
      </c>
      <c r="F416" s="823" t="s">
        <v>1888</v>
      </c>
      <c r="G416" s="823" t="s">
        <v>2138</v>
      </c>
      <c r="H416" s="823" t="s">
        <v>329</v>
      </c>
      <c r="I416" s="823" t="s">
        <v>2551</v>
      </c>
      <c r="J416" s="823" t="s">
        <v>2140</v>
      </c>
      <c r="K416" s="823" t="s">
        <v>2552</v>
      </c>
      <c r="L416" s="826">
        <v>437.23</v>
      </c>
      <c r="M416" s="826">
        <v>874.46</v>
      </c>
      <c r="N416" s="823">
        <v>2</v>
      </c>
      <c r="O416" s="827">
        <v>1</v>
      </c>
      <c r="P416" s="826">
        <v>874.46</v>
      </c>
      <c r="Q416" s="828">
        <v>1</v>
      </c>
      <c r="R416" s="823">
        <v>2</v>
      </c>
      <c r="S416" s="828">
        <v>1</v>
      </c>
      <c r="T416" s="827">
        <v>1</v>
      </c>
      <c r="U416" s="829">
        <v>1</v>
      </c>
    </row>
    <row r="417" spans="1:21" ht="14.45" customHeight="1" x14ac:dyDescent="0.2">
      <c r="A417" s="822">
        <v>50</v>
      </c>
      <c r="B417" s="823" t="s">
        <v>1887</v>
      </c>
      <c r="C417" s="823" t="s">
        <v>1893</v>
      </c>
      <c r="D417" s="824" t="s">
        <v>2977</v>
      </c>
      <c r="E417" s="825" t="s">
        <v>1907</v>
      </c>
      <c r="F417" s="823" t="s">
        <v>1888</v>
      </c>
      <c r="G417" s="823" t="s">
        <v>2142</v>
      </c>
      <c r="H417" s="823" t="s">
        <v>329</v>
      </c>
      <c r="I417" s="823" t="s">
        <v>2553</v>
      </c>
      <c r="J417" s="823" t="s">
        <v>2144</v>
      </c>
      <c r="K417" s="823" t="s">
        <v>2554</v>
      </c>
      <c r="L417" s="826">
        <v>21.92</v>
      </c>
      <c r="M417" s="826">
        <v>21.92</v>
      </c>
      <c r="N417" s="823">
        <v>1</v>
      </c>
      <c r="O417" s="827">
        <v>1</v>
      </c>
      <c r="P417" s="826">
        <v>21.92</v>
      </c>
      <c r="Q417" s="828">
        <v>1</v>
      </c>
      <c r="R417" s="823">
        <v>1</v>
      </c>
      <c r="S417" s="828">
        <v>1</v>
      </c>
      <c r="T417" s="827">
        <v>1</v>
      </c>
      <c r="U417" s="829">
        <v>1</v>
      </c>
    </row>
    <row r="418" spans="1:21" ht="14.45" customHeight="1" x14ac:dyDescent="0.2">
      <c r="A418" s="822">
        <v>50</v>
      </c>
      <c r="B418" s="823" t="s">
        <v>1887</v>
      </c>
      <c r="C418" s="823" t="s">
        <v>1893</v>
      </c>
      <c r="D418" s="824" t="s">
        <v>2977</v>
      </c>
      <c r="E418" s="825" t="s">
        <v>1907</v>
      </c>
      <c r="F418" s="823" t="s">
        <v>1888</v>
      </c>
      <c r="G418" s="823" t="s">
        <v>2142</v>
      </c>
      <c r="H418" s="823" t="s">
        <v>329</v>
      </c>
      <c r="I418" s="823" t="s">
        <v>2143</v>
      </c>
      <c r="J418" s="823" t="s">
        <v>2144</v>
      </c>
      <c r="K418" s="823" t="s">
        <v>2145</v>
      </c>
      <c r="L418" s="826">
        <v>87.67</v>
      </c>
      <c r="M418" s="826">
        <v>87.67</v>
      </c>
      <c r="N418" s="823">
        <v>1</v>
      </c>
      <c r="O418" s="827">
        <v>1</v>
      </c>
      <c r="P418" s="826">
        <v>87.67</v>
      </c>
      <c r="Q418" s="828">
        <v>1</v>
      </c>
      <c r="R418" s="823">
        <v>1</v>
      </c>
      <c r="S418" s="828">
        <v>1</v>
      </c>
      <c r="T418" s="827">
        <v>1</v>
      </c>
      <c r="U418" s="829">
        <v>1</v>
      </c>
    </row>
    <row r="419" spans="1:21" ht="14.45" customHeight="1" x14ac:dyDescent="0.2">
      <c r="A419" s="822">
        <v>50</v>
      </c>
      <c r="B419" s="823" t="s">
        <v>1887</v>
      </c>
      <c r="C419" s="823" t="s">
        <v>1893</v>
      </c>
      <c r="D419" s="824" t="s">
        <v>2977</v>
      </c>
      <c r="E419" s="825" t="s">
        <v>1907</v>
      </c>
      <c r="F419" s="823" t="s">
        <v>1888</v>
      </c>
      <c r="G419" s="823" t="s">
        <v>2555</v>
      </c>
      <c r="H419" s="823" t="s">
        <v>329</v>
      </c>
      <c r="I419" s="823" t="s">
        <v>2556</v>
      </c>
      <c r="J419" s="823" t="s">
        <v>2557</v>
      </c>
      <c r="K419" s="823" t="s">
        <v>2558</v>
      </c>
      <c r="L419" s="826">
        <v>89.88</v>
      </c>
      <c r="M419" s="826">
        <v>539.28</v>
      </c>
      <c r="N419" s="823">
        <v>6</v>
      </c>
      <c r="O419" s="827">
        <v>1</v>
      </c>
      <c r="P419" s="826">
        <v>539.28</v>
      </c>
      <c r="Q419" s="828">
        <v>1</v>
      </c>
      <c r="R419" s="823">
        <v>6</v>
      </c>
      <c r="S419" s="828">
        <v>1</v>
      </c>
      <c r="T419" s="827">
        <v>1</v>
      </c>
      <c r="U419" s="829">
        <v>1</v>
      </c>
    </row>
    <row r="420" spans="1:21" ht="14.45" customHeight="1" x14ac:dyDescent="0.2">
      <c r="A420" s="822">
        <v>50</v>
      </c>
      <c r="B420" s="823" t="s">
        <v>1887</v>
      </c>
      <c r="C420" s="823" t="s">
        <v>1893</v>
      </c>
      <c r="D420" s="824" t="s">
        <v>2977</v>
      </c>
      <c r="E420" s="825" t="s">
        <v>1907</v>
      </c>
      <c r="F420" s="823" t="s">
        <v>1888</v>
      </c>
      <c r="G420" s="823" t="s">
        <v>2559</v>
      </c>
      <c r="H420" s="823" t="s">
        <v>329</v>
      </c>
      <c r="I420" s="823" t="s">
        <v>2560</v>
      </c>
      <c r="J420" s="823" t="s">
        <v>2561</v>
      </c>
      <c r="K420" s="823" t="s">
        <v>2562</v>
      </c>
      <c r="L420" s="826">
        <v>115.27</v>
      </c>
      <c r="M420" s="826">
        <v>230.54</v>
      </c>
      <c r="N420" s="823">
        <v>2</v>
      </c>
      <c r="O420" s="827">
        <v>1</v>
      </c>
      <c r="P420" s="826">
        <v>230.54</v>
      </c>
      <c r="Q420" s="828">
        <v>1</v>
      </c>
      <c r="R420" s="823">
        <v>2</v>
      </c>
      <c r="S420" s="828">
        <v>1</v>
      </c>
      <c r="T420" s="827">
        <v>1</v>
      </c>
      <c r="U420" s="829">
        <v>1</v>
      </c>
    </row>
    <row r="421" spans="1:21" ht="14.45" customHeight="1" x14ac:dyDescent="0.2">
      <c r="A421" s="822">
        <v>50</v>
      </c>
      <c r="B421" s="823" t="s">
        <v>1887</v>
      </c>
      <c r="C421" s="823" t="s">
        <v>1893</v>
      </c>
      <c r="D421" s="824" t="s">
        <v>2977</v>
      </c>
      <c r="E421" s="825" t="s">
        <v>1907</v>
      </c>
      <c r="F421" s="823" t="s">
        <v>1888</v>
      </c>
      <c r="G421" s="823" t="s">
        <v>2559</v>
      </c>
      <c r="H421" s="823" t="s">
        <v>329</v>
      </c>
      <c r="I421" s="823" t="s">
        <v>2563</v>
      </c>
      <c r="J421" s="823" t="s">
        <v>2564</v>
      </c>
      <c r="K421" s="823" t="s">
        <v>1523</v>
      </c>
      <c r="L421" s="826">
        <v>205.84</v>
      </c>
      <c r="M421" s="826">
        <v>1646.72</v>
      </c>
      <c r="N421" s="823">
        <v>8</v>
      </c>
      <c r="O421" s="827">
        <v>7.5</v>
      </c>
      <c r="P421" s="826">
        <v>1235.04</v>
      </c>
      <c r="Q421" s="828">
        <v>0.75</v>
      </c>
      <c r="R421" s="823">
        <v>6</v>
      </c>
      <c r="S421" s="828">
        <v>0.75</v>
      </c>
      <c r="T421" s="827">
        <v>5.5</v>
      </c>
      <c r="U421" s="829">
        <v>0.73333333333333328</v>
      </c>
    </row>
    <row r="422" spans="1:21" ht="14.45" customHeight="1" x14ac:dyDescent="0.2">
      <c r="A422" s="822">
        <v>50</v>
      </c>
      <c r="B422" s="823" t="s">
        <v>1887</v>
      </c>
      <c r="C422" s="823" t="s">
        <v>1893</v>
      </c>
      <c r="D422" s="824" t="s">
        <v>2977</v>
      </c>
      <c r="E422" s="825" t="s">
        <v>1907</v>
      </c>
      <c r="F422" s="823" t="s">
        <v>1888</v>
      </c>
      <c r="G422" s="823" t="s">
        <v>2146</v>
      </c>
      <c r="H422" s="823" t="s">
        <v>625</v>
      </c>
      <c r="I422" s="823" t="s">
        <v>2565</v>
      </c>
      <c r="J422" s="823" t="s">
        <v>1628</v>
      </c>
      <c r="K422" s="823" t="s">
        <v>2566</v>
      </c>
      <c r="L422" s="826">
        <v>68.930000000000007</v>
      </c>
      <c r="M422" s="826">
        <v>137.86000000000001</v>
      </c>
      <c r="N422" s="823">
        <v>2</v>
      </c>
      <c r="O422" s="827">
        <v>0.5</v>
      </c>
      <c r="P422" s="826"/>
      <c r="Q422" s="828">
        <v>0</v>
      </c>
      <c r="R422" s="823"/>
      <c r="S422" s="828">
        <v>0</v>
      </c>
      <c r="T422" s="827"/>
      <c r="U422" s="829">
        <v>0</v>
      </c>
    </row>
    <row r="423" spans="1:21" ht="14.45" customHeight="1" x14ac:dyDescent="0.2">
      <c r="A423" s="822">
        <v>50</v>
      </c>
      <c r="B423" s="823" t="s">
        <v>1887</v>
      </c>
      <c r="C423" s="823" t="s">
        <v>1893</v>
      </c>
      <c r="D423" s="824" t="s">
        <v>2977</v>
      </c>
      <c r="E423" s="825" t="s">
        <v>1907</v>
      </c>
      <c r="F423" s="823" t="s">
        <v>1888</v>
      </c>
      <c r="G423" s="823" t="s">
        <v>2146</v>
      </c>
      <c r="H423" s="823" t="s">
        <v>625</v>
      </c>
      <c r="I423" s="823" t="s">
        <v>2147</v>
      </c>
      <c r="J423" s="823" t="s">
        <v>1628</v>
      </c>
      <c r="K423" s="823" t="s">
        <v>1622</v>
      </c>
      <c r="L423" s="826">
        <v>229.76</v>
      </c>
      <c r="M423" s="826">
        <v>229.76</v>
      </c>
      <c r="N423" s="823">
        <v>1</v>
      </c>
      <c r="O423" s="827">
        <v>1</v>
      </c>
      <c r="P423" s="826"/>
      <c r="Q423" s="828">
        <v>0</v>
      </c>
      <c r="R423" s="823"/>
      <c r="S423" s="828">
        <v>0</v>
      </c>
      <c r="T423" s="827"/>
      <c r="U423" s="829">
        <v>0</v>
      </c>
    </row>
    <row r="424" spans="1:21" ht="14.45" customHeight="1" x14ac:dyDescent="0.2">
      <c r="A424" s="822">
        <v>50</v>
      </c>
      <c r="B424" s="823" t="s">
        <v>1887</v>
      </c>
      <c r="C424" s="823" t="s">
        <v>1893</v>
      </c>
      <c r="D424" s="824" t="s">
        <v>2977</v>
      </c>
      <c r="E424" s="825" t="s">
        <v>1907</v>
      </c>
      <c r="F424" s="823" t="s">
        <v>1888</v>
      </c>
      <c r="G424" s="823" t="s">
        <v>2146</v>
      </c>
      <c r="H424" s="823" t="s">
        <v>625</v>
      </c>
      <c r="I424" s="823" t="s">
        <v>2272</v>
      </c>
      <c r="J424" s="823" t="s">
        <v>1628</v>
      </c>
      <c r="K424" s="823" t="s">
        <v>2273</v>
      </c>
      <c r="L424" s="826">
        <v>7.47</v>
      </c>
      <c r="M424" s="826">
        <v>52.29</v>
      </c>
      <c r="N424" s="823">
        <v>7</v>
      </c>
      <c r="O424" s="827">
        <v>1.5</v>
      </c>
      <c r="P424" s="826">
        <v>37.35</v>
      </c>
      <c r="Q424" s="828">
        <v>0.7142857142857143</v>
      </c>
      <c r="R424" s="823">
        <v>5</v>
      </c>
      <c r="S424" s="828">
        <v>0.7142857142857143</v>
      </c>
      <c r="T424" s="827">
        <v>1</v>
      </c>
      <c r="U424" s="829">
        <v>0.66666666666666663</v>
      </c>
    </row>
    <row r="425" spans="1:21" ht="14.45" customHeight="1" x14ac:dyDescent="0.2">
      <c r="A425" s="822">
        <v>50</v>
      </c>
      <c r="B425" s="823" t="s">
        <v>1887</v>
      </c>
      <c r="C425" s="823" t="s">
        <v>1893</v>
      </c>
      <c r="D425" s="824" t="s">
        <v>2977</v>
      </c>
      <c r="E425" s="825" t="s">
        <v>1907</v>
      </c>
      <c r="F425" s="823" t="s">
        <v>1888</v>
      </c>
      <c r="G425" s="823" t="s">
        <v>2146</v>
      </c>
      <c r="H425" s="823" t="s">
        <v>625</v>
      </c>
      <c r="I425" s="823" t="s">
        <v>1627</v>
      </c>
      <c r="J425" s="823" t="s">
        <v>1628</v>
      </c>
      <c r="K425" s="823" t="s">
        <v>1629</v>
      </c>
      <c r="L425" s="826">
        <v>11.48</v>
      </c>
      <c r="M425" s="826">
        <v>91.84</v>
      </c>
      <c r="N425" s="823">
        <v>8</v>
      </c>
      <c r="O425" s="827">
        <v>1</v>
      </c>
      <c r="P425" s="826">
        <v>57.400000000000006</v>
      </c>
      <c r="Q425" s="828">
        <v>0.625</v>
      </c>
      <c r="R425" s="823">
        <v>5</v>
      </c>
      <c r="S425" s="828">
        <v>0.625</v>
      </c>
      <c r="T425" s="827">
        <v>0.5</v>
      </c>
      <c r="U425" s="829">
        <v>0.5</v>
      </c>
    </row>
    <row r="426" spans="1:21" ht="14.45" customHeight="1" x14ac:dyDescent="0.2">
      <c r="A426" s="822">
        <v>50</v>
      </c>
      <c r="B426" s="823" t="s">
        <v>1887</v>
      </c>
      <c r="C426" s="823" t="s">
        <v>1893</v>
      </c>
      <c r="D426" s="824" t="s">
        <v>2977</v>
      </c>
      <c r="E426" s="825" t="s">
        <v>1907</v>
      </c>
      <c r="F426" s="823" t="s">
        <v>1888</v>
      </c>
      <c r="G426" s="823" t="s">
        <v>2146</v>
      </c>
      <c r="H426" s="823" t="s">
        <v>625</v>
      </c>
      <c r="I426" s="823" t="s">
        <v>2362</v>
      </c>
      <c r="J426" s="823" t="s">
        <v>1628</v>
      </c>
      <c r="K426" s="823" t="s">
        <v>2019</v>
      </c>
      <c r="L426" s="826">
        <v>34.47</v>
      </c>
      <c r="M426" s="826">
        <v>34.47</v>
      </c>
      <c r="N426" s="823">
        <v>1</v>
      </c>
      <c r="O426" s="827">
        <v>0.5</v>
      </c>
      <c r="P426" s="826">
        <v>34.47</v>
      </c>
      <c r="Q426" s="828">
        <v>1</v>
      </c>
      <c r="R426" s="823">
        <v>1</v>
      </c>
      <c r="S426" s="828">
        <v>1</v>
      </c>
      <c r="T426" s="827">
        <v>0.5</v>
      </c>
      <c r="U426" s="829">
        <v>1</v>
      </c>
    </row>
    <row r="427" spans="1:21" ht="14.45" customHeight="1" x14ac:dyDescent="0.2">
      <c r="A427" s="822">
        <v>50</v>
      </c>
      <c r="B427" s="823" t="s">
        <v>1887</v>
      </c>
      <c r="C427" s="823" t="s">
        <v>1893</v>
      </c>
      <c r="D427" s="824" t="s">
        <v>2977</v>
      </c>
      <c r="E427" s="825" t="s">
        <v>1907</v>
      </c>
      <c r="F427" s="823" t="s">
        <v>1888</v>
      </c>
      <c r="G427" s="823" t="s">
        <v>2146</v>
      </c>
      <c r="H427" s="823" t="s">
        <v>625</v>
      </c>
      <c r="I427" s="823" t="s">
        <v>2274</v>
      </c>
      <c r="J427" s="823" t="s">
        <v>1628</v>
      </c>
      <c r="K427" s="823" t="s">
        <v>2275</v>
      </c>
      <c r="L427" s="826">
        <v>114.88</v>
      </c>
      <c r="M427" s="826">
        <v>344.64</v>
      </c>
      <c r="N427" s="823">
        <v>3</v>
      </c>
      <c r="O427" s="827">
        <v>2.5</v>
      </c>
      <c r="P427" s="826">
        <v>114.88</v>
      </c>
      <c r="Q427" s="828">
        <v>0.33333333333333331</v>
      </c>
      <c r="R427" s="823">
        <v>1</v>
      </c>
      <c r="S427" s="828">
        <v>0.33333333333333331</v>
      </c>
      <c r="T427" s="827">
        <v>1</v>
      </c>
      <c r="U427" s="829">
        <v>0.4</v>
      </c>
    </row>
    <row r="428" spans="1:21" ht="14.45" customHeight="1" x14ac:dyDescent="0.2">
      <c r="A428" s="822">
        <v>50</v>
      </c>
      <c r="B428" s="823" t="s">
        <v>1887</v>
      </c>
      <c r="C428" s="823" t="s">
        <v>1893</v>
      </c>
      <c r="D428" s="824" t="s">
        <v>2977</v>
      </c>
      <c r="E428" s="825" t="s">
        <v>1907</v>
      </c>
      <c r="F428" s="823" t="s">
        <v>1888</v>
      </c>
      <c r="G428" s="823" t="s">
        <v>2567</v>
      </c>
      <c r="H428" s="823" t="s">
        <v>329</v>
      </c>
      <c r="I428" s="823" t="s">
        <v>2568</v>
      </c>
      <c r="J428" s="823" t="s">
        <v>2569</v>
      </c>
      <c r="K428" s="823" t="s">
        <v>2570</v>
      </c>
      <c r="L428" s="826">
        <v>480.66</v>
      </c>
      <c r="M428" s="826">
        <v>480.66</v>
      </c>
      <c r="N428" s="823">
        <v>1</v>
      </c>
      <c r="O428" s="827">
        <v>1</v>
      </c>
      <c r="P428" s="826"/>
      <c r="Q428" s="828">
        <v>0</v>
      </c>
      <c r="R428" s="823"/>
      <c r="S428" s="828">
        <v>0</v>
      </c>
      <c r="T428" s="827"/>
      <c r="U428" s="829">
        <v>0</v>
      </c>
    </row>
    <row r="429" spans="1:21" ht="14.45" customHeight="1" x14ac:dyDescent="0.2">
      <c r="A429" s="822">
        <v>50</v>
      </c>
      <c r="B429" s="823" t="s">
        <v>1887</v>
      </c>
      <c r="C429" s="823" t="s">
        <v>1893</v>
      </c>
      <c r="D429" s="824" t="s">
        <v>2977</v>
      </c>
      <c r="E429" s="825" t="s">
        <v>1907</v>
      </c>
      <c r="F429" s="823" t="s">
        <v>1888</v>
      </c>
      <c r="G429" s="823" t="s">
        <v>2571</v>
      </c>
      <c r="H429" s="823" t="s">
        <v>625</v>
      </c>
      <c r="I429" s="823" t="s">
        <v>2572</v>
      </c>
      <c r="J429" s="823" t="s">
        <v>2573</v>
      </c>
      <c r="K429" s="823" t="s">
        <v>2574</v>
      </c>
      <c r="L429" s="826">
        <v>341.53</v>
      </c>
      <c r="M429" s="826">
        <v>341.53</v>
      </c>
      <c r="N429" s="823">
        <v>1</v>
      </c>
      <c r="O429" s="827">
        <v>0.5</v>
      </c>
      <c r="P429" s="826"/>
      <c r="Q429" s="828">
        <v>0</v>
      </c>
      <c r="R429" s="823"/>
      <c r="S429" s="828">
        <v>0</v>
      </c>
      <c r="T429" s="827"/>
      <c r="U429" s="829">
        <v>0</v>
      </c>
    </row>
    <row r="430" spans="1:21" ht="14.45" customHeight="1" x14ac:dyDescent="0.2">
      <c r="A430" s="822">
        <v>50</v>
      </c>
      <c r="B430" s="823" t="s">
        <v>1887</v>
      </c>
      <c r="C430" s="823" t="s">
        <v>1893</v>
      </c>
      <c r="D430" s="824" t="s">
        <v>2977</v>
      </c>
      <c r="E430" s="825" t="s">
        <v>1907</v>
      </c>
      <c r="F430" s="823" t="s">
        <v>1888</v>
      </c>
      <c r="G430" s="823" t="s">
        <v>1978</v>
      </c>
      <c r="H430" s="823" t="s">
        <v>329</v>
      </c>
      <c r="I430" s="823" t="s">
        <v>2575</v>
      </c>
      <c r="J430" s="823" t="s">
        <v>1980</v>
      </c>
      <c r="K430" s="823" t="s">
        <v>2576</v>
      </c>
      <c r="L430" s="826">
        <v>4341</v>
      </c>
      <c r="M430" s="826">
        <v>4341</v>
      </c>
      <c r="N430" s="823">
        <v>1</v>
      </c>
      <c r="O430" s="827">
        <v>0.5</v>
      </c>
      <c r="P430" s="826">
        <v>4341</v>
      </c>
      <c r="Q430" s="828">
        <v>1</v>
      </c>
      <c r="R430" s="823">
        <v>1</v>
      </c>
      <c r="S430" s="828">
        <v>1</v>
      </c>
      <c r="T430" s="827">
        <v>0.5</v>
      </c>
      <c r="U430" s="829">
        <v>1</v>
      </c>
    </row>
    <row r="431" spans="1:21" ht="14.45" customHeight="1" x14ac:dyDescent="0.2">
      <c r="A431" s="822">
        <v>50</v>
      </c>
      <c r="B431" s="823" t="s">
        <v>1887</v>
      </c>
      <c r="C431" s="823" t="s">
        <v>1893</v>
      </c>
      <c r="D431" s="824" t="s">
        <v>2977</v>
      </c>
      <c r="E431" s="825" t="s">
        <v>1907</v>
      </c>
      <c r="F431" s="823" t="s">
        <v>1888</v>
      </c>
      <c r="G431" s="823" t="s">
        <v>1982</v>
      </c>
      <c r="H431" s="823" t="s">
        <v>329</v>
      </c>
      <c r="I431" s="823" t="s">
        <v>2577</v>
      </c>
      <c r="J431" s="823" t="s">
        <v>1984</v>
      </c>
      <c r="K431" s="823" t="s">
        <v>1766</v>
      </c>
      <c r="L431" s="826">
        <v>279.52999999999997</v>
      </c>
      <c r="M431" s="826">
        <v>279.52999999999997</v>
      </c>
      <c r="N431" s="823">
        <v>1</v>
      </c>
      <c r="O431" s="827">
        <v>1</v>
      </c>
      <c r="P431" s="826">
        <v>279.52999999999997</v>
      </c>
      <c r="Q431" s="828">
        <v>1</v>
      </c>
      <c r="R431" s="823">
        <v>1</v>
      </c>
      <c r="S431" s="828">
        <v>1</v>
      </c>
      <c r="T431" s="827">
        <v>1</v>
      </c>
      <c r="U431" s="829">
        <v>1</v>
      </c>
    </row>
    <row r="432" spans="1:21" ht="14.45" customHeight="1" x14ac:dyDescent="0.2">
      <c r="A432" s="822">
        <v>50</v>
      </c>
      <c r="B432" s="823" t="s">
        <v>1887</v>
      </c>
      <c r="C432" s="823" t="s">
        <v>1893</v>
      </c>
      <c r="D432" s="824" t="s">
        <v>2977</v>
      </c>
      <c r="E432" s="825" t="s">
        <v>1907</v>
      </c>
      <c r="F432" s="823" t="s">
        <v>1888</v>
      </c>
      <c r="G432" s="823" t="s">
        <v>1982</v>
      </c>
      <c r="H432" s="823" t="s">
        <v>329</v>
      </c>
      <c r="I432" s="823" t="s">
        <v>2578</v>
      </c>
      <c r="J432" s="823" t="s">
        <v>1984</v>
      </c>
      <c r="K432" s="823" t="s">
        <v>2028</v>
      </c>
      <c r="L432" s="826">
        <v>430.05</v>
      </c>
      <c r="M432" s="826">
        <v>430.05</v>
      </c>
      <c r="N432" s="823">
        <v>1</v>
      </c>
      <c r="O432" s="827">
        <v>1</v>
      </c>
      <c r="P432" s="826"/>
      <c r="Q432" s="828">
        <v>0</v>
      </c>
      <c r="R432" s="823"/>
      <c r="S432" s="828">
        <v>0</v>
      </c>
      <c r="T432" s="827"/>
      <c r="U432" s="829">
        <v>0</v>
      </c>
    </row>
    <row r="433" spans="1:21" ht="14.45" customHeight="1" x14ac:dyDescent="0.2">
      <c r="A433" s="822">
        <v>50</v>
      </c>
      <c r="B433" s="823" t="s">
        <v>1887</v>
      </c>
      <c r="C433" s="823" t="s">
        <v>1893</v>
      </c>
      <c r="D433" s="824" t="s">
        <v>2977</v>
      </c>
      <c r="E433" s="825" t="s">
        <v>1907</v>
      </c>
      <c r="F433" s="823" t="s">
        <v>1888</v>
      </c>
      <c r="G433" s="823" t="s">
        <v>1982</v>
      </c>
      <c r="H433" s="823" t="s">
        <v>329</v>
      </c>
      <c r="I433" s="823" t="s">
        <v>2579</v>
      </c>
      <c r="J433" s="823" t="s">
        <v>1984</v>
      </c>
      <c r="K433" s="823" t="s">
        <v>2025</v>
      </c>
      <c r="L433" s="826">
        <v>661.62</v>
      </c>
      <c r="M433" s="826">
        <v>661.62</v>
      </c>
      <c r="N433" s="823">
        <v>1</v>
      </c>
      <c r="O433" s="827">
        <v>1</v>
      </c>
      <c r="P433" s="826">
        <v>661.62</v>
      </c>
      <c r="Q433" s="828">
        <v>1</v>
      </c>
      <c r="R433" s="823">
        <v>1</v>
      </c>
      <c r="S433" s="828">
        <v>1</v>
      </c>
      <c r="T433" s="827">
        <v>1</v>
      </c>
      <c r="U433" s="829">
        <v>1</v>
      </c>
    </row>
    <row r="434" spans="1:21" ht="14.45" customHeight="1" x14ac:dyDescent="0.2">
      <c r="A434" s="822">
        <v>50</v>
      </c>
      <c r="B434" s="823" t="s">
        <v>1887</v>
      </c>
      <c r="C434" s="823" t="s">
        <v>1893</v>
      </c>
      <c r="D434" s="824" t="s">
        <v>2977</v>
      </c>
      <c r="E434" s="825" t="s">
        <v>1907</v>
      </c>
      <c r="F434" s="823" t="s">
        <v>1888</v>
      </c>
      <c r="G434" s="823" t="s">
        <v>1982</v>
      </c>
      <c r="H434" s="823" t="s">
        <v>329</v>
      </c>
      <c r="I434" s="823" t="s">
        <v>2579</v>
      </c>
      <c r="J434" s="823" t="s">
        <v>1984</v>
      </c>
      <c r="K434" s="823" t="s">
        <v>2025</v>
      </c>
      <c r="L434" s="826">
        <v>391.5</v>
      </c>
      <c r="M434" s="826">
        <v>391.5</v>
      </c>
      <c r="N434" s="823">
        <v>1</v>
      </c>
      <c r="O434" s="827">
        <v>0.5</v>
      </c>
      <c r="P434" s="826">
        <v>391.5</v>
      </c>
      <c r="Q434" s="828">
        <v>1</v>
      </c>
      <c r="R434" s="823">
        <v>1</v>
      </c>
      <c r="S434" s="828">
        <v>1</v>
      </c>
      <c r="T434" s="827">
        <v>0.5</v>
      </c>
      <c r="U434" s="829">
        <v>1</v>
      </c>
    </row>
    <row r="435" spans="1:21" ht="14.45" customHeight="1" x14ac:dyDescent="0.2">
      <c r="A435" s="822">
        <v>50</v>
      </c>
      <c r="B435" s="823" t="s">
        <v>1887</v>
      </c>
      <c r="C435" s="823" t="s">
        <v>1893</v>
      </c>
      <c r="D435" s="824" t="s">
        <v>2977</v>
      </c>
      <c r="E435" s="825" t="s">
        <v>1907</v>
      </c>
      <c r="F435" s="823" t="s">
        <v>1888</v>
      </c>
      <c r="G435" s="823" t="s">
        <v>1982</v>
      </c>
      <c r="H435" s="823" t="s">
        <v>329</v>
      </c>
      <c r="I435" s="823" t="s">
        <v>2580</v>
      </c>
      <c r="J435" s="823" t="s">
        <v>2581</v>
      </c>
      <c r="K435" s="823" t="s">
        <v>2224</v>
      </c>
      <c r="L435" s="826">
        <v>477.84</v>
      </c>
      <c r="M435" s="826">
        <v>477.84</v>
      </c>
      <c r="N435" s="823">
        <v>1</v>
      </c>
      <c r="O435" s="827">
        <v>0.5</v>
      </c>
      <c r="P435" s="826">
        <v>477.84</v>
      </c>
      <c r="Q435" s="828">
        <v>1</v>
      </c>
      <c r="R435" s="823">
        <v>1</v>
      </c>
      <c r="S435" s="828">
        <v>1</v>
      </c>
      <c r="T435" s="827">
        <v>0.5</v>
      </c>
      <c r="U435" s="829">
        <v>1</v>
      </c>
    </row>
    <row r="436" spans="1:21" ht="14.45" customHeight="1" x14ac:dyDescent="0.2">
      <c r="A436" s="822">
        <v>50</v>
      </c>
      <c r="B436" s="823" t="s">
        <v>1887</v>
      </c>
      <c r="C436" s="823" t="s">
        <v>1893</v>
      </c>
      <c r="D436" s="824" t="s">
        <v>2977</v>
      </c>
      <c r="E436" s="825" t="s">
        <v>1907</v>
      </c>
      <c r="F436" s="823" t="s">
        <v>1888</v>
      </c>
      <c r="G436" s="823" t="s">
        <v>1982</v>
      </c>
      <c r="H436" s="823" t="s">
        <v>329</v>
      </c>
      <c r="I436" s="823" t="s">
        <v>2582</v>
      </c>
      <c r="J436" s="823" t="s">
        <v>2581</v>
      </c>
      <c r="K436" s="823" t="s">
        <v>2153</v>
      </c>
      <c r="L436" s="826">
        <v>310.58999999999997</v>
      </c>
      <c r="M436" s="826">
        <v>310.58999999999997</v>
      </c>
      <c r="N436" s="823">
        <v>1</v>
      </c>
      <c r="O436" s="827">
        <v>0.5</v>
      </c>
      <c r="P436" s="826"/>
      <c r="Q436" s="828">
        <v>0</v>
      </c>
      <c r="R436" s="823"/>
      <c r="S436" s="828">
        <v>0</v>
      </c>
      <c r="T436" s="827"/>
      <c r="U436" s="829">
        <v>0</v>
      </c>
    </row>
    <row r="437" spans="1:21" ht="14.45" customHeight="1" x14ac:dyDescent="0.2">
      <c r="A437" s="822">
        <v>50</v>
      </c>
      <c r="B437" s="823" t="s">
        <v>1887</v>
      </c>
      <c r="C437" s="823" t="s">
        <v>1893</v>
      </c>
      <c r="D437" s="824" t="s">
        <v>2977</v>
      </c>
      <c r="E437" s="825" t="s">
        <v>1907</v>
      </c>
      <c r="F437" s="823" t="s">
        <v>1888</v>
      </c>
      <c r="G437" s="823" t="s">
        <v>1985</v>
      </c>
      <c r="H437" s="823" t="s">
        <v>329</v>
      </c>
      <c r="I437" s="823" t="s">
        <v>2276</v>
      </c>
      <c r="J437" s="823" t="s">
        <v>998</v>
      </c>
      <c r="K437" s="823" t="s">
        <v>2277</v>
      </c>
      <c r="L437" s="826">
        <v>64.349999999999994</v>
      </c>
      <c r="M437" s="826">
        <v>64.349999999999994</v>
      </c>
      <c r="N437" s="823">
        <v>1</v>
      </c>
      <c r="O437" s="827">
        <v>1</v>
      </c>
      <c r="P437" s="826"/>
      <c r="Q437" s="828">
        <v>0</v>
      </c>
      <c r="R437" s="823"/>
      <c r="S437" s="828">
        <v>0</v>
      </c>
      <c r="T437" s="827"/>
      <c r="U437" s="829">
        <v>0</v>
      </c>
    </row>
    <row r="438" spans="1:21" ht="14.45" customHeight="1" x14ac:dyDescent="0.2">
      <c r="A438" s="822">
        <v>50</v>
      </c>
      <c r="B438" s="823" t="s">
        <v>1887</v>
      </c>
      <c r="C438" s="823" t="s">
        <v>1893</v>
      </c>
      <c r="D438" s="824" t="s">
        <v>2977</v>
      </c>
      <c r="E438" s="825" t="s">
        <v>1907</v>
      </c>
      <c r="F438" s="823" t="s">
        <v>1888</v>
      </c>
      <c r="G438" s="823" t="s">
        <v>2583</v>
      </c>
      <c r="H438" s="823" t="s">
        <v>329</v>
      </c>
      <c r="I438" s="823" t="s">
        <v>2584</v>
      </c>
      <c r="J438" s="823" t="s">
        <v>1749</v>
      </c>
      <c r="K438" s="823" t="s">
        <v>1249</v>
      </c>
      <c r="L438" s="826">
        <v>439.14</v>
      </c>
      <c r="M438" s="826">
        <v>439.14</v>
      </c>
      <c r="N438" s="823">
        <v>1</v>
      </c>
      <c r="O438" s="827">
        <v>1</v>
      </c>
      <c r="P438" s="826">
        <v>439.14</v>
      </c>
      <c r="Q438" s="828">
        <v>1</v>
      </c>
      <c r="R438" s="823">
        <v>1</v>
      </c>
      <c r="S438" s="828">
        <v>1</v>
      </c>
      <c r="T438" s="827">
        <v>1</v>
      </c>
      <c r="U438" s="829">
        <v>1</v>
      </c>
    </row>
    <row r="439" spans="1:21" ht="14.45" customHeight="1" x14ac:dyDescent="0.2">
      <c r="A439" s="822">
        <v>50</v>
      </c>
      <c r="B439" s="823" t="s">
        <v>1887</v>
      </c>
      <c r="C439" s="823" t="s">
        <v>1893</v>
      </c>
      <c r="D439" s="824" t="s">
        <v>2977</v>
      </c>
      <c r="E439" s="825" t="s">
        <v>1907</v>
      </c>
      <c r="F439" s="823" t="s">
        <v>1888</v>
      </c>
      <c r="G439" s="823" t="s">
        <v>2583</v>
      </c>
      <c r="H439" s="823" t="s">
        <v>625</v>
      </c>
      <c r="I439" s="823" t="s">
        <v>1748</v>
      </c>
      <c r="J439" s="823" t="s">
        <v>1749</v>
      </c>
      <c r="K439" s="823" t="s">
        <v>1750</v>
      </c>
      <c r="L439" s="826">
        <v>122.96</v>
      </c>
      <c r="M439" s="826">
        <v>245.92</v>
      </c>
      <c r="N439" s="823">
        <v>2</v>
      </c>
      <c r="O439" s="827">
        <v>0.5</v>
      </c>
      <c r="P439" s="826">
        <v>245.92</v>
      </c>
      <c r="Q439" s="828">
        <v>1</v>
      </c>
      <c r="R439" s="823">
        <v>2</v>
      </c>
      <c r="S439" s="828">
        <v>1</v>
      </c>
      <c r="T439" s="827">
        <v>0.5</v>
      </c>
      <c r="U439" s="829">
        <v>1</v>
      </c>
    </row>
    <row r="440" spans="1:21" ht="14.45" customHeight="1" x14ac:dyDescent="0.2">
      <c r="A440" s="822">
        <v>50</v>
      </c>
      <c r="B440" s="823" t="s">
        <v>1887</v>
      </c>
      <c r="C440" s="823" t="s">
        <v>1893</v>
      </c>
      <c r="D440" s="824" t="s">
        <v>2977</v>
      </c>
      <c r="E440" s="825" t="s">
        <v>1907</v>
      </c>
      <c r="F440" s="823" t="s">
        <v>1888</v>
      </c>
      <c r="G440" s="823" t="s">
        <v>2585</v>
      </c>
      <c r="H440" s="823" t="s">
        <v>329</v>
      </c>
      <c r="I440" s="823" t="s">
        <v>2586</v>
      </c>
      <c r="J440" s="823" t="s">
        <v>2587</v>
      </c>
      <c r="K440" s="823" t="s">
        <v>2588</v>
      </c>
      <c r="L440" s="826">
        <v>0</v>
      </c>
      <c r="M440" s="826">
        <v>0</v>
      </c>
      <c r="N440" s="823">
        <v>15</v>
      </c>
      <c r="O440" s="827">
        <v>6.5</v>
      </c>
      <c r="P440" s="826"/>
      <c r="Q440" s="828"/>
      <c r="R440" s="823"/>
      <c r="S440" s="828">
        <v>0</v>
      </c>
      <c r="T440" s="827"/>
      <c r="U440" s="829">
        <v>0</v>
      </c>
    </row>
    <row r="441" spans="1:21" ht="14.45" customHeight="1" x14ac:dyDescent="0.2">
      <c r="A441" s="822">
        <v>50</v>
      </c>
      <c r="B441" s="823" t="s">
        <v>1887</v>
      </c>
      <c r="C441" s="823" t="s">
        <v>1893</v>
      </c>
      <c r="D441" s="824" t="s">
        <v>2977</v>
      </c>
      <c r="E441" s="825" t="s">
        <v>1907</v>
      </c>
      <c r="F441" s="823" t="s">
        <v>1888</v>
      </c>
      <c r="G441" s="823" t="s">
        <v>2585</v>
      </c>
      <c r="H441" s="823" t="s">
        <v>329</v>
      </c>
      <c r="I441" s="823" t="s">
        <v>2589</v>
      </c>
      <c r="J441" s="823" t="s">
        <v>2590</v>
      </c>
      <c r="K441" s="823" t="s">
        <v>2591</v>
      </c>
      <c r="L441" s="826">
        <v>0</v>
      </c>
      <c r="M441" s="826">
        <v>0</v>
      </c>
      <c r="N441" s="823">
        <v>2</v>
      </c>
      <c r="O441" s="827">
        <v>1</v>
      </c>
      <c r="P441" s="826">
        <v>0</v>
      </c>
      <c r="Q441" s="828"/>
      <c r="R441" s="823">
        <v>2</v>
      </c>
      <c r="S441" s="828">
        <v>1</v>
      </c>
      <c r="T441" s="827">
        <v>1</v>
      </c>
      <c r="U441" s="829">
        <v>1</v>
      </c>
    </row>
    <row r="442" spans="1:21" ht="14.45" customHeight="1" x14ac:dyDescent="0.2">
      <c r="A442" s="822">
        <v>50</v>
      </c>
      <c r="B442" s="823" t="s">
        <v>1887</v>
      </c>
      <c r="C442" s="823" t="s">
        <v>1893</v>
      </c>
      <c r="D442" s="824" t="s">
        <v>2977</v>
      </c>
      <c r="E442" s="825" t="s">
        <v>1907</v>
      </c>
      <c r="F442" s="823" t="s">
        <v>1888</v>
      </c>
      <c r="G442" s="823" t="s">
        <v>2585</v>
      </c>
      <c r="H442" s="823" t="s">
        <v>329</v>
      </c>
      <c r="I442" s="823" t="s">
        <v>2592</v>
      </c>
      <c r="J442" s="823" t="s">
        <v>2593</v>
      </c>
      <c r="K442" s="823" t="s">
        <v>2594</v>
      </c>
      <c r="L442" s="826">
        <v>0</v>
      </c>
      <c r="M442" s="826">
        <v>0</v>
      </c>
      <c r="N442" s="823">
        <v>5</v>
      </c>
      <c r="O442" s="827">
        <v>2</v>
      </c>
      <c r="P442" s="826"/>
      <c r="Q442" s="828"/>
      <c r="R442" s="823"/>
      <c r="S442" s="828">
        <v>0</v>
      </c>
      <c r="T442" s="827"/>
      <c r="U442" s="829">
        <v>0</v>
      </c>
    </row>
    <row r="443" spans="1:21" ht="14.45" customHeight="1" x14ac:dyDescent="0.2">
      <c r="A443" s="822">
        <v>50</v>
      </c>
      <c r="B443" s="823" t="s">
        <v>1887</v>
      </c>
      <c r="C443" s="823" t="s">
        <v>1893</v>
      </c>
      <c r="D443" s="824" t="s">
        <v>2977</v>
      </c>
      <c r="E443" s="825" t="s">
        <v>1907</v>
      </c>
      <c r="F443" s="823" t="s">
        <v>1888</v>
      </c>
      <c r="G443" s="823" t="s">
        <v>2585</v>
      </c>
      <c r="H443" s="823" t="s">
        <v>329</v>
      </c>
      <c r="I443" s="823" t="s">
        <v>2595</v>
      </c>
      <c r="J443" s="823" t="s">
        <v>2593</v>
      </c>
      <c r="K443" s="823" t="s">
        <v>2596</v>
      </c>
      <c r="L443" s="826">
        <v>0</v>
      </c>
      <c r="M443" s="826">
        <v>0</v>
      </c>
      <c r="N443" s="823">
        <v>3</v>
      </c>
      <c r="O443" s="827">
        <v>1</v>
      </c>
      <c r="P443" s="826"/>
      <c r="Q443" s="828"/>
      <c r="R443" s="823"/>
      <c r="S443" s="828">
        <v>0</v>
      </c>
      <c r="T443" s="827"/>
      <c r="U443" s="829">
        <v>0</v>
      </c>
    </row>
    <row r="444" spans="1:21" ht="14.45" customHeight="1" x14ac:dyDescent="0.2">
      <c r="A444" s="822">
        <v>50</v>
      </c>
      <c r="B444" s="823" t="s">
        <v>1887</v>
      </c>
      <c r="C444" s="823" t="s">
        <v>1893</v>
      </c>
      <c r="D444" s="824" t="s">
        <v>2977</v>
      </c>
      <c r="E444" s="825" t="s">
        <v>1907</v>
      </c>
      <c r="F444" s="823" t="s">
        <v>1888</v>
      </c>
      <c r="G444" s="823" t="s">
        <v>2585</v>
      </c>
      <c r="H444" s="823" t="s">
        <v>329</v>
      </c>
      <c r="I444" s="823" t="s">
        <v>2597</v>
      </c>
      <c r="J444" s="823" t="s">
        <v>2593</v>
      </c>
      <c r="K444" s="823" t="s">
        <v>2596</v>
      </c>
      <c r="L444" s="826">
        <v>0</v>
      </c>
      <c r="M444" s="826">
        <v>0</v>
      </c>
      <c r="N444" s="823">
        <v>2</v>
      </c>
      <c r="O444" s="827">
        <v>0.5</v>
      </c>
      <c r="P444" s="826"/>
      <c r="Q444" s="828"/>
      <c r="R444" s="823"/>
      <c r="S444" s="828">
        <v>0</v>
      </c>
      <c r="T444" s="827"/>
      <c r="U444" s="829">
        <v>0</v>
      </c>
    </row>
    <row r="445" spans="1:21" ht="14.45" customHeight="1" x14ac:dyDescent="0.2">
      <c r="A445" s="822">
        <v>50</v>
      </c>
      <c r="B445" s="823" t="s">
        <v>1887</v>
      </c>
      <c r="C445" s="823" t="s">
        <v>1893</v>
      </c>
      <c r="D445" s="824" t="s">
        <v>2977</v>
      </c>
      <c r="E445" s="825" t="s">
        <v>1907</v>
      </c>
      <c r="F445" s="823" t="s">
        <v>1888</v>
      </c>
      <c r="G445" s="823" t="s">
        <v>2598</v>
      </c>
      <c r="H445" s="823" t="s">
        <v>329</v>
      </c>
      <c r="I445" s="823" t="s">
        <v>2599</v>
      </c>
      <c r="J445" s="823" t="s">
        <v>2600</v>
      </c>
      <c r="K445" s="823" t="s">
        <v>2601</v>
      </c>
      <c r="L445" s="826">
        <v>0</v>
      </c>
      <c r="M445" s="826">
        <v>0</v>
      </c>
      <c r="N445" s="823">
        <v>2</v>
      </c>
      <c r="O445" s="827">
        <v>0.5</v>
      </c>
      <c r="P445" s="826"/>
      <c r="Q445" s="828"/>
      <c r="R445" s="823"/>
      <c r="S445" s="828">
        <v>0</v>
      </c>
      <c r="T445" s="827"/>
      <c r="U445" s="829">
        <v>0</v>
      </c>
    </row>
    <row r="446" spans="1:21" ht="14.45" customHeight="1" x14ac:dyDescent="0.2">
      <c r="A446" s="822">
        <v>50</v>
      </c>
      <c r="B446" s="823" t="s">
        <v>1887</v>
      </c>
      <c r="C446" s="823" t="s">
        <v>1893</v>
      </c>
      <c r="D446" s="824" t="s">
        <v>2977</v>
      </c>
      <c r="E446" s="825" t="s">
        <v>1907</v>
      </c>
      <c r="F446" s="823" t="s">
        <v>1888</v>
      </c>
      <c r="G446" s="823" t="s">
        <v>2602</v>
      </c>
      <c r="H446" s="823" t="s">
        <v>329</v>
      </c>
      <c r="I446" s="823" t="s">
        <v>2603</v>
      </c>
      <c r="J446" s="823" t="s">
        <v>2604</v>
      </c>
      <c r="K446" s="823" t="s">
        <v>2605</v>
      </c>
      <c r="L446" s="826">
        <v>73.09</v>
      </c>
      <c r="M446" s="826">
        <v>292.36</v>
      </c>
      <c r="N446" s="823">
        <v>4</v>
      </c>
      <c r="O446" s="827">
        <v>0.5</v>
      </c>
      <c r="P446" s="826">
        <v>292.36</v>
      </c>
      <c r="Q446" s="828">
        <v>1</v>
      </c>
      <c r="R446" s="823">
        <v>4</v>
      </c>
      <c r="S446" s="828">
        <v>1</v>
      </c>
      <c r="T446" s="827">
        <v>0.5</v>
      </c>
      <c r="U446" s="829">
        <v>1</v>
      </c>
    </row>
    <row r="447" spans="1:21" ht="14.45" customHeight="1" x14ac:dyDescent="0.2">
      <c r="A447" s="822">
        <v>50</v>
      </c>
      <c r="B447" s="823" t="s">
        <v>1887</v>
      </c>
      <c r="C447" s="823" t="s">
        <v>1893</v>
      </c>
      <c r="D447" s="824" t="s">
        <v>2977</v>
      </c>
      <c r="E447" s="825" t="s">
        <v>1907</v>
      </c>
      <c r="F447" s="823" t="s">
        <v>1888</v>
      </c>
      <c r="G447" s="823" t="s">
        <v>2373</v>
      </c>
      <c r="H447" s="823" t="s">
        <v>625</v>
      </c>
      <c r="I447" s="823" t="s">
        <v>1711</v>
      </c>
      <c r="J447" s="823" t="s">
        <v>946</v>
      </c>
      <c r="K447" s="823" t="s">
        <v>947</v>
      </c>
      <c r="L447" s="826">
        <v>0</v>
      </c>
      <c r="M447" s="826">
        <v>0</v>
      </c>
      <c r="N447" s="823">
        <v>14</v>
      </c>
      <c r="O447" s="827">
        <v>4.5</v>
      </c>
      <c r="P447" s="826">
        <v>0</v>
      </c>
      <c r="Q447" s="828"/>
      <c r="R447" s="823">
        <v>5</v>
      </c>
      <c r="S447" s="828">
        <v>0.35714285714285715</v>
      </c>
      <c r="T447" s="827">
        <v>2</v>
      </c>
      <c r="U447" s="829">
        <v>0.44444444444444442</v>
      </c>
    </row>
    <row r="448" spans="1:21" ht="14.45" customHeight="1" x14ac:dyDescent="0.2">
      <c r="A448" s="822">
        <v>50</v>
      </c>
      <c r="B448" s="823" t="s">
        <v>1887</v>
      </c>
      <c r="C448" s="823" t="s">
        <v>1893</v>
      </c>
      <c r="D448" s="824" t="s">
        <v>2977</v>
      </c>
      <c r="E448" s="825" t="s">
        <v>1907</v>
      </c>
      <c r="F448" s="823" t="s">
        <v>1888</v>
      </c>
      <c r="G448" s="823" t="s">
        <v>2606</v>
      </c>
      <c r="H448" s="823" t="s">
        <v>329</v>
      </c>
      <c r="I448" s="823" t="s">
        <v>2607</v>
      </c>
      <c r="J448" s="823" t="s">
        <v>2608</v>
      </c>
      <c r="K448" s="823" t="s">
        <v>705</v>
      </c>
      <c r="L448" s="826">
        <v>1543.27</v>
      </c>
      <c r="M448" s="826">
        <v>1543.27</v>
      </c>
      <c r="N448" s="823">
        <v>1</v>
      </c>
      <c r="O448" s="827">
        <v>0.5</v>
      </c>
      <c r="P448" s="826">
        <v>1543.27</v>
      </c>
      <c r="Q448" s="828">
        <v>1</v>
      </c>
      <c r="R448" s="823">
        <v>1</v>
      </c>
      <c r="S448" s="828">
        <v>1</v>
      </c>
      <c r="T448" s="827">
        <v>0.5</v>
      </c>
      <c r="U448" s="829">
        <v>1</v>
      </c>
    </row>
    <row r="449" spans="1:21" ht="14.45" customHeight="1" x14ac:dyDescent="0.2">
      <c r="A449" s="822">
        <v>50</v>
      </c>
      <c r="B449" s="823" t="s">
        <v>1887</v>
      </c>
      <c r="C449" s="823" t="s">
        <v>1893</v>
      </c>
      <c r="D449" s="824" t="s">
        <v>2977</v>
      </c>
      <c r="E449" s="825" t="s">
        <v>1907</v>
      </c>
      <c r="F449" s="823" t="s">
        <v>1888</v>
      </c>
      <c r="G449" s="823" t="s">
        <v>2154</v>
      </c>
      <c r="H449" s="823" t="s">
        <v>329</v>
      </c>
      <c r="I449" s="823" t="s">
        <v>2155</v>
      </c>
      <c r="J449" s="823" t="s">
        <v>2156</v>
      </c>
      <c r="K449" s="823" t="s">
        <v>1015</v>
      </c>
      <c r="L449" s="826">
        <v>120.14</v>
      </c>
      <c r="M449" s="826">
        <v>840.98</v>
      </c>
      <c r="N449" s="823">
        <v>7</v>
      </c>
      <c r="O449" s="827">
        <v>4</v>
      </c>
      <c r="P449" s="826">
        <v>240.28</v>
      </c>
      <c r="Q449" s="828">
        <v>0.2857142857142857</v>
      </c>
      <c r="R449" s="823">
        <v>2</v>
      </c>
      <c r="S449" s="828">
        <v>0.2857142857142857</v>
      </c>
      <c r="T449" s="827">
        <v>1</v>
      </c>
      <c r="U449" s="829">
        <v>0.25</v>
      </c>
    </row>
    <row r="450" spans="1:21" ht="14.45" customHeight="1" x14ac:dyDescent="0.2">
      <c r="A450" s="822">
        <v>50</v>
      </c>
      <c r="B450" s="823" t="s">
        <v>1887</v>
      </c>
      <c r="C450" s="823" t="s">
        <v>1893</v>
      </c>
      <c r="D450" s="824" t="s">
        <v>2977</v>
      </c>
      <c r="E450" s="825" t="s">
        <v>1907</v>
      </c>
      <c r="F450" s="823" t="s">
        <v>1888</v>
      </c>
      <c r="G450" s="823" t="s">
        <v>2154</v>
      </c>
      <c r="H450" s="823" t="s">
        <v>329</v>
      </c>
      <c r="I450" s="823" t="s">
        <v>2609</v>
      </c>
      <c r="J450" s="823" t="s">
        <v>2610</v>
      </c>
      <c r="K450" s="823" t="s">
        <v>2611</v>
      </c>
      <c r="L450" s="826">
        <v>240.27</v>
      </c>
      <c r="M450" s="826">
        <v>240.27</v>
      </c>
      <c r="N450" s="823">
        <v>1</v>
      </c>
      <c r="O450" s="827">
        <v>1</v>
      </c>
      <c r="P450" s="826"/>
      <c r="Q450" s="828">
        <v>0</v>
      </c>
      <c r="R450" s="823"/>
      <c r="S450" s="828">
        <v>0</v>
      </c>
      <c r="T450" s="827"/>
      <c r="U450" s="829">
        <v>0</v>
      </c>
    </row>
    <row r="451" spans="1:21" ht="14.45" customHeight="1" x14ac:dyDescent="0.2">
      <c r="A451" s="822">
        <v>50</v>
      </c>
      <c r="B451" s="823" t="s">
        <v>1887</v>
      </c>
      <c r="C451" s="823" t="s">
        <v>1893</v>
      </c>
      <c r="D451" s="824" t="s">
        <v>2977</v>
      </c>
      <c r="E451" s="825" t="s">
        <v>1907</v>
      </c>
      <c r="F451" s="823" t="s">
        <v>1888</v>
      </c>
      <c r="G451" s="823" t="s">
        <v>2154</v>
      </c>
      <c r="H451" s="823" t="s">
        <v>329</v>
      </c>
      <c r="I451" s="823" t="s">
        <v>2612</v>
      </c>
      <c r="J451" s="823" t="s">
        <v>2610</v>
      </c>
      <c r="K451" s="823" t="s">
        <v>2613</v>
      </c>
      <c r="L451" s="826">
        <v>120.14</v>
      </c>
      <c r="M451" s="826">
        <v>480.56</v>
      </c>
      <c r="N451" s="823">
        <v>4</v>
      </c>
      <c r="O451" s="827">
        <v>0.5</v>
      </c>
      <c r="P451" s="826">
        <v>480.56</v>
      </c>
      <c r="Q451" s="828">
        <v>1</v>
      </c>
      <c r="R451" s="823">
        <v>4</v>
      </c>
      <c r="S451" s="828">
        <v>1</v>
      </c>
      <c r="T451" s="827">
        <v>0.5</v>
      </c>
      <c r="U451" s="829">
        <v>1</v>
      </c>
    </row>
    <row r="452" spans="1:21" ht="14.45" customHeight="1" x14ac:dyDescent="0.2">
      <c r="A452" s="822">
        <v>50</v>
      </c>
      <c r="B452" s="823" t="s">
        <v>1887</v>
      </c>
      <c r="C452" s="823" t="s">
        <v>1893</v>
      </c>
      <c r="D452" s="824" t="s">
        <v>2977</v>
      </c>
      <c r="E452" s="825" t="s">
        <v>1907</v>
      </c>
      <c r="F452" s="823" t="s">
        <v>1888</v>
      </c>
      <c r="G452" s="823" t="s">
        <v>1988</v>
      </c>
      <c r="H452" s="823" t="s">
        <v>329</v>
      </c>
      <c r="I452" s="823" t="s">
        <v>2157</v>
      </c>
      <c r="J452" s="823" t="s">
        <v>1047</v>
      </c>
      <c r="K452" s="823" t="s">
        <v>2158</v>
      </c>
      <c r="L452" s="826">
        <v>210.38</v>
      </c>
      <c r="M452" s="826">
        <v>2103.8000000000002</v>
      </c>
      <c r="N452" s="823">
        <v>10</v>
      </c>
      <c r="O452" s="827">
        <v>7</v>
      </c>
      <c r="P452" s="826">
        <v>841.52</v>
      </c>
      <c r="Q452" s="828">
        <v>0.39999999999999997</v>
      </c>
      <c r="R452" s="823">
        <v>4</v>
      </c>
      <c r="S452" s="828">
        <v>0.4</v>
      </c>
      <c r="T452" s="827">
        <v>2.5</v>
      </c>
      <c r="U452" s="829">
        <v>0.35714285714285715</v>
      </c>
    </row>
    <row r="453" spans="1:21" ht="14.45" customHeight="1" x14ac:dyDescent="0.2">
      <c r="A453" s="822">
        <v>50</v>
      </c>
      <c r="B453" s="823" t="s">
        <v>1887</v>
      </c>
      <c r="C453" s="823" t="s">
        <v>1893</v>
      </c>
      <c r="D453" s="824" t="s">
        <v>2977</v>
      </c>
      <c r="E453" s="825" t="s">
        <v>1907</v>
      </c>
      <c r="F453" s="823" t="s">
        <v>1888</v>
      </c>
      <c r="G453" s="823" t="s">
        <v>1988</v>
      </c>
      <c r="H453" s="823" t="s">
        <v>329</v>
      </c>
      <c r="I453" s="823" t="s">
        <v>1989</v>
      </c>
      <c r="J453" s="823" t="s">
        <v>1047</v>
      </c>
      <c r="K453" s="823" t="s">
        <v>1990</v>
      </c>
      <c r="L453" s="826">
        <v>42.08</v>
      </c>
      <c r="M453" s="826">
        <v>42.08</v>
      </c>
      <c r="N453" s="823">
        <v>1</v>
      </c>
      <c r="O453" s="827">
        <v>0.5</v>
      </c>
      <c r="P453" s="826">
        <v>42.08</v>
      </c>
      <c r="Q453" s="828">
        <v>1</v>
      </c>
      <c r="R453" s="823">
        <v>1</v>
      </c>
      <c r="S453" s="828">
        <v>1</v>
      </c>
      <c r="T453" s="827">
        <v>0.5</v>
      </c>
      <c r="U453" s="829">
        <v>1</v>
      </c>
    </row>
    <row r="454" spans="1:21" ht="14.45" customHeight="1" x14ac:dyDescent="0.2">
      <c r="A454" s="822">
        <v>50</v>
      </c>
      <c r="B454" s="823" t="s">
        <v>1887</v>
      </c>
      <c r="C454" s="823" t="s">
        <v>1893</v>
      </c>
      <c r="D454" s="824" t="s">
        <v>2977</v>
      </c>
      <c r="E454" s="825" t="s">
        <v>1907</v>
      </c>
      <c r="F454" s="823" t="s">
        <v>1888</v>
      </c>
      <c r="G454" s="823" t="s">
        <v>1988</v>
      </c>
      <c r="H454" s="823" t="s">
        <v>329</v>
      </c>
      <c r="I454" s="823" t="s">
        <v>2614</v>
      </c>
      <c r="J454" s="823" t="s">
        <v>1047</v>
      </c>
      <c r="K454" s="823" t="s">
        <v>2158</v>
      </c>
      <c r="L454" s="826">
        <v>210.38</v>
      </c>
      <c r="M454" s="826">
        <v>210.38</v>
      </c>
      <c r="N454" s="823">
        <v>1</v>
      </c>
      <c r="O454" s="827">
        <v>0.5</v>
      </c>
      <c r="P454" s="826"/>
      <c r="Q454" s="828">
        <v>0</v>
      </c>
      <c r="R454" s="823"/>
      <c r="S454" s="828">
        <v>0</v>
      </c>
      <c r="T454" s="827"/>
      <c r="U454" s="829">
        <v>0</v>
      </c>
    </row>
    <row r="455" spans="1:21" ht="14.45" customHeight="1" x14ac:dyDescent="0.2">
      <c r="A455" s="822">
        <v>50</v>
      </c>
      <c r="B455" s="823" t="s">
        <v>1887</v>
      </c>
      <c r="C455" s="823" t="s">
        <v>1893</v>
      </c>
      <c r="D455" s="824" t="s">
        <v>2977</v>
      </c>
      <c r="E455" s="825" t="s">
        <v>1907</v>
      </c>
      <c r="F455" s="823" t="s">
        <v>1888</v>
      </c>
      <c r="G455" s="823" t="s">
        <v>2615</v>
      </c>
      <c r="H455" s="823" t="s">
        <v>329</v>
      </c>
      <c r="I455" s="823" t="s">
        <v>2616</v>
      </c>
      <c r="J455" s="823" t="s">
        <v>982</v>
      </c>
      <c r="K455" s="823" t="s">
        <v>2475</v>
      </c>
      <c r="L455" s="826">
        <v>282.05</v>
      </c>
      <c r="M455" s="826">
        <v>564.1</v>
      </c>
      <c r="N455" s="823">
        <v>2</v>
      </c>
      <c r="O455" s="827">
        <v>0.5</v>
      </c>
      <c r="P455" s="826">
        <v>564.1</v>
      </c>
      <c r="Q455" s="828">
        <v>1</v>
      </c>
      <c r="R455" s="823">
        <v>2</v>
      </c>
      <c r="S455" s="828">
        <v>1</v>
      </c>
      <c r="T455" s="827">
        <v>0.5</v>
      </c>
      <c r="U455" s="829">
        <v>1</v>
      </c>
    </row>
    <row r="456" spans="1:21" ht="14.45" customHeight="1" x14ac:dyDescent="0.2">
      <c r="A456" s="822">
        <v>50</v>
      </c>
      <c r="B456" s="823" t="s">
        <v>1887</v>
      </c>
      <c r="C456" s="823" t="s">
        <v>1893</v>
      </c>
      <c r="D456" s="824" t="s">
        <v>2977</v>
      </c>
      <c r="E456" s="825" t="s">
        <v>1907</v>
      </c>
      <c r="F456" s="823" t="s">
        <v>1888</v>
      </c>
      <c r="G456" s="823" t="s">
        <v>1991</v>
      </c>
      <c r="H456" s="823" t="s">
        <v>329</v>
      </c>
      <c r="I456" s="823" t="s">
        <v>1992</v>
      </c>
      <c r="J456" s="823" t="s">
        <v>1147</v>
      </c>
      <c r="K456" s="823" t="s">
        <v>1993</v>
      </c>
      <c r="L456" s="826">
        <v>219.37</v>
      </c>
      <c r="M456" s="826">
        <v>877.48</v>
      </c>
      <c r="N456" s="823">
        <v>4</v>
      </c>
      <c r="O456" s="827">
        <v>1.5</v>
      </c>
      <c r="P456" s="826">
        <v>877.48</v>
      </c>
      <c r="Q456" s="828">
        <v>1</v>
      </c>
      <c r="R456" s="823">
        <v>4</v>
      </c>
      <c r="S456" s="828">
        <v>1</v>
      </c>
      <c r="T456" s="827">
        <v>1.5</v>
      </c>
      <c r="U456" s="829">
        <v>1</v>
      </c>
    </row>
    <row r="457" spans="1:21" ht="14.45" customHeight="1" x14ac:dyDescent="0.2">
      <c r="A457" s="822">
        <v>50</v>
      </c>
      <c r="B457" s="823" t="s">
        <v>1887</v>
      </c>
      <c r="C457" s="823" t="s">
        <v>1893</v>
      </c>
      <c r="D457" s="824" t="s">
        <v>2977</v>
      </c>
      <c r="E457" s="825" t="s">
        <v>1907</v>
      </c>
      <c r="F457" s="823" t="s">
        <v>1888</v>
      </c>
      <c r="G457" s="823" t="s">
        <v>2617</v>
      </c>
      <c r="H457" s="823" t="s">
        <v>329</v>
      </c>
      <c r="I457" s="823" t="s">
        <v>2618</v>
      </c>
      <c r="J457" s="823" t="s">
        <v>2619</v>
      </c>
      <c r="K457" s="823" t="s">
        <v>2620</v>
      </c>
      <c r="L457" s="826">
        <v>333.68</v>
      </c>
      <c r="M457" s="826">
        <v>667.36</v>
      </c>
      <c r="N457" s="823">
        <v>2</v>
      </c>
      <c r="O457" s="827">
        <v>1.5</v>
      </c>
      <c r="P457" s="826"/>
      <c r="Q457" s="828">
        <v>0</v>
      </c>
      <c r="R457" s="823"/>
      <c r="S457" s="828">
        <v>0</v>
      </c>
      <c r="T457" s="827"/>
      <c r="U457" s="829">
        <v>0</v>
      </c>
    </row>
    <row r="458" spans="1:21" ht="14.45" customHeight="1" x14ac:dyDescent="0.2">
      <c r="A458" s="822">
        <v>50</v>
      </c>
      <c r="B458" s="823" t="s">
        <v>1887</v>
      </c>
      <c r="C458" s="823" t="s">
        <v>1893</v>
      </c>
      <c r="D458" s="824" t="s">
        <v>2977</v>
      </c>
      <c r="E458" s="825" t="s">
        <v>1907</v>
      </c>
      <c r="F458" s="823" t="s">
        <v>1888</v>
      </c>
      <c r="G458" s="823" t="s">
        <v>1994</v>
      </c>
      <c r="H458" s="823" t="s">
        <v>329</v>
      </c>
      <c r="I458" s="823" t="s">
        <v>1995</v>
      </c>
      <c r="J458" s="823" t="s">
        <v>1014</v>
      </c>
      <c r="K458" s="823" t="s">
        <v>1996</v>
      </c>
      <c r="L458" s="826">
        <v>79.11</v>
      </c>
      <c r="M458" s="826">
        <v>158.22</v>
      </c>
      <c r="N458" s="823">
        <v>2</v>
      </c>
      <c r="O458" s="827">
        <v>1</v>
      </c>
      <c r="P458" s="826">
        <v>158.22</v>
      </c>
      <c r="Q458" s="828">
        <v>1</v>
      </c>
      <c r="R458" s="823">
        <v>2</v>
      </c>
      <c r="S458" s="828">
        <v>1</v>
      </c>
      <c r="T458" s="827">
        <v>1</v>
      </c>
      <c r="U458" s="829">
        <v>1</v>
      </c>
    </row>
    <row r="459" spans="1:21" ht="14.45" customHeight="1" x14ac:dyDescent="0.2">
      <c r="A459" s="822">
        <v>50</v>
      </c>
      <c r="B459" s="823" t="s">
        <v>1887</v>
      </c>
      <c r="C459" s="823" t="s">
        <v>1893</v>
      </c>
      <c r="D459" s="824" t="s">
        <v>2977</v>
      </c>
      <c r="E459" s="825" t="s">
        <v>1907</v>
      </c>
      <c r="F459" s="823" t="s">
        <v>1888</v>
      </c>
      <c r="G459" s="823" t="s">
        <v>1994</v>
      </c>
      <c r="H459" s="823" t="s">
        <v>329</v>
      </c>
      <c r="I459" s="823" t="s">
        <v>2165</v>
      </c>
      <c r="J459" s="823" t="s">
        <v>1014</v>
      </c>
      <c r="K459" s="823" t="s">
        <v>1015</v>
      </c>
      <c r="L459" s="826">
        <v>263.68</v>
      </c>
      <c r="M459" s="826">
        <v>3427.84</v>
      </c>
      <c r="N459" s="823">
        <v>13</v>
      </c>
      <c r="O459" s="827">
        <v>11.5</v>
      </c>
      <c r="P459" s="826">
        <v>1054.72</v>
      </c>
      <c r="Q459" s="828">
        <v>0.30769230769230771</v>
      </c>
      <c r="R459" s="823">
        <v>4</v>
      </c>
      <c r="S459" s="828">
        <v>0.30769230769230771</v>
      </c>
      <c r="T459" s="827">
        <v>3.5</v>
      </c>
      <c r="U459" s="829">
        <v>0.30434782608695654</v>
      </c>
    </row>
    <row r="460" spans="1:21" ht="14.45" customHeight="1" x14ac:dyDescent="0.2">
      <c r="A460" s="822">
        <v>50</v>
      </c>
      <c r="B460" s="823" t="s">
        <v>1887</v>
      </c>
      <c r="C460" s="823" t="s">
        <v>1893</v>
      </c>
      <c r="D460" s="824" t="s">
        <v>2977</v>
      </c>
      <c r="E460" s="825" t="s">
        <v>1907</v>
      </c>
      <c r="F460" s="823" t="s">
        <v>1888</v>
      </c>
      <c r="G460" s="823" t="s">
        <v>1994</v>
      </c>
      <c r="H460" s="823" t="s">
        <v>329</v>
      </c>
      <c r="I460" s="823" t="s">
        <v>2621</v>
      </c>
      <c r="J460" s="823" t="s">
        <v>2622</v>
      </c>
      <c r="K460" s="823" t="s">
        <v>2623</v>
      </c>
      <c r="L460" s="826">
        <v>221.48</v>
      </c>
      <c r="M460" s="826">
        <v>221.48</v>
      </c>
      <c r="N460" s="823">
        <v>1</v>
      </c>
      <c r="O460" s="827">
        <v>0.5</v>
      </c>
      <c r="P460" s="826">
        <v>221.48</v>
      </c>
      <c r="Q460" s="828">
        <v>1</v>
      </c>
      <c r="R460" s="823">
        <v>1</v>
      </c>
      <c r="S460" s="828">
        <v>1</v>
      </c>
      <c r="T460" s="827">
        <v>0.5</v>
      </c>
      <c r="U460" s="829">
        <v>1</v>
      </c>
    </row>
    <row r="461" spans="1:21" ht="14.45" customHeight="1" x14ac:dyDescent="0.2">
      <c r="A461" s="822">
        <v>50</v>
      </c>
      <c r="B461" s="823" t="s">
        <v>1887</v>
      </c>
      <c r="C461" s="823" t="s">
        <v>1893</v>
      </c>
      <c r="D461" s="824" t="s">
        <v>2977</v>
      </c>
      <c r="E461" s="825" t="s">
        <v>1907</v>
      </c>
      <c r="F461" s="823" t="s">
        <v>1888</v>
      </c>
      <c r="G461" s="823" t="s">
        <v>2170</v>
      </c>
      <c r="H461" s="823" t="s">
        <v>329</v>
      </c>
      <c r="I461" s="823" t="s">
        <v>2624</v>
      </c>
      <c r="J461" s="823" t="s">
        <v>2625</v>
      </c>
      <c r="K461" s="823" t="s">
        <v>2626</v>
      </c>
      <c r="L461" s="826">
        <v>330.58</v>
      </c>
      <c r="M461" s="826">
        <v>1983.48</v>
      </c>
      <c r="N461" s="823">
        <v>6</v>
      </c>
      <c r="O461" s="827">
        <v>5.5</v>
      </c>
      <c r="P461" s="826">
        <v>661.16</v>
      </c>
      <c r="Q461" s="828">
        <v>0.33333333333333331</v>
      </c>
      <c r="R461" s="823">
        <v>2</v>
      </c>
      <c r="S461" s="828">
        <v>0.33333333333333331</v>
      </c>
      <c r="T461" s="827">
        <v>2</v>
      </c>
      <c r="U461" s="829">
        <v>0.36363636363636365</v>
      </c>
    </row>
    <row r="462" spans="1:21" ht="14.45" customHeight="1" x14ac:dyDescent="0.2">
      <c r="A462" s="822">
        <v>50</v>
      </c>
      <c r="B462" s="823" t="s">
        <v>1887</v>
      </c>
      <c r="C462" s="823" t="s">
        <v>1893</v>
      </c>
      <c r="D462" s="824" t="s">
        <v>2977</v>
      </c>
      <c r="E462" s="825" t="s">
        <v>1907</v>
      </c>
      <c r="F462" s="823" t="s">
        <v>1888</v>
      </c>
      <c r="G462" s="823" t="s">
        <v>2170</v>
      </c>
      <c r="H462" s="823" t="s">
        <v>329</v>
      </c>
      <c r="I462" s="823" t="s">
        <v>2627</v>
      </c>
      <c r="J462" s="823" t="s">
        <v>2625</v>
      </c>
      <c r="K462" s="823" t="s">
        <v>2628</v>
      </c>
      <c r="L462" s="826">
        <v>150.13999999999999</v>
      </c>
      <c r="M462" s="826">
        <v>1201.1199999999999</v>
      </c>
      <c r="N462" s="823">
        <v>8</v>
      </c>
      <c r="O462" s="827">
        <v>3</v>
      </c>
      <c r="P462" s="826">
        <v>1201.1199999999999</v>
      </c>
      <c r="Q462" s="828">
        <v>1</v>
      </c>
      <c r="R462" s="823">
        <v>8</v>
      </c>
      <c r="S462" s="828">
        <v>1</v>
      </c>
      <c r="T462" s="827">
        <v>3</v>
      </c>
      <c r="U462" s="829">
        <v>1</v>
      </c>
    </row>
    <row r="463" spans="1:21" ht="14.45" customHeight="1" x14ac:dyDescent="0.2">
      <c r="A463" s="822">
        <v>50</v>
      </c>
      <c r="B463" s="823" t="s">
        <v>1887</v>
      </c>
      <c r="C463" s="823" t="s">
        <v>1893</v>
      </c>
      <c r="D463" s="824" t="s">
        <v>2977</v>
      </c>
      <c r="E463" s="825" t="s">
        <v>1907</v>
      </c>
      <c r="F463" s="823" t="s">
        <v>1888</v>
      </c>
      <c r="G463" s="823" t="s">
        <v>2174</v>
      </c>
      <c r="H463" s="823" t="s">
        <v>329</v>
      </c>
      <c r="I463" s="823" t="s">
        <v>2629</v>
      </c>
      <c r="J463" s="823" t="s">
        <v>2630</v>
      </c>
      <c r="K463" s="823" t="s">
        <v>2631</v>
      </c>
      <c r="L463" s="826">
        <v>59.88</v>
      </c>
      <c r="M463" s="826">
        <v>479.04</v>
      </c>
      <c r="N463" s="823">
        <v>8</v>
      </c>
      <c r="O463" s="827">
        <v>1</v>
      </c>
      <c r="P463" s="826"/>
      <c r="Q463" s="828">
        <v>0</v>
      </c>
      <c r="R463" s="823"/>
      <c r="S463" s="828">
        <v>0</v>
      </c>
      <c r="T463" s="827"/>
      <c r="U463" s="829">
        <v>0</v>
      </c>
    </row>
    <row r="464" spans="1:21" ht="14.45" customHeight="1" x14ac:dyDescent="0.2">
      <c r="A464" s="822">
        <v>50</v>
      </c>
      <c r="B464" s="823" t="s">
        <v>1887</v>
      </c>
      <c r="C464" s="823" t="s">
        <v>1893</v>
      </c>
      <c r="D464" s="824" t="s">
        <v>2977</v>
      </c>
      <c r="E464" s="825" t="s">
        <v>1907</v>
      </c>
      <c r="F464" s="823" t="s">
        <v>1888</v>
      </c>
      <c r="G464" s="823" t="s">
        <v>2174</v>
      </c>
      <c r="H464" s="823" t="s">
        <v>625</v>
      </c>
      <c r="I464" s="823" t="s">
        <v>2175</v>
      </c>
      <c r="J464" s="823" t="s">
        <v>2176</v>
      </c>
      <c r="K464" s="823" t="s">
        <v>2177</v>
      </c>
      <c r="L464" s="826">
        <v>345.69</v>
      </c>
      <c r="M464" s="826">
        <v>5185.3500000000004</v>
      </c>
      <c r="N464" s="823">
        <v>15</v>
      </c>
      <c r="O464" s="827">
        <v>12.5</v>
      </c>
      <c r="P464" s="826">
        <v>1728.45</v>
      </c>
      <c r="Q464" s="828">
        <v>0.33333333333333331</v>
      </c>
      <c r="R464" s="823">
        <v>5</v>
      </c>
      <c r="S464" s="828">
        <v>0.33333333333333331</v>
      </c>
      <c r="T464" s="827">
        <v>5</v>
      </c>
      <c r="U464" s="829">
        <v>0.4</v>
      </c>
    </row>
    <row r="465" spans="1:21" ht="14.45" customHeight="1" x14ac:dyDescent="0.2">
      <c r="A465" s="822">
        <v>50</v>
      </c>
      <c r="B465" s="823" t="s">
        <v>1887</v>
      </c>
      <c r="C465" s="823" t="s">
        <v>1893</v>
      </c>
      <c r="D465" s="824" t="s">
        <v>2977</v>
      </c>
      <c r="E465" s="825" t="s">
        <v>1907</v>
      </c>
      <c r="F465" s="823" t="s">
        <v>1888</v>
      </c>
      <c r="G465" s="823" t="s">
        <v>2174</v>
      </c>
      <c r="H465" s="823" t="s">
        <v>625</v>
      </c>
      <c r="I465" s="823" t="s">
        <v>2632</v>
      </c>
      <c r="J465" s="823" t="s">
        <v>2176</v>
      </c>
      <c r="K465" s="823" t="s">
        <v>2633</v>
      </c>
      <c r="L465" s="826">
        <v>86.73</v>
      </c>
      <c r="M465" s="826">
        <v>2081.52</v>
      </c>
      <c r="N465" s="823">
        <v>24</v>
      </c>
      <c r="O465" s="827">
        <v>5</v>
      </c>
      <c r="P465" s="826">
        <v>1300.95</v>
      </c>
      <c r="Q465" s="828">
        <v>0.625</v>
      </c>
      <c r="R465" s="823">
        <v>15</v>
      </c>
      <c r="S465" s="828">
        <v>0.625</v>
      </c>
      <c r="T465" s="827">
        <v>3</v>
      </c>
      <c r="U465" s="829">
        <v>0.6</v>
      </c>
    </row>
    <row r="466" spans="1:21" ht="14.45" customHeight="1" x14ac:dyDescent="0.2">
      <c r="A466" s="822">
        <v>50</v>
      </c>
      <c r="B466" s="823" t="s">
        <v>1887</v>
      </c>
      <c r="C466" s="823" t="s">
        <v>1893</v>
      </c>
      <c r="D466" s="824" t="s">
        <v>2977</v>
      </c>
      <c r="E466" s="825" t="s">
        <v>1907</v>
      </c>
      <c r="F466" s="823" t="s">
        <v>1888</v>
      </c>
      <c r="G466" s="823" t="s">
        <v>2634</v>
      </c>
      <c r="H466" s="823" t="s">
        <v>329</v>
      </c>
      <c r="I466" s="823" t="s">
        <v>2635</v>
      </c>
      <c r="J466" s="823" t="s">
        <v>2636</v>
      </c>
      <c r="K466" s="823" t="s">
        <v>2637</v>
      </c>
      <c r="L466" s="826">
        <v>580.38</v>
      </c>
      <c r="M466" s="826">
        <v>580.38</v>
      </c>
      <c r="N466" s="823">
        <v>1</v>
      </c>
      <c r="O466" s="827">
        <v>1</v>
      </c>
      <c r="P466" s="826">
        <v>580.38</v>
      </c>
      <c r="Q466" s="828">
        <v>1</v>
      </c>
      <c r="R466" s="823">
        <v>1</v>
      </c>
      <c r="S466" s="828">
        <v>1</v>
      </c>
      <c r="T466" s="827">
        <v>1</v>
      </c>
      <c r="U466" s="829">
        <v>1</v>
      </c>
    </row>
    <row r="467" spans="1:21" ht="14.45" customHeight="1" x14ac:dyDescent="0.2">
      <c r="A467" s="822">
        <v>50</v>
      </c>
      <c r="B467" s="823" t="s">
        <v>1887</v>
      </c>
      <c r="C467" s="823" t="s">
        <v>1893</v>
      </c>
      <c r="D467" s="824" t="s">
        <v>2977</v>
      </c>
      <c r="E467" s="825" t="s">
        <v>1907</v>
      </c>
      <c r="F467" s="823" t="s">
        <v>1888</v>
      </c>
      <c r="G467" s="823" t="s">
        <v>2374</v>
      </c>
      <c r="H467" s="823" t="s">
        <v>329</v>
      </c>
      <c r="I467" s="823" t="s">
        <v>2638</v>
      </c>
      <c r="J467" s="823" t="s">
        <v>2376</v>
      </c>
      <c r="K467" s="823" t="s">
        <v>2639</v>
      </c>
      <c r="L467" s="826">
        <v>264</v>
      </c>
      <c r="M467" s="826">
        <v>1320</v>
      </c>
      <c r="N467" s="823">
        <v>5</v>
      </c>
      <c r="O467" s="827">
        <v>3.5</v>
      </c>
      <c r="P467" s="826">
        <v>1056</v>
      </c>
      <c r="Q467" s="828">
        <v>0.8</v>
      </c>
      <c r="R467" s="823">
        <v>4</v>
      </c>
      <c r="S467" s="828">
        <v>0.8</v>
      </c>
      <c r="T467" s="827">
        <v>3</v>
      </c>
      <c r="U467" s="829">
        <v>0.8571428571428571</v>
      </c>
    </row>
    <row r="468" spans="1:21" ht="14.45" customHeight="1" x14ac:dyDescent="0.2">
      <c r="A468" s="822">
        <v>50</v>
      </c>
      <c r="B468" s="823" t="s">
        <v>1887</v>
      </c>
      <c r="C468" s="823" t="s">
        <v>1893</v>
      </c>
      <c r="D468" s="824" t="s">
        <v>2977</v>
      </c>
      <c r="E468" s="825" t="s">
        <v>1907</v>
      </c>
      <c r="F468" s="823" t="s">
        <v>1888</v>
      </c>
      <c r="G468" s="823" t="s">
        <v>2178</v>
      </c>
      <c r="H468" s="823" t="s">
        <v>329</v>
      </c>
      <c r="I468" s="823" t="s">
        <v>2179</v>
      </c>
      <c r="J468" s="823" t="s">
        <v>2180</v>
      </c>
      <c r="K468" s="823" t="s">
        <v>2181</v>
      </c>
      <c r="L468" s="826">
        <v>131.32</v>
      </c>
      <c r="M468" s="826">
        <v>1181.8799999999999</v>
      </c>
      <c r="N468" s="823">
        <v>9</v>
      </c>
      <c r="O468" s="827">
        <v>2.5</v>
      </c>
      <c r="P468" s="826">
        <v>787.92</v>
      </c>
      <c r="Q468" s="828">
        <v>0.66666666666666674</v>
      </c>
      <c r="R468" s="823">
        <v>6</v>
      </c>
      <c r="S468" s="828">
        <v>0.66666666666666663</v>
      </c>
      <c r="T468" s="827">
        <v>2</v>
      </c>
      <c r="U468" s="829">
        <v>0.8</v>
      </c>
    </row>
    <row r="469" spans="1:21" ht="14.45" customHeight="1" x14ac:dyDescent="0.2">
      <c r="A469" s="822">
        <v>50</v>
      </c>
      <c r="B469" s="823" t="s">
        <v>1887</v>
      </c>
      <c r="C469" s="823" t="s">
        <v>1893</v>
      </c>
      <c r="D469" s="824" t="s">
        <v>2977</v>
      </c>
      <c r="E469" s="825" t="s">
        <v>1907</v>
      </c>
      <c r="F469" s="823" t="s">
        <v>1888</v>
      </c>
      <c r="G469" s="823" t="s">
        <v>2178</v>
      </c>
      <c r="H469" s="823" t="s">
        <v>329</v>
      </c>
      <c r="I469" s="823" t="s">
        <v>2640</v>
      </c>
      <c r="J469" s="823" t="s">
        <v>2180</v>
      </c>
      <c r="K469" s="823" t="s">
        <v>2641</v>
      </c>
      <c r="L469" s="826">
        <v>393.94</v>
      </c>
      <c r="M469" s="826">
        <v>787.88</v>
      </c>
      <c r="N469" s="823">
        <v>2</v>
      </c>
      <c r="O469" s="827">
        <v>1.5</v>
      </c>
      <c r="P469" s="826">
        <v>393.94</v>
      </c>
      <c r="Q469" s="828">
        <v>0.5</v>
      </c>
      <c r="R469" s="823">
        <v>1</v>
      </c>
      <c r="S469" s="828">
        <v>0.5</v>
      </c>
      <c r="T469" s="827">
        <v>0.5</v>
      </c>
      <c r="U469" s="829">
        <v>0.33333333333333331</v>
      </c>
    </row>
    <row r="470" spans="1:21" ht="14.45" customHeight="1" x14ac:dyDescent="0.2">
      <c r="A470" s="822">
        <v>50</v>
      </c>
      <c r="B470" s="823" t="s">
        <v>1887</v>
      </c>
      <c r="C470" s="823" t="s">
        <v>1893</v>
      </c>
      <c r="D470" s="824" t="s">
        <v>2977</v>
      </c>
      <c r="E470" s="825" t="s">
        <v>1907</v>
      </c>
      <c r="F470" s="823" t="s">
        <v>1888</v>
      </c>
      <c r="G470" s="823" t="s">
        <v>2178</v>
      </c>
      <c r="H470" s="823" t="s">
        <v>625</v>
      </c>
      <c r="I470" s="823" t="s">
        <v>2642</v>
      </c>
      <c r="J470" s="823" t="s">
        <v>2643</v>
      </c>
      <c r="K470" s="823" t="s">
        <v>2644</v>
      </c>
      <c r="L470" s="826">
        <v>131.32</v>
      </c>
      <c r="M470" s="826">
        <v>1181.8799999999999</v>
      </c>
      <c r="N470" s="823">
        <v>9</v>
      </c>
      <c r="O470" s="827">
        <v>2.5</v>
      </c>
      <c r="P470" s="826">
        <v>787.92</v>
      </c>
      <c r="Q470" s="828">
        <v>0.66666666666666674</v>
      </c>
      <c r="R470" s="823">
        <v>6</v>
      </c>
      <c r="S470" s="828">
        <v>0.66666666666666663</v>
      </c>
      <c r="T470" s="827">
        <v>2</v>
      </c>
      <c r="U470" s="829">
        <v>0.8</v>
      </c>
    </row>
    <row r="471" spans="1:21" ht="14.45" customHeight="1" x14ac:dyDescent="0.2">
      <c r="A471" s="822">
        <v>50</v>
      </c>
      <c r="B471" s="823" t="s">
        <v>1887</v>
      </c>
      <c r="C471" s="823" t="s">
        <v>1893</v>
      </c>
      <c r="D471" s="824" t="s">
        <v>2977</v>
      </c>
      <c r="E471" s="825" t="s">
        <v>1907</v>
      </c>
      <c r="F471" s="823" t="s">
        <v>1888</v>
      </c>
      <c r="G471" s="823" t="s">
        <v>2645</v>
      </c>
      <c r="H471" s="823" t="s">
        <v>329</v>
      </c>
      <c r="I471" s="823" t="s">
        <v>2646</v>
      </c>
      <c r="J471" s="823" t="s">
        <v>2647</v>
      </c>
      <c r="K471" s="823" t="s">
        <v>2648</v>
      </c>
      <c r="L471" s="826">
        <v>87.87</v>
      </c>
      <c r="M471" s="826">
        <v>351.48</v>
      </c>
      <c r="N471" s="823">
        <v>4</v>
      </c>
      <c r="O471" s="827">
        <v>0.5</v>
      </c>
      <c r="P471" s="826">
        <v>351.48</v>
      </c>
      <c r="Q471" s="828">
        <v>1</v>
      </c>
      <c r="R471" s="823">
        <v>4</v>
      </c>
      <c r="S471" s="828">
        <v>1</v>
      </c>
      <c r="T471" s="827">
        <v>0.5</v>
      </c>
      <c r="U471" s="829">
        <v>1</v>
      </c>
    </row>
    <row r="472" spans="1:21" ht="14.45" customHeight="1" x14ac:dyDescent="0.2">
      <c r="A472" s="822">
        <v>50</v>
      </c>
      <c r="B472" s="823" t="s">
        <v>1887</v>
      </c>
      <c r="C472" s="823" t="s">
        <v>1893</v>
      </c>
      <c r="D472" s="824" t="s">
        <v>2977</v>
      </c>
      <c r="E472" s="825" t="s">
        <v>1907</v>
      </c>
      <c r="F472" s="823" t="s">
        <v>1888</v>
      </c>
      <c r="G472" s="823" t="s">
        <v>2182</v>
      </c>
      <c r="H472" s="823" t="s">
        <v>625</v>
      </c>
      <c r="I472" s="823" t="s">
        <v>2649</v>
      </c>
      <c r="J472" s="823" t="s">
        <v>2650</v>
      </c>
      <c r="K472" s="823" t="s">
        <v>2651</v>
      </c>
      <c r="L472" s="826">
        <v>218.73</v>
      </c>
      <c r="M472" s="826">
        <v>437.46</v>
      </c>
      <c r="N472" s="823">
        <v>2</v>
      </c>
      <c r="O472" s="827">
        <v>0.5</v>
      </c>
      <c r="P472" s="826"/>
      <c r="Q472" s="828">
        <v>0</v>
      </c>
      <c r="R472" s="823"/>
      <c r="S472" s="828">
        <v>0</v>
      </c>
      <c r="T472" s="827"/>
      <c r="U472" s="829">
        <v>0</v>
      </c>
    </row>
    <row r="473" spans="1:21" ht="14.45" customHeight="1" x14ac:dyDescent="0.2">
      <c r="A473" s="822">
        <v>50</v>
      </c>
      <c r="B473" s="823" t="s">
        <v>1887</v>
      </c>
      <c r="C473" s="823" t="s">
        <v>1893</v>
      </c>
      <c r="D473" s="824" t="s">
        <v>2977</v>
      </c>
      <c r="E473" s="825" t="s">
        <v>1907</v>
      </c>
      <c r="F473" s="823" t="s">
        <v>1888</v>
      </c>
      <c r="G473" s="823" t="s">
        <v>2182</v>
      </c>
      <c r="H473" s="823" t="s">
        <v>625</v>
      </c>
      <c r="I473" s="823" t="s">
        <v>2652</v>
      </c>
      <c r="J473" s="823" t="s">
        <v>2650</v>
      </c>
      <c r="K473" s="823" t="s">
        <v>2653</v>
      </c>
      <c r="L473" s="826">
        <v>729.09</v>
      </c>
      <c r="M473" s="826">
        <v>3645.45</v>
      </c>
      <c r="N473" s="823">
        <v>5</v>
      </c>
      <c r="O473" s="827">
        <v>4</v>
      </c>
      <c r="P473" s="826">
        <v>2187.27</v>
      </c>
      <c r="Q473" s="828">
        <v>0.6</v>
      </c>
      <c r="R473" s="823">
        <v>3</v>
      </c>
      <c r="S473" s="828">
        <v>0.6</v>
      </c>
      <c r="T473" s="827">
        <v>2.5</v>
      </c>
      <c r="U473" s="829">
        <v>0.625</v>
      </c>
    </row>
    <row r="474" spans="1:21" ht="14.45" customHeight="1" x14ac:dyDescent="0.2">
      <c r="A474" s="822">
        <v>50</v>
      </c>
      <c r="B474" s="823" t="s">
        <v>1887</v>
      </c>
      <c r="C474" s="823" t="s">
        <v>1893</v>
      </c>
      <c r="D474" s="824" t="s">
        <v>2977</v>
      </c>
      <c r="E474" s="825" t="s">
        <v>1907</v>
      </c>
      <c r="F474" s="823" t="s">
        <v>1888</v>
      </c>
      <c r="G474" s="823" t="s">
        <v>2001</v>
      </c>
      <c r="H474" s="823" t="s">
        <v>625</v>
      </c>
      <c r="I474" s="823" t="s">
        <v>1549</v>
      </c>
      <c r="J474" s="823" t="s">
        <v>1547</v>
      </c>
      <c r="K474" s="823" t="s">
        <v>1550</v>
      </c>
      <c r="L474" s="826">
        <v>184.74</v>
      </c>
      <c r="M474" s="826">
        <v>554.22</v>
      </c>
      <c r="N474" s="823">
        <v>3</v>
      </c>
      <c r="O474" s="827">
        <v>2.5</v>
      </c>
      <c r="P474" s="826"/>
      <c r="Q474" s="828">
        <v>0</v>
      </c>
      <c r="R474" s="823"/>
      <c r="S474" s="828">
        <v>0</v>
      </c>
      <c r="T474" s="827"/>
      <c r="U474" s="829">
        <v>0</v>
      </c>
    </row>
    <row r="475" spans="1:21" ht="14.45" customHeight="1" x14ac:dyDescent="0.2">
      <c r="A475" s="822">
        <v>50</v>
      </c>
      <c r="B475" s="823" t="s">
        <v>1887</v>
      </c>
      <c r="C475" s="823" t="s">
        <v>1893</v>
      </c>
      <c r="D475" s="824" t="s">
        <v>2977</v>
      </c>
      <c r="E475" s="825" t="s">
        <v>1907</v>
      </c>
      <c r="F475" s="823" t="s">
        <v>1888</v>
      </c>
      <c r="G475" s="823" t="s">
        <v>2001</v>
      </c>
      <c r="H475" s="823" t="s">
        <v>625</v>
      </c>
      <c r="I475" s="823" t="s">
        <v>2186</v>
      </c>
      <c r="J475" s="823" t="s">
        <v>2187</v>
      </c>
      <c r="K475" s="823" t="s">
        <v>2188</v>
      </c>
      <c r="L475" s="826">
        <v>120.61</v>
      </c>
      <c r="M475" s="826">
        <v>482.44</v>
      </c>
      <c r="N475" s="823">
        <v>4</v>
      </c>
      <c r="O475" s="827">
        <v>2</v>
      </c>
      <c r="P475" s="826">
        <v>241.22</v>
      </c>
      <c r="Q475" s="828">
        <v>0.5</v>
      </c>
      <c r="R475" s="823">
        <v>2</v>
      </c>
      <c r="S475" s="828">
        <v>0.5</v>
      </c>
      <c r="T475" s="827">
        <v>0.5</v>
      </c>
      <c r="U475" s="829">
        <v>0.25</v>
      </c>
    </row>
    <row r="476" spans="1:21" ht="14.45" customHeight="1" x14ac:dyDescent="0.2">
      <c r="A476" s="822">
        <v>50</v>
      </c>
      <c r="B476" s="823" t="s">
        <v>1887</v>
      </c>
      <c r="C476" s="823" t="s">
        <v>1893</v>
      </c>
      <c r="D476" s="824" t="s">
        <v>2977</v>
      </c>
      <c r="E476" s="825" t="s">
        <v>1907</v>
      </c>
      <c r="F476" s="823" t="s">
        <v>1888</v>
      </c>
      <c r="G476" s="823" t="s">
        <v>2189</v>
      </c>
      <c r="H476" s="823" t="s">
        <v>329</v>
      </c>
      <c r="I476" s="823" t="s">
        <v>2654</v>
      </c>
      <c r="J476" s="823" t="s">
        <v>2655</v>
      </c>
      <c r="K476" s="823" t="s">
        <v>1849</v>
      </c>
      <c r="L476" s="826">
        <v>0</v>
      </c>
      <c r="M476" s="826">
        <v>0</v>
      </c>
      <c r="N476" s="823">
        <v>7</v>
      </c>
      <c r="O476" s="827">
        <v>2</v>
      </c>
      <c r="P476" s="826"/>
      <c r="Q476" s="828"/>
      <c r="R476" s="823"/>
      <c r="S476" s="828">
        <v>0</v>
      </c>
      <c r="T476" s="827"/>
      <c r="U476" s="829">
        <v>0</v>
      </c>
    </row>
    <row r="477" spans="1:21" ht="14.45" customHeight="1" x14ac:dyDescent="0.2">
      <c r="A477" s="822">
        <v>50</v>
      </c>
      <c r="B477" s="823" t="s">
        <v>1887</v>
      </c>
      <c r="C477" s="823" t="s">
        <v>1893</v>
      </c>
      <c r="D477" s="824" t="s">
        <v>2977</v>
      </c>
      <c r="E477" s="825" t="s">
        <v>1907</v>
      </c>
      <c r="F477" s="823" t="s">
        <v>1888</v>
      </c>
      <c r="G477" s="823" t="s">
        <v>2189</v>
      </c>
      <c r="H477" s="823" t="s">
        <v>329</v>
      </c>
      <c r="I477" s="823" t="s">
        <v>2656</v>
      </c>
      <c r="J477" s="823" t="s">
        <v>2657</v>
      </c>
      <c r="K477" s="823" t="s">
        <v>2153</v>
      </c>
      <c r="L477" s="826">
        <v>0</v>
      </c>
      <c r="M477" s="826">
        <v>0</v>
      </c>
      <c r="N477" s="823">
        <v>2</v>
      </c>
      <c r="O477" s="827">
        <v>2</v>
      </c>
      <c r="P477" s="826">
        <v>0</v>
      </c>
      <c r="Q477" s="828"/>
      <c r="R477" s="823">
        <v>2</v>
      </c>
      <c r="S477" s="828">
        <v>1</v>
      </c>
      <c r="T477" s="827">
        <v>2</v>
      </c>
      <c r="U477" s="829">
        <v>1</v>
      </c>
    </row>
    <row r="478" spans="1:21" ht="14.45" customHeight="1" x14ac:dyDescent="0.2">
      <c r="A478" s="822">
        <v>50</v>
      </c>
      <c r="B478" s="823" t="s">
        <v>1887</v>
      </c>
      <c r="C478" s="823" t="s">
        <v>1893</v>
      </c>
      <c r="D478" s="824" t="s">
        <v>2977</v>
      </c>
      <c r="E478" s="825" t="s">
        <v>1907</v>
      </c>
      <c r="F478" s="823" t="s">
        <v>1888</v>
      </c>
      <c r="G478" s="823" t="s">
        <v>2189</v>
      </c>
      <c r="H478" s="823" t="s">
        <v>625</v>
      </c>
      <c r="I478" s="823" t="s">
        <v>1745</v>
      </c>
      <c r="J478" s="823" t="s">
        <v>1066</v>
      </c>
      <c r="K478" s="823" t="s">
        <v>1746</v>
      </c>
      <c r="L478" s="826">
        <v>0</v>
      </c>
      <c r="M478" s="826">
        <v>0</v>
      </c>
      <c r="N478" s="823">
        <v>8</v>
      </c>
      <c r="O478" s="827">
        <v>4</v>
      </c>
      <c r="P478" s="826">
        <v>0</v>
      </c>
      <c r="Q478" s="828"/>
      <c r="R478" s="823">
        <v>4</v>
      </c>
      <c r="S478" s="828">
        <v>0.5</v>
      </c>
      <c r="T478" s="827">
        <v>2</v>
      </c>
      <c r="U478" s="829">
        <v>0.5</v>
      </c>
    </row>
    <row r="479" spans="1:21" ht="14.45" customHeight="1" x14ac:dyDescent="0.2">
      <c r="A479" s="822">
        <v>50</v>
      </c>
      <c r="B479" s="823" t="s">
        <v>1887</v>
      </c>
      <c r="C479" s="823" t="s">
        <v>1893</v>
      </c>
      <c r="D479" s="824" t="s">
        <v>2977</v>
      </c>
      <c r="E479" s="825" t="s">
        <v>1907</v>
      </c>
      <c r="F479" s="823" t="s">
        <v>1888</v>
      </c>
      <c r="G479" s="823" t="s">
        <v>2002</v>
      </c>
      <c r="H479" s="823" t="s">
        <v>625</v>
      </c>
      <c r="I479" s="823" t="s">
        <v>2190</v>
      </c>
      <c r="J479" s="823" t="s">
        <v>1574</v>
      </c>
      <c r="K479" s="823" t="s">
        <v>2191</v>
      </c>
      <c r="L479" s="826">
        <v>4961.1400000000003</v>
      </c>
      <c r="M479" s="826">
        <v>4961.1400000000003</v>
      </c>
      <c r="N479" s="823">
        <v>1</v>
      </c>
      <c r="O479" s="827">
        <v>0.5</v>
      </c>
      <c r="P479" s="826">
        <v>4961.1400000000003</v>
      </c>
      <c r="Q479" s="828">
        <v>1</v>
      </c>
      <c r="R479" s="823">
        <v>1</v>
      </c>
      <c r="S479" s="828">
        <v>1</v>
      </c>
      <c r="T479" s="827">
        <v>0.5</v>
      </c>
      <c r="U479" s="829">
        <v>1</v>
      </c>
    </row>
    <row r="480" spans="1:21" ht="14.45" customHeight="1" x14ac:dyDescent="0.2">
      <c r="A480" s="822">
        <v>50</v>
      </c>
      <c r="B480" s="823" t="s">
        <v>1887</v>
      </c>
      <c r="C480" s="823" t="s">
        <v>1893</v>
      </c>
      <c r="D480" s="824" t="s">
        <v>2977</v>
      </c>
      <c r="E480" s="825" t="s">
        <v>1907</v>
      </c>
      <c r="F480" s="823" t="s">
        <v>1888</v>
      </c>
      <c r="G480" s="823" t="s">
        <v>2002</v>
      </c>
      <c r="H480" s="823" t="s">
        <v>625</v>
      </c>
      <c r="I480" s="823" t="s">
        <v>1576</v>
      </c>
      <c r="J480" s="823" t="s">
        <v>1574</v>
      </c>
      <c r="K480" s="823" t="s">
        <v>1577</v>
      </c>
      <c r="L480" s="826">
        <v>1771.84</v>
      </c>
      <c r="M480" s="826">
        <v>83276.479999999981</v>
      </c>
      <c r="N480" s="823">
        <v>47</v>
      </c>
      <c r="O480" s="827">
        <v>15</v>
      </c>
      <c r="P480" s="826">
        <v>15946.559999999998</v>
      </c>
      <c r="Q480" s="828">
        <v>0.19148936170212769</v>
      </c>
      <c r="R480" s="823">
        <v>9</v>
      </c>
      <c r="S480" s="828">
        <v>0.19148936170212766</v>
      </c>
      <c r="T480" s="827">
        <v>2.5</v>
      </c>
      <c r="U480" s="829">
        <v>0.16666666666666666</v>
      </c>
    </row>
    <row r="481" spans="1:21" ht="14.45" customHeight="1" x14ac:dyDescent="0.2">
      <c r="A481" s="822">
        <v>50</v>
      </c>
      <c r="B481" s="823" t="s">
        <v>1887</v>
      </c>
      <c r="C481" s="823" t="s">
        <v>1893</v>
      </c>
      <c r="D481" s="824" t="s">
        <v>2977</v>
      </c>
      <c r="E481" s="825" t="s">
        <v>1907</v>
      </c>
      <c r="F481" s="823" t="s">
        <v>1888</v>
      </c>
      <c r="G481" s="823" t="s">
        <v>2002</v>
      </c>
      <c r="H481" s="823" t="s">
        <v>625</v>
      </c>
      <c r="I481" s="823" t="s">
        <v>1573</v>
      </c>
      <c r="J481" s="823" t="s">
        <v>1574</v>
      </c>
      <c r="K481" s="823" t="s">
        <v>1575</v>
      </c>
      <c r="L481" s="826">
        <v>2669.75</v>
      </c>
      <c r="M481" s="826">
        <v>8009.25</v>
      </c>
      <c r="N481" s="823">
        <v>3</v>
      </c>
      <c r="O481" s="827">
        <v>2.5</v>
      </c>
      <c r="P481" s="826">
        <v>2669.75</v>
      </c>
      <c r="Q481" s="828">
        <v>0.33333333333333331</v>
      </c>
      <c r="R481" s="823">
        <v>1</v>
      </c>
      <c r="S481" s="828">
        <v>0.33333333333333331</v>
      </c>
      <c r="T481" s="827">
        <v>0.5</v>
      </c>
      <c r="U481" s="829">
        <v>0.2</v>
      </c>
    </row>
    <row r="482" spans="1:21" ht="14.45" customHeight="1" x14ac:dyDescent="0.2">
      <c r="A482" s="822">
        <v>50</v>
      </c>
      <c r="B482" s="823" t="s">
        <v>1887</v>
      </c>
      <c r="C482" s="823" t="s">
        <v>1893</v>
      </c>
      <c r="D482" s="824" t="s">
        <v>2977</v>
      </c>
      <c r="E482" s="825" t="s">
        <v>1907</v>
      </c>
      <c r="F482" s="823" t="s">
        <v>1888</v>
      </c>
      <c r="G482" s="823" t="s">
        <v>2658</v>
      </c>
      <c r="H482" s="823" t="s">
        <v>329</v>
      </c>
      <c r="I482" s="823" t="s">
        <v>2659</v>
      </c>
      <c r="J482" s="823" t="s">
        <v>2660</v>
      </c>
      <c r="K482" s="823" t="s">
        <v>2661</v>
      </c>
      <c r="L482" s="826">
        <v>193.98</v>
      </c>
      <c r="M482" s="826">
        <v>581.93999999999994</v>
      </c>
      <c r="N482" s="823">
        <v>3</v>
      </c>
      <c r="O482" s="827">
        <v>1</v>
      </c>
      <c r="P482" s="826">
        <v>387.96</v>
      </c>
      <c r="Q482" s="828">
        <v>0.66666666666666674</v>
      </c>
      <c r="R482" s="823">
        <v>2</v>
      </c>
      <c r="S482" s="828">
        <v>0.66666666666666663</v>
      </c>
      <c r="T482" s="827">
        <v>0.5</v>
      </c>
      <c r="U482" s="829">
        <v>0.5</v>
      </c>
    </row>
    <row r="483" spans="1:21" ht="14.45" customHeight="1" x14ac:dyDescent="0.2">
      <c r="A483" s="822">
        <v>50</v>
      </c>
      <c r="B483" s="823" t="s">
        <v>1887</v>
      </c>
      <c r="C483" s="823" t="s">
        <v>1893</v>
      </c>
      <c r="D483" s="824" t="s">
        <v>2977</v>
      </c>
      <c r="E483" s="825" t="s">
        <v>1907</v>
      </c>
      <c r="F483" s="823" t="s">
        <v>1888</v>
      </c>
      <c r="G483" s="823" t="s">
        <v>2662</v>
      </c>
      <c r="H483" s="823" t="s">
        <v>329</v>
      </c>
      <c r="I483" s="823" t="s">
        <v>2663</v>
      </c>
      <c r="J483" s="823" t="s">
        <v>984</v>
      </c>
      <c r="K483" s="823" t="s">
        <v>2664</v>
      </c>
      <c r="L483" s="826">
        <v>473.71</v>
      </c>
      <c r="M483" s="826">
        <v>473.71</v>
      </c>
      <c r="N483" s="823">
        <v>1</v>
      </c>
      <c r="O483" s="827">
        <v>1</v>
      </c>
      <c r="P483" s="826"/>
      <c r="Q483" s="828">
        <v>0</v>
      </c>
      <c r="R483" s="823"/>
      <c r="S483" s="828">
        <v>0</v>
      </c>
      <c r="T483" s="827"/>
      <c r="U483" s="829">
        <v>0</v>
      </c>
    </row>
    <row r="484" spans="1:21" ht="14.45" customHeight="1" x14ac:dyDescent="0.2">
      <c r="A484" s="822">
        <v>50</v>
      </c>
      <c r="B484" s="823" t="s">
        <v>1887</v>
      </c>
      <c r="C484" s="823" t="s">
        <v>1893</v>
      </c>
      <c r="D484" s="824" t="s">
        <v>2977</v>
      </c>
      <c r="E484" s="825" t="s">
        <v>1907</v>
      </c>
      <c r="F484" s="823" t="s">
        <v>1888</v>
      </c>
      <c r="G484" s="823" t="s">
        <v>2378</v>
      </c>
      <c r="H484" s="823" t="s">
        <v>329</v>
      </c>
      <c r="I484" s="823" t="s">
        <v>2379</v>
      </c>
      <c r="J484" s="823" t="s">
        <v>2380</v>
      </c>
      <c r="K484" s="823" t="s">
        <v>2381</v>
      </c>
      <c r="L484" s="826">
        <v>900.59</v>
      </c>
      <c r="M484" s="826">
        <v>900.59</v>
      </c>
      <c r="N484" s="823">
        <v>1</v>
      </c>
      <c r="O484" s="827">
        <v>0.5</v>
      </c>
      <c r="P484" s="826">
        <v>900.59</v>
      </c>
      <c r="Q484" s="828">
        <v>1</v>
      </c>
      <c r="R484" s="823">
        <v>1</v>
      </c>
      <c r="S484" s="828">
        <v>1</v>
      </c>
      <c r="T484" s="827">
        <v>0.5</v>
      </c>
      <c r="U484" s="829">
        <v>1</v>
      </c>
    </row>
    <row r="485" spans="1:21" ht="14.45" customHeight="1" x14ac:dyDescent="0.2">
      <c r="A485" s="822">
        <v>50</v>
      </c>
      <c r="B485" s="823" t="s">
        <v>1887</v>
      </c>
      <c r="C485" s="823" t="s">
        <v>1893</v>
      </c>
      <c r="D485" s="824" t="s">
        <v>2977</v>
      </c>
      <c r="E485" s="825" t="s">
        <v>1907</v>
      </c>
      <c r="F485" s="823" t="s">
        <v>1888</v>
      </c>
      <c r="G485" s="823" t="s">
        <v>2279</v>
      </c>
      <c r="H485" s="823" t="s">
        <v>329</v>
      </c>
      <c r="I485" s="823" t="s">
        <v>2665</v>
      </c>
      <c r="J485" s="823" t="s">
        <v>2281</v>
      </c>
      <c r="K485" s="823" t="s">
        <v>2666</v>
      </c>
      <c r="L485" s="826">
        <v>654.95000000000005</v>
      </c>
      <c r="M485" s="826">
        <v>1964.8500000000001</v>
      </c>
      <c r="N485" s="823">
        <v>3</v>
      </c>
      <c r="O485" s="827">
        <v>2.5</v>
      </c>
      <c r="P485" s="826"/>
      <c r="Q485" s="828">
        <v>0</v>
      </c>
      <c r="R485" s="823"/>
      <c r="S485" s="828">
        <v>0</v>
      </c>
      <c r="T485" s="827"/>
      <c r="U485" s="829">
        <v>0</v>
      </c>
    </row>
    <row r="486" spans="1:21" ht="14.45" customHeight="1" x14ac:dyDescent="0.2">
      <c r="A486" s="822">
        <v>50</v>
      </c>
      <c r="B486" s="823" t="s">
        <v>1887</v>
      </c>
      <c r="C486" s="823" t="s">
        <v>1893</v>
      </c>
      <c r="D486" s="824" t="s">
        <v>2977</v>
      </c>
      <c r="E486" s="825" t="s">
        <v>1907</v>
      </c>
      <c r="F486" s="823" t="s">
        <v>1888</v>
      </c>
      <c r="G486" s="823" t="s">
        <v>2279</v>
      </c>
      <c r="H486" s="823" t="s">
        <v>329</v>
      </c>
      <c r="I486" s="823" t="s">
        <v>2667</v>
      </c>
      <c r="J486" s="823" t="s">
        <v>2281</v>
      </c>
      <c r="K486" s="823" t="s">
        <v>2668</v>
      </c>
      <c r="L486" s="826">
        <v>544.38</v>
      </c>
      <c r="M486" s="826">
        <v>544.38</v>
      </c>
      <c r="N486" s="823">
        <v>1</v>
      </c>
      <c r="O486" s="827">
        <v>0.5</v>
      </c>
      <c r="P486" s="826"/>
      <c r="Q486" s="828">
        <v>0</v>
      </c>
      <c r="R486" s="823"/>
      <c r="S486" s="828">
        <v>0</v>
      </c>
      <c r="T486" s="827"/>
      <c r="U486" s="829">
        <v>0</v>
      </c>
    </row>
    <row r="487" spans="1:21" ht="14.45" customHeight="1" x14ac:dyDescent="0.2">
      <c r="A487" s="822">
        <v>50</v>
      </c>
      <c r="B487" s="823" t="s">
        <v>1887</v>
      </c>
      <c r="C487" s="823" t="s">
        <v>1893</v>
      </c>
      <c r="D487" s="824" t="s">
        <v>2977</v>
      </c>
      <c r="E487" s="825" t="s">
        <v>1907</v>
      </c>
      <c r="F487" s="823" t="s">
        <v>1888</v>
      </c>
      <c r="G487" s="823" t="s">
        <v>2279</v>
      </c>
      <c r="H487" s="823" t="s">
        <v>329</v>
      </c>
      <c r="I487" s="823" t="s">
        <v>2669</v>
      </c>
      <c r="J487" s="823" t="s">
        <v>2281</v>
      </c>
      <c r="K487" s="823" t="s">
        <v>2670</v>
      </c>
      <c r="L487" s="826">
        <v>327.49</v>
      </c>
      <c r="M487" s="826">
        <v>327.49</v>
      </c>
      <c r="N487" s="823">
        <v>1</v>
      </c>
      <c r="O487" s="827">
        <v>1</v>
      </c>
      <c r="P487" s="826">
        <v>327.49</v>
      </c>
      <c r="Q487" s="828">
        <v>1</v>
      </c>
      <c r="R487" s="823">
        <v>1</v>
      </c>
      <c r="S487" s="828">
        <v>1</v>
      </c>
      <c r="T487" s="827">
        <v>1</v>
      </c>
      <c r="U487" s="829">
        <v>1</v>
      </c>
    </row>
    <row r="488" spans="1:21" ht="14.45" customHeight="1" x14ac:dyDescent="0.2">
      <c r="A488" s="822">
        <v>50</v>
      </c>
      <c r="B488" s="823" t="s">
        <v>1887</v>
      </c>
      <c r="C488" s="823" t="s">
        <v>1893</v>
      </c>
      <c r="D488" s="824" t="s">
        <v>2977</v>
      </c>
      <c r="E488" s="825" t="s">
        <v>1907</v>
      </c>
      <c r="F488" s="823" t="s">
        <v>1888</v>
      </c>
      <c r="G488" s="823" t="s">
        <v>2671</v>
      </c>
      <c r="H488" s="823" t="s">
        <v>329</v>
      </c>
      <c r="I488" s="823" t="s">
        <v>2672</v>
      </c>
      <c r="J488" s="823" t="s">
        <v>933</v>
      </c>
      <c r="K488" s="823" t="s">
        <v>2673</v>
      </c>
      <c r="L488" s="826">
        <v>0</v>
      </c>
      <c r="M488" s="826">
        <v>0</v>
      </c>
      <c r="N488" s="823">
        <v>10</v>
      </c>
      <c r="O488" s="827">
        <v>1</v>
      </c>
      <c r="P488" s="826"/>
      <c r="Q488" s="828"/>
      <c r="R488" s="823"/>
      <c r="S488" s="828">
        <v>0</v>
      </c>
      <c r="T488" s="827"/>
      <c r="U488" s="829">
        <v>0</v>
      </c>
    </row>
    <row r="489" spans="1:21" ht="14.45" customHeight="1" x14ac:dyDescent="0.2">
      <c r="A489" s="822">
        <v>50</v>
      </c>
      <c r="B489" s="823" t="s">
        <v>1887</v>
      </c>
      <c r="C489" s="823" t="s">
        <v>1893</v>
      </c>
      <c r="D489" s="824" t="s">
        <v>2977</v>
      </c>
      <c r="E489" s="825" t="s">
        <v>1907</v>
      </c>
      <c r="F489" s="823" t="s">
        <v>1888</v>
      </c>
      <c r="G489" s="823" t="s">
        <v>2674</v>
      </c>
      <c r="H489" s="823" t="s">
        <v>625</v>
      </c>
      <c r="I489" s="823" t="s">
        <v>2675</v>
      </c>
      <c r="J489" s="823" t="s">
        <v>875</v>
      </c>
      <c r="K489" s="823" t="s">
        <v>2676</v>
      </c>
      <c r="L489" s="826">
        <v>414.07</v>
      </c>
      <c r="M489" s="826">
        <v>1656.28</v>
      </c>
      <c r="N489" s="823">
        <v>4</v>
      </c>
      <c r="O489" s="827">
        <v>2.5</v>
      </c>
      <c r="P489" s="826">
        <v>1656.28</v>
      </c>
      <c r="Q489" s="828">
        <v>1</v>
      </c>
      <c r="R489" s="823">
        <v>4</v>
      </c>
      <c r="S489" s="828">
        <v>1</v>
      </c>
      <c r="T489" s="827">
        <v>2.5</v>
      </c>
      <c r="U489" s="829">
        <v>1</v>
      </c>
    </row>
    <row r="490" spans="1:21" ht="14.45" customHeight="1" x14ac:dyDescent="0.2">
      <c r="A490" s="822">
        <v>50</v>
      </c>
      <c r="B490" s="823" t="s">
        <v>1887</v>
      </c>
      <c r="C490" s="823" t="s">
        <v>1893</v>
      </c>
      <c r="D490" s="824" t="s">
        <v>2977</v>
      </c>
      <c r="E490" s="825" t="s">
        <v>1907</v>
      </c>
      <c r="F490" s="823" t="s">
        <v>1888</v>
      </c>
      <c r="G490" s="823" t="s">
        <v>2677</v>
      </c>
      <c r="H490" s="823" t="s">
        <v>329</v>
      </c>
      <c r="I490" s="823" t="s">
        <v>2678</v>
      </c>
      <c r="J490" s="823" t="s">
        <v>2679</v>
      </c>
      <c r="K490" s="823" t="s">
        <v>2680</v>
      </c>
      <c r="L490" s="826">
        <v>274.41000000000003</v>
      </c>
      <c r="M490" s="826">
        <v>1646.46</v>
      </c>
      <c r="N490" s="823">
        <v>6</v>
      </c>
      <c r="O490" s="827">
        <v>2</v>
      </c>
      <c r="P490" s="826"/>
      <c r="Q490" s="828">
        <v>0</v>
      </c>
      <c r="R490" s="823"/>
      <c r="S490" s="828">
        <v>0</v>
      </c>
      <c r="T490" s="827"/>
      <c r="U490" s="829">
        <v>0</v>
      </c>
    </row>
    <row r="491" spans="1:21" ht="14.45" customHeight="1" x14ac:dyDescent="0.2">
      <c r="A491" s="822">
        <v>50</v>
      </c>
      <c r="B491" s="823" t="s">
        <v>1887</v>
      </c>
      <c r="C491" s="823" t="s">
        <v>1893</v>
      </c>
      <c r="D491" s="824" t="s">
        <v>2977</v>
      </c>
      <c r="E491" s="825" t="s">
        <v>1907</v>
      </c>
      <c r="F491" s="823" t="s">
        <v>1888</v>
      </c>
      <c r="G491" s="823" t="s">
        <v>2677</v>
      </c>
      <c r="H491" s="823" t="s">
        <v>329</v>
      </c>
      <c r="I491" s="823" t="s">
        <v>2681</v>
      </c>
      <c r="J491" s="823" t="s">
        <v>2679</v>
      </c>
      <c r="K491" s="823" t="s">
        <v>2682</v>
      </c>
      <c r="L491" s="826">
        <v>327.38</v>
      </c>
      <c r="M491" s="826">
        <v>5892.84</v>
      </c>
      <c r="N491" s="823">
        <v>18</v>
      </c>
      <c r="O491" s="827">
        <v>5.5</v>
      </c>
      <c r="P491" s="826">
        <v>982.14</v>
      </c>
      <c r="Q491" s="828">
        <v>0.16666666666666666</v>
      </c>
      <c r="R491" s="823">
        <v>3</v>
      </c>
      <c r="S491" s="828">
        <v>0.16666666666666666</v>
      </c>
      <c r="T491" s="827">
        <v>1</v>
      </c>
      <c r="U491" s="829">
        <v>0.18181818181818182</v>
      </c>
    </row>
    <row r="492" spans="1:21" ht="14.45" customHeight="1" x14ac:dyDescent="0.2">
      <c r="A492" s="822">
        <v>50</v>
      </c>
      <c r="B492" s="823" t="s">
        <v>1887</v>
      </c>
      <c r="C492" s="823" t="s">
        <v>1893</v>
      </c>
      <c r="D492" s="824" t="s">
        <v>2977</v>
      </c>
      <c r="E492" s="825" t="s">
        <v>1907</v>
      </c>
      <c r="F492" s="823" t="s">
        <v>1888</v>
      </c>
      <c r="G492" s="823" t="s">
        <v>2677</v>
      </c>
      <c r="H492" s="823" t="s">
        <v>329</v>
      </c>
      <c r="I492" s="823" t="s">
        <v>2683</v>
      </c>
      <c r="J492" s="823" t="s">
        <v>2679</v>
      </c>
      <c r="K492" s="823" t="s">
        <v>2684</v>
      </c>
      <c r="L492" s="826">
        <v>823.27</v>
      </c>
      <c r="M492" s="826">
        <v>823.27</v>
      </c>
      <c r="N492" s="823">
        <v>1</v>
      </c>
      <c r="O492" s="827">
        <v>1</v>
      </c>
      <c r="P492" s="826"/>
      <c r="Q492" s="828">
        <v>0</v>
      </c>
      <c r="R492" s="823"/>
      <c r="S492" s="828">
        <v>0</v>
      </c>
      <c r="T492" s="827"/>
      <c r="U492" s="829">
        <v>0</v>
      </c>
    </row>
    <row r="493" spans="1:21" ht="14.45" customHeight="1" x14ac:dyDescent="0.2">
      <c r="A493" s="822">
        <v>50</v>
      </c>
      <c r="B493" s="823" t="s">
        <v>1887</v>
      </c>
      <c r="C493" s="823" t="s">
        <v>1893</v>
      </c>
      <c r="D493" s="824" t="s">
        <v>2977</v>
      </c>
      <c r="E493" s="825" t="s">
        <v>1907</v>
      </c>
      <c r="F493" s="823" t="s">
        <v>1888</v>
      </c>
      <c r="G493" s="823" t="s">
        <v>2677</v>
      </c>
      <c r="H493" s="823" t="s">
        <v>329</v>
      </c>
      <c r="I493" s="823" t="s">
        <v>2685</v>
      </c>
      <c r="J493" s="823" t="s">
        <v>2679</v>
      </c>
      <c r="K493" s="823" t="s">
        <v>2686</v>
      </c>
      <c r="L493" s="826">
        <v>163.69999999999999</v>
      </c>
      <c r="M493" s="826">
        <v>982.19999999999993</v>
      </c>
      <c r="N493" s="823">
        <v>6</v>
      </c>
      <c r="O493" s="827">
        <v>1.5</v>
      </c>
      <c r="P493" s="826"/>
      <c r="Q493" s="828">
        <v>0</v>
      </c>
      <c r="R493" s="823"/>
      <c r="S493" s="828">
        <v>0</v>
      </c>
      <c r="T493" s="827"/>
      <c r="U493" s="829">
        <v>0</v>
      </c>
    </row>
    <row r="494" spans="1:21" ht="14.45" customHeight="1" x14ac:dyDescent="0.2">
      <c r="A494" s="822">
        <v>50</v>
      </c>
      <c r="B494" s="823" t="s">
        <v>1887</v>
      </c>
      <c r="C494" s="823" t="s">
        <v>1893</v>
      </c>
      <c r="D494" s="824" t="s">
        <v>2977</v>
      </c>
      <c r="E494" s="825" t="s">
        <v>1907</v>
      </c>
      <c r="F494" s="823" t="s">
        <v>1888</v>
      </c>
      <c r="G494" s="823" t="s">
        <v>2382</v>
      </c>
      <c r="H494" s="823" t="s">
        <v>329</v>
      </c>
      <c r="I494" s="823" t="s">
        <v>2687</v>
      </c>
      <c r="J494" s="823" t="s">
        <v>2384</v>
      </c>
      <c r="K494" s="823" t="s">
        <v>2688</v>
      </c>
      <c r="L494" s="826">
        <v>4195.37</v>
      </c>
      <c r="M494" s="826">
        <v>4195.37</v>
      </c>
      <c r="N494" s="823">
        <v>1</v>
      </c>
      <c r="O494" s="827">
        <v>0.5</v>
      </c>
      <c r="P494" s="826">
        <v>4195.37</v>
      </c>
      <c r="Q494" s="828">
        <v>1</v>
      </c>
      <c r="R494" s="823">
        <v>1</v>
      </c>
      <c r="S494" s="828">
        <v>1</v>
      </c>
      <c r="T494" s="827">
        <v>0.5</v>
      </c>
      <c r="U494" s="829">
        <v>1</v>
      </c>
    </row>
    <row r="495" spans="1:21" ht="14.45" customHeight="1" x14ac:dyDescent="0.2">
      <c r="A495" s="822">
        <v>50</v>
      </c>
      <c r="B495" s="823" t="s">
        <v>1887</v>
      </c>
      <c r="C495" s="823" t="s">
        <v>1893</v>
      </c>
      <c r="D495" s="824" t="s">
        <v>2977</v>
      </c>
      <c r="E495" s="825" t="s">
        <v>1907</v>
      </c>
      <c r="F495" s="823" t="s">
        <v>1888</v>
      </c>
      <c r="G495" s="823" t="s">
        <v>2382</v>
      </c>
      <c r="H495" s="823" t="s">
        <v>329</v>
      </c>
      <c r="I495" s="823" t="s">
        <v>2689</v>
      </c>
      <c r="J495" s="823" t="s">
        <v>2384</v>
      </c>
      <c r="K495" s="823" t="s">
        <v>2385</v>
      </c>
      <c r="L495" s="826">
        <v>3968.05</v>
      </c>
      <c r="M495" s="826">
        <v>3968.05</v>
      </c>
      <c r="N495" s="823">
        <v>1</v>
      </c>
      <c r="O495" s="827">
        <v>1</v>
      </c>
      <c r="P495" s="826"/>
      <c r="Q495" s="828">
        <v>0</v>
      </c>
      <c r="R495" s="823"/>
      <c r="S495" s="828">
        <v>0</v>
      </c>
      <c r="T495" s="827"/>
      <c r="U495" s="829">
        <v>0</v>
      </c>
    </row>
    <row r="496" spans="1:21" ht="14.45" customHeight="1" x14ac:dyDescent="0.2">
      <c r="A496" s="822">
        <v>50</v>
      </c>
      <c r="B496" s="823" t="s">
        <v>1887</v>
      </c>
      <c r="C496" s="823" t="s">
        <v>1893</v>
      </c>
      <c r="D496" s="824" t="s">
        <v>2977</v>
      </c>
      <c r="E496" s="825" t="s">
        <v>1907</v>
      </c>
      <c r="F496" s="823" t="s">
        <v>1888</v>
      </c>
      <c r="G496" s="823" t="s">
        <v>1928</v>
      </c>
      <c r="H496" s="823" t="s">
        <v>329</v>
      </c>
      <c r="I496" s="823" t="s">
        <v>2690</v>
      </c>
      <c r="J496" s="823" t="s">
        <v>1930</v>
      </c>
      <c r="K496" s="823" t="s">
        <v>2691</v>
      </c>
      <c r="L496" s="826">
        <v>299.83999999999997</v>
      </c>
      <c r="M496" s="826">
        <v>599.67999999999995</v>
      </c>
      <c r="N496" s="823">
        <v>2</v>
      </c>
      <c r="O496" s="827">
        <v>1.5</v>
      </c>
      <c r="P496" s="826">
        <v>299.83999999999997</v>
      </c>
      <c r="Q496" s="828">
        <v>0.5</v>
      </c>
      <c r="R496" s="823">
        <v>1</v>
      </c>
      <c r="S496" s="828">
        <v>0.5</v>
      </c>
      <c r="T496" s="827">
        <v>0.5</v>
      </c>
      <c r="U496" s="829">
        <v>0.33333333333333331</v>
      </c>
    </row>
    <row r="497" spans="1:21" ht="14.45" customHeight="1" x14ac:dyDescent="0.2">
      <c r="A497" s="822">
        <v>50</v>
      </c>
      <c r="B497" s="823" t="s">
        <v>1887</v>
      </c>
      <c r="C497" s="823" t="s">
        <v>1893</v>
      </c>
      <c r="D497" s="824" t="s">
        <v>2977</v>
      </c>
      <c r="E497" s="825" t="s">
        <v>1907</v>
      </c>
      <c r="F497" s="823" t="s">
        <v>1888</v>
      </c>
      <c r="G497" s="823" t="s">
        <v>2196</v>
      </c>
      <c r="H497" s="823" t="s">
        <v>329</v>
      </c>
      <c r="I497" s="823" t="s">
        <v>2692</v>
      </c>
      <c r="J497" s="823" t="s">
        <v>2198</v>
      </c>
      <c r="K497" s="823" t="s">
        <v>2426</v>
      </c>
      <c r="L497" s="826">
        <v>131.63999999999999</v>
      </c>
      <c r="M497" s="826">
        <v>131.63999999999999</v>
      </c>
      <c r="N497" s="823">
        <v>1</v>
      </c>
      <c r="O497" s="827">
        <v>1</v>
      </c>
      <c r="P497" s="826">
        <v>131.63999999999999</v>
      </c>
      <c r="Q497" s="828">
        <v>1</v>
      </c>
      <c r="R497" s="823">
        <v>1</v>
      </c>
      <c r="S497" s="828">
        <v>1</v>
      </c>
      <c r="T497" s="827">
        <v>1</v>
      </c>
      <c r="U497" s="829">
        <v>1</v>
      </c>
    </row>
    <row r="498" spans="1:21" ht="14.45" customHeight="1" x14ac:dyDescent="0.2">
      <c r="A498" s="822">
        <v>50</v>
      </c>
      <c r="B498" s="823" t="s">
        <v>1887</v>
      </c>
      <c r="C498" s="823" t="s">
        <v>1893</v>
      </c>
      <c r="D498" s="824" t="s">
        <v>2977</v>
      </c>
      <c r="E498" s="825" t="s">
        <v>1907</v>
      </c>
      <c r="F498" s="823" t="s">
        <v>1888</v>
      </c>
      <c r="G498" s="823" t="s">
        <v>2196</v>
      </c>
      <c r="H498" s="823" t="s">
        <v>329</v>
      </c>
      <c r="I498" s="823" t="s">
        <v>2693</v>
      </c>
      <c r="J498" s="823" t="s">
        <v>2198</v>
      </c>
      <c r="K498" s="823" t="s">
        <v>2694</v>
      </c>
      <c r="L498" s="826">
        <v>118.5</v>
      </c>
      <c r="M498" s="826">
        <v>474</v>
      </c>
      <c r="N498" s="823">
        <v>4</v>
      </c>
      <c r="O498" s="827">
        <v>1.5</v>
      </c>
      <c r="P498" s="826"/>
      <c r="Q498" s="828">
        <v>0</v>
      </c>
      <c r="R498" s="823"/>
      <c r="S498" s="828">
        <v>0</v>
      </c>
      <c r="T498" s="827"/>
      <c r="U498" s="829">
        <v>0</v>
      </c>
    </row>
    <row r="499" spans="1:21" ht="14.45" customHeight="1" x14ac:dyDescent="0.2">
      <c r="A499" s="822">
        <v>50</v>
      </c>
      <c r="B499" s="823" t="s">
        <v>1887</v>
      </c>
      <c r="C499" s="823" t="s">
        <v>1893</v>
      </c>
      <c r="D499" s="824" t="s">
        <v>2977</v>
      </c>
      <c r="E499" s="825" t="s">
        <v>1907</v>
      </c>
      <c r="F499" s="823" t="s">
        <v>1888</v>
      </c>
      <c r="G499" s="823" t="s">
        <v>1924</v>
      </c>
      <c r="H499" s="823" t="s">
        <v>625</v>
      </c>
      <c r="I499" s="823" t="s">
        <v>2200</v>
      </c>
      <c r="J499" s="823" t="s">
        <v>1088</v>
      </c>
      <c r="K499" s="823" t="s">
        <v>2201</v>
      </c>
      <c r="L499" s="826">
        <v>154.36000000000001</v>
      </c>
      <c r="M499" s="826">
        <v>154.36000000000001</v>
      </c>
      <c r="N499" s="823">
        <v>1</v>
      </c>
      <c r="O499" s="827">
        <v>1</v>
      </c>
      <c r="P499" s="826"/>
      <c r="Q499" s="828">
        <v>0</v>
      </c>
      <c r="R499" s="823"/>
      <c r="S499" s="828">
        <v>0</v>
      </c>
      <c r="T499" s="827"/>
      <c r="U499" s="829">
        <v>0</v>
      </c>
    </row>
    <row r="500" spans="1:21" ht="14.45" customHeight="1" x14ac:dyDescent="0.2">
      <c r="A500" s="822">
        <v>50</v>
      </c>
      <c r="B500" s="823" t="s">
        <v>1887</v>
      </c>
      <c r="C500" s="823" t="s">
        <v>1893</v>
      </c>
      <c r="D500" s="824" t="s">
        <v>2977</v>
      </c>
      <c r="E500" s="825" t="s">
        <v>1907</v>
      </c>
      <c r="F500" s="823" t="s">
        <v>1888</v>
      </c>
      <c r="G500" s="823" t="s">
        <v>2695</v>
      </c>
      <c r="H500" s="823" t="s">
        <v>329</v>
      </c>
      <c r="I500" s="823" t="s">
        <v>2696</v>
      </c>
      <c r="J500" s="823" t="s">
        <v>2697</v>
      </c>
      <c r="K500" s="823" t="s">
        <v>2698</v>
      </c>
      <c r="L500" s="826">
        <v>240.7</v>
      </c>
      <c r="M500" s="826">
        <v>722.09999999999991</v>
      </c>
      <c r="N500" s="823">
        <v>3</v>
      </c>
      <c r="O500" s="827">
        <v>1</v>
      </c>
      <c r="P500" s="826">
        <v>722.09999999999991</v>
      </c>
      <c r="Q500" s="828">
        <v>1</v>
      </c>
      <c r="R500" s="823">
        <v>3</v>
      </c>
      <c r="S500" s="828">
        <v>1</v>
      </c>
      <c r="T500" s="827">
        <v>1</v>
      </c>
      <c r="U500" s="829">
        <v>1</v>
      </c>
    </row>
    <row r="501" spans="1:21" ht="14.45" customHeight="1" x14ac:dyDescent="0.2">
      <c r="A501" s="822">
        <v>50</v>
      </c>
      <c r="B501" s="823" t="s">
        <v>1887</v>
      </c>
      <c r="C501" s="823" t="s">
        <v>1893</v>
      </c>
      <c r="D501" s="824" t="s">
        <v>2977</v>
      </c>
      <c r="E501" s="825" t="s">
        <v>1907</v>
      </c>
      <c r="F501" s="823" t="s">
        <v>1888</v>
      </c>
      <c r="G501" s="823" t="s">
        <v>2695</v>
      </c>
      <c r="H501" s="823" t="s">
        <v>329</v>
      </c>
      <c r="I501" s="823" t="s">
        <v>2699</v>
      </c>
      <c r="J501" s="823" t="s">
        <v>2700</v>
      </c>
      <c r="K501" s="823" t="s">
        <v>2701</v>
      </c>
      <c r="L501" s="826">
        <v>374.79</v>
      </c>
      <c r="M501" s="826">
        <v>2248.7400000000002</v>
      </c>
      <c r="N501" s="823">
        <v>6</v>
      </c>
      <c r="O501" s="827">
        <v>1</v>
      </c>
      <c r="P501" s="826">
        <v>2248.7400000000002</v>
      </c>
      <c r="Q501" s="828">
        <v>1</v>
      </c>
      <c r="R501" s="823">
        <v>6</v>
      </c>
      <c r="S501" s="828">
        <v>1</v>
      </c>
      <c r="T501" s="827">
        <v>1</v>
      </c>
      <c r="U501" s="829">
        <v>1</v>
      </c>
    </row>
    <row r="502" spans="1:21" ht="14.45" customHeight="1" x14ac:dyDescent="0.2">
      <c r="A502" s="822">
        <v>50</v>
      </c>
      <c r="B502" s="823" t="s">
        <v>1887</v>
      </c>
      <c r="C502" s="823" t="s">
        <v>1893</v>
      </c>
      <c r="D502" s="824" t="s">
        <v>2977</v>
      </c>
      <c r="E502" s="825" t="s">
        <v>1907</v>
      </c>
      <c r="F502" s="823" t="s">
        <v>1888</v>
      </c>
      <c r="G502" s="823" t="s">
        <v>2695</v>
      </c>
      <c r="H502" s="823" t="s">
        <v>329</v>
      </c>
      <c r="I502" s="823" t="s">
        <v>2702</v>
      </c>
      <c r="J502" s="823" t="s">
        <v>2700</v>
      </c>
      <c r="K502" s="823" t="s">
        <v>2701</v>
      </c>
      <c r="L502" s="826">
        <v>374.79</v>
      </c>
      <c r="M502" s="826">
        <v>7121.01</v>
      </c>
      <c r="N502" s="823">
        <v>19</v>
      </c>
      <c r="O502" s="827">
        <v>5</v>
      </c>
      <c r="P502" s="826">
        <v>5621.85</v>
      </c>
      <c r="Q502" s="828">
        <v>0.78947368421052633</v>
      </c>
      <c r="R502" s="823">
        <v>15</v>
      </c>
      <c r="S502" s="828">
        <v>0.78947368421052633</v>
      </c>
      <c r="T502" s="827">
        <v>3</v>
      </c>
      <c r="U502" s="829">
        <v>0.6</v>
      </c>
    </row>
    <row r="503" spans="1:21" ht="14.45" customHeight="1" x14ac:dyDescent="0.2">
      <c r="A503" s="822">
        <v>50</v>
      </c>
      <c r="B503" s="823" t="s">
        <v>1887</v>
      </c>
      <c r="C503" s="823" t="s">
        <v>1893</v>
      </c>
      <c r="D503" s="824" t="s">
        <v>2977</v>
      </c>
      <c r="E503" s="825" t="s">
        <v>1907</v>
      </c>
      <c r="F503" s="823" t="s">
        <v>1888</v>
      </c>
      <c r="G503" s="823" t="s">
        <v>2202</v>
      </c>
      <c r="H503" s="823" t="s">
        <v>329</v>
      </c>
      <c r="I503" s="823" t="s">
        <v>2703</v>
      </c>
      <c r="J503" s="823" t="s">
        <v>786</v>
      </c>
      <c r="K503" s="823" t="s">
        <v>2704</v>
      </c>
      <c r="L503" s="826">
        <v>94.28</v>
      </c>
      <c r="M503" s="826">
        <v>94.28</v>
      </c>
      <c r="N503" s="823">
        <v>1</v>
      </c>
      <c r="O503" s="827">
        <v>1</v>
      </c>
      <c r="P503" s="826">
        <v>94.28</v>
      </c>
      <c r="Q503" s="828">
        <v>1</v>
      </c>
      <c r="R503" s="823">
        <v>1</v>
      </c>
      <c r="S503" s="828">
        <v>1</v>
      </c>
      <c r="T503" s="827">
        <v>1</v>
      </c>
      <c r="U503" s="829">
        <v>1</v>
      </c>
    </row>
    <row r="504" spans="1:21" ht="14.45" customHeight="1" x14ac:dyDescent="0.2">
      <c r="A504" s="822">
        <v>50</v>
      </c>
      <c r="B504" s="823" t="s">
        <v>1887</v>
      </c>
      <c r="C504" s="823" t="s">
        <v>1893</v>
      </c>
      <c r="D504" s="824" t="s">
        <v>2977</v>
      </c>
      <c r="E504" s="825" t="s">
        <v>1907</v>
      </c>
      <c r="F504" s="823" t="s">
        <v>1888</v>
      </c>
      <c r="G504" s="823" t="s">
        <v>2202</v>
      </c>
      <c r="H504" s="823" t="s">
        <v>625</v>
      </c>
      <c r="I504" s="823" t="s">
        <v>2705</v>
      </c>
      <c r="J504" s="823" t="s">
        <v>1653</v>
      </c>
      <c r="K504" s="823" t="s">
        <v>2706</v>
      </c>
      <c r="L504" s="826">
        <v>126.27</v>
      </c>
      <c r="M504" s="826">
        <v>252.54</v>
      </c>
      <c r="N504" s="823">
        <v>2</v>
      </c>
      <c r="O504" s="827">
        <v>1.5</v>
      </c>
      <c r="P504" s="826">
        <v>126.27</v>
      </c>
      <c r="Q504" s="828">
        <v>0.5</v>
      </c>
      <c r="R504" s="823">
        <v>1</v>
      </c>
      <c r="S504" s="828">
        <v>0.5</v>
      </c>
      <c r="T504" s="827">
        <v>1</v>
      </c>
      <c r="U504" s="829">
        <v>0.66666666666666663</v>
      </c>
    </row>
    <row r="505" spans="1:21" ht="14.45" customHeight="1" x14ac:dyDescent="0.2">
      <c r="A505" s="822">
        <v>50</v>
      </c>
      <c r="B505" s="823" t="s">
        <v>1887</v>
      </c>
      <c r="C505" s="823" t="s">
        <v>1893</v>
      </c>
      <c r="D505" s="824" t="s">
        <v>2977</v>
      </c>
      <c r="E505" s="825" t="s">
        <v>1907</v>
      </c>
      <c r="F505" s="823" t="s">
        <v>1888</v>
      </c>
      <c r="G505" s="823" t="s">
        <v>2202</v>
      </c>
      <c r="H505" s="823" t="s">
        <v>329</v>
      </c>
      <c r="I505" s="823" t="s">
        <v>2204</v>
      </c>
      <c r="J505" s="823" t="s">
        <v>786</v>
      </c>
      <c r="K505" s="823" t="s">
        <v>1659</v>
      </c>
      <c r="L505" s="826">
        <v>49.08</v>
      </c>
      <c r="M505" s="826">
        <v>49.08</v>
      </c>
      <c r="N505" s="823">
        <v>1</v>
      </c>
      <c r="O505" s="827">
        <v>1</v>
      </c>
      <c r="P505" s="826"/>
      <c r="Q505" s="828">
        <v>0</v>
      </c>
      <c r="R505" s="823"/>
      <c r="S505" s="828">
        <v>0</v>
      </c>
      <c r="T505" s="827"/>
      <c r="U505" s="829">
        <v>0</v>
      </c>
    </row>
    <row r="506" spans="1:21" ht="14.45" customHeight="1" x14ac:dyDescent="0.2">
      <c r="A506" s="822">
        <v>50</v>
      </c>
      <c r="B506" s="823" t="s">
        <v>1887</v>
      </c>
      <c r="C506" s="823" t="s">
        <v>1893</v>
      </c>
      <c r="D506" s="824" t="s">
        <v>2977</v>
      </c>
      <c r="E506" s="825" t="s">
        <v>1907</v>
      </c>
      <c r="F506" s="823" t="s">
        <v>1888</v>
      </c>
      <c r="G506" s="823" t="s">
        <v>2202</v>
      </c>
      <c r="H506" s="823" t="s">
        <v>625</v>
      </c>
      <c r="I506" s="823" t="s">
        <v>2285</v>
      </c>
      <c r="J506" s="823" t="s">
        <v>1653</v>
      </c>
      <c r="K506" s="823" t="s">
        <v>2286</v>
      </c>
      <c r="L506" s="826">
        <v>49.08</v>
      </c>
      <c r="M506" s="826">
        <v>49.08</v>
      </c>
      <c r="N506" s="823">
        <v>1</v>
      </c>
      <c r="O506" s="827">
        <v>1</v>
      </c>
      <c r="P506" s="826">
        <v>49.08</v>
      </c>
      <c r="Q506" s="828">
        <v>1</v>
      </c>
      <c r="R506" s="823">
        <v>1</v>
      </c>
      <c r="S506" s="828">
        <v>1</v>
      </c>
      <c r="T506" s="827">
        <v>1</v>
      </c>
      <c r="U506" s="829">
        <v>1</v>
      </c>
    </row>
    <row r="507" spans="1:21" ht="14.45" customHeight="1" x14ac:dyDescent="0.2">
      <c r="A507" s="822">
        <v>50</v>
      </c>
      <c r="B507" s="823" t="s">
        <v>1887</v>
      </c>
      <c r="C507" s="823" t="s">
        <v>1893</v>
      </c>
      <c r="D507" s="824" t="s">
        <v>2977</v>
      </c>
      <c r="E507" s="825" t="s">
        <v>1907</v>
      </c>
      <c r="F507" s="823" t="s">
        <v>1888</v>
      </c>
      <c r="G507" s="823" t="s">
        <v>2202</v>
      </c>
      <c r="H507" s="823" t="s">
        <v>625</v>
      </c>
      <c r="I507" s="823" t="s">
        <v>1657</v>
      </c>
      <c r="J507" s="823" t="s">
        <v>786</v>
      </c>
      <c r="K507" s="823" t="s">
        <v>787</v>
      </c>
      <c r="L507" s="826">
        <v>115.33</v>
      </c>
      <c r="M507" s="826">
        <v>115.33</v>
      </c>
      <c r="N507" s="823">
        <v>1</v>
      </c>
      <c r="O507" s="827">
        <v>1</v>
      </c>
      <c r="P507" s="826"/>
      <c r="Q507" s="828">
        <v>0</v>
      </c>
      <c r="R507" s="823"/>
      <c r="S507" s="828">
        <v>0</v>
      </c>
      <c r="T507" s="827"/>
      <c r="U507" s="829">
        <v>0</v>
      </c>
    </row>
    <row r="508" spans="1:21" ht="14.45" customHeight="1" x14ac:dyDescent="0.2">
      <c r="A508" s="822">
        <v>50</v>
      </c>
      <c r="B508" s="823" t="s">
        <v>1887</v>
      </c>
      <c r="C508" s="823" t="s">
        <v>1893</v>
      </c>
      <c r="D508" s="824" t="s">
        <v>2977</v>
      </c>
      <c r="E508" s="825" t="s">
        <v>1907</v>
      </c>
      <c r="F508" s="823" t="s">
        <v>1888</v>
      </c>
      <c r="G508" s="823" t="s">
        <v>2707</v>
      </c>
      <c r="H508" s="823" t="s">
        <v>329</v>
      </c>
      <c r="I508" s="823" t="s">
        <v>2708</v>
      </c>
      <c r="J508" s="823" t="s">
        <v>2709</v>
      </c>
      <c r="K508" s="823" t="s">
        <v>2710</v>
      </c>
      <c r="L508" s="826">
        <v>248.55</v>
      </c>
      <c r="M508" s="826">
        <v>497.1</v>
      </c>
      <c r="N508" s="823">
        <v>2</v>
      </c>
      <c r="O508" s="827">
        <v>1</v>
      </c>
      <c r="P508" s="826"/>
      <c r="Q508" s="828">
        <v>0</v>
      </c>
      <c r="R508" s="823"/>
      <c r="S508" s="828">
        <v>0</v>
      </c>
      <c r="T508" s="827"/>
      <c r="U508" s="829">
        <v>0</v>
      </c>
    </row>
    <row r="509" spans="1:21" ht="14.45" customHeight="1" x14ac:dyDescent="0.2">
      <c r="A509" s="822">
        <v>50</v>
      </c>
      <c r="B509" s="823" t="s">
        <v>1887</v>
      </c>
      <c r="C509" s="823" t="s">
        <v>1893</v>
      </c>
      <c r="D509" s="824" t="s">
        <v>2977</v>
      </c>
      <c r="E509" s="825" t="s">
        <v>1907</v>
      </c>
      <c r="F509" s="823" t="s">
        <v>1888</v>
      </c>
      <c r="G509" s="823" t="s">
        <v>2711</v>
      </c>
      <c r="H509" s="823" t="s">
        <v>329</v>
      </c>
      <c r="I509" s="823" t="s">
        <v>2712</v>
      </c>
      <c r="J509" s="823" t="s">
        <v>2713</v>
      </c>
      <c r="K509" s="823" t="s">
        <v>2714</v>
      </c>
      <c r="L509" s="826">
        <v>1276.4000000000001</v>
      </c>
      <c r="M509" s="826">
        <v>1276.4000000000001</v>
      </c>
      <c r="N509" s="823">
        <v>1</v>
      </c>
      <c r="O509" s="827">
        <v>1</v>
      </c>
      <c r="P509" s="826"/>
      <c r="Q509" s="828">
        <v>0</v>
      </c>
      <c r="R509" s="823"/>
      <c r="S509" s="828">
        <v>0</v>
      </c>
      <c r="T509" s="827"/>
      <c r="U509" s="829">
        <v>0</v>
      </c>
    </row>
    <row r="510" spans="1:21" ht="14.45" customHeight="1" x14ac:dyDescent="0.2">
      <c r="A510" s="822">
        <v>50</v>
      </c>
      <c r="B510" s="823" t="s">
        <v>1887</v>
      </c>
      <c r="C510" s="823" t="s">
        <v>1893</v>
      </c>
      <c r="D510" s="824" t="s">
        <v>2977</v>
      </c>
      <c r="E510" s="825" t="s">
        <v>1907</v>
      </c>
      <c r="F510" s="823" t="s">
        <v>1888</v>
      </c>
      <c r="G510" s="823" t="s">
        <v>2711</v>
      </c>
      <c r="H510" s="823" t="s">
        <v>329</v>
      </c>
      <c r="I510" s="823" t="s">
        <v>2715</v>
      </c>
      <c r="J510" s="823" t="s">
        <v>2716</v>
      </c>
      <c r="K510" s="823" t="s">
        <v>2717</v>
      </c>
      <c r="L510" s="826">
        <v>494.14</v>
      </c>
      <c r="M510" s="826">
        <v>4447.26</v>
      </c>
      <c r="N510" s="823">
        <v>9</v>
      </c>
      <c r="O510" s="827">
        <v>2.5</v>
      </c>
      <c r="P510" s="826">
        <v>1482.42</v>
      </c>
      <c r="Q510" s="828">
        <v>0.33333333333333331</v>
      </c>
      <c r="R510" s="823">
        <v>3</v>
      </c>
      <c r="S510" s="828">
        <v>0.33333333333333331</v>
      </c>
      <c r="T510" s="827">
        <v>1</v>
      </c>
      <c r="U510" s="829">
        <v>0.4</v>
      </c>
    </row>
    <row r="511" spans="1:21" ht="14.45" customHeight="1" x14ac:dyDescent="0.2">
      <c r="A511" s="822">
        <v>50</v>
      </c>
      <c r="B511" s="823" t="s">
        <v>1887</v>
      </c>
      <c r="C511" s="823" t="s">
        <v>1893</v>
      </c>
      <c r="D511" s="824" t="s">
        <v>2977</v>
      </c>
      <c r="E511" s="825" t="s">
        <v>1907</v>
      </c>
      <c r="F511" s="823" t="s">
        <v>1888</v>
      </c>
      <c r="G511" s="823" t="s">
        <v>2718</v>
      </c>
      <c r="H511" s="823" t="s">
        <v>329</v>
      </c>
      <c r="I511" s="823" t="s">
        <v>2719</v>
      </c>
      <c r="J511" s="823" t="s">
        <v>2720</v>
      </c>
      <c r="K511" s="823" t="s">
        <v>2721</v>
      </c>
      <c r="L511" s="826">
        <v>6141.8</v>
      </c>
      <c r="M511" s="826">
        <v>12283.6</v>
      </c>
      <c r="N511" s="823">
        <v>2</v>
      </c>
      <c r="O511" s="827">
        <v>1.5</v>
      </c>
      <c r="P511" s="826">
        <v>12283.6</v>
      </c>
      <c r="Q511" s="828">
        <v>1</v>
      </c>
      <c r="R511" s="823">
        <v>2</v>
      </c>
      <c r="S511" s="828">
        <v>1</v>
      </c>
      <c r="T511" s="827">
        <v>1.5</v>
      </c>
      <c r="U511" s="829">
        <v>1</v>
      </c>
    </row>
    <row r="512" spans="1:21" ht="14.45" customHeight="1" x14ac:dyDescent="0.2">
      <c r="A512" s="822">
        <v>50</v>
      </c>
      <c r="B512" s="823" t="s">
        <v>1887</v>
      </c>
      <c r="C512" s="823" t="s">
        <v>1893</v>
      </c>
      <c r="D512" s="824" t="s">
        <v>2977</v>
      </c>
      <c r="E512" s="825" t="s">
        <v>1907</v>
      </c>
      <c r="F512" s="823" t="s">
        <v>1888</v>
      </c>
      <c r="G512" s="823" t="s">
        <v>2206</v>
      </c>
      <c r="H512" s="823" t="s">
        <v>329</v>
      </c>
      <c r="I512" s="823" t="s">
        <v>2207</v>
      </c>
      <c r="J512" s="823" t="s">
        <v>1271</v>
      </c>
      <c r="K512" s="823" t="s">
        <v>1272</v>
      </c>
      <c r="L512" s="826">
        <v>121.92</v>
      </c>
      <c r="M512" s="826">
        <v>16824.960000000006</v>
      </c>
      <c r="N512" s="823">
        <v>138</v>
      </c>
      <c r="O512" s="827">
        <v>35</v>
      </c>
      <c r="P512" s="826">
        <v>5852.1600000000008</v>
      </c>
      <c r="Q512" s="828">
        <v>0.34782608695652167</v>
      </c>
      <c r="R512" s="823">
        <v>48</v>
      </c>
      <c r="S512" s="828">
        <v>0.34782608695652173</v>
      </c>
      <c r="T512" s="827">
        <v>12</v>
      </c>
      <c r="U512" s="829">
        <v>0.34285714285714286</v>
      </c>
    </row>
    <row r="513" spans="1:21" ht="14.45" customHeight="1" x14ac:dyDescent="0.2">
      <c r="A513" s="822">
        <v>50</v>
      </c>
      <c r="B513" s="823" t="s">
        <v>1887</v>
      </c>
      <c r="C513" s="823" t="s">
        <v>1893</v>
      </c>
      <c r="D513" s="824" t="s">
        <v>2977</v>
      </c>
      <c r="E513" s="825" t="s">
        <v>1907</v>
      </c>
      <c r="F513" s="823" t="s">
        <v>1888</v>
      </c>
      <c r="G513" s="823" t="s">
        <v>2206</v>
      </c>
      <c r="H513" s="823" t="s">
        <v>329</v>
      </c>
      <c r="I513" s="823" t="s">
        <v>2207</v>
      </c>
      <c r="J513" s="823" t="s">
        <v>1271</v>
      </c>
      <c r="K513" s="823" t="s">
        <v>1272</v>
      </c>
      <c r="L513" s="826">
        <v>107.27</v>
      </c>
      <c r="M513" s="826">
        <v>6114.3899999999994</v>
      </c>
      <c r="N513" s="823">
        <v>57</v>
      </c>
      <c r="O513" s="827">
        <v>16</v>
      </c>
      <c r="P513" s="826">
        <v>3539.91</v>
      </c>
      <c r="Q513" s="828">
        <v>0.57894736842105265</v>
      </c>
      <c r="R513" s="823">
        <v>33</v>
      </c>
      <c r="S513" s="828">
        <v>0.57894736842105265</v>
      </c>
      <c r="T513" s="827">
        <v>9</v>
      </c>
      <c r="U513" s="829">
        <v>0.5625</v>
      </c>
    </row>
    <row r="514" spans="1:21" ht="14.45" customHeight="1" x14ac:dyDescent="0.2">
      <c r="A514" s="822">
        <v>50</v>
      </c>
      <c r="B514" s="823" t="s">
        <v>1887</v>
      </c>
      <c r="C514" s="823" t="s">
        <v>1893</v>
      </c>
      <c r="D514" s="824" t="s">
        <v>2977</v>
      </c>
      <c r="E514" s="825" t="s">
        <v>1907</v>
      </c>
      <c r="F514" s="823" t="s">
        <v>1888</v>
      </c>
      <c r="G514" s="823" t="s">
        <v>2722</v>
      </c>
      <c r="H514" s="823" t="s">
        <v>329</v>
      </c>
      <c r="I514" s="823" t="s">
        <v>2723</v>
      </c>
      <c r="J514" s="823" t="s">
        <v>2724</v>
      </c>
      <c r="K514" s="823" t="s">
        <v>2725</v>
      </c>
      <c r="L514" s="826">
        <v>140.87</v>
      </c>
      <c r="M514" s="826">
        <v>845.22</v>
      </c>
      <c r="N514" s="823">
        <v>6</v>
      </c>
      <c r="O514" s="827">
        <v>1.5</v>
      </c>
      <c r="P514" s="826"/>
      <c r="Q514" s="828">
        <v>0</v>
      </c>
      <c r="R514" s="823"/>
      <c r="S514" s="828">
        <v>0</v>
      </c>
      <c r="T514" s="827"/>
      <c r="U514" s="829">
        <v>0</v>
      </c>
    </row>
    <row r="515" spans="1:21" ht="14.45" customHeight="1" x14ac:dyDescent="0.2">
      <c r="A515" s="822">
        <v>50</v>
      </c>
      <c r="B515" s="823" t="s">
        <v>1887</v>
      </c>
      <c r="C515" s="823" t="s">
        <v>1893</v>
      </c>
      <c r="D515" s="824" t="s">
        <v>2977</v>
      </c>
      <c r="E515" s="825" t="s">
        <v>1907</v>
      </c>
      <c r="F515" s="823" t="s">
        <v>1889</v>
      </c>
      <c r="G515" s="823" t="s">
        <v>2208</v>
      </c>
      <c r="H515" s="823" t="s">
        <v>329</v>
      </c>
      <c r="I515" s="823" t="s">
        <v>2726</v>
      </c>
      <c r="J515" s="823" t="s">
        <v>2727</v>
      </c>
      <c r="K515" s="823"/>
      <c r="L515" s="826">
        <v>0</v>
      </c>
      <c r="M515" s="826">
        <v>0</v>
      </c>
      <c r="N515" s="823">
        <v>2</v>
      </c>
      <c r="O515" s="827">
        <v>2</v>
      </c>
      <c r="P515" s="826">
        <v>0</v>
      </c>
      <c r="Q515" s="828"/>
      <c r="R515" s="823">
        <v>2</v>
      </c>
      <c r="S515" s="828">
        <v>1</v>
      </c>
      <c r="T515" s="827">
        <v>2</v>
      </c>
      <c r="U515" s="829">
        <v>1</v>
      </c>
    </row>
    <row r="516" spans="1:21" ht="14.45" customHeight="1" x14ac:dyDescent="0.2">
      <c r="A516" s="822">
        <v>50</v>
      </c>
      <c r="B516" s="823" t="s">
        <v>1887</v>
      </c>
      <c r="C516" s="823" t="s">
        <v>1893</v>
      </c>
      <c r="D516" s="824" t="s">
        <v>2977</v>
      </c>
      <c r="E516" s="825" t="s">
        <v>1907</v>
      </c>
      <c r="F516" s="823" t="s">
        <v>1889</v>
      </c>
      <c r="G516" s="823" t="s">
        <v>2208</v>
      </c>
      <c r="H516" s="823" t="s">
        <v>329</v>
      </c>
      <c r="I516" s="823" t="s">
        <v>2728</v>
      </c>
      <c r="J516" s="823" t="s">
        <v>2727</v>
      </c>
      <c r="K516" s="823"/>
      <c r="L516" s="826">
        <v>0</v>
      </c>
      <c r="M516" s="826">
        <v>0</v>
      </c>
      <c r="N516" s="823">
        <v>1</v>
      </c>
      <c r="O516" s="827">
        <v>1</v>
      </c>
      <c r="P516" s="826">
        <v>0</v>
      </c>
      <c r="Q516" s="828"/>
      <c r="R516" s="823">
        <v>1</v>
      </c>
      <c r="S516" s="828">
        <v>1</v>
      </c>
      <c r="T516" s="827">
        <v>1</v>
      </c>
      <c r="U516" s="829">
        <v>1</v>
      </c>
    </row>
    <row r="517" spans="1:21" ht="14.45" customHeight="1" x14ac:dyDescent="0.2">
      <c r="A517" s="822">
        <v>50</v>
      </c>
      <c r="B517" s="823" t="s">
        <v>1887</v>
      </c>
      <c r="C517" s="823" t="s">
        <v>1893</v>
      </c>
      <c r="D517" s="824" t="s">
        <v>2977</v>
      </c>
      <c r="E517" s="825" t="s">
        <v>1907</v>
      </c>
      <c r="F517" s="823" t="s">
        <v>1889</v>
      </c>
      <c r="G517" s="823" t="s">
        <v>2208</v>
      </c>
      <c r="H517" s="823" t="s">
        <v>329</v>
      </c>
      <c r="I517" s="823" t="s">
        <v>2729</v>
      </c>
      <c r="J517" s="823" t="s">
        <v>2727</v>
      </c>
      <c r="K517" s="823"/>
      <c r="L517" s="826">
        <v>239.79</v>
      </c>
      <c r="M517" s="826">
        <v>479.58</v>
      </c>
      <c r="N517" s="823">
        <v>2</v>
      </c>
      <c r="O517" s="827">
        <v>1</v>
      </c>
      <c r="P517" s="826">
        <v>479.58</v>
      </c>
      <c r="Q517" s="828">
        <v>1</v>
      </c>
      <c r="R517" s="823">
        <v>2</v>
      </c>
      <c r="S517" s="828">
        <v>1</v>
      </c>
      <c r="T517" s="827">
        <v>1</v>
      </c>
      <c r="U517" s="829">
        <v>1</v>
      </c>
    </row>
    <row r="518" spans="1:21" ht="14.45" customHeight="1" x14ac:dyDescent="0.2">
      <c r="A518" s="822">
        <v>50</v>
      </c>
      <c r="B518" s="823" t="s">
        <v>1887</v>
      </c>
      <c r="C518" s="823" t="s">
        <v>1893</v>
      </c>
      <c r="D518" s="824" t="s">
        <v>2977</v>
      </c>
      <c r="E518" s="825" t="s">
        <v>1907</v>
      </c>
      <c r="F518" s="823" t="s">
        <v>1890</v>
      </c>
      <c r="G518" s="823" t="s">
        <v>2208</v>
      </c>
      <c r="H518" s="823" t="s">
        <v>329</v>
      </c>
      <c r="I518" s="823" t="s">
        <v>2730</v>
      </c>
      <c r="J518" s="823" t="s">
        <v>2731</v>
      </c>
      <c r="K518" s="823" t="s">
        <v>2732</v>
      </c>
      <c r="L518" s="826">
        <v>410.41</v>
      </c>
      <c r="M518" s="826">
        <v>820.82</v>
      </c>
      <c r="N518" s="823">
        <v>2</v>
      </c>
      <c r="O518" s="827">
        <v>2</v>
      </c>
      <c r="P518" s="826"/>
      <c r="Q518" s="828">
        <v>0</v>
      </c>
      <c r="R518" s="823"/>
      <c r="S518" s="828">
        <v>0</v>
      </c>
      <c r="T518" s="827"/>
      <c r="U518" s="829">
        <v>0</v>
      </c>
    </row>
    <row r="519" spans="1:21" ht="14.45" customHeight="1" x14ac:dyDescent="0.2">
      <c r="A519" s="822">
        <v>50</v>
      </c>
      <c r="B519" s="823" t="s">
        <v>1887</v>
      </c>
      <c r="C519" s="823" t="s">
        <v>1893</v>
      </c>
      <c r="D519" s="824" t="s">
        <v>2977</v>
      </c>
      <c r="E519" s="825" t="s">
        <v>1907</v>
      </c>
      <c r="F519" s="823" t="s">
        <v>1890</v>
      </c>
      <c r="G519" s="823" t="s">
        <v>2208</v>
      </c>
      <c r="H519" s="823" t="s">
        <v>329</v>
      </c>
      <c r="I519" s="823" t="s">
        <v>2209</v>
      </c>
      <c r="J519" s="823" t="s">
        <v>2210</v>
      </c>
      <c r="K519" s="823" t="s">
        <v>2211</v>
      </c>
      <c r="L519" s="826">
        <v>389.82</v>
      </c>
      <c r="M519" s="826">
        <v>4288.0200000000004</v>
      </c>
      <c r="N519" s="823">
        <v>11</v>
      </c>
      <c r="O519" s="827">
        <v>11</v>
      </c>
      <c r="P519" s="826">
        <v>4288.0200000000004</v>
      </c>
      <c r="Q519" s="828">
        <v>1</v>
      </c>
      <c r="R519" s="823">
        <v>11</v>
      </c>
      <c r="S519" s="828">
        <v>1</v>
      </c>
      <c r="T519" s="827">
        <v>11</v>
      </c>
      <c r="U519" s="829">
        <v>1</v>
      </c>
    </row>
    <row r="520" spans="1:21" ht="14.45" customHeight="1" x14ac:dyDescent="0.2">
      <c r="A520" s="822">
        <v>50</v>
      </c>
      <c r="B520" s="823" t="s">
        <v>1887</v>
      </c>
      <c r="C520" s="823" t="s">
        <v>1893</v>
      </c>
      <c r="D520" s="824" t="s">
        <v>2977</v>
      </c>
      <c r="E520" s="825" t="s">
        <v>1907</v>
      </c>
      <c r="F520" s="823" t="s">
        <v>1890</v>
      </c>
      <c r="G520" s="823" t="s">
        <v>2208</v>
      </c>
      <c r="H520" s="823" t="s">
        <v>329</v>
      </c>
      <c r="I520" s="823" t="s">
        <v>2212</v>
      </c>
      <c r="J520" s="823" t="s">
        <v>2213</v>
      </c>
      <c r="K520" s="823" t="s">
        <v>2214</v>
      </c>
      <c r="L520" s="826">
        <v>389.82</v>
      </c>
      <c r="M520" s="826">
        <v>3508.3800000000006</v>
      </c>
      <c r="N520" s="823">
        <v>9</v>
      </c>
      <c r="O520" s="827">
        <v>9</v>
      </c>
      <c r="P520" s="826">
        <v>3118.5600000000004</v>
      </c>
      <c r="Q520" s="828">
        <v>0.88888888888888884</v>
      </c>
      <c r="R520" s="823">
        <v>8</v>
      </c>
      <c r="S520" s="828">
        <v>0.88888888888888884</v>
      </c>
      <c r="T520" s="827">
        <v>8</v>
      </c>
      <c r="U520" s="829">
        <v>0.88888888888888884</v>
      </c>
    </row>
    <row r="521" spans="1:21" ht="14.45" customHeight="1" x14ac:dyDescent="0.2">
      <c r="A521" s="822">
        <v>50</v>
      </c>
      <c r="B521" s="823" t="s">
        <v>1887</v>
      </c>
      <c r="C521" s="823" t="s">
        <v>1893</v>
      </c>
      <c r="D521" s="824" t="s">
        <v>2977</v>
      </c>
      <c r="E521" s="825" t="s">
        <v>1907</v>
      </c>
      <c r="F521" s="823" t="s">
        <v>1890</v>
      </c>
      <c r="G521" s="823" t="s">
        <v>2208</v>
      </c>
      <c r="H521" s="823" t="s">
        <v>329</v>
      </c>
      <c r="I521" s="823" t="s">
        <v>2215</v>
      </c>
      <c r="J521" s="823" t="s">
        <v>2216</v>
      </c>
      <c r="K521" s="823" t="s">
        <v>2217</v>
      </c>
      <c r="L521" s="826">
        <v>389.82</v>
      </c>
      <c r="M521" s="826">
        <v>2338.92</v>
      </c>
      <c r="N521" s="823">
        <v>6</v>
      </c>
      <c r="O521" s="827">
        <v>6</v>
      </c>
      <c r="P521" s="826">
        <v>2338.92</v>
      </c>
      <c r="Q521" s="828">
        <v>1</v>
      </c>
      <c r="R521" s="823">
        <v>6</v>
      </c>
      <c r="S521" s="828">
        <v>1</v>
      </c>
      <c r="T521" s="827">
        <v>6</v>
      </c>
      <c r="U521" s="829">
        <v>1</v>
      </c>
    </row>
    <row r="522" spans="1:21" ht="14.45" customHeight="1" x14ac:dyDescent="0.2">
      <c r="A522" s="822">
        <v>50</v>
      </c>
      <c r="B522" s="823" t="s">
        <v>1887</v>
      </c>
      <c r="C522" s="823" t="s">
        <v>1893</v>
      </c>
      <c r="D522" s="824" t="s">
        <v>2977</v>
      </c>
      <c r="E522" s="825" t="s">
        <v>1907</v>
      </c>
      <c r="F522" s="823" t="s">
        <v>1890</v>
      </c>
      <c r="G522" s="823" t="s">
        <v>2208</v>
      </c>
      <c r="H522" s="823" t="s">
        <v>329</v>
      </c>
      <c r="I522" s="823" t="s">
        <v>2218</v>
      </c>
      <c r="J522" s="823" t="s">
        <v>2219</v>
      </c>
      <c r="K522" s="823" t="s">
        <v>2220</v>
      </c>
      <c r="L522" s="826">
        <v>39.1</v>
      </c>
      <c r="M522" s="826">
        <v>3910.0000000000014</v>
      </c>
      <c r="N522" s="823">
        <v>100</v>
      </c>
      <c r="O522" s="827">
        <v>25</v>
      </c>
      <c r="P522" s="826">
        <v>3753.6000000000013</v>
      </c>
      <c r="Q522" s="828">
        <v>0.96</v>
      </c>
      <c r="R522" s="823">
        <v>96</v>
      </c>
      <c r="S522" s="828">
        <v>0.96</v>
      </c>
      <c r="T522" s="827">
        <v>24</v>
      </c>
      <c r="U522" s="829">
        <v>0.96</v>
      </c>
    </row>
    <row r="523" spans="1:21" ht="14.45" customHeight="1" x14ac:dyDescent="0.2">
      <c r="A523" s="822">
        <v>50</v>
      </c>
      <c r="B523" s="823" t="s">
        <v>1887</v>
      </c>
      <c r="C523" s="823" t="s">
        <v>1893</v>
      </c>
      <c r="D523" s="824" t="s">
        <v>2977</v>
      </c>
      <c r="E523" s="825" t="s">
        <v>1907</v>
      </c>
      <c r="F523" s="823" t="s">
        <v>1890</v>
      </c>
      <c r="G523" s="823" t="s">
        <v>2208</v>
      </c>
      <c r="H523" s="823" t="s">
        <v>329</v>
      </c>
      <c r="I523" s="823" t="s">
        <v>2221</v>
      </c>
      <c r="J523" s="823" t="s">
        <v>2219</v>
      </c>
      <c r="K523" s="823" t="s">
        <v>2222</v>
      </c>
      <c r="L523" s="826">
        <v>49.02</v>
      </c>
      <c r="M523" s="826">
        <v>3725.5199999999991</v>
      </c>
      <c r="N523" s="823">
        <v>76</v>
      </c>
      <c r="O523" s="827">
        <v>19</v>
      </c>
      <c r="P523" s="826">
        <v>3725.5199999999991</v>
      </c>
      <c r="Q523" s="828">
        <v>1</v>
      </c>
      <c r="R523" s="823">
        <v>76</v>
      </c>
      <c r="S523" s="828">
        <v>1</v>
      </c>
      <c r="T523" s="827">
        <v>19</v>
      </c>
      <c r="U523" s="829">
        <v>1</v>
      </c>
    </row>
    <row r="524" spans="1:21" ht="14.45" customHeight="1" x14ac:dyDescent="0.2">
      <c r="A524" s="822">
        <v>50</v>
      </c>
      <c r="B524" s="823" t="s">
        <v>1887</v>
      </c>
      <c r="C524" s="823" t="s">
        <v>1893</v>
      </c>
      <c r="D524" s="824" t="s">
        <v>2977</v>
      </c>
      <c r="E524" s="825" t="s">
        <v>1908</v>
      </c>
      <c r="F524" s="823" t="s">
        <v>1888</v>
      </c>
      <c r="G524" s="823" t="s">
        <v>2044</v>
      </c>
      <c r="H524" s="823" t="s">
        <v>329</v>
      </c>
      <c r="I524" s="823" t="s">
        <v>2045</v>
      </c>
      <c r="J524" s="823" t="s">
        <v>2046</v>
      </c>
      <c r="K524" s="823" t="s">
        <v>2047</v>
      </c>
      <c r="L524" s="826">
        <v>1771.84</v>
      </c>
      <c r="M524" s="826">
        <v>14174.72</v>
      </c>
      <c r="N524" s="823">
        <v>8</v>
      </c>
      <c r="O524" s="827">
        <v>3</v>
      </c>
      <c r="P524" s="826"/>
      <c r="Q524" s="828">
        <v>0</v>
      </c>
      <c r="R524" s="823"/>
      <c r="S524" s="828">
        <v>0</v>
      </c>
      <c r="T524" s="827"/>
      <c r="U524" s="829">
        <v>0</v>
      </c>
    </row>
    <row r="525" spans="1:21" ht="14.45" customHeight="1" x14ac:dyDescent="0.2">
      <c r="A525" s="822">
        <v>50</v>
      </c>
      <c r="B525" s="823" t="s">
        <v>1887</v>
      </c>
      <c r="C525" s="823" t="s">
        <v>1893</v>
      </c>
      <c r="D525" s="824" t="s">
        <v>2977</v>
      </c>
      <c r="E525" s="825" t="s">
        <v>1908</v>
      </c>
      <c r="F525" s="823" t="s">
        <v>1888</v>
      </c>
      <c r="G525" s="823" t="s">
        <v>2476</v>
      </c>
      <c r="H525" s="823" t="s">
        <v>329</v>
      </c>
      <c r="I525" s="823" t="s">
        <v>2733</v>
      </c>
      <c r="J525" s="823" t="s">
        <v>2478</v>
      </c>
      <c r="K525" s="823" t="s">
        <v>2479</v>
      </c>
      <c r="L525" s="826">
        <v>94.7</v>
      </c>
      <c r="M525" s="826">
        <v>94.7</v>
      </c>
      <c r="N525" s="823">
        <v>1</v>
      </c>
      <c r="O525" s="827">
        <v>1</v>
      </c>
      <c r="P525" s="826"/>
      <c r="Q525" s="828">
        <v>0</v>
      </c>
      <c r="R525" s="823"/>
      <c r="S525" s="828">
        <v>0</v>
      </c>
      <c r="T525" s="827"/>
      <c r="U525" s="829">
        <v>0</v>
      </c>
    </row>
    <row r="526" spans="1:21" ht="14.45" customHeight="1" x14ac:dyDescent="0.2">
      <c r="A526" s="822">
        <v>50</v>
      </c>
      <c r="B526" s="823" t="s">
        <v>1887</v>
      </c>
      <c r="C526" s="823" t="s">
        <v>1893</v>
      </c>
      <c r="D526" s="824" t="s">
        <v>2977</v>
      </c>
      <c r="E526" s="825" t="s">
        <v>1908</v>
      </c>
      <c r="F526" s="823" t="s">
        <v>1888</v>
      </c>
      <c r="G526" s="823" t="s">
        <v>1915</v>
      </c>
      <c r="H526" s="823" t="s">
        <v>329</v>
      </c>
      <c r="I526" s="823" t="s">
        <v>1916</v>
      </c>
      <c r="J526" s="823" t="s">
        <v>1202</v>
      </c>
      <c r="K526" s="823" t="s">
        <v>1917</v>
      </c>
      <c r="L526" s="826">
        <v>73.989999999999995</v>
      </c>
      <c r="M526" s="826">
        <v>147.97999999999999</v>
      </c>
      <c r="N526" s="823">
        <v>2</v>
      </c>
      <c r="O526" s="827">
        <v>1</v>
      </c>
      <c r="P526" s="826">
        <v>147.97999999999999</v>
      </c>
      <c r="Q526" s="828">
        <v>1</v>
      </c>
      <c r="R526" s="823">
        <v>2</v>
      </c>
      <c r="S526" s="828">
        <v>1</v>
      </c>
      <c r="T526" s="827">
        <v>1</v>
      </c>
      <c r="U526" s="829">
        <v>1</v>
      </c>
    </row>
    <row r="527" spans="1:21" ht="14.45" customHeight="1" x14ac:dyDescent="0.2">
      <c r="A527" s="822">
        <v>50</v>
      </c>
      <c r="B527" s="823" t="s">
        <v>1887</v>
      </c>
      <c r="C527" s="823" t="s">
        <v>1893</v>
      </c>
      <c r="D527" s="824" t="s">
        <v>2977</v>
      </c>
      <c r="E527" s="825" t="s">
        <v>1908</v>
      </c>
      <c r="F527" s="823" t="s">
        <v>1888</v>
      </c>
      <c r="G527" s="823" t="s">
        <v>2245</v>
      </c>
      <c r="H527" s="823" t="s">
        <v>625</v>
      </c>
      <c r="I527" s="823" t="s">
        <v>2246</v>
      </c>
      <c r="J527" s="823" t="s">
        <v>2247</v>
      </c>
      <c r="K527" s="823" t="s">
        <v>2248</v>
      </c>
      <c r="L527" s="826">
        <v>115.27</v>
      </c>
      <c r="M527" s="826">
        <v>230.54</v>
      </c>
      <c r="N527" s="823">
        <v>2</v>
      </c>
      <c r="O527" s="827">
        <v>1</v>
      </c>
      <c r="P527" s="826"/>
      <c r="Q527" s="828">
        <v>0</v>
      </c>
      <c r="R527" s="823"/>
      <c r="S527" s="828">
        <v>0</v>
      </c>
      <c r="T527" s="827"/>
      <c r="U527" s="829">
        <v>0</v>
      </c>
    </row>
    <row r="528" spans="1:21" ht="14.45" customHeight="1" x14ac:dyDescent="0.2">
      <c r="A528" s="822">
        <v>50</v>
      </c>
      <c r="B528" s="823" t="s">
        <v>1887</v>
      </c>
      <c r="C528" s="823" t="s">
        <v>1893</v>
      </c>
      <c r="D528" s="824" t="s">
        <v>2977</v>
      </c>
      <c r="E528" s="825" t="s">
        <v>1908</v>
      </c>
      <c r="F528" s="823" t="s">
        <v>1888</v>
      </c>
      <c r="G528" s="823" t="s">
        <v>1985</v>
      </c>
      <c r="H528" s="823" t="s">
        <v>329</v>
      </c>
      <c r="I528" s="823" t="s">
        <v>2734</v>
      </c>
      <c r="J528" s="823" t="s">
        <v>998</v>
      </c>
      <c r="K528" s="823" t="s">
        <v>2735</v>
      </c>
      <c r="L528" s="826">
        <v>181.04</v>
      </c>
      <c r="M528" s="826">
        <v>181.04</v>
      </c>
      <c r="N528" s="823">
        <v>1</v>
      </c>
      <c r="O528" s="827">
        <v>1</v>
      </c>
      <c r="P528" s="826"/>
      <c r="Q528" s="828">
        <v>0</v>
      </c>
      <c r="R528" s="823"/>
      <c r="S528" s="828">
        <v>0</v>
      </c>
      <c r="T528" s="827"/>
      <c r="U528" s="829">
        <v>0</v>
      </c>
    </row>
    <row r="529" spans="1:21" ht="14.45" customHeight="1" x14ac:dyDescent="0.2">
      <c r="A529" s="822">
        <v>50</v>
      </c>
      <c r="B529" s="823" t="s">
        <v>1887</v>
      </c>
      <c r="C529" s="823" t="s">
        <v>1893</v>
      </c>
      <c r="D529" s="824" t="s">
        <v>2977</v>
      </c>
      <c r="E529" s="825" t="s">
        <v>1908</v>
      </c>
      <c r="F529" s="823" t="s">
        <v>1888</v>
      </c>
      <c r="G529" s="823" t="s">
        <v>2583</v>
      </c>
      <c r="H529" s="823" t="s">
        <v>625</v>
      </c>
      <c r="I529" s="823" t="s">
        <v>2736</v>
      </c>
      <c r="J529" s="823" t="s">
        <v>2737</v>
      </c>
      <c r="K529" s="823" t="s">
        <v>1249</v>
      </c>
      <c r="L529" s="826">
        <v>439.98</v>
      </c>
      <c r="M529" s="826">
        <v>439.98</v>
      </c>
      <c r="N529" s="823">
        <v>1</v>
      </c>
      <c r="O529" s="827">
        <v>1</v>
      </c>
      <c r="P529" s="826"/>
      <c r="Q529" s="828">
        <v>0</v>
      </c>
      <c r="R529" s="823"/>
      <c r="S529" s="828">
        <v>0</v>
      </c>
      <c r="T529" s="827"/>
      <c r="U529" s="829">
        <v>0</v>
      </c>
    </row>
    <row r="530" spans="1:21" ht="14.45" customHeight="1" x14ac:dyDescent="0.2">
      <c r="A530" s="822">
        <v>50</v>
      </c>
      <c r="B530" s="823" t="s">
        <v>1887</v>
      </c>
      <c r="C530" s="823" t="s">
        <v>1893</v>
      </c>
      <c r="D530" s="824" t="s">
        <v>2977</v>
      </c>
      <c r="E530" s="825" t="s">
        <v>1908</v>
      </c>
      <c r="F530" s="823" t="s">
        <v>1888</v>
      </c>
      <c r="G530" s="823" t="s">
        <v>2583</v>
      </c>
      <c r="H530" s="823" t="s">
        <v>625</v>
      </c>
      <c r="I530" s="823" t="s">
        <v>2738</v>
      </c>
      <c r="J530" s="823" t="s">
        <v>2737</v>
      </c>
      <c r="K530" s="823" t="s">
        <v>2739</v>
      </c>
      <c r="L530" s="826">
        <v>879.97</v>
      </c>
      <c r="M530" s="826">
        <v>879.97</v>
      </c>
      <c r="N530" s="823">
        <v>1</v>
      </c>
      <c r="O530" s="827">
        <v>1</v>
      </c>
      <c r="P530" s="826"/>
      <c r="Q530" s="828">
        <v>0</v>
      </c>
      <c r="R530" s="823"/>
      <c r="S530" s="828">
        <v>0</v>
      </c>
      <c r="T530" s="827"/>
      <c r="U530" s="829">
        <v>0</v>
      </c>
    </row>
    <row r="531" spans="1:21" ht="14.45" customHeight="1" x14ac:dyDescent="0.2">
      <c r="A531" s="822">
        <v>50</v>
      </c>
      <c r="B531" s="823" t="s">
        <v>1887</v>
      </c>
      <c r="C531" s="823" t="s">
        <v>1893</v>
      </c>
      <c r="D531" s="824" t="s">
        <v>2977</v>
      </c>
      <c r="E531" s="825" t="s">
        <v>1908</v>
      </c>
      <c r="F531" s="823" t="s">
        <v>1888</v>
      </c>
      <c r="G531" s="823" t="s">
        <v>2740</v>
      </c>
      <c r="H531" s="823" t="s">
        <v>329</v>
      </c>
      <c r="I531" s="823" t="s">
        <v>2741</v>
      </c>
      <c r="J531" s="823" t="s">
        <v>1399</v>
      </c>
      <c r="K531" s="823" t="s">
        <v>2742</v>
      </c>
      <c r="L531" s="826">
        <v>61.97</v>
      </c>
      <c r="M531" s="826">
        <v>123.94</v>
      </c>
      <c r="N531" s="823">
        <v>2</v>
      </c>
      <c r="O531" s="827">
        <v>1</v>
      </c>
      <c r="P531" s="826"/>
      <c r="Q531" s="828">
        <v>0</v>
      </c>
      <c r="R531" s="823"/>
      <c r="S531" s="828">
        <v>0</v>
      </c>
      <c r="T531" s="827"/>
      <c r="U531" s="829">
        <v>0</v>
      </c>
    </row>
    <row r="532" spans="1:21" ht="14.45" customHeight="1" x14ac:dyDescent="0.2">
      <c r="A532" s="822">
        <v>50</v>
      </c>
      <c r="B532" s="823" t="s">
        <v>1887</v>
      </c>
      <c r="C532" s="823" t="s">
        <v>1893</v>
      </c>
      <c r="D532" s="824" t="s">
        <v>2977</v>
      </c>
      <c r="E532" s="825" t="s">
        <v>1908</v>
      </c>
      <c r="F532" s="823" t="s">
        <v>1888</v>
      </c>
      <c r="G532" s="823" t="s">
        <v>2002</v>
      </c>
      <c r="H532" s="823" t="s">
        <v>625</v>
      </c>
      <c r="I532" s="823" t="s">
        <v>2190</v>
      </c>
      <c r="J532" s="823" t="s">
        <v>1574</v>
      </c>
      <c r="K532" s="823" t="s">
        <v>2191</v>
      </c>
      <c r="L532" s="826">
        <v>4961.1400000000003</v>
      </c>
      <c r="M532" s="826">
        <v>4961.1400000000003</v>
      </c>
      <c r="N532" s="823">
        <v>1</v>
      </c>
      <c r="O532" s="827">
        <v>1</v>
      </c>
      <c r="P532" s="826"/>
      <c r="Q532" s="828">
        <v>0</v>
      </c>
      <c r="R532" s="823"/>
      <c r="S532" s="828">
        <v>0</v>
      </c>
      <c r="T532" s="827"/>
      <c r="U532" s="829">
        <v>0</v>
      </c>
    </row>
    <row r="533" spans="1:21" ht="14.45" customHeight="1" x14ac:dyDescent="0.2">
      <c r="A533" s="822">
        <v>50</v>
      </c>
      <c r="B533" s="823" t="s">
        <v>1887</v>
      </c>
      <c r="C533" s="823" t="s">
        <v>1893</v>
      </c>
      <c r="D533" s="824" t="s">
        <v>2977</v>
      </c>
      <c r="E533" s="825" t="s">
        <v>1909</v>
      </c>
      <c r="F533" s="823" t="s">
        <v>1888</v>
      </c>
      <c r="G533" s="823" t="s">
        <v>2743</v>
      </c>
      <c r="H533" s="823" t="s">
        <v>625</v>
      </c>
      <c r="I533" s="823" t="s">
        <v>1756</v>
      </c>
      <c r="J533" s="823" t="s">
        <v>927</v>
      </c>
      <c r="K533" s="823" t="s">
        <v>1757</v>
      </c>
      <c r="L533" s="826">
        <v>0</v>
      </c>
      <c r="M533" s="826">
        <v>0</v>
      </c>
      <c r="N533" s="823">
        <v>1</v>
      </c>
      <c r="O533" s="827">
        <v>0.5</v>
      </c>
      <c r="P533" s="826">
        <v>0</v>
      </c>
      <c r="Q533" s="828"/>
      <c r="R533" s="823">
        <v>1</v>
      </c>
      <c r="S533" s="828">
        <v>1</v>
      </c>
      <c r="T533" s="827">
        <v>0.5</v>
      </c>
      <c r="U533" s="829">
        <v>1</v>
      </c>
    </row>
    <row r="534" spans="1:21" ht="14.45" customHeight="1" x14ac:dyDescent="0.2">
      <c r="A534" s="822">
        <v>50</v>
      </c>
      <c r="B534" s="823" t="s">
        <v>1887</v>
      </c>
      <c r="C534" s="823" t="s">
        <v>1893</v>
      </c>
      <c r="D534" s="824" t="s">
        <v>2977</v>
      </c>
      <c r="E534" s="825" t="s">
        <v>1909</v>
      </c>
      <c r="F534" s="823" t="s">
        <v>1888</v>
      </c>
      <c r="G534" s="823" t="s">
        <v>2744</v>
      </c>
      <c r="H534" s="823" t="s">
        <v>329</v>
      </c>
      <c r="I534" s="823" t="s">
        <v>2745</v>
      </c>
      <c r="J534" s="823" t="s">
        <v>2746</v>
      </c>
      <c r="K534" s="823" t="s">
        <v>2747</v>
      </c>
      <c r="L534" s="826">
        <v>247.17</v>
      </c>
      <c r="M534" s="826">
        <v>247.17</v>
      </c>
      <c r="N534" s="823">
        <v>1</v>
      </c>
      <c r="O534" s="827">
        <v>1</v>
      </c>
      <c r="P534" s="826"/>
      <c r="Q534" s="828">
        <v>0</v>
      </c>
      <c r="R534" s="823"/>
      <c r="S534" s="828">
        <v>0</v>
      </c>
      <c r="T534" s="827"/>
      <c r="U534" s="829">
        <v>0</v>
      </c>
    </row>
    <row r="535" spans="1:21" ht="14.45" customHeight="1" x14ac:dyDescent="0.2">
      <c r="A535" s="822">
        <v>50</v>
      </c>
      <c r="B535" s="823" t="s">
        <v>1887</v>
      </c>
      <c r="C535" s="823" t="s">
        <v>1893</v>
      </c>
      <c r="D535" s="824" t="s">
        <v>2977</v>
      </c>
      <c r="E535" s="825" t="s">
        <v>1909</v>
      </c>
      <c r="F535" s="823" t="s">
        <v>1888</v>
      </c>
      <c r="G535" s="823" t="s">
        <v>2748</v>
      </c>
      <c r="H535" s="823" t="s">
        <v>329</v>
      </c>
      <c r="I535" s="823" t="s">
        <v>2749</v>
      </c>
      <c r="J535" s="823" t="s">
        <v>633</v>
      </c>
      <c r="K535" s="823" t="s">
        <v>2750</v>
      </c>
      <c r="L535" s="826">
        <v>0</v>
      </c>
      <c r="M535" s="826">
        <v>0</v>
      </c>
      <c r="N535" s="823">
        <v>1</v>
      </c>
      <c r="O535" s="827">
        <v>0.5</v>
      </c>
      <c r="P535" s="826">
        <v>0</v>
      </c>
      <c r="Q535" s="828"/>
      <c r="R535" s="823">
        <v>1</v>
      </c>
      <c r="S535" s="828">
        <v>1</v>
      </c>
      <c r="T535" s="827">
        <v>0.5</v>
      </c>
      <c r="U535" s="829">
        <v>1</v>
      </c>
    </row>
    <row r="536" spans="1:21" ht="14.45" customHeight="1" x14ac:dyDescent="0.2">
      <c r="A536" s="822">
        <v>50</v>
      </c>
      <c r="B536" s="823" t="s">
        <v>1887</v>
      </c>
      <c r="C536" s="823" t="s">
        <v>1893</v>
      </c>
      <c r="D536" s="824" t="s">
        <v>2977</v>
      </c>
      <c r="E536" s="825" t="s">
        <v>1909</v>
      </c>
      <c r="F536" s="823" t="s">
        <v>1888</v>
      </c>
      <c r="G536" s="823" t="s">
        <v>2015</v>
      </c>
      <c r="H536" s="823" t="s">
        <v>625</v>
      </c>
      <c r="I536" s="823" t="s">
        <v>2018</v>
      </c>
      <c r="J536" s="823" t="s">
        <v>1794</v>
      </c>
      <c r="K536" s="823" t="s">
        <v>2019</v>
      </c>
      <c r="L536" s="826">
        <v>31.09</v>
      </c>
      <c r="M536" s="826">
        <v>31.09</v>
      </c>
      <c r="N536" s="823">
        <v>1</v>
      </c>
      <c r="O536" s="827">
        <v>0.5</v>
      </c>
      <c r="P536" s="826"/>
      <c r="Q536" s="828">
        <v>0</v>
      </c>
      <c r="R536" s="823"/>
      <c r="S536" s="828">
        <v>0</v>
      </c>
      <c r="T536" s="827"/>
      <c r="U536" s="829">
        <v>0</v>
      </c>
    </row>
    <row r="537" spans="1:21" ht="14.45" customHeight="1" x14ac:dyDescent="0.2">
      <c r="A537" s="822">
        <v>50</v>
      </c>
      <c r="B537" s="823" t="s">
        <v>1887</v>
      </c>
      <c r="C537" s="823" t="s">
        <v>1893</v>
      </c>
      <c r="D537" s="824" t="s">
        <v>2977</v>
      </c>
      <c r="E537" s="825" t="s">
        <v>1909</v>
      </c>
      <c r="F537" s="823" t="s">
        <v>1888</v>
      </c>
      <c r="G537" s="823" t="s">
        <v>1932</v>
      </c>
      <c r="H537" s="823" t="s">
        <v>625</v>
      </c>
      <c r="I537" s="823" t="s">
        <v>1796</v>
      </c>
      <c r="J537" s="823" t="s">
        <v>1639</v>
      </c>
      <c r="K537" s="823" t="s">
        <v>1797</v>
      </c>
      <c r="L537" s="826">
        <v>130.51</v>
      </c>
      <c r="M537" s="826">
        <v>261.02</v>
      </c>
      <c r="N537" s="823">
        <v>2</v>
      </c>
      <c r="O537" s="827">
        <v>1.5</v>
      </c>
      <c r="P537" s="826">
        <v>130.51</v>
      </c>
      <c r="Q537" s="828">
        <v>0.5</v>
      </c>
      <c r="R537" s="823">
        <v>1</v>
      </c>
      <c r="S537" s="828">
        <v>0.5</v>
      </c>
      <c r="T537" s="827">
        <v>0.5</v>
      </c>
      <c r="U537" s="829">
        <v>0.33333333333333331</v>
      </c>
    </row>
    <row r="538" spans="1:21" ht="14.45" customHeight="1" x14ac:dyDescent="0.2">
      <c r="A538" s="822">
        <v>50</v>
      </c>
      <c r="B538" s="823" t="s">
        <v>1887</v>
      </c>
      <c r="C538" s="823" t="s">
        <v>1893</v>
      </c>
      <c r="D538" s="824" t="s">
        <v>2977</v>
      </c>
      <c r="E538" s="825" t="s">
        <v>1909</v>
      </c>
      <c r="F538" s="823" t="s">
        <v>1888</v>
      </c>
      <c r="G538" s="823" t="s">
        <v>1914</v>
      </c>
      <c r="H538" s="823" t="s">
        <v>329</v>
      </c>
      <c r="I538" s="823" t="s">
        <v>1948</v>
      </c>
      <c r="J538" s="823" t="s">
        <v>1949</v>
      </c>
      <c r="K538" s="823" t="s">
        <v>1923</v>
      </c>
      <c r="L538" s="826">
        <v>35.11</v>
      </c>
      <c r="M538" s="826">
        <v>70.22</v>
      </c>
      <c r="N538" s="823">
        <v>2</v>
      </c>
      <c r="O538" s="827">
        <v>1</v>
      </c>
      <c r="P538" s="826"/>
      <c r="Q538" s="828">
        <v>0</v>
      </c>
      <c r="R538" s="823"/>
      <c r="S538" s="828">
        <v>0</v>
      </c>
      <c r="T538" s="827"/>
      <c r="U538" s="829">
        <v>0</v>
      </c>
    </row>
    <row r="539" spans="1:21" ht="14.45" customHeight="1" x14ac:dyDescent="0.2">
      <c r="A539" s="822">
        <v>50</v>
      </c>
      <c r="B539" s="823" t="s">
        <v>1887</v>
      </c>
      <c r="C539" s="823" t="s">
        <v>1893</v>
      </c>
      <c r="D539" s="824" t="s">
        <v>2977</v>
      </c>
      <c r="E539" s="825" t="s">
        <v>1909</v>
      </c>
      <c r="F539" s="823" t="s">
        <v>1888</v>
      </c>
      <c r="G539" s="823" t="s">
        <v>1914</v>
      </c>
      <c r="H539" s="823" t="s">
        <v>625</v>
      </c>
      <c r="I539" s="823" t="s">
        <v>1616</v>
      </c>
      <c r="J539" s="823" t="s">
        <v>673</v>
      </c>
      <c r="K539" s="823" t="s">
        <v>676</v>
      </c>
      <c r="L539" s="826">
        <v>17.559999999999999</v>
      </c>
      <c r="M539" s="826">
        <v>35.119999999999997</v>
      </c>
      <c r="N539" s="823">
        <v>2</v>
      </c>
      <c r="O539" s="827">
        <v>1</v>
      </c>
      <c r="P539" s="826">
        <v>17.559999999999999</v>
      </c>
      <c r="Q539" s="828">
        <v>0.5</v>
      </c>
      <c r="R539" s="823">
        <v>1</v>
      </c>
      <c r="S539" s="828">
        <v>0.5</v>
      </c>
      <c r="T539" s="827">
        <v>0.5</v>
      </c>
      <c r="U539" s="829">
        <v>0.5</v>
      </c>
    </row>
    <row r="540" spans="1:21" ht="14.45" customHeight="1" x14ac:dyDescent="0.2">
      <c r="A540" s="822">
        <v>50</v>
      </c>
      <c r="B540" s="823" t="s">
        <v>1887</v>
      </c>
      <c r="C540" s="823" t="s">
        <v>1893</v>
      </c>
      <c r="D540" s="824" t="s">
        <v>2977</v>
      </c>
      <c r="E540" s="825" t="s">
        <v>1909</v>
      </c>
      <c r="F540" s="823" t="s">
        <v>1888</v>
      </c>
      <c r="G540" s="823" t="s">
        <v>1914</v>
      </c>
      <c r="H540" s="823" t="s">
        <v>625</v>
      </c>
      <c r="I540" s="823" t="s">
        <v>2226</v>
      </c>
      <c r="J540" s="823" t="s">
        <v>673</v>
      </c>
      <c r="K540" s="823" t="s">
        <v>1923</v>
      </c>
      <c r="L540" s="826">
        <v>35.11</v>
      </c>
      <c r="M540" s="826">
        <v>70.22</v>
      </c>
      <c r="N540" s="823">
        <v>2</v>
      </c>
      <c r="O540" s="827">
        <v>1</v>
      </c>
      <c r="P540" s="826"/>
      <c r="Q540" s="828">
        <v>0</v>
      </c>
      <c r="R540" s="823"/>
      <c r="S540" s="828">
        <v>0</v>
      </c>
      <c r="T540" s="827"/>
      <c r="U540" s="829">
        <v>0</v>
      </c>
    </row>
    <row r="541" spans="1:21" ht="14.45" customHeight="1" x14ac:dyDescent="0.2">
      <c r="A541" s="822">
        <v>50</v>
      </c>
      <c r="B541" s="823" t="s">
        <v>1887</v>
      </c>
      <c r="C541" s="823" t="s">
        <v>1893</v>
      </c>
      <c r="D541" s="824" t="s">
        <v>2977</v>
      </c>
      <c r="E541" s="825" t="s">
        <v>1909</v>
      </c>
      <c r="F541" s="823" t="s">
        <v>1888</v>
      </c>
      <c r="G541" s="823" t="s">
        <v>2751</v>
      </c>
      <c r="H541" s="823" t="s">
        <v>625</v>
      </c>
      <c r="I541" s="823" t="s">
        <v>2752</v>
      </c>
      <c r="J541" s="823" t="s">
        <v>1061</v>
      </c>
      <c r="K541" s="823" t="s">
        <v>674</v>
      </c>
      <c r="L541" s="826">
        <v>58.77</v>
      </c>
      <c r="M541" s="826">
        <v>58.77</v>
      </c>
      <c r="N541" s="823">
        <v>1</v>
      </c>
      <c r="O541" s="827">
        <v>0.5</v>
      </c>
      <c r="P541" s="826"/>
      <c r="Q541" s="828">
        <v>0</v>
      </c>
      <c r="R541" s="823"/>
      <c r="S541" s="828">
        <v>0</v>
      </c>
      <c r="T541" s="827"/>
      <c r="U541" s="829">
        <v>0</v>
      </c>
    </row>
    <row r="542" spans="1:21" ht="14.45" customHeight="1" x14ac:dyDescent="0.2">
      <c r="A542" s="822">
        <v>50</v>
      </c>
      <c r="B542" s="823" t="s">
        <v>1887</v>
      </c>
      <c r="C542" s="823" t="s">
        <v>1893</v>
      </c>
      <c r="D542" s="824" t="s">
        <v>2977</v>
      </c>
      <c r="E542" s="825" t="s">
        <v>1909</v>
      </c>
      <c r="F542" s="823" t="s">
        <v>1888</v>
      </c>
      <c r="G542" s="823" t="s">
        <v>2066</v>
      </c>
      <c r="H542" s="823" t="s">
        <v>329</v>
      </c>
      <c r="I542" s="823" t="s">
        <v>2753</v>
      </c>
      <c r="J542" s="823" t="s">
        <v>727</v>
      </c>
      <c r="K542" s="823" t="s">
        <v>2754</v>
      </c>
      <c r="L542" s="826">
        <v>45.56</v>
      </c>
      <c r="M542" s="826">
        <v>45.56</v>
      </c>
      <c r="N542" s="823">
        <v>1</v>
      </c>
      <c r="O542" s="827">
        <v>0.5</v>
      </c>
      <c r="P542" s="826"/>
      <c r="Q542" s="828">
        <v>0</v>
      </c>
      <c r="R542" s="823"/>
      <c r="S542" s="828">
        <v>0</v>
      </c>
      <c r="T542" s="827"/>
      <c r="U542" s="829">
        <v>0</v>
      </c>
    </row>
    <row r="543" spans="1:21" ht="14.45" customHeight="1" x14ac:dyDescent="0.2">
      <c r="A543" s="822">
        <v>50</v>
      </c>
      <c r="B543" s="823" t="s">
        <v>1887</v>
      </c>
      <c r="C543" s="823" t="s">
        <v>1893</v>
      </c>
      <c r="D543" s="824" t="s">
        <v>2977</v>
      </c>
      <c r="E543" s="825" t="s">
        <v>1909</v>
      </c>
      <c r="F543" s="823" t="s">
        <v>1888</v>
      </c>
      <c r="G543" s="823" t="s">
        <v>1952</v>
      </c>
      <c r="H543" s="823" t="s">
        <v>625</v>
      </c>
      <c r="I543" s="823" t="s">
        <v>1784</v>
      </c>
      <c r="J543" s="823" t="s">
        <v>811</v>
      </c>
      <c r="K543" s="823" t="s">
        <v>1785</v>
      </c>
      <c r="L543" s="826">
        <v>42.51</v>
      </c>
      <c r="M543" s="826">
        <v>42.51</v>
      </c>
      <c r="N543" s="823">
        <v>1</v>
      </c>
      <c r="O543" s="827">
        <v>0.5</v>
      </c>
      <c r="P543" s="826"/>
      <c r="Q543" s="828">
        <v>0</v>
      </c>
      <c r="R543" s="823"/>
      <c r="S543" s="828">
        <v>0</v>
      </c>
      <c r="T543" s="827"/>
      <c r="U543" s="829">
        <v>0</v>
      </c>
    </row>
    <row r="544" spans="1:21" ht="14.45" customHeight="1" x14ac:dyDescent="0.2">
      <c r="A544" s="822">
        <v>50</v>
      </c>
      <c r="B544" s="823" t="s">
        <v>1887</v>
      </c>
      <c r="C544" s="823" t="s">
        <v>1893</v>
      </c>
      <c r="D544" s="824" t="s">
        <v>2977</v>
      </c>
      <c r="E544" s="825" t="s">
        <v>1909</v>
      </c>
      <c r="F544" s="823" t="s">
        <v>1888</v>
      </c>
      <c r="G544" s="823" t="s">
        <v>1915</v>
      </c>
      <c r="H544" s="823" t="s">
        <v>329</v>
      </c>
      <c r="I544" s="823" t="s">
        <v>1916</v>
      </c>
      <c r="J544" s="823" t="s">
        <v>1202</v>
      </c>
      <c r="K544" s="823" t="s">
        <v>1917</v>
      </c>
      <c r="L544" s="826">
        <v>73.989999999999995</v>
      </c>
      <c r="M544" s="826">
        <v>73.989999999999995</v>
      </c>
      <c r="N544" s="823">
        <v>1</v>
      </c>
      <c r="O544" s="827">
        <v>0.5</v>
      </c>
      <c r="P544" s="826">
        <v>73.989999999999995</v>
      </c>
      <c r="Q544" s="828">
        <v>1</v>
      </c>
      <c r="R544" s="823">
        <v>1</v>
      </c>
      <c r="S544" s="828">
        <v>1</v>
      </c>
      <c r="T544" s="827">
        <v>0.5</v>
      </c>
      <c r="U544" s="829">
        <v>1</v>
      </c>
    </row>
    <row r="545" spans="1:21" ht="14.45" customHeight="1" x14ac:dyDescent="0.2">
      <c r="A545" s="822">
        <v>50</v>
      </c>
      <c r="B545" s="823" t="s">
        <v>1887</v>
      </c>
      <c r="C545" s="823" t="s">
        <v>1893</v>
      </c>
      <c r="D545" s="824" t="s">
        <v>2977</v>
      </c>
      <c r="E545" s="825" t="s">
        <v>1909</v>
      </c>
      <c r="F545" s="823" t="s">
        <v>1888</v>
      </c>
      <c r="G545" s="823" t="s">
        <v>1918</v>
      </c>
      <c r="H545" s="823" t="s">
        <v>329</v>
      </c>
      <c r="I545" s="823" t="s">
        <v>2755</v>
      </c>
      <c r="J545" s="823" t="s">
        <v>2756</v>
      </c>
      <c r="K545" s="823" t="s">
        <v>2757</v>
      </c>
      <c r="L545" s="826">
        <v>51.69</v>
      </c>
      <c r="M545" s="826">
        <v>51.69</v>
      </c>
      <c r="N545" s="823">
        <v>1</v>
      </c>
      <c r="O545" s="827">
        <v>0.5</v>
      </c>
      <c r="P545" s="826"/>
      <c r="Q545" s="828">
        <v>0</v>
      </c>
      <c r="R545" s="823"/>
      <c r="S545" s="828">
        <v>0</v>
      </c>
      <c r="T545" s="827"/>
      <c r="U545" s="829">
        <v>0</v>
      </c>
    </row>
    <row r="546" spans="1:21" ht="14.45" customHeight="1" x14ac:dyDescent="0.2">
      <c r="A546" s="822">
        <v>50</v>
      </c>
      <c r="B546" s="823" t="s">
        <v>1887</v>
      </c>
      <c r="C546" s="823" t="s">
        <v>1893</v>
      </c>
      <c r="D546" s="824" t="s">
        <v>2977</v>
      </c>
      <c r="E546" s="825" t="s">
        <v>1909</v>
      </c>
      <c r="F546" s="823" t="s">
        <v>1888</v>
      </c>
      <c r="G546" s="823" t="s">
        <v>1918</v>
      </c>
      <c r="H546" s="823" t="s">
        <v>329</v>
      </c>
      <c r="I546" s="823" t="s">
        <v>1919</v>
      </c>
      <c r="J546" s="823" t="s">
        <v>642</v>
      </c>
      <c r="K546" s="823" t="s">
        <v>1920</v>
      </c>
      <c r="L546" s="826">
        <v>10.55</v>
      </c>
      <c r="M546" s="826">
        <v>10.55</v>
      </c>
      <c r="N546" s="823">
        <v>1</v>
      </c>
      <c r="O546" s="827">
        <v>0.5</v>
      </c>
      <c r="P546" s="826"/>
      <c r="Q546" s="828">
        <v>0</v>
      </c>
      <c r="R546" s="823"/>
      <c r="S546" s="828">
        <v>0</v>
      </c>
      <c r="T546" s="827"/>
      <c r="U546" s="829">
        <v>0</v>
      </c>
    </row>
    <row r="547" spans="1:21" ht="14.45" customHeight="1" x14ac:dyDescent="0.2">
      <c r="A547" s="822">
        <v>50</v>
      </c>
      <c r="B547" s="823" t="s">
        <v>1887</v>
      </c>
      <c r="C547" s="823" t="s">
        <v>1893</v>
      </c>
      <c r="D547" s="824" t="s">
        <v>2977</v>
      </c>
      <c r="E547" s="825" t="s">
        <v>1909</v>
      </c>
      <c r="F547" s="823" t="s">
        <v>1888</v>
      </c>
      <c r="G547" s="823" t="s">
        <v>1918</v>
      </c>
      <c r="H547" s="823" t="s">
        <v>329</v>
      </c>
      <c r="I547" s="823" t="s">
        <v>1960</v>
      </c>
      <c r="J547" s="823" t="s">
        <v>1961</v>
      </c>
      <c r="K547" s="823" t="s">
        <v>1962</v>
      </c>
      <c r="L547" s="826">
        <v>10.55</v>
      </c>
      <c r="M547" s="826">
        <v>10.55</v>
      </c>
      <c r="N547" s="823">
        <v>1</v>
      </c>
      <c r="O547" s="827">
        <v>0.5</v>
      </c>
      <c r="P547" s="826"/>
      <c r="Q547" s="828">
        <v>0</v>
      </c>
      <c r="R547" s="823"/>
      <c r="S547" s="828">
        <v>0</v>
      </c>
      <c r="T547" s="827"/>
      <c r="U547" s="829">
        <v>0</v>
      </c>
    </row>
    <row r="548" spans="1:21" ht="14.45" customHeight="1" x14ac:dyDescent="0.2">
      <c r="A548" s="822">
        <v>50</v>
      </c>
      <c r="B548" s="823" t="s">
        <v>1887</v>
      </c>
      <c r="C548" s="823" t="s">
        <v>1893</v>
      </c>
      <c r="D548" s="824" t="s">
        <v>2977</v>
      </c>
      <c r="E548" s="825" t="s">
        <v>1909</v>
      </c>
      <c r="F548" s="823" t="s">
        <v>1888</v>
      </c>
      <c r="G548" s="823" t="s">
        <v>1918</v>
      </c>
      <c r="H548" s="823" t="s">
        <v>329</v>
      </c>
      <c r="I548" s="823" t="s">
        <v>2326</v>
      </c>
      <c r="J548" s="823" t="s">
        <v>2243</v>
      </c>
      <c r="K548" s="823" t="s">
        <v>2327</v>
      </c>
      <c r="L548" s="826">
        <v>31.65</v>
      </c>
      <c r="M548" s="826">
        <v>94.949999999999989</v>
      </c>
      <c r="N548" s="823">
        <v>3</v>
      </c>
      <c r="O548" s="827">
        <v>1.5</v>
      </c>
      <c r="P548" s="826"/>
      <c r="Q548" s="828">
        <v>0</v>
      </c>
      <c r="R548" s="823"/>
      <c r="S548" s="828">
        <v>0</v>
      </c>
      <c r="T548" s="827"/>
      <c r="U548" s="829">
        <v>0</v>
      </c>
    </row>
    <row r="549" spans="1:21" ht="14.45" customHeight="1" x14ac:dyDescent="0.2">
      <c r="A549" s="822">
        <v>50</v>
      </c>
      <c r="B549" s="823" t="s">
        <v>1887</v>
      </c>
      <c r="C549" s="823" t="s">
        <v>1893</v>
      </c>
      <c r="D549" s="824" t="s">
        <v>2977</v>
      </c>
      <c r="E549" s="825" t="s">
        <v>1909</v>
      </c>
      <c r="F549" s="823" t="s">
        <v>1888</v>
      </c>
      <c r="G549" s="823" t="s">
        <v>2107</v>
      </c>
      <c r="H549" s="823" t="s">
        <v>625</v>
      </c>
      <c r="I549" s="823" t="s">
        <v>2253</v>
      </c>
      <c r="J549" s="823" t="s">
        <v>2109</v>
      </c>
      <c r="K549" s="823" t="s">
        <v>2254</v>
      </c>
      <c r="L549" s="826">
        <v>39.549999999999997</v>
      </c>
      <c r="M549" s="826">
        <v>39.549999999999997</v>
      </c>
      <c r="N549" s="823">
        <v>1</v>
      </c>
      <c r="O549" s="827">
        <v>0.5</v>
      </c>
      <c r="P549" s="826"/>
      <c r="Q549" s="828">
        <v>0</v>
      </c>
      <c r="R549" s="823"/>
      <c r="S549" s="828">
        <v>0</v>
      </c>
      <c r="T549" s="827"/>
      <c r="U549" s="829">
        <v>0</v>
      </c>
    </row>
    <row r="550" spans="1:21" ht="14.45" customHeight="1" x14ac:dyDescent="0.2">
      <c r="A550" s="822">
        <v>50</v>
      </c>
      <c r="B550" s="823" t="s">
        <v>1887</v>
      </c>
      <c r="C550" s="823" t="s">
        <v>1893</v>
      </c>
      <c r="D550" s="824" t="s">
        <v>2977</v>
      </c>
      <c r="E550" s="825" t="s">
        <v>1909</v>
      </c>
      <c r="F550" s="823" t="s">
        <v>1888</v>
      </c>
      <c r="G550" s="823" t="s">
        <v>1933</v>
      </c>
      <c r="H550" s="823" t="s">
        <v>329</v>
      </c>
      <c r="I550" s="823" t="s">
        <v>2758</v>
      </c>
      <c r="J550" s="823" t="s">
        <v>1185</v>
      </c>
      <c r="K550" s="823" t="s">
        <v>1604</v>
      </c>
      <c r="L550" s="826">
        <v>35.11</v>
      </c>
      <c r="M550" s="826">
        <v>35.11</v>
      </c>
      <c r="N550" s="823">
        <v>1</v>
      </c>
      <c r="O550" s="827">
        <v>0.5</v>
      </c>
      <c r="P550" s="826">
        <v>35.11</v>
      </c>
      <c r="Q550" s="828">
        <v>1</v>
      </c>
      <c r="R550" s="823">
        <v>1</v>
      </c>
      <c r="S550" s="828">
        <v>1</v>
      </c>
      <c r="T550" s="827">
        <v>0.5</v>
      </c>
      <c r="U550" s="829">
        <v>1</v>
      </c>
    </row>
    <row r="551" spans="1:21" ht="14.45" customHeight="1" x14ac:dyDescent="0.2">
      <c r="A551" s="822">
        <v>50</v>
      </c>
      <c r="B551" s="823" t="s">
        <v>1887</v>
      </c>
      <c r="C551" s="823" t="s">
        <v>1893</v>
      </c>
      <c r="D551" s="824" t="s">
        <v>2977</v>
      </c>
      <c r="E551" s="825" t="s">
        <v>1909</v>
      </c>
      <c r="F551" s="823" t="s">
        <v>1888</v>
      </c>
      <c r="G551" s="823" t="s">
        <v>1967</v>
      </c>
      <c r="H551" s="823" t="s">
        <v>329</v>
      </c>
      <c r="I551" s="823" t="s">
        <v>1968</v>
      </c>
      <c r="J551" s="823" t="s">
        <v>1969</v>
      </c>
      <c r="K551" s="823" t="s">
        <v>1970</v>
      </c>
      <c r="L551" s="826">
        <v>27.37</v>
      </c>
      <c r="M551" s="826">
        <v>27.37</v>
      </c>
      <c r="N551" s="823">
        <v>1</v>
      </c>
      <c r="O551" s="827">
        <v>0.5</v>
      </c>
      <c r="P551" s="826"/>
      <c r="Q551" s="828">
        <v>0</v>
      </c>
      <c r="R551" s="823"/>
      <c r="S551" s="828">
        <v>0</v>
      </c>
      <c r="T551" s="827"/>
      <c r="U551" s="829">
        <v>0</v>
      </c>
    </row>
    <row r="552" spans="1:21" ht="14.45" customHeight="1" x14ac:dyDescent="0.2">
      <c r="A552" s="822">
        <v>50</v>
      </c>
      <c r="B552" s="823" t="s">
        <v>1887</v>
      </c>
      <c r="C552" s="823" t="s">
        <v>1893</v>
      </c>
      <c r="D552" s="824" t="s">
        <v>2977</v>
      </c>
      <c r="E552" s="825" t="s">
        <v>1909</v>
      </c>
      <c r="F552" s="823" t="s">
        <v>1888</v>
      </c>
      <c r="G552" s="823" t="s">
        <v>1973</v>
      </c>
      <c r="H552" s="823" t="s">
        <v>329</v>
      </c>
      <c r="I552" s="823" t="s">
        <v>1974</v>
      </c>
      <c r="J552" s="823" t="s">
        <v>706</v>
      </c>
      <c r="K552" s="823" t="s">
        <v>1975</v>
      </c>
      <c r="L552" s="826">
        <v>27.37</v>
      </c>
      <c r="M552" s="826">
        <v>27.37</v>
      </c>
      <c r="N552" s="823">
        <v>1</v>
      </c>
      <c r="O552" s="827">
        <v>0.5</v>
      </c>
      <c r="P552" s="826"/>
      <c r="Q552" s="828">
        <v>0</v>
      </c>
      <c r="R552" s="823"/>
      <c r="S552" s="828">
        <v>0</v>
      </c>
      <c r="T552" s="827"/>
      <c r="U552" s="829">
        <v>0</v>
      </c>
    </row>
    <row r="553" spans="1:21" ht="14.45" customHeight="1" x14ac:dyDescent="0.2">
      <c r="A553" s="822">
        <v>50</v>
      </c>
      <c r="B553" s="823" t="s">
        <v>1887</v>
      </c>
      <c r="C553" s="823" t="s">
        <v>1893</v>
      </c>
      <c r="D553" s="824" t="s">
        <v>2977</v>
      </c>
      <c r="E553" s="825" t="s">
        <v>1909</v>
      </c>
      <c r="F553" s="823" t="s">
        <v>1888</v>
      </c>
      <c r="G553" s="823" t="s">
        <v>1921</v>
      </c>
      <c r="H553" s="823" t="s">
        <v>625</v>
      </c>
      <c r="I553" s="823" t="s">
        <v>1922</v>
      </c>
      <c r="J553" s="823" t="s">
        <v>967</v>
      </c>
      <c r="K553" s="823" t="s">
        <v>1923</v>
      </c>
      <c r="L553" s="826">
        <v>34.47</v>
      </c>
      <c r="M553" s="826">
        <v>68.94</v>
      </c>
      <c r="N553" s="823">
        <v>2</v>
      </c>
      <c r="O553" s="827">
        <v>1</v>
      </c>
      <c r="P553" s="826">
        <v>34.47</v>
      </c>
      <c r="Q553" s="828">
        <v>0.5</v>
      </c>
      <c r="R553" s="823">
        <v>1</v>
      </c>
      <c r="S553" s="828">
        <v>0.5</v>
      </c>
      <c r="T553" s="827">
        <v>0.5</v>
      </c>
      <c r="U553" s="829">
        <v>0.5</v>
      </c>
    </row>
    <row r="554" spans="1:21" ht="14.45" customHeight="1" x14ac:dyDescent="0.2">
      <c r="A554" s="822">
        <v>50</v>
      </c>
      <c r="B554" s="823" t="s">
        <v>1887</v>
      </c>
      <c r="C554" s="823" t="s">
        <v>1893</v>
      </c>
      <c r="D554" s="824" t="s">
        <v>2977</v>
      </c>
      <c r="E554" s="825" t="s">
        <v>1909</v>
      </c>
      <c r="F554" s="823" t="s">
        <v>1888</v>
      </c>
      <c r="G554" s="823" t="s">
        <v>2138</v>
      </c>
      <c r="H554" s="823" t="s">
        <v>329</v>
      </c>
      <c r="I554" s="823" t="s">
        <v>2139</v>
      </c>
      <c r="J554" s="823" t="s">
        <v>2140</v>
      </c>
      <c r="K554" s="823" t="s">
        <v>2141</v>
      </c>
      <c r="L554" s="826">
        <v>218.62</v>
      </c>
      <c r="M554" s="826">
        <v>218.62</v>
      </c>
      <c r="N554" s="823">
        <v>1</v>
      </c>
      <c r="O554" s="827">
        <v>1</v>
      </c>
      <c r="P554" s="826"/>
      <c r="Q554" s="828">
        <v>0</v>
      </c>
      <c r="R554" s="823"/>
      <c r="S554" s="828">
        <v>0</v>
      </c>
      <c r="T554" s="827"/>
      <c r="U554" s="829">
        <v>0</v>
      </c>
    </row>
    <row r="555" spans="1:21" ht="14.45" customHeight="1" x14ac:dyDescent="0.2">
      <c r="A555" s="822">
        <v>50</v>
      </c>
      <c r="B555" s="823" t="s">
        <v>1887</v>
      </c>
      <c r="C555" s="823" t="s">
        <v>1893</v>
      </c>
      <c r="D555" s="824" t="s">
        <v>2977</v>
      </c>
      <c r="E555" s="825" t="s">
        <v>1909</v>
      </c>
      <c r="F555" s="823" t="s">
        <v>1888</v>
      </c>
      <c r="G555" s="823" t="s">
        <v>2759</v>
      </c>
      <c r="H555" s="823" t="s">
        <v>625</v>
      </c>
      <c r="I555" s="823" t="s">
        <v>2760</v>
      </c>
      <c r="J555" s="823" t="s">
        <v>2761</v>
      </c>
      <c r="K555" s="823" t="s">
        <v>2762</v>
      </c>
      <c r="L555" s="826">
        <v>320.20999999999998</v>
      </c>
      <c r="M555" s="826">
        <v>320.20999999999998</v>
      </c>
      <c r="N555" s="823">
        <v>1</v>
      </c>
      <c r="O555" s="827">
        <v>1</v>
      </c>
      <c r="P555" s="826">
        <v>320.20999999999998</v>
      </c>
      <c r="Q555" s="828">
        <v>1</v>
      </c>
      <c r="R555" s="823">
        <v>1</v>
      </c>
      <c r="S555" s="828">
        <v>1</v>
      </c>
      <c r="T555" s="827">
        <v>1</v>
      </c>
      <c r="U555" s="829">
        <v>1</v>
      </c>
    </row>
    <row r="556" spans="1:21" ht="14.45" customHeight="1" x14ac:dyDescent="0.2">
      <c r="A556" s="822">
        <v>50</v>
      </c>
      <c r="B556" s="823" t="s">
        <v>1887</v>
      </c>
      <c r="C556" s="823" t="s">
        <v>1893</v>
      </c>
      <c r="D556" s="824" t="s">
        <v>2977</v>
      </c>
      <c r="E556" s="825" t="s">
        <v>1909</v>
      </c>
      <c r="F556" s="823" t="s">
        <v>1888</v>
      </c>
      <c r="G556" s="823" t="s">
        <v>1982</v>
      </c>
      <c r="H556" s="823" t="s">
        <v>329</v>
      </c>
      <c r="I556" s="823" t="s">
        <v>2763</v>
      </c>
      <c r="J556" s="823" t="s">
        <v>2581</v>
      </c>
      <c r="K556" s="823" t="s">
        <v>1854</v>
      </c>
      <c r="L556" s="826">
        <v>84.83</v>
      </c>
      <c r="M556" s="826">
        <v>84.83</v>
      </c>
      <c r="N556" s="823">
        <v>1</v>
      </c>
      <c r="O556" s="827">
        <v>0.5</v>
      </c>
      <c r="P556" s="826"/>
      <c r="Q556" s="828">
        <v>0</v>
      </c>
      <c r="R556" s="823"/>
      <c r="S556" s="828">
        <v>0</v>
      </c>
      <c r="T556" s="827"/>
      <c r="U556" s="829">
        <v>0</v>
      </c>
    </row>
    <row r="557" spans="1:21" ht="14.45" customHeight="1" x14ac:dyDescent="0.2">
      <c r="A557" s="822">
        <v>50</v>
      </c>
      <c r="B557" s="823" t="s">
        <v>1887</v>
      </c>
      <c r="C557" s="823" t="s">
        <v>1893</v>
      </c>
      <c r="D557" s="824" t="s">
        <v>2977</v>
      </c>
      <c r="E557" s="825" t="s">
        <v>1909</v>
      </c>
      <c r="F557" s="823" t="s">
        <v>1888</v>
      </c>
      <c r="G557" s="823" t="s">
        <v>1982</v>
      </c>
      <c r="H557" s="823" t="s">
        <v>329</v>
      </c>
      <c r="I557" s="823" t="s">
        <v>2764</v>
      </c>
      <c r="J557" s="823" t="s">
        <v>2581</v>
      </c>
      <c r="K557" s="823" t="s">
        <v>1640</v>
      </c>
      <c r="L557" s="826">
        <v>130.51</v>
      </c>
      <c r="M557" s="826">
        <v>130.51</v>
      </c>
      <c r="N557" s="823">
        <v>1</v>
      </c>
      <c r="O557" s="827">
        <v>1</v>
      </c>
      <c r="P557" s="826"/>
      <c r="Q557" s="828">
        <v>0</v>
      </c>
      <c r="R557" s="823"/>
      <c r="S557" s="828">
        <v>0</v>
      </c>
      <c r="T557" s="827"/>
      <c r="U557" s="829">
        <v>0</v>
      </c>
    </row>
    <row r="558" spans="1:21" ht="14.45" customHeight="1" x14ac:dyDescent="0.2">
      <c r="A558" s="822">
        <v>50</v>
      </c>
      <c r="B558" s="823" t="s">
        <v>1887</v>
      </c>
      <c r="C558" s="823" t="s">
        <v>1893</v>
      </c>
      <c r="D558" s="824" t="s">
        <v>2977</v>
      </c>
      <c r="E558" s="825" t="s">
        <v>1909</v>
      </c>
      <c r="F558" s="823" t="s">
        <v>1888</v>
      </c>
      <c r="G558" s="823" t="s">
        <v>1982</v>
      </c>
      <c r="H558" s="823" t="s">
        <v>329</v>
      </c>
      <c r="I558" s="823" t="s">
        <v>2765</v>
      </c>
      <c r="J558" s="823" t="s">
        <v>2581</v>
      </c>
      <c r="K558" s="823" t="s">
        <v>674</v>
      </c>
      <c r="L558" s="826">
        <v>55.14</v>
      </c>
      <c r="M558" s="826">
        <v>55.14</v>
      </c>
      <c r="N558" s="823">
        <v>1</v>
      </c>
      <c r="O558" s="827">
        <v>0.5</v>
      </c>
      <c r="P558" s="826">
        <v>55.14</v>
      </c>
      <c r="Q558" s="828">
        <v>1</v>
      </c>
      <c r="R558" s="823">
        <v>1</v>
      </c>
      <c r="S558" s="828">
        <v>1</v>
      </c>
      <c r="T558" s="827">
        <v>0.5</v>
      </c>
      <c r="U558" s="829">
        <v>1</v>
      </c>
    </row>
    <row r="559" spans="1:21" ht="14.45" customHeight="1" x14ac:dyDescent="0.2">
      <c r="A559" s="822">
        <v>50</v>
      </c>
      <c r="B559" s="823" t="s">
        <v>1887</v>
      </c>
      <c r="C559" s="823" t="s">
        <v>1893</v>
      </c>
      <c r="D559" s="824" t="s">
        <v>2977</v>
      </c>
      <c r="E559" s="825" t="s">
        <v>1909</v>
      </c>
      <c r="F559" s="823" t="s">
        <v>1888</v>
      </c>
      <c r="G559" s="823" t="s">
        <v>1985</v>
      </c>
      <c r="H559" s="823" t="s">
        <v>329</v>
      </c>
      <c r="I559" s="823" t="s">
        <v>2276</v>
      </c>
      <c r="J559" s="823" t="s">
        <v>998</v>
      </c>
      <c r="K559" s="823" t="s">
        <v>2277</v>
      </c>
      <c r="L559" s="826">
        <v>64.349999999999994</v>
      </c>
      <c r="M559" s="826">
        <v>64.349999999999994</v>
      </c>
      <c r="N559" s="823">
        <v>1</v>
      </c>
      <c r="O559" s="827">
        <v>1</v>
      </c>
      <c r="P559" s="826">
        <v>64.349999999999994</v>
      </c>
      <c r="Q559" s="828">
        <v>1</v>
      </c>
      <c r="R559" s="823">
        <v>1</v>
      </c>
      <c r="S559" s="828">
        <v>1</v>
      </c>
      <c r="T559" s="827">
        <v>1</v>
      </c>
      <c r="U559" s="829">
        <v>1</v>
      </c>
    </row>
    <row r="560" spans="1:21" ht="14.45" customHeight="1" x14ac:dyDescent="0.2">
      <c r="A560" s="822">
        <v>50</v>
      </c>
      <c r="B560" s="823" t="s">
        <v>1887</v>
      </c>
      <c r="C560" s="823" t="s">
        <v>1893</v>
      </c>
      <c r="D560" s="824" t="s">
        <v>2977</v>
      </c>
      <c r="E560" s="825" t="s">
        <v>1909</v>
      </c>
      <c r="F560" s="823" t="s">
        <v>1888</v>
      </c>
      <c r="G560" s="823" t="s">
        <v>1988</v>
      </c>
      <c r="H560" s="823" t="s">
        <v>329</v>
      </c>
      <c r="I560" s="823" t="s">
        <v>1989</v>
      </c>
      <c r="J560" s="823" t="s">
        <v>1047</v>
      </c>
      <c r="K560" s="823" t="s">
        <v>1990</v>
      </c>
      <c r="L560" s="826">
        <v>42.08</v>
      </c>
      <c r="M560" s="826">
        <v>42.08</v>
      </c>
      <c r="N560" s="823">
        <v>1</v>
      </c>
      <c r="O560" s="827">
        <v>1</v>
      </c>
      <c r="P560" s="826"/>
      <c r="Q560" s="828">
        <v>0</v>
      </c>
      <c r="R560" s="823"/>
      <c r="S560" s="828">
        <v>0</v>
      </c>
      <c r="T560" s="827"/>
      <c r="U560" s="829">
        <v>0</v>
      </c>
    </row>
    <row r="561" spans="1:21" ht="14.45" customHeight="1" x14ac:dyDescent="0.2">
      <c r="A561" s="822">
        <v>50</v>
      </c>
      <c r="B561" s="823" t="s">
        <v>1887</v>
      </c>
      <c r="C561" s="823" t="s">
        <v>1893</v>
      </c>
      <c r="D561" s="824" t="s">
        <v>2977</v>
      </c>
      <c r="E561" s="825" t="s">
        <v>1909</v>
      </c>
      <c r="F561" s="823" t="s">
        <v>1888</v>
      </c>
      <c r="G561" s="823" t="s">
        <v>1994</v>
      </c>
      <c r="H561" s="823" t="s">
        <v>329</v>
      </c>
      <c r="I561" s="823" t="s">
        <v>1995</v>
      </c>
      <c r="J561" s="823" t="s">
        <v>1014</v>
      </c>
      <c r="K561" s="823" t="s">
        <v>1996</v>
      </c>
      <c r="L561" s="826">
        <v>79.11</v>
      </c>
      <c r="M561" s="826">
        <v>79.11</v>
      </c>
      <c r="N561" s="823">
        <v>1</v>
      </c>
      <c r="O561" s="827">
        <v>0.5</v>
      </c>
      <c r="P561" s="826"/>
      <c r="Q561" s="828">
        <v>0</v>
      </c>
      <c r="R561" s="823"/>
      <c r="S561" s="828">
        <v>0</v>
      </c>
      <c r="T561" s="827"/>
      <c r="U561" s="829">
        <v>0</v>
      </c>
    </row>
    <row r="562" spans="1:21" ht="14.45" customHeight="1" x14ac:dyDescent="0.2">
      <c r="A562" s="822">
        <v>50</v>
      </c>
      <c r="B562" s="823" t="s">
        <v>1887</v>
      </c>
      <c r="C562" s="823" t="s">
        <v>1893</v>
      </c>
      <c r="D562" s="824" t="s">
        <v>2977</v>
      </c>
      <c r="E562" s="825" t="s">
        <v>1909</v>
      </c>
      <c r="F562" s="823" t="s">
        <v>1888</v>
      </c>
      <c r="G562" s="823" t="s">
        <v>1997</v>
      </c>
      <c r="H562" s="823" t="s">
        <v>329</v>
      </c>
      <c r="I562" s="823" t="s">
        <v>1998</v>
      </c>
      <c r="J562" s="823" t="s">
        <v>1999</v>
      </c>
      <c r="K562" s="823" t="s">
        <v>2000</v>
      </c>
      <c r="L562" s="826">
        <v>93.43</v>
      </c>
      <c r="M562" s="826">
        <v>93.43</v>
      </c>
      <c r="N562" s="823">
        <v>1</v>
      </c>
      <c r="O562" s="827">
        <v>1</v>
      </c>
      <c r="P562" s="826"/>
      <c r="Q562" s="828">
        <v>0</v>
      </c>
      <c r="R562" s="823"/>
      <c r="S562" s="828">
        <v>0</v>
      </c>
      <c r="T562" s="827"/>
      <c r="U562" s="829">
        <v>0</v>
      </c>
    </row>
    <row r="563" spans="1:21" ht="14.45" customHeight="1" x14ac:dyDescent="0.2">
      <c r="A563" s="822">
        <v>50</v>
      </c>
      <c r="B563" s="823" t="s">
        <v>1887</v>
      </c>
      <c r="C563" s="823" t="s">
        <v>1893</v>
      </c>
      <c r="D563" s="824" t="s">
        <v>2977</v>
      </c>
      <c r="E563" s="825" t="s">
        <v>1909</v>
      </c>
      <c r="F563" s="823" t="s">
        <v>1888</v>
      </c>
      <c r="G563" s="823" t="s">
        <v>2766</v>
      </c>
      <c r="H563" s="823" t="s">
        <v>329</v>
      </c>
      <c r="I563" s="823" t="s">
        <v>2767</v>
      </c>
      <c r="J563" s="823" t="s">
        <v>2768</v>
      </c>
      <c r="K563" s="823" t="s">
        <v>2769</v>
      </c>
      <c r="L563" s="826">
        <v>77.13</v>
      </c>
      <c r="M563" s="826">
        <v>154.26</v>
      </c>
      <c r="N563" s="823">
        <v>2</v>
      </c>
      <c r="O563" s="827">
        <v>1</v>
      </c>
      <c r="P563" s="826"/>
      <c r="Q563" s="828">
        <v>0</v>
      </c>
      <c r="R563" s="823"/>
      <c r="S563" s="828">
        <v>0</v>
      </c>
      <c r="T563" s="827"/>
      <c r="U563" s="829">
        <v>0</v>
      </c>
    </row>
    <row r="564" spans="1:21" ht="14.45" customHeight="1" x14ac:dyDescent="0.2">
      <c r="A564" s="822">
        <v>50</v>
      </c>
      <c r="B564" s="823" t="s">
        <v>1887</v>
      </c>
      <c r="C564" s="823" t="s">
        <v>1893</v>
      </c>
      <c r="D564" s="824" t="s">
        <v>2977</v>
      </c>
      <c r="E564" s="825" t="s">
        <v>1909</v>
      </c>
      <c r="F564" s="823" t="s">
        <v>1888</v>
      </c>
      <c r="G564" s="823" t="s">
        <v>2645</v>
      </c>
      <c r="H564" s="823" t="s">
        <v>329</v>
      </c>
      <c r="I564" s="823" t="s">
        <v>2770</v>
      </c>
      <c r="J564" s="823" t="s">
        <v>2647</v>
      </c>
      <c r="K564" s="823" t="s">
        <v>2771</v>
      </c>
      <c r="L564" s="826">
        <v>43.94</v>
      </c>
      <c r="M564" s="826">
        <v>43.94</v>
      </c>
      <c r="N564" s="823">
        <v>1</v>
      </c>
      <c r="O564" s="827">
        <v>0.5</v>
      </c>
      <c r="P564" s="826"/>
      <c r="Q564" s="828">
        <v>0</v>
      </c>
      <c r="R564" s="823"/>
      <c r="S564" s="828">
        <v>0</v>
      </c>
      <c r="T564" s="827"/>
      <c r="U564" s="829">
        <v>0</v>
      </c>
    </row>
    <row r="565" spans="1:21" ht="14.45" customHeight="1" x14ac:dyDescent="0.2">
      <c r="A565" s="822">
        <v>50</v>
      </c>
      <c r="B565" s="823" t="s">
        <v>1887</v>
      </c>
      <c r="C565" s="823" t="s">
        <v>1893</v>
      </c>
      <c r="D565" s="824" t="s">
        <v>2977</v>
      </c>
      <c r="E565" s="825" t="s">
        <v>1909</v>
      </c>
      <c r="F565" s="823" t="s">
        <v>1888</v>
      </c>
      <c r="G565" s="823" t="s">
        <v>2189</v>
      </c>
      <c r="H565" s="823" t="s">
        <v>329</v>
      </c>
      <c r="I565" s="823" t="s">
        <v>2772</v>
      </c>
      <c r="J565" s="823" t="s">
        <v>2773</v>
      </c>
      <c r="K565" s="823" t="s">
        <v>1849</v>
      </c>
      <c r="L565" s="826">
        <v>0</v>
      </c>
      <c r="M565" s="826">
        <v>0</v>
      </c>
      <c r="N565" s="823">
        <v>3</v>
      </c>
      <c r="O565" s="827">
        <v>2</v>
      </c>
      <c r="P565" s="826">
        <v>0</v>
      </c>
      <c r="Q565" s="828"/>
      <c r="R565" s="823">
        <v>1</v>
      </c>
      <c r="S565" s="828">
        <v>0.33333333333333331</v>
      </c>
      <c r="T565" s="827">
        <v>1</v>
      </c>
      <c r="U565" s="829">
        <v>0.5</v>
      </c>
    </row>
    <row r="566" spans="1:21" ht="14.45" customHeight="1" x14ac:dyDescent="0.2">
      <c r="A566" s="822">
        <v>50</v>
      </c>
      <c r="B566" s="823" t="s">
        <v>1887</v>
      </c>
      <c r="C566" s="823" t="s">
        <v>1893</v>
      </c>
      <c r="D566" s="824" t="s">
        <v>2977</v>
      </c>
      <c r="E566" s="825" t="s">
        <v>1909</v>
      </c>
      <c r="F566" s="823" t="s">
        <v>1888</v>
      </c>
      <c r="G566" s="823" t="s">
        <v>2002</v>
      </c>
      <c r="H566" s="823" t="s">
        <v>625</v>
      </c>
      <c r="I566" s="823" t="s">
        <v>1576</v>
      </c>
      <c r="J566" s="823" t="s">
        <v>1574</v>
      </c>
      <c r="K566" s="823" t="s">
        <v>1577</v>
      </c>
      <c r="L566" s="826">
        <v>1771.84</v>
      </c>
      <c r="M566" s="826">
        <v>1771.84</v>
      </c>
      <c r="N566" s="823">
        <v>1</v>
      </c>
      <c r="O566" s="827">
        <v>1</v>
      </c>
      <c r="P566" s="826"/>
      <c r="Q566" s="828">
        <v>0</v>
      </c>
      <c r="R566" s="823"/>
      <c r="S566" s="828">
        <v>0</v>
      </c>
      <c r="T566" s="827"/>
      <c r="U566" s="829">
        <v>0</v>
      </c>
    </row>
    <row r="567" spans="1:21" ht="14.45" customHeight="1" x14ac:dyDescent="0.2">
      <c r="A567" s="822">
        <v>50</v>
      </c>
      <c r="B567" s="823" t="s">
        <v>1887</v>
      </c>
      <c r="C567" s="823" t="s">
        <v>1893</v>
      </c>
      <c r="D567" s="824" t="s">
        <v>2977</v>
      </c>
      <c r="E567" s="825" t="s">
        <v>1909</v>
      </c>
      <c r="F567" s="823" t="s">
        <v>1888</v>
      </c>
      <c r="G567" s="823" t="s">
        <v>1928</v>
      </c>
      <c r="H567" s="823" t="s">
        <v>329</v>
      </c>
      <c r="I567" s="823" t="s">
        <v>2774</v>
      </c>
      <c r="J567" s="823" t="s">
        <v>1059</v>
      </c>
      <c r="K567" s="823" t="s">
        <v>2775</v>
      </c>
      <c r="L567" s="826">
        <v>16.77</v>
      </c>
      <c r="M567" s="826">
        <v>16.77</v>
      </c>
      <c r="N567" s="823">
        <v>1</v>
      </c>
      <c r="O567" s="827">
        <v>1</v>
      </c>
      <c r="P567" s="826"/>
      <c r="Q567" s="828">
        <v>0</v>
      </c>
      <c r="R567" s="823"/>
      <c r="S567" s="828">
        <v>0</v>
      </c>
      <c r="T567" s="827"/>
      <c r="U567" s="829">
        <v>0</v>
      </c>
    </row>
    <row r="568" spans="1:21" ht="14.45" customHeight="1" x14ac:dyDescent="0.2">
      <c r="A568" s="822">
        <v>50</v>
      </c>
      <c r="B568" s="823" t="s">
        <v>1887</v>
      </c>
      <c r="C568" s="823" t="s">
        <v>1893</v>
      </c>
      <c r="D568" s="824" t="s">
        <v>2977</v>
      </c>
      <c r="E568" s="825" t="s">
        <v>1909</v>
      </c>
      <c r="F568" s="823" t="s">
        <v>1888</v>
      </c>
      <c r="G568" s="823" t="s">
        <v>2196</v>
      </c>
      <c r="H568" s="823" t="s">
        <v>329</v>
      </c>
      <c r="I568" s="823" t="s">
        <v>2197</v>
      </c>
      <c r="J568" s="823" t="s">
        <v>2198</v>
      </c>
      <c r="K568" s="823" t="s">
        <v>2199</v>
      </c>
      <c r="L568" s="826">
        <v>83.38</v>
      </c>
      <c r="M568" s="826">
        <v>166.76</v>
      </c>
      <c r="N568" s="823">
        <v>2</v>
      </c>
      <c r="O568" s="827">
        <v>1</v>
      </c>
      <c r="P568" s="826"/>
      <c r="Q568" s="828">
        <v>0</v>
      </c>
      <c r="R568" s="823"/>
      <c r="S568" s="828">
        <v>0</v>
      </c>
      <c r="T568" s="827"/>
      <c r="U568" s="829">
        <v>0</v>
      </c>
    </row>
    <row r="569" spans="1:21" ht="14.45" customHeight="1" x14ac:dyDescent="0.2">
      <c r="A569" s="822">
        <v>50</v>
      </c>
      <c r="B569" s="823" t="s">
        <v>1887</v>
      </c>
      <c r="C569" s="823" t="s">
        <v>1893</v>
      </c>
      <c r="D569" s="824" t="s">
        <v>2977</v>
      </c>
      <c r="E569" s="825" t="s">
        <v>1911</v>
      </c>
      <c r="F569" s="823" t="s">
        <v>1888</v>
      </c>
      <c r="G569" s="823" t="s">
        <v>1940</v>
      </c>
      <c r="H569" s="823" t="s">
        <v>329</v>
      </c>
      <c r="I569" s="823" t="s">
        <v>2400</v>
      </c>
      <c r="J569" s="823" t="s">
        <v>2401</v>
      </c>
      <c r="K569" s="823" t="s">
        <v>628</v>
      </c>
      <c r="L569" s="826">
        <v>72.55</v>
      </c>
      <c r="M569" s="826">
        <v>72.55</v>
      </c>
      <c r="N569" s="823">
        <v>1</v>
      </c>
      <c r="O569" s="827">
        <v>0.5</v>
      </c>
      <c r="P569" s="826"/>
      <c r="Q569" s="828">
        <v>0</v>
      </c>
      <c r="R569" s="823"/>
      <c r="S569" s="828">
        <v>0</v>
      </c>
      <c r="T569" s="827"/>
      <c r="U569" s="829">
        <v>0</v>
      </c>
    </row>
    <row r="570" spans="1:21" ht="14.45" customHeight="1" x14ac:dyDescent="0.2">
      <c r="A570" s="822">
        <v>50</v>
      </c>
      <c r="B570" s="823" t="s">
        <v>1887</v>
      </c>
      <c r="C570" s="823" t="s">
        <v>1893</v>
      </c>
      <c r="D570" s="824" t="s">
        <v>2977</v>
      </c>
      <c r="E570" s="825" t="s">
        <v>1911</v>
      </c>
      <c r="F570" s="823" t="s">
        <v>1888</v>
      </c>
      <c r="G570" s="823" t="s">
        <v>1944</v>
      </c>
      <c r="H570" s="823" t="s">
        <v>625</v>
      </c>
      <c r="I570" s="823" t="s">
        <v>1581</v>
      </c>
      <c r="J570" s="823" t="s">
        <v>712</v>
      </c>
      <c r="K570" s="823" t="s">
        <v>1582</v>
      </c>
      <c r="L570" s="826">
        <v>80.010000000000005</v>
      </c>
      <c r="M570" s="826">
        <v>240.03000000000003</v>
      </c>
      <c r="N570" s="823">
        <v>3</v>
      </c>
      <c r="O570" s="827">
        <v>2.5</v>
      </c>
      <c r="P570" s="826">
        <v>80.010000000000005</v>
      </c>
      <c r="Q570" s="828">
        <v>0.33333333333333331</v>
      </c>
      <c r="R570" s="823">
        <v>1</v>
      </c>
      <c r="S570" s="828">
        <v>0.33333333333333331</v>
      </c>
      <c r="T570" s="827">
        <v>1</v>
      </c>
      <c r="U570" s="829">
        <v>0.4</v>
      </c>
    </row>
    <row r="571" spans="1:21" ht="14.45" customHeight="1" x14ac:dyDescent="0.2">
      <c r="A571" s="822">
        <v>50</v>
      </c>
      <c r="B571" s="823" t="s">
        <v>1887</v>
      </c>
      <c r="C571" s="823" t="s">
        <v>1893</v>
      </c>
      <c r="D571" s="824" t="s">
        <v>2977</v>
      </c>
      <c r="E571" s="825" t="s">
        <v>1911</v>
      </c>
      <c r="F571" s="823" t="s">
        <v>1888</v>
      </c>
      <c r="G571" s="823" t="s">
        <v>2015</v>
      </c>
      <c r="H571" s="823" t="s">
        <v>625</v>
      </c>
      <c r="I571" s="823" t="s">
        <v>2776</v>
      </c>
      <c r="J571" s="823" t="s">
        <v>1794</v>
      </c>
      <c r="K571" s="823" t="s">
        <v>2566</v>
      </c>
      <c r="L571" s="826">
        <v>62.18</v>
      </c>
      <c r="M571" s="826">
        <v>62.18</v>
      </c>
      <c r="N571" s="823">
        <v>1</v>
      </c>
      <c r="O571" s="827">
        <v>1</v>
      </c>
      <c r="P571" s="826">
        <v>62.18</v>
      </c>
      <c r="Q571" s="828">
        <v>1</v>
      </c>
      <c r="R571" s="823">
        <v>1</v>
      </c>
      <c r="S571" s="828">
        <v>1</v>
      </c>
      <c r="T571" s="827">
        <v>1</v>
      </c>
      <c r="U571" s="829">
        <v>1</v>
      </c>
    </row>
    <row r="572" spans="1:21" ht="14.45" customHeight="1" x14ac:dyDescent="0.2">
      <c r="A572" s="822">
        <v>50</v>
      </c>
      <c r="B572" s="823" t="s">
        <v>1887</v>
      </c>
      <c r="C572" s="823" t="s">
        <v>1893</v>
      </c>
      <c r="D572" s="824" t="s">
        <v>2977</v>
      </c>
      <c r="E572" s="825" t="s">
        <v>1911</v>
      </c>
      <c r="F572" s="823" t="s">
        <v>1888</v>
      </c>
      <c r="G572" s="823" t="s">
        <v>1932</v>
      </c>
      <c r="H572" s="823" t="s">
        <v>625</v>
      </c>
      <c r="I572" s="823" t="s">
        <v>1796</v>
      </c>
      <c r="J572" s="823" t="s">
        <v>1639</v>
      </c>
      <c r="K572" s="823" t="s">
        <v>1797</v>
      </c>
      <c r="L572" s="826">
        <v>220.53</v>
      </c>
      <c r="M572" s="826">
        <v>441.06</v>
      </c>
      <c r="N572" s="823">
        <v>2</v>
      </c>
      <c r="O572" s="827">
        <v>1.5</v>
      </c>
      <c r="P572" s="826">
        <v>220.53</v>
      </c>
      <c r="Q572" s="828">
        <v>0.5</v>
      </c>
      <c r="R572" s="823">
        <v>1</v>
      </c>
      <c r="S572" s="828">
        <v>0.5</v>
      </c>
      <c r="T572" s="827">
        <v>1</v>
      </c>
      <c r="U572" s="829">
        <v>0.66666666666666663</v>
      </c>
    </row>
    <row r="573" spans="1:21" ht="14.45" customHeight="1" x14ac:dyDescent="0.2">
      <c r="A573" s="822">
        <v>50</v>
      </c>
      <c r="B573" s="823" t="s">
        <v>1887</v>
      </c>
      <c r="C573" s="823" t="s">
        <v>1893</v>
      </c>
      <c r="D573" s="824" t="s">
        <v>2977</v>
      </c>
      <c r="E573" s="825" t="s">
        <v>1911</v>
      </c>
      <c r="F573" s="823" t="s">
        <v>1888</v>
      </c>
      <c r="G573" s="823" t="s">
        <v>1932</v>
      </c>
      <c r="H573" s="823" t="s">
        <v>329</v>
      </c>
      <c r="I573" s="823" t="s">
        <v>2777</v>
      </c>
      <c r="J573" s="823" t="s">
        <v>2294</v>
      </c>
      <c r="K573" s="823" t="s">
        <v>2025</v>
      </c>
      <c r="L573" s="826">
        <v>430.05</v>
      </c>
      <c r="M573" s="826">
        <v>430.05</v>
      </c>
      <c r="N573" s="823">
        <v>1</v>
      </c>
      <c r="O573" s="827">
        <v>0.5</v>
      </c>
      <c r="P573" s="826"/>
      <c r="Q573" s="828">
        <v>0</v>
      </c>
      <c r="R573" s="823"/>
      <c r="S573" s="828">
        <v>0</v>
      </c>
      <c r="T573" s="827"/>
      <c r="U573" s="829">
        <v>0</v>
      </c>
    </row>
    <row r="574" spans="1:21" ht="14.45" customHeight="1" x14ac:dyDescent="0.2">
      <c r="A574" s="822">
        <v>50</v>
      </c>
      <c r="B574" s="823" t="s">
        <v>1887</v>
      </c>
      <c r="C574" s="823" t="s">
        <v>1893</v>
      </c>
      <c r="D574" s="824" t="s">
        <v>2977</v>
      </c>
      <c r="E574" s="825" t="s">
        <v>1911</v>
      </c>
      <c r="F574" s="823" t="s">
        <v>1888</v>
      </c>
      <c r="G574" s="823" t="s">
        <v>1932</v>
      </c>
      <c r="H574" s="823" t="s">
        <v>329</v>
      </c>
      <c r="I574" s="823" t="s">
        <v>2778</v>
      </c>
      <c r="J574" s="823" t="s">
        <v>2027</v>
      </c>
      <c r="K574" s="823" t="s">
        <v>1640</v>
      </c>
      <c r="L574" s="826">
        <v>143.35</v>
      </c>
      <c r="M574" s="826">
        <v>143.35</v>
      </c>
      <c r="N574" s="823">
        <v>1</v>
      </c>
      <c r="O574" s="827">
        <v>0.5</v>
      </c>
      <c r="P574" s="826"/>
      <c r="Q574" s="828">
        <v>0</v>
      </c>
      <c r="R574" s="823"/>
      <c r="S574" s="828">
        <v>0</v>
      </c>
      <c r="T574" s="827"/>
      <c r="U574" s="829">
        <v>0</v>
      </c>
    </row>
    <row r="575" spans="1:21" ht="14.45" customHeight="1" x14ac:dyDescent="0.2">
      <c r="A575" s="822">
        <v>50</v>
      </c>
      <c r="B575" s="823" t="s">
        <v>1887</v>
      </c>
      <c r="C575" s="823" t="s">
        <v>1893</v>
      </c>
      <c r="D575" s="824" t="s">
        <v>2977</v>
      </c>
      <c r="E575" s="825" t="s">
        <v>1911</v>
      </c>
      <c r="F575" s="823" t="s">
        <v>1888</v>
      </c>
      <c r="G575" s="823" t="s">
        <v>1932</v>
      </c>
      <c r="H575" s="823" t="s">
        <v>329</v>
      </c>
      <c r="I575" s="823" t="s">
        <v>2779</v>
      </c>
      <c r="J575" s="823" t="s">
        <v>1636</v>
      </c>
      <c r="K575" s="823" t="s">
        <v>1640</v>
      </c>
      <c r="L575" s="826">
        <v>143.35</v>
      </c>
      <c r="M575" s="826">
        <v>143.35</v>
      </c>
      <c r="N575" s="823">
        <v>1</v>
      </c>
      <c r="O575" s="827">
        <v>1</v>
      </c>
      <c r="P575" s="826">
        <v>143.35</v>
      </c>
      <c r="Q575" s="828">
        <v>1</v>
      </c>
      <c r="R575" s="823">
        <v>1</v>
      </c>
      <c r="S575" s="828">
        <v>1</v>
      </c>
      <c r="T575" s="827">
        <v>1</v>
      </c>
      <c r="U575" s="829">
        <v>1</v>
      </c>
    </row>
    <row r="576" spans="1:21" ht="14.45" customHeight="1" x14ac:dyDescent="0.2">
      <c r="A576" s="822">
        <v>50</v>
      </c>
      <c r="B576" s="823" t="s">
        <v>1887</v>
      </c>
      <c r="C576" s="823" t="s">
        <v>1893</v>
      </c>
      <c r="D576" s="824" t="s">
        <v>2977</v>
      </c>
      <c r="E576" s="825" t="s">
        <v>1911</v>
      </c>
      <c r="F576" s="823" t="s">
        <v>1888</v>
      </c>
      <c r="G576" s="823" t="s">
        <v>1914</v>
      </c>
      <c r="H576" s="823" t="s">
        <v>625</v>
      </c>
      <c r="I576" s="823" t="s">
        <v>2226</v>
      </c>
      <c r="J576" s="823" t="s">
        <v>673</v>
      </c>
      <c r="K576" s="823" t="s">
        <v>1923</v>
      </c>
      <c r="L576" s="826">
        <v>35.11</v>
      </c>
      <c r="M576" s="826">
        <v>140.44</v>
      </c>
      <c r="N576" s="823">
        <v>4</v>
      </c>
      <c r="O576" s="827">
        <v>3</v>
      </c>
      <c r="P576" s="826">
        <v>35.11</v>
      </c>
      <c r="Q576" s="828">
        <v>0.25</v>
      </c>
      <c r="R576" s="823">
        <v>1</v>
      </c>
      <c r="S576" s="828">
        <v>0.25</v>
      </c>
      <c r="T576" s="827">
        <v>1</v>
      </c>
      <c r="U576" s="829">
        <v>0.33333333333333331</v>
      </c>
    </row>
    <row r="577" spans="1:21" ht="14.45" customHeight="1" x14ac:dyDescent="0.2">
      <c r="A577" s="822">
        <v>50</v>
      </c>
      <c r="B577" s="823" t="s">
        <v>1887</v>
      </c>
      <c r="C577" s="823" t="s">
        <v>1893</v>
      </c>
      <c r="D577" s="824" t="s">
        <v>2977</v>
      </c>
      <c r="E577" s="825" t="s">
        <v>1911</v>
      </c>
      <c r="F577" s="823" t="s">
        <v>1888</v>
      </c>
      <c r="G577" s="823" t="s">
        <v>2041</v>
      </c>
      <c r="H577" s="823" t="s">
        <v>329</v>
      </c>
      <c r="I577" s="823" t="s">
        <v>2042</v>
      </c>
      <c r="J577" s="823" t="s">
        <v>2043</v>
      </c>
      <c r="K577" s="823" t="s">
        <v>698</v>
      </c>
      <c r="L577" s="826">
        <v>78.33</v>
      </c>
      <c r="M577" s="826">
        <v>78.33</v>
      </c>
      <c r="N577" s="823">
        <v>1</v>
      </c>
      <c r="O577" s="827">
        <v>0.5</v>
      </c>
      <c r="P577" s="826"/>
      <c r="Q577" s="828">
        <v>0</v>
      </c>
      <c r="R577" s="823"/>
      <c r="S577" s="828">
        <v>0</v>
      </c>
      <c r="T577" s="827"/>
      <c r="U577" s="829">
        <v>0</v>
      </c>
    </row>
    <row r="578" spans="1:21" ht="14.45" customHeight="1" x14ac:dyDescent="0.2">
      <c r="A578" s="822">
        <v>50</v>
      </c>
      <c r="B578" s="823" t="s">
        <v>1887</v>
      </c>
      <c r="C578" s="823" t="s">
        <v>1893</v>
      </c>
      <c r="D578" s="824" t="s">
        <v>2977</v>
      </c>
      <c r="E578" s="825" t="s">
        <v>1911</v>
      </c>
      <c r="F578" s="823" t="s">
        <v>1888</v>
      </c>
      <c r="G578" s="823" t="s">
        <v>2450</v>
      </c>
      <c r="H578" s="823" t="s">
        <v>329</v>
      </c>
      <c r="I578" s="823" t="s">
        <v>2780</v>
      </c>
      <c r="J578" s="823" t="s">
        <v>1323</v>
      </c>
      <c r="K578" s="823" t="s">
        <v>1324</v>
      </c>
      <c r="L578" s="826">
        <v>47.47</v>
      </c>
      <c r="M578" s="826">
        <v>47.47</v>
      </c>
      <c r="N578" s="823">
        <v>1</v>
      </c>
      <c r="O578" s="827">
        <v>1</v>
      </c>
      <c r="P578" s="826"/>
      <c r="Q578" s="828">
        <v>0</v>
      </c>
      <c r="R578" s="823"/>
      <c r="S578" s="828">
        <v>0</v>
      </c>
      <c r="T578" s="827"/>
      <c r="U578" s="829">
        <v>0</v>
      </c>
    </row>
    <row r="579" spans="1:21" ht="14.45" customHeight="1" x14ac:dyDescent="0.2">
      <c r="A579" s="822">
        <v>50</v>
      </c>
      <c r="B579" s="823" t="s">
        <v>1887</v>
      </c>
      <c r="C579" s="823" t="s">
        <v>1893</v>
      </c>
      <c r="D579" s="824" t="s">
        <v>2977</v>
      </c>
      <c r="E579" s="825" t="s">
        <v>1911</v>
      </c>
      <c r="F579" s="823" t="s">
        <v>1888</v>
      </c>
      <c r="G579" s="823" t="s">
        <v>1952</v>
      </c>
      <c r="H579" s="823" t="s">
        <v>625</v>
      </c>
      <c r="I579" s="823" t="s">
        <v>1784</v>
      </c>
      <c r="J579" s="823" t="s">
        <v>811</v>
      </c>
      <c r="K579" s="823" t="s">
        <v>1785</v>
      </c>
      <c r="L579" s="826">
        <v>42.51</v>
      </c>
      <c r="M579" s="826">
        <v>42.51</v>
      </c>
      <c r="N579" s="823">
        <v>1</v>
      </c>
      <c r="O579" s="827">
        <v>0.5</v>
      </c>
      <c r="P579" s="826"/>
      <c r="Q579" s="828">
        <v>0</v>
      </c>
      <c r="R579" s="823"/>
      <c r="S579" s="828">
        <v>0</v>
      </c>
      <c r="T579" s="827"/>
      <c r="U579" s="829">
        <v>0</v>
      </c>
    </row>
    <row r="580" spans="1:21" ht="14.45" customHeight="1" x14ac:dyDescent="0.2">
      <c r="A580" s="822">
        <v>50</v>
      </c>
      <c r="B580" s="823" t="s">
        <v>1887</v>
      </c>
      <c r="C580" s="823" t="s">
        <v>1893</v>
      </c>
      <c r="D580" s="824" t="s">
        <v>2977</v>
      </c>
      <c r="E580" s="825" t="s">
        <v>1911</v>
      </c>
      <c r="F580" s="823" t="s">
        <v>1888</v>
      </c>
      <c r="G580" s="823" t="s">
        <v>1952</v>
      </c>
      <c r="H580" s="823" t="s">
        <v>329</v>
      </c>
      <c r="I580" s="823" t="s">
        <v>1953</v>
      </c>
      <c r="J580" s="823" t="s">
        <v>1954</v>
      </c>
      <c r="K580" s="823" t="s">
        <v>1785</v>
      </c>
      <c r="L580" s="826">
        <v>42.51</v>
      </c>
      <c r="M580" s="826">
        <v>42.51</v>
      </c>
      <c r="N580" s="823">
        <v>1</v>
      </c>
      <c r="O580" s="827">
        <v>1</v>
      </c>
      <c r="P580" s="826"/>
      <c r="Q580" s="828">
        <v>0</v>
      </c>
      <c r="R580" s="823"/>
      <c r="S580" s="828">
        <v>0</v>
      </c>
      <c r="T580" s="827"/>
      <c r="U580" s="829">
        <v>0</v>
      </c>
    </row>
    <row r="581" spans="1:21" ht="14.45" customHeight="1" x14ac:dyDescent="0.2">
      <c r="A581" s="822">
        <v>50</v>
      </c>
      <c r="B581" s="823" t="s">
        <v>1887</v>
      </c>
      <c r="C581" s="823" t="s">
        <v>1893</v>
      </c>
      <c r="D581" s="824" t="s">
        <v>2977</v>
      </c>
      <c r="E581" s="825" t="s">
        <v>1911</v>
      </c>
      <c r="F581" s="823" t="s">
        <v>1888</v>
      </c>
      <c r="G581" s="823" t="s">
        <v>2476</v>
      </c>
      <c r="H581" s="823" t="s">
        <v>329</v>
      </c>
      <c r="I581" s="823" t="s">
        <v>2733</v>
      </c>
      <c r="J581" s="823" t="s">
        <v>2478</v>
      </c>
      <c r="K581" s="823" t="s">
        <v>2479</v>
      </c>
      <c r="L581" s="826">
        <v>94.7</v>
      </c>
      <c r="M581" s="826">
        <v>94.7</v>
      </c>
      <c r="N581" s="823">
        <v>1</v>
      </c>
      <c r="O581" s="827">
        <v>0.5</v>
      </c>
      <c r="P581" s="826"/>
      <c r="Q581" s="828">
        <v>0</v>
      </c>
      <c r="R581" s="823"/>
      <c r="S581" s="828">
        <v>0</v>
      </c>
      <c r="T581" s="827"/>
      <c r="U581" s="829">
        <v>0</v>
      </c>
    </row>
    <row r="582" spans="1:21" ht="14.45" customHeight="1" x14ac:dyDescent="0.2">
      <c r="A582" s="822">
        <v>50</v>
      </c>
      <c r="B582" s="823" t="s">
        <v>1887</v>
      </c>
      <c r="C582" s="823" t="s">
        <v>1893</v>
      </c>
      <c r="D582" s="824" t="s">
        <v>2977</v>
      </c>
      <c r="E582" s="825" t="s">
        <v>1911</v>
      </c>
      <c r="F582" s="823" t="s">
        <v>1888</v>
      </c>
      <c r="G582" s="823" t="s">
        <v>1955</v>
      </c>
      <c r="H582" s="823" t="s">
        <v>625</v>
      </c>
      <c r="I582" s="823" t="s">
        <v>1567</v>
      </c>
      <c r="J582" s="823" t="s">
        <v>1568</v>
      </c>
      <c r="K582" s="823" t="s">
        <v>1569</v>
      </c>
      <c r="L582" s="826">
        <v>93.43</v>
      </c>
      <c r="M582" s="826">
        <v>93.43</v>
      </c>
      <c r="N582" s="823">
        <v>1</v>
      </c>
      <c r="O582" s="827">
        <v>1</v>
      </c>
      <c r="P582" s="826">
        <v>93.43</v>
      </c>
      <c r="Q582" s="828">
        <v>1</v>
      </c>
      <c r="R582" s="823">
        <v>1</v>
      </c>
      <c r="S582" s="828">
        <v>1</v>
      </c>
      <c r="T582" s="827">
        <v>1</v>
      </c>
      <c r="U582" s="829">
        <v>1</v>
      </c>
    </row>
    <row r="583" spans="1:21" ht="14.45" customHeight="1" x14ac:dyDescent="0.2">
      <c r="A583" s="822">
        <v>50</v>
      </c>
      <c r="B583" s="823" t="s">
        <v>1887</v>
      </c>
      <c r="C583" s="823" t="s">
        <v>1893</v>
      </c>
      <c r="D583" s="824" t="s">
        <v>2977</v>
      </c>
      <c r="E583" s="825" t="s">
        <v>1911</v>
      </c>
      <c r="F583" s="823" t="s">
        <v>1888</v>
      </c>
      <c r="G583" s="823" t="s">
        <v>1955</v>
      </c>
      <c r="H583" s="823" t="s">
        <v>625</v>
      </c>
      <c r="I583" s="823" t="s">
        <v>1570</v>
      </c>
      <c r="J583" s="823" t="s">
        <v>1568</v>
      </c>
      <c r="K583" s="823" t="s">
        <v>1571</v>
      </c>
      <c r="L583" s="826">
        <v>186.87</v>
      </c>
      <c r="M583" s="826">
        <v>186.87</v>
      </c>
      <c r="N583" s="823">
        <v>1</v>
      </c>
      <c r="O583" s="827">
        <v>0.5</v>
      </c>
      <c r="P583" s="826"/>
      <c r="Q583" s="828">
        <v>0</v>
      </c>
      <c r="R583" s="823"/>
      <c r="S583" s="828">
        <v>0</v>
      </c>
      <c r="T583" s="827"/>
      <c r="U583" s="829">
        <v>0</v>
      </c>
    </row>
    <row r="584" spans="1:21" ht="14.45" customHeight="1" x14ac:dyDescent="0.2">
      <c r="A584" s="822">
        <v>50</v>
      </c>
      <c r="B584" s="823" t="s">
        <v>1887</v>
      </c>
      <c r="C584" s="823" t="s">
        <v>1893</v>
      </c>
      <c r="D584" s="824" t="s">
        <v>2977</v>
      </c>
      <c r="E584" s="825" t="s">
        <v>1911</v>
      </c>
      <c r="F584" s="823" t="s">
        <v>1888</v>
      </c>
      <c r="G584" s="823" t="s">
        <v>1918</v>
      </c>
      <c r="H584" s="823" t="s">
        <v>329</v>
      </c>
      <c r="I584" s="823" t="s">
        <v>2102</v>
      </c>
      <c r="J584" s="823" t="s">
        <v>642</v>
      </c>
      <c r="K584" s="823" t="s">
        <v>628</v>
      </c>
      <c r="L584" s="826">
        <v>58.62</v>
      </c>
      <c r="M584" s="826">
        <v>58.62</v>
      </c>
      <c r="N584" s="823">
        <v>1</v>
      </c>
      <c r="O584" s="827">
        <v>0.5</v>
      </c>
      <c r="P584" s="826"/>
      <c r="Q584" s="828">
        <v>0</v>
      </c>
      <c r="R584" s="823"/>
      <c r="S584" s="828">
        <v>0</v>
      </c>
      <c r="T584" s="827"/>
      <c r="U584" s="829">
        <v>0</v>
      </c>
    </row>
    <row r="585" spans="1:21" ht="14.45" customHeight="1" x14ac:dyDescent="0.2">
      <c r="A585" s="822">
        <v>50</v>
      </c>
      <c r="B585" s="823" t="s">
        <v>1887</v>
      </c>
      <c r="C585" s="823" t="s">
        <v>1893</v>
      </c>
      <c r="D585" s="824" t="s">
        <v>2977</v>
      </c>
      <c r="E585" s="825" t="s">
        <v>1911</v>
      </c>
      <c r="F585" s="823" t="s">
        <v>1888</v>
      </c>
      <c r="G585" s="823" t="s">
        <v>1918</v>
      </c>
      <c r="H585" s="823" t="s">
        <v>329</v>
      </c>
      <c r="I585" s="823" t="s">
        <v>2326</v>
      </c>
      <c r="J585" s="823" t="s">
        <v>2243</v>
      </c>
      <c r="K585" s="823" t="s">
        <v>2327</v>
      </c>
      <c r="L585" s="826">
        <v>31.65</v>
      </c>
      <c r="M585" s="826">
        <v>94.949999999999989</v>
      </c>
      <c r="N585" s="823">
        <v>3</v>
      </c>
      <c r="O585" s="827">
        <v>2.5</v>
      </c>
      <c r="P585" s="826">
        <v>63.3</v>
      </c>
      <c r="Q585" s="828">
        <v>0.66666666666666674</v>
      </c>
      <c r="R585" s="823">
        <v>2</v>
      </c>
      <c r="S585" s="828">
        <v>0.66666666666666663</v>
      </c>
      <c r="T585" s="827">
        <v>2</v>
      </c>
      <c r="U585" s="829">
        <v>0.8</v>
      </c>
    </row>
    <row r="586" spans="1:21" ht="14.45" customHeight="1" x14ac:dyDescent="0.2">
      <c r="A586" s="822">
        <v>50</v>
      </c>
      <c r="B586" s="823" t="s">
        <v>1887</v>
      </c>
      <c r="C586" s="823" t="s">
        <v>1893</v>
      </c>
      <c r="D586" s="824" t="s">
        <v>2977</v>
      </c>
      <c r="E586" s="825" t="s">
        <v>1911</v>
      </c>
      <c r="F586" s="823" t="s">
        <v>1888</v>
      </c>
      <c r="G586" s="823" t="s">
        <v>1973</v>
      </c>
      <c r="H586" s="823" t="s">
        <v>329</v>
      </c>
      <c r="I586" s="823" t="s">
        <v>1974</v>
      </c>
      <c r="J586" s="823" t="s">
        <v>706</v>
      </c>
      <c r="K586" s="823" t="s">
        <v>1975</v>
      </c>
      <c r="L586" s="826">
        <v>57.64</v>
      </c>
      <c r="M586" s="826">
        <v>57.64</v>
      </c>
      <c r="N586" s="823">
        <v>1</v>
      </c>
      <c r="O586" s="827">
        <v>0.5</v>
      </c>
      <c r="P586" s="826"/>
      <c r="Q586" s="828">
        <v>0</v>
      </c>
      <c r="R586" s="823"/>
      <c r="S586" s="828">
        <v>0</v>
      </c>
      <c r="T586" s="827"/>
      <c r="U586" s="829">
        <v>0</v>
      </c>
    </row>
    <row r="587" spans="1:21" ht="14.45" customHeight="1" x14ac:dyDescent="0.2">
      <c r="A587" s="822">
        <v>50</v>
      </c>
      <c r="B587" s="823" t="s">
        <v>1887</v>
      </c>
      <c r="C587" s="823" t="s">
        <v>1893</v>
      </c>
      <c r="D587" s="824" t="s">
        <v>2977</v>
      </c>
      <c r="E587" s="825" t="s">
        <v>1911</v>
      </c>
      <c r="F587" s="823" t="s">
        <v>1888</v>
      </c>
      <c r="G587" s="823" t="s">
        <v>1973</v>
      </c>
      <c r="H587" s="823" t="s">
        <v>625</v>
      </c>
      <c r="I587" s="823" t="s">
        <v>1976</v>
      </c>
      <c r="J587" s="823" t="s">
        <v>706</v>
      </c>
      <c r="K587" s="823" t="s">
        <v>1977</v>
      </c>
      <c r="L587" s="826">
        <v>28.81</v>
      </c>
      <c r="M587" s="826">
        <v>28.81</v>
      </c>
      <c r="N587" s="823">
        <v>1</v>
      </c>
      <c r="O587" s="827">
        <v>1</v>
      </c>
      <c r="P587" s="826">
        <v>28.81</v>
      </c>
      <c r="Q587" s="828">
        <v>1</v>
      </c>
      <c r="R587" s="823">
        <v>1</v>
      </c>
      <c r="S587" s="828">
        <v>1</v>
      </c>
      <c r="T587" s="827">
        <v>1</v>
      </c>
      <c r="U587" s="829">
        <v>1</v>
      </c>
    </row>
    <row r="588" spans="1:21" ht="14.45" customHeight="1" x14ac:dyDescent="0.2">
      <c r="A588" s="822">
        <v>50</v>
      </c>
      <c r="B588" s="823" t="s">
        <v>1887</v>
      </c>
      <c r="C588" s="823" t="s">
        <v>1893</v>
      </c>
      <c r="D588" s="824" t="s">
        <v>2977</v>
      </c>
      <c r="E588" s="825" t="s">
        <v>1911</v>
      </c>
      <c r="F588" s="823" t="s">
        <v>1888</v>
      </c>
      <c r="G588" s="823" t="s">
        <v>1973</v>
      </c>
      <c r="H588" s="823" t="s">
        <v>329</v>
      </c>
      <c r="I588" s="823" t="s">
        <v>2781</v>
      </c>
      <c r="J588" s="823" t="s">
        <v>2782</v>
      </c>
      <c r="K588" s="823" t="s">
        <v>2783</v>
      </c>
      <c r="L588" s="826">
        <v>28.81</v>
      </c>
      <c r="M588" s="826">
        <v>28.81</v>
      </c>
      <c r="N588" s="823">
        <v>1</v>
      </c>
      <c r="O588" s="827">
        <v>0.5</v>
      </c>
      <c r="P588" s="826"/>
      <c r="Q588" s="828">
        <v>0</v>
      </c>
      <c r="R588" s="823"/>
      <c r="S588" s="828">
        <v>0</v>
      </c>
      <c r="T588" s="827"/>
      <c r="U588" s="829">
        <v>0</v>
      </c>
    </row>
    <row r="589" spans="1:21" ht="14.45" customHeight="1" x14ac:dyDescent="0.2">
      <c r="A589" s="822">
        <v>50</v>
      </c>
      <c r="B589" s="823" t="s">
        <v>1887</v>
      </c>
      <c r="C589" s="823" t="s">
        <v>1893</v>
      </c>
      <c r="D589" s="824" t="s">
        <v>2977</v>
      </c>
      <c r="E589" s="825" t="s">
        <v>1911</v>
      </c>
      <c r="F589" s="823" t="s">
        <v>1888</v>
      </c>
      <c r="G589" s="823" t="s">
        <v>1921</v>
      </c>
      <c r="H589" s="823" t="s">
        <v>625</v>
      </c>
      <c r="I589" s="823" t="s">
        <v>1922</v>
      </c>
      <c r="J589" s="823" t="s">
        <v>967</v>
      </c>
      <c r="K589" s="823" t="s">
        <v>1923</v>
      </c>
      <c r="L589" s="826">
        <v>34.47</v>
      </c>
      <c r="M589" s="826">
        <v>34.47</v>
      </c>
      <c r="N589" s="823">
        <v>1</v>
      </c>
      <c r="O589" s="827">
        <v>0.5</v>
      </c>
      <c r="P589" s="826"/>
      <c r="Q589" s="828">
        <v>0</v>
      </c>
      <c r="R589" s="823"/>
      <c r="S589" s="828">
        <v>0</v>
      </c>
      <c r="T589" s="827"/>
      <c r="U589" s="829">
        <v>0</v>
      </c>
    </row>
    <row r="590" spans="1:21" ht="14.45" customHeight="1" x14ac:dyDescent="0.2">
      <c r="A590" s="822">
        <v>50</v>
      </c>
      <c r="B590" s="823" t="s">
        <v>1887</v>
      </c>
      <c r="C590" s="823" t="s">
        <v>1893</v>
      </c>
      <c r="D590" s="824" t="s">
        <v>2977</v>
      </c>
      <c r="E590" s="825" t="s">
        <v>1911</v>
      </c>
      <c r="F590" s="823" t="s">
        <v>1888</v>
      </c>
      <c r="G590" s="823" t="s">
        <v>1921</v>
      </c>
      <c r="H590" s="823" t="s">
        <v>625</v>
      </c>
      <c r="I590" s="823" t="s">
        <v>2784</v>
      </c>
      <c r="J590" s="823" t="s">
        <v>2133</v>
      </c>
      <c r="K590" s="823" t="s">
        <v>674</v>
      </c>
      <c r="L590" s="826">
        <v>68.930000000000007</v>
      </c>
      <c r="M590" s="826">
        <v>68.930000000000007</v>
      </c>
      <c r="N590" s="823">
        <v>1</v>
      </c>
      <c r="O590" s="827">
        <v>1</v>
      </c>
      <c r="P590" s="826"/>
      <c r="Q590" s="828">
        <v>0</v>
      </c>
      <c r="R590" s="823"/>
      <c r="S590" s="828">
        <v>0</v>
      </c>
      <c r="T590" s="827"/>
      <c r="U590" s="829">
        <v>0</v>
      </c>
    </row>
    <row r="591" spans="1:21" ht="14.45" customHeight="1" x14ac:dyDescent="0.2">
      <c r="A591" s="822">
        <v>50</v>
      </c>
      <c r="B591" s="823" t="s">
        <v>1887</v>
      </c>
      <c r="C591" s="823" t="s">
        <v>1893</v>
      </c>
      <c r="D591" s="824" t="s">
        <v>2977</v>
      </c>
      <c r="E591" s="825" t="s">
        <v>1911</v>
      </c>
      <c r="F591" s="823" t="s">
        <v>1888</v>
      </c>
      <c r="G591" s="823" t="s">
        <v>2268</v>
      </c>
      <c r="H591" s="823" t="s">
        <v>625</v>
      </c>
      <c r="I591" s="823" t="s">
        <v>2785</v>
      </c>
      <c r="J591" s="823" t="s">
        <v>2270</v>
      </c>
      <c r="K591" s="823" t="s">
        <v>2786</v>
      </c>
      <c r="L591" s="826">
        <v>117.46</v>
      </c>
      <c r="M591" s="826">
        <v>117.46</v>
      </c>
      <c r="N591" s="823">
        <v>1</v>
      </c>
      <c r="O591" s="827">
        <v>0.5</v>
      </c>
      <c r="P591" s="826"/>
      <c r="Q591" s="828">
        <v>0</v>
      </c>
      <c r="R591" s="823"/>
      <c r="S591" s="828">
        <v>0</v>
      </c>
      <c r="T591" s="827"/>
      <c r="U591" s="829">
        <v>0</v>
      </c>
    </row>
    <row r="592" spans="1:21" ht="14.45" customHeight="1" x14ac:dyDescent="0.2">
      <c r="A592" s="822">
        <v>50</v>
      </c>
      <c r="B592" s="823" t="s">
        <v>1887</v>
      </c>
      <c r="C592" s="823" t="s">
        <v>1893</v>
      </c>
      <c r="D592" s="824" t="s">
        <v>2977</v>
      </c>
      <c r="E592" s="825" t="s">
        <v>1911</v>
      </c>
      <c r="F592" s="823" t="s">
        <v>1888</v>
      </c>
      <c r="G592" s="823" t="s">
        <v>2146</v>
      </c>
      <c r="H592" s="823" t="s">
        <v>625</v>
      </c>
      <c r="I592" s="823" t="s">
        <v>2362</v>
      </c>
      <c r="J592" s="823" t="s">
        <v>1628</v>
      </c>
      <c r="K592" s="823" t="s">
        <v>2019</v>
      </c>
      <c r="L592" s="826">
        <v>34.47</v>
      </c>
      <c r="M592" s="826">
        <v>34.47</v>
      </c>
      <c r="N592" s="823">
        <v>1</v>
      </c>
      <c r="O592" s="827">
        <v>0.5</v>
      </c>
      <c r="P592" s="826"/>
      <c r="Q592" s="828">
        <v>0</v>
      </c>
      <c r="R592" s="823"/>
      <c r="S592" s="828">
        <v>0</v>
      </c>
      <c r="T592" s="827"/>
      <c r="U592" s="829">
        <v>0</v>
      </c>
    </row>
    <row r="593" spans="1:21" ht="14.45" customHeight="1" x14ac:dyDescent="0.2">
      <c r="A593" s="822">
        <v>50</v>
      </c>
      <c r="B593" s="823" t="s">
        <v>1887</v>
      </c>
      <c r="C593" s="823" t="s">
        <v>1893</v>
      </c>
      <c r="D593" s="824" t="s">
        <v>2977</v>
      </c>
      <c r="E593" s="825" t="s">
        <v>1911</v>
      </c>
      <c r="F593" s="823" t="s">
        <v>1888</v>
      </c>
      <c r="G593" s="823" t="s">
        <v>1982</v>
      </c>
      <c r="H593" s="823" t="s">
        <v>329</v>
      </c>
      <c r="I593" s="823" t="s">
        <v>2764</v>
      </c>
      <c r="J593" s="823" t="s">
        <v>2581</v>
      </c>
      <c r="K593" s="823" t="s">
        <v>1640</v>
      </c>
      <c r="L593" s="826">
        <v>220.53</v>
      </c>
      <c r="M593" s="826">
        <v>220.53</v>
      </c>
      <c r="N593" s="823">
        <v>1</v>
      </c>
      <c r="O593" s="827">
        <v>0.5</v>
      </c>
      <c r="P593" s="826"/>
      <c r="Q593" s="828">
        <v>0</v>
      </c>
      <c r="R593" s="823"/>
      <c r="S593" s="828">
        <v>0</v>
      </c>
      <c r="T593" s="827"/>
      <c r="U593" s="829">
        <v>0</v>
      </c>
    </row>
    <row r="594" spans="1:21" ht="14.45" customHeight="1" x14ac:dyDescent="0.2">
      <c r="A594" s="822">
        <v>50</v>
      </c>
      <c r="B594" s="823" t="s">
        <v>1887</v>
      </c>
      <c r="C594" s="823" t="s">
        <v>1893</v>
      </c>
      <c r="D594" s="824" t="s">
        <v>2977</v>
      </c>
      <c r="E594" s="825" t="s">
        <v>1911</v>
      </c>
      <c r="F594" s="823" t="s">
        <v>1888</v>
      </c>
      <c r="G594" s="823" t="s">
        <v>1985</v>
      </c>
      <c r="H594" s="823" t="s">
        <v>329</v>
      </c>
      <c r="I594" s="823" t="s">
        <v>1986</v>
      </c>
      <c r="J594" s="823" t="s">
        <v>998</v>
      </c>
      <c r="K594" s="823" t="s">
        <v>1987</v>
      </c>
      <c r="L594" s="826">
        <v>128.69999999999999</v>
      </c>
      <c r="M594" s="826">
        <v>128.69999999999999</v>
      </c>
      <c r="N594" s="823">
        <v>1</v>
      </c>
      <c r="O594" s="827">
        <v>1</v>
      </c>
      <c r="P594" s="826">
        <v>128.69999999999999</v>
      </c>
      <c r="Q594" s="828">
        <v>1</v>
      </c>
      <c r="R594" s="823">
        <v>1</v>
      </c>
      <c r="S594" s="828">
        <v>1</v>
      </c>
      <c r="T594" s="827">
        <v>1</v>
      </c>
      <c r="U594" s="829">
        <v>1</v>
      </c>
    </row>
    <row r="595" spans="1:21" ht="14.45" customHeight="1" x14ac:dyDescent="0.2">
      <c r="A595" s="822">
        <v>50</v>
      </c>
      <c r="B595" s="823" t="s">
        <v>1887</v>
      </c>
      <c r="C595" s="823" t="s">
        <v>1893</v>
      </c>
      <c r="D595" s="824" t="s">
        <v>2977</v>
      </c>
      <c r="E595" s="825" t="s">
        <v>1911</v>
      </c>
      <c r="F595" s="823" t="s">
        <v>1888</v>
      </c>
      <c r="G595" s="823" t="s">
        <v>2787</v>
      </c>
      <c r="H595" s="823" t="s">
        <v>329</v>
      </c>
      <c r="I595" s="823" t="s">
        <v>2788</v>
      </c>
      <c r="J595" s="823" t="s">
        <v>2789</v>
      </c>
      <c r="K595" s="823" t="s">
        <v>2790</v>
      </c>
      <c r="L595" s="826">
        <v>311.02</v>
      </c>
      <c r="M595" s="826">
        <v>311.02</v>
      </c>
      <c r="N595" s="823">
        <v>1</v>
      </c>
      <c r="O595" s="827">
        <v>0.5</v>
      </c>
      <c r="P595" s="826"/>
      <c r="Q595" s="828">
        <v>0</v>
      </c>
      <c r="R595" s="823"/>
      <c r="S595" s="828">
        <v>0</v>
      </c>
      <c r="T595" s="827"/>
      <c r="U595" s="829">
        <v>0</v>
      </c>
    </row>
    <row r="596" spans="1:21" ht="14.45" customHeight="1" x14ac:dyDescent="0.2">
      <c r="A596" s="822">
        <v>50</v>
      </c>
      <c r="B596" s="823" t="s">
        <v>1887</v>
      </c>
      <c r="C596" s="823" t="s">
        <v>1893</v>
      </c>
      <c r="D596" s="824" t="s">
        <v>2977</v>
      </c>
      <c r="E596" s="825" t="s">
        <v>1911</v>
      </c>
      <c r="F596" s="823" t="s">
        <v>1888</v>
      </c>
      <c r="G596" s="823" t="s">
        <v>2001</v>
      </c>
      <c r="H596" s="823" t="s">
        <v>625</v>
      </c>
      <c r="I596" s="823" t="s">
        <v>1549</v>
      </c>
      <c r="J596" s="823" t="s">
        <v>1547</v>
      </c>
      <c r="K596" s="823" t="s">
        <v>1550</v>
      </c>
      <c r="L596" s="826">
        <v>184.74</v>
      </c>
      <c r="M596" s="826">
        <v>554.22</v>
      </c>
      <c r="N596" s="823">
        <v>3</v>
      </c>
      <c r="O596" s="827">
        <v>3</v>
      </c>
      <c r="P596" s="826">
        <v>369.48</v>
      </c>
      <c r="Q596" s="828">
        <v>0.66666666666666663</v>
      </c>
      <c r="R596" s="823">
        <v>2</v>
      </c>
      <c r="S596" s="828">
        <v>0.66666666666666663</v>
      </c>
      <c r="T596" s="827">
        <v>2</v>
      </c>
      <c r="U596" s="829">
        <v>0.66666666666666663</v>
      </c>
    </row>
    <row r="597" spans="1:21" ht="14.45" customHeight="1" x14ac:dyDescent="0.2">
      <c r="A597" s="822">
        <v>50</v>
      </c>
      <c r="B597" s="823" t="s">
        <v>1887</v>
      </c>
      <c r="C597" s="823" t="s">
        <v>1893</v>
      </c>
      <c r="D597" s="824" t="s">
        <v>2977</v>
      </c>
      <c r="E597" s="825" t="s">
        <v>1911</v>
      </c>
      <c r="F597" s="823" t="s">
        <v>1888</v>
      </c>
      <c r="G597" s="823" t="s">
        <v>2279</v>
      </c>
      <c r="H597" s="823" t="s">
        <v>329</v>
      </c>
      <c r="I597" s="823" t="s">
        <v>2791</v>
      </c>
      <c r="J597" s="823" t="s">
        <v>2281</v>
      </c>
      <c r="K597" s="823" t="s">
        <v>2792</v>
      </c>
      <c r="L597" s="826">
        <v>218.32</v>
      </c>
      <c r="M597" s="826">
        <v>218.32</v>
      </c>
      <c r="N597" s="823">
        <v>1</v>
      </c>
      <c r="O597" s="827">
        <v>1</v>
      </c>
      <c r="P597" s="826"/>
      <c r="Q597" s="828">
        <v>0</v>
      </c>
      <c r="R597" s="823"/>
      <c r="S597" s="828">
        <v>0</v>
      </c>
      <c r="T597" s="827"/>
      <c r="U597" s="829">
        <v>0</v>
      </c>
    </row>
    <row r="598" spans="1:21" ht="14.45" customHeight="1" x14ac:dyDescent="0.2">
      <c r="A598" s="822">
        <v>50</v>
      </c>
      <c r="B598" s="823" t="s">
        <v>1887</v>
      </c>
      <c r="C598" s="823" t="s">
        <v>1893</v>
      </c>
      <c r="D598" s="824" t="s">
        <v>2977</v>
      </c>
      <c r="E598" s="825" t="s">
        <v>1911</v>
      </c>
      <c r="F598" s="823" t="s">
        <v>1888</v>
      </c>
      <c r="G598" s="823" t="s">
        <v>1928</v>
      </c>
      <c r="H598" s="823" t="s">
        <v>329</v>
      </c>
      <c r="I598" s="823" t="s">
        <v>1929</v>
      </c>
      <c r="J598" s="823" t="s">
        <v>1930</v>
      </c>
      <c r="K598" s="823" t="s">
        <v>1931</v>
      </c>
      <c r="L598" s="826">
        <v>33.31</v>
      </c>
      <c r="M598" s="826">
        <v>66.62</v>
      </c>
      <c r="N598" s="823">
        <v>2</v>
      </c>
      <c r="O598" s="827">
        <v>2</v>
      </c>
      <c r="P598" s="826">
        <v>33.31</v>
      </c>
      <c r="Q598" s="828">
        <v>0.5</v>
      </c>
      <c r="R598" s="823">
        <v>1</v>
      </c>
      <c r="S598" s="828">
        <v>0.5</v>
      </c>
      <c r="T598" s="827">
        <v>1</v>
      </c>
      <c r="U598" s="829">
        <v>0.5</v>
      </c>
    </row>
    <row r="599" spans="1:21" ht="14.45" customHeight="1" x14ac:dyDescent="0.2">
      <c r="A599" s="822">
        <v>50</v>
      </c>
      <c r="B599" s="823" t="s">
        <v>1887</v>
      </c>
      <c r="C599" s="823" t="s">
        <v>1893</v>
      </c>
      <c r="D599" s="824" t="s">
        <v>2977</v>
      </c>
      <c r="E599" s="825" t="s">
        <v>1912</v>
      </c>
      <c r="F599" s="823" t="s">
        <v>1888</v>
      </c>
      <c r="G599" s="823" t="s">
        <v>1944</v>
      </c>
      <c r="H599" s="823" t="s">
        <v>625</v>
      </c>
      <c r="I599" s="823" t="s">
        <v>1581</v>
      </c>
      <c r="J599" s="823" t="s">
        <v>712</v>
      </c>
      <c r="K599" s="823" t="s">
        <v>1582</v>
      </c>
      <c r="L599" s="826">
        <v>80.010000000000005</v>
      </c>
      <c r="M599" s="826">
        <v>80.010000000000005</v>
      </c>
      <c r="N599" s="823">
        <v>1</v>
      </c>
      <c r="O599" s="827">
        <v>1</v>
      </c>
      <c r="P599" s="826"/>
      <c r="Q599" s="828">
        <v>0</v>
      </c>
      <c r="R599" s="823"/>
      <c r="S599" s="828">
        <v>0</v>
      </c>
      <c r="T599" s="827"/>
      <c r="U599" s="829">
        <v>0</v>
      </c>
    </row>
    <row r="600" spans="1:21" ht="14.45" customHeight="1" x14ac:dyDescent="0.2">
      <c r="A600" s="822">
        <v>50</v>
      </c>
      <c r="B600" s="823" t="s">
        <v>1887</v>
      </c>
      <c r="C600" s="823" t="s">
        <v>1893</v>
      </c>
      <c r="D600" s="824" t="s">
        <v>2977</v>
      </c>
      <c r="E600" s="825" t="s">
        <v>1912</v>
      </c>
      <c r="F600" s="823" t="s">
        <v>1888</v>
      </c>
      <c r="G600" s="823" t="s">
        <v>1944</v>
      </c>
      <c r="H600" s="823" t="s">
        <v>625</v>
      </c>
      <c r="I600" s="823" t="s">
        <v>1583</v>
      </c>
      <c r="J600" s="823" t="s">
        <v>712</v>
      </c>
      <c r="K600" s="823" t="s">
        <v>1584</v>
      </c>
      <c r="L600" s="826">
        <v>160.03</v>
      </c>
      <c r="M600" s="826">
        <v>480.09000000000003</v>
      </c>
      <c r="N600" s="823">
        <v>3</v>
      </c>
      <c r="O600" s="827">
        <v>3</v>
      </c>
      <c r="P600" s="826">
        <v>320.06</v>
      </c>
      <c r="Q600" s="828">
        <v>0.66666666666666663</v>
      </c>
      <c r="R600" s="823">
        <v>2</v>
      </c>
      <c r="S600" s="828">
        <v>0.66666666666666663</v>
      </c>
      <c r="T600" s="827">
        <v>2</v>
      </c>
      <c r="U600" s="829">
        <v>0.66666666666666663</v>
      </c>
    </row>
    <row r="601" spans="1:21" ht="14.45" customHeight="1" x14ac:dyDescent="0.2">
      <c r="A601" s="822">
        <v>50</v>
      </c>
      <c r="B601" s="823" t="s">
        <v>1887</v>
      </c>
      <c r="C601" s="823" t="s">
        <v>1893</v>
      </c>
      <c r="D601" s="824" t="s">
        <v>2977</v>
      </c>
      <c r="E601" s="825" t="s">
        <v>1912</v>
      </c>
      <c r="F601" s="823" t="s">
        <v>1888</v>
      </c>
      <c r="G601" s="823" t="s">
        <v>2015</v>
      </c>
      <c r="H601" s="823" t="s">
        <v>329</v>
      </c>
      <c r="I601" s="823" t="s">
        <v>2793</v>
      </c>
      <c r="J601" s="823" t="s">
        <v>2794</v>
      </c>
      <c r="K601" s="823" t="s">
        <v>1622</v>
      </c>
      <c r="L601" s="826">
        <v>207.27</v>
      </c>
      <c r="M601" s="826">
        <v>207.27</v>
      </c>
      <c r="N601" s="823">
        <v>1</v>
      </c>
      <c r="O601" s="827">
        <v>0.5</v>
      </c>
      <c r="P601" s="826">
        <v>207.27</v>
      </c>
      <c r="Q601" s="828">
        <v>1</v>
      </c>
      <c r="R601" s="823">
        <v>1</v>
      </c>
      <c r="S601" s="828">
        <v>1</v>
      </c>
      <c r="T601" s="827">
        <v>0.5</v>
      </c>
      <c r="U601" s="829">
        <v>1</v>
      </c>
    </row>
    <row r="602" spans="1:21" ht="14.45" customHeight="1" x14ac:dyDescent="0.2">
      <c r="A602" s="822">
        <v>50</v>
      </c>
      <c r="B602" s="823" t="s">
        <v>1887</v>
      </c>
      <c r="C602" s="823" t="s">
        <v>1893</v>
      </c>
      <c r="D602" s="824" t="s">
        <v>2977</v>
      </c>
      <c r="E602" s="825" t="s">
        <v>1912</v>
      </c>
      <c r="F602" s="823" t="s">
        <v>1888</v>
      </c>
      <c r="G602" s="823" t="s">
        <v>2015</v>
      </c>
      <c r="H602" s="823" t="s">
        <v>625</v>
      </c>
      <c r="I602" s="823" t="s">
        <v>1793</v>
      </c>
      <c r="J602" s="823" t="s">
        <v>1794</v>
      </c>
      <c r="K602" s="823" t="s">
        <v>1795</v>
      </c>
      <c r="L602" s="826">
        <v>186.55</v>
      </c>
      <c r="M602" s="826">
        <v>186.55</v>
      </c>
      <c r="N602" s="823">
        <v>1</v>
      </c>
      <c r="O602" s="827">
        <v>1</v>
      </c>
      <c r="P602" s="826">
        <v>186.55</v>
      </c>
      <c r="Q602" s="828">
        <v>1</v>
      </c>
      <c r="R602" s="823">
        <v>1</v>
      </c>
      <c r="S602" s="828">
        <v>1</v>
      </c>
      <c r="T602" s="827">
        <v>1</v>
      </c>
      <c r="U602" s="829">
        <v>1</v>
      </c>
    </row>
    <row r="603" spans="1:21" ht="14.45" customHeight="1" x14ac:dyDescent="0.2">
      <c r="A603" s="822">
        <v>50</v>
      </c>
      <c r="B603" s="823" t="s">
        <v>1887</v>
      </c>
      <c r="C603" s="823" t="s">
        <v>1893</v>
      </c>
      <c r="D603" s="824" t="s">
        <v>2977</v>
      </c>
      <c r="E603" s="825" t="s">
        <v>1912</v>
      </c>
      <c r="F603" s="823" t="s">
        <v>1888</v>
      </c>
      <c r="G603" s="823" t="s">
        <v>2015</v>
      </c>
      <c r="H603" s="823" t="s">
        <v>329</v>
      </c>
      <c r="I603" s="823" t="s">
        <v>2405</v>
      </c>
      <c r="J603" s="823" t="s">
        <v>2406</v>
      </c>
      <c r="K603" s="823" t="s">
        <v>2275</v>
      </c>
      <c r="L603" s="826">
        <v>103.64</v>
      </c>
      <c r="M603" s="826">
        <v>103.64</v>
      </c>
      <c r="N603" s="823">
        <v>1</v>
      </c>
      <c r="O603" s="827">
        <v>1</v>
      </c>
      <c r="P603" s="826">
        <v>103.64</v>
      </c>
      <c r="Q603" s="828">
        <v>1</v>
      </c>
      <c r="R603" s="823">
        <v>1</v>
      </c>
      <c r="S603" s="828">
        <v>1</v>
      </c>
      <c r="T603" s="827">
        <v>1</v>
      </c>
      <c r="U603" s="829">
        <v>1</v>
      </c>
    </row>
    <row r="604" spans="1:21" ht="14.45" customHeight="1" x14ac:dyDescent="0.2">
      <c r="A604" s="822">
        <v>50</v>
      </c>
      <c r="B604" s="823" t="s">
        <v>1887</v>
      </c>
      <c r="C604" s="823" t="s">
        <v>1893</v>
      </c>
      <c r="D604" s="824" t="s">
        <v>2977</v>
      </c>
      <c r="E604" s="825" t="s">
        <v>1912</v>
      </c>
      <c r="F604" s="823" t="s">
        <v>1888</v>
      </c>
      <c r="G604" s="823" t="s">
        <v>2015</v>
      </c>
      <c r="H604" s="823" t="s">
        <v>329</v>
      </c>
      <c r="I604" s="823" t="s">
        <v>2795</v>
      </c>
      <c r="J604" s="823" t="s">
        <v>2408</v>
      </c>
      <c r="K604" s="823" t="s">
        <v>2312</v>
      </c>
      <c r="L604" s="826">
        <v>207.27</v>
      </c>
      <c r="M604" s="826">
        <v>207.27</v>
      </c>
      <c r="N604" s="823">
        <v>1</v>
      </c>
      <c r="O604" s="827">
        <v>1</v>
      </c>
      <c r="P604" s="826"/>
      <c r="Q604" s="828">
        <v>0</v>
      </c>
      <c r="R604" s="823"/>
      <c r="S604" s="828">
        <v>0</v>
      </c>
      <c r="T604" s="827"/>
      <c r="U604" s="829">
        <v>0</v>
      </c>
    </row>
    <row r="605" spans="1:21" ht="14.45" customHeight="1" x14ac:dyDescent="0.2">
      <c r="A605" s="822">
        <v>50</v>
      </c>
      <c r="B605" s="823" t="s">
        <v>1887</v>
      </c>
      <c r="C605" s="823" t="s">
        <v>1893</v>
      </c>
      <c r="D605" s="824" t="s">
        <v>2977</v>
      </c>
      <c r="E605" s="825" t="s">
        <v>1912</v>
      </c>
      <c r="F605" s="823" t="s">
        <v>1888</v>
      </c>
      <c r="G605" s="823" t="s">
        <v>1932</v>
      </c>
      <c r="H605" s="823" t="s">
        <v>625</v>
      </c>
      <c r="I605" s="823" t="s">
        <v>1796</v>
      </c>
      <c r="J605" s="823" t="s">
        <v>1639</v>
      </c>
      <c r="K605" s="823" t="s">
        <v>1797</v>
      </c>
      <c r="L605" s="826">
        <v>220.53</v>
      </c>
      <c r="M605" s="826">
        <v>1323.18</v>
      </c>
      <c r="N605" s="823">
        <v>6</v>
      </c>
      <c r="O605" s="827">
        <v>1.5</v>
      </c>
      <c r="P605" s="826">
        <v>661.59</v>
      </c>
      <c r="Q605" s="828">
        <v>0.5</v>
      </c>
      <c r="R605" s="823">
        <v>3</v>
      </c>
      <c r="S605" s="828">
        <v>0.5</v>
      </c>
      <c r="T605" s="827">
        <v>1</v>
      </c>
      <c r="U605" s="829">
        <v>0.66666666666666663</v>
      </c>
    </row>
    <row r="606" spans="1:21" ht="14.45" customHeight="1" x14ac:dyDescent="0.2">
      <c r="A606" s="822">
        <v>50</v>
      </c>
      <c r="B606" s="823" t="s">
        <v>1887</v>
      </c>
      <c r="C606" s="823" t="s">
        <v>1893</v>
      </c>
      <c r="D606" s="824" t="s">
        <v>2977</v>
      </c>
      <c r="E606" s="825" t="s">
        <v>1912</v>
      </c>
      <c r="F606" s="823" t="s">
        <v>1888</v>
      </c>
      <c r="G606" s="823" t="s">
        <v>1932</v>
      </c>
      <c r="H606" s="823" t="s">
        <v>329</v>
      </c>
      <c r="I606" s="823" t="s">
        <v>2796</v>
      </c>
      <c r="J606" s="823" t="s">
        <v>2294</v>
      </c>
      <c r="K606" s="823" t="s">
        <v>2028</v>
      </c>
      <c r="L606" s="826">
        <v>165.41</v>
      </c>
      <c r="M606" s="826">
        <v>165.41</v>
      </c>
      <c r="N606" s="823">
        <v>1</v>
      </c>
      <c r="O606" s="827">
        <v>1</v>
      </c>
      <c r="P606" s="826">
        <v>165.41</v>
      </c>
      <c r="Q606" s="828">
        <v>1</v>
      </c>
      <c r="R606" s="823">
        <v>1</v>
      </c>
      <c r="S606" s="828">
        <v>1</v>
      </c>
      <c r="T606" s="827">
        <v>1</v>
      </c>
      <c r="U606" s="829">
        <v>1</v>
      </c>
    </row>
    <row r="607" spans="1:21" ht="14.45" customHeight="1" x14ac:dyDescent="0.2">
      <c r="A607" s="822">
        <v>50</v>
      </c>
      <c r="B607" s="823" t="s">
        <v>1887</v>
      </c>
      <c r="C607" s="823" t="s">
        <v>1893</v>
      </c>
      <c r="D607" s="824" t="s">
        <v>2977</v>
      </c>
      <c r="E607" s="825" t="s">
        <v>1912</v>
      </c>
      <c r="F607" s="823" t="s">
        <v>1888</v>
      </c>
      <c r="G607" s="823" t="s">
        <v>1932</v>
      </c>
      <c r="H607" s="823" t="s">
        <v>625</v>
      </c>
      <c r="I607" s="823" t="s">
        <v>1635</v>
      </c>
      <c r="J607" s="823" t="s">
        <v>1636</v>
      </c>
      <c r="K607" s="823" t="s">
        <v>1637</v>
      </c>
      <c r="L607" s="826">
        <v>279.52999999999997</v>
      </c>
      <c r="M607" s="826">
        <v>1397.6499999999999</v>
      </c>
      <c r="N607" s="823">
        <v>5</v>
      </c>
      <c r="O607" s="827">
        <v>3</v>
      </c>
      <c r="P607" s="826">
        <v>838.58999999999992</v>
      </c>
      <c r="Q607" s="828">
        <v>0.6</v>
      </c>
      <c r="R607" s="823">
        <v>3</v>
      </c>
      <c r="S607" s="828">
        <v>0.6</v>
      </c>
      <c r="T607" s="827">
        <v>2</v>
      </c>
      <c r="U607" s="829">
        <v>0.66666666666666663</v>
      </c>
    </row>
    <row r="608" spans="1:21" ht="14.45" customHeight="1" x14ac:dyDescent="0.2">
      <c r="A608" s="822">
        <v>50</v>
      </c>
      <c r="B608" s="823" t="s">
        <v>1887</v>
      </c>
      <c r="C608" s="823" t="s">
        <v>1893</v>
      </c>
      <c r="D608" s="824" t="s">
        <v>2977</v>
      </c>
      <c r="E608" s="825" t="s">
        <v>1912</v>
      </c>
      <c r="F608" s="823" t="s">
        <v>1888</v>
      </c>
      <c r="G608" s="823" t="s">
        <v>1932</v>
      </c>
      <c r="H608" s="823" t="s">
        <v>329</v>
      </c>
      <c r="I608" s="823" t="s">
        <v>2415</v>
      </c>
      <c r="J608" s="823" t="s">
        <v>1639</v>
      </c>
      <c r="K608" s="823" t="s">
        <v>2416</v>
      </c>
      <c r="L608" s="826">
        <v>477.84</v>
      </c>
      <c r="M608" s="826">
        <v>477.84</v>
      </c>
      <c r="N608" s="823">
        <v>1</v>
      </c>
      <c r="O608" s="827">
        <v>1</v>
      </c>
      <c r="P608" s="826">
        <v>477.84</v>
      </c>
      <c r="Q608" s="828">
        <v>1</v>
      </c>
      <c r="R608" s="823">
        <v>1</v>
      </c>
      <c r="S608" s="828">
        <v>1</v>
      </c>
      <c r="T608" s="827">
        <v>1</v>
      </c>
      <c r="U608" s="829">
        <v>1</v>
      </c>
    </row>
    <row r="609" spans="1:21" ht="14.45" customHeight="1" x14ac:dyDescent="0.2">
      <c r="A609" s="822">
        <v>50</v>
      </c>
      <c r="B609" s="823" t="s">
        <v>1887</v>
      </c>
      <c r="C609" s="823" t="s">
        <v>1893</v>
      </c>
      <c r="D609" s="824" t="s">
        <v>2977</v>
      </c>
      <c r="E609" s="825" t="s">
        <v>1912</v>
      </c>
      <c r="F609" s="823" t="s">
        <v>1888</v>
      </c>
      <c r="G609" s="823" t="s">
        <v>1932</v>
      </c>
      <c r="H609" s="823" t="s">
        <v>625</v>
      </c>
      <c r="I609" s="823" t="s">
        <v>2291</v>
      </c>
      <c r="J609" s="823" t="s">
        <v>1636</v>
      </c>
      <c r="K609" s="823" t="s">
        <v>2292</v>
      </c>
      <c r="L609" s="826">
        <v>55.14</v>
      </c>
      <c r="M609" s="826">
        <v>55.14</v>
      </c>
      <c r="N609" s="823">
        <v>1</v>
      </c>
      <c r="O609" s="827">
        <v>1</v>
      </c>
      <c r="P609" s="826">
        <v>55.14</v>
      </c>
      <c r="Q609" s="828">
        <v>1</v>
      </c>
      <c r="R609" s="823">
        <v>1</v>
      </c>
      <c r="S609" s="828">
        <v>1</v>
      </c>
      <c r="T609" s="827">
        <v>1</v>
      </c>
      <c r="U609" s="829">
        <v>1</v>
      </c>
    </row>
    <row r="610" spans="1:21" ht="14.45" customHeight="1" x14ac:dyDescent="0.2">
      <c r="A610" s="822">
        <v>50</v>
      </c>
      <c r="B610" s="823" t="s">
        <v>1887</v>
      </c>
      <c r="C610" s="823" t="s">
        <v>1893</v>
      </c>
      <c r="D610" s="824" t="s">
        <v>2977</v>
      </c>
      <c r="E610" s="825" t="s">
        <v>1912</v>
      </c>
      <c r="F610" s="823" t="s">
        <v>1888</v>
      </c>
      <c r="G610" s="823" t="s">
        <v>1932</v>
      </c>
      <c r="H610" s="823" t="s">
        <v>329</v>
      </c>
      <c r="I610" s="823" t="s">
        <v>2026</v>
      </c>
      <c r="J610" s="823" t="s">
        <v>2027</v>
      </c>
      <c r="K610" s="823" t="s">
        <v>2028</v>
      </c>
      <c r="L610" s="826">
        <v>165.41</v>
      </c>
      <c r="M610" s="826">
        <v>165.41</v>
      </c>
      <c r="N610" s="823">
        <v>1</v>
      </c>
      <c r="O610" s="827">
        <v>0.5</v>
      </c>
      <c r="P610" s="826"/>
      <c r="Q610" s="828">
        <v>0</v>
      </c>
      <c r="R610" s="823"/>
      <c r="S610" s="828">
        <v>0</v>
      </c>
      <c r="T610" s="827"/>
      <c r="U610" s="829">
        <v>0</v>
      </c>
    </row>
    <row r="611" spans="1:21" ht="14.45" customHeight="1" x14ac:dyDescent="0.2">
      <c r="A611" s="822">
        <v>50</v>
      </c>
      <c r="B611" s="823" t="s">
        <v>1887</v>
      </c>
      <c r="C611" s="823" t="s">
        <v>1893</v>
      </c>
      <c r="D611" s="824" t="s">
        <v>2977</v>
      </c>
      <c r="E611" s="825" t="s">
        <v>1912</v>
      </c>
      <c r="F611" s="823" t="s">
        <v>1888</v>
      </c>
      <c r="G611" s="823" t="s">
        <v>1932</v>
      </c>
      <c r="H611" s="823" t="s">
        <v>329</v>
      </c>
      <c r="I611" s="823" t="s">
        <v>2031</v>
      </c>
      <c r="J611" s="823" t="s">
        <v>2027</v>
      </c>
      <c r="K611" s="823" t="s">
        <v>2025</v>
      </c>
      <c r="L611" s="826">
        <v>430.05</v>
      </c>
      <c r="M611" s="826">
        <v>430.05</v>
      </c>
      <c r="N611" s="823">
        <v>1</v>
      </c>
      <c r="O611" s="827">
        <v>0.5</v>
      </c>
      <c r="P611" s="826"/>
      <c r="Q611" s="828">
        <v>0</v>
      </c>
      <c r="R611" s="823"/>
      <c r="S611" s="828">
        <v>0</v>
      </c>
      <c r="T611" s="827"/>
      <c r="U611" s="829">
        <v>0</v>
      </c>
    </row>
    <row r="612" spans="1:21" ht="14.45" customHeight="1" x14ac:dyDescent="0.2">
      <c r="A612" s="822">
        <v>50</v>
      </c>
      <c r="B612" s="823" t="s">
        <v>1887</v>
      </c>
      <c r="C612" s="823" t="s">
        <v>1893</v>
      </c>
      <c r="D612" s="824" t="s">
        <v>2977</v>
      </c>
      <c r="E612" s="825" t="s">
        <v>1912</v>
      </c>
      <c r="F612" s="823" t="s">
        <v>1888</v>
      </c>
      <c r="G612" s="823" t="s">
        <v>2032</v>
      </c>
      <c r="H612" s="823" t="s">
        <v>625</v>
      </c>
      <c r="I612" s="823" t="s">
        <v>1607</v>
      </c>
      <c r="J612" s="823" t="s">
        <v>1608</v>
      </c>
      <c r="K612" s="823" t="s">
        <v>1609</v>
      </c>
      <c r="L612" s="826">
        <v>229.38</v>
      </c>
      <c r="M612" s="826">
        <v>688.14</v>
      </c>
      <c r="N612" s="823">
        <v>3</v>
      </c>
      <c r="O612" s="827">
        <v>2.5</v>
      </c>
      <c r="P612" s="826">
        <v>458.76</v>
      </c>
      <c r="Q612" s="828">
        <v>0.66666666666666663</v>
      </c>
      <c r="R612" s="823">
        <v>2</v>
      </c>
      <c r="S612" s="828">
        <v>0.66666666666666663</v>
      </c>
      <c r="T612" s="827">
        <v>1.5</v>
      </c>
      <c r="U612" s="829">
        <v>0.6</v>
      </c>
    </row>
    <row r="613" spans="1:21" ht="14.45" customHeight="1" x14ac:dyDescent="0.2">
      <c r="A613" s="822">
        <v>50</v>
      </c>
      <c r="B613" s="823" t="s">
        <v>1887</v>
      </c>
      <c r="C613" s="823" t="s">
        <v>1893</v>
      </c>
      <c r="D613" s="824" t="s">
        <v>2977</v>
      </c>
      <c r="E613" s="825" t="s">
        <v>1912</v>
      </c>
      <c r="F613" s="823" t="s">
        <v>1888</v>
      </c>
      <c r="G613" s="823" t="s">
        <v>1914</v>
      </c>
      <c r="H613" s="823" t="s">
        <v>329</v>
      </c>
      <c r="I613" s="823" t="s">
        <v>2430</v>
      </c>
      <c r="J613" s="823" t="s">
        <v>1949</v>
      </c>
      <c r="K613" s="823" t="s">
        <v>2431</v>
      </c>
      <c r="L613" s="826">
        <v>0</v>
      </c>
      <c r="M613" s="826">
        <v>0</v>
      </c>
      <c r="N613" s="823">
        <v>1</v>
      </c>
      <c r="O613" s="827">
        <v>1</v>
      </c>
      <c r="P613" s="826"/>
      <c r="Q613" s="828"/>
      <c r="R613" s="823"/>
      <c r="S613" s="828">
        <v>0</v>
      </c>
      <c r="T613" s="827"/>
      <c r="U613" s="829">
        <v>0</v>
      </c>
    </row>
    <row r="614" spans="1:21" ht="14.45" customHeight="1" x14ac:dyDescent="0.2">
      <c r="A614" s="822">
        <v>50</v>
      </c>
      <c r="B614" s="823" t="s">
        <v>1887</v>
      </c>
      <c r="C614" s="823" t="s">
        <v>1893</v>
      </c>
      <c r="D614" s="824" t="s">
        <v>2977</v>
      </c>
      <c r="E614" s="825" t="s">
        <v>1912</v>
      </c>
      <c r="F614" s="823" t="s">
        <v>1888</v>
      </c>
      <c r="G614" s="823" t="s">
        <v>1914</v>
      </c>
      <c r="H614" s="823" t="s">
        <v>329</v>
      </c>
      <c r="I614" s="823" t="s">
        <v>2797</v>
      </c>
      <c r="J614" s="823" t="s">
        <v>2798</v>
      </c>
      <c r="K614" s="823" t="s">
        <v>674</v>
      </c>
      <c r="L614" s="826">
        <v>70.23</v>
      </c>
      <c r="M614" s="826">
        <v>70.23</v>
      </c>
      <c r="N614" s="823">
        <v>1</v>
      </c>
      <c r="O614" s="827">
        <v>0.5</v>
      </c>
      <c r="P614" s="826">
        <v>70.23</v>
      </c>
      <c r="Q614" s="828">
        <v>1</v>
      </c>
      <c r="R614" s="823">
        <v>1</v>
      </c>
      <c r="S614" s="828">
        <v>1</v>
      </c>
      <c r="T614" s="827">
        <v>0.5</v>
      </c>
      <c r="U614" s="829">
        <v>1</v>
      </c>
    </row>
    <row r="615" spans="1:21" ht="14.45" customHeight="1" x14ac:dyDescent="0.2">
      <c r="A615" s="822">
        <v>50</v>
      </c>
      <c r="B615" s="823" t="s">
        <v>1887</v>
      </c>
      <c r="C615" s="823" t="s">
        <v>1893</v>
      </c>
      <c r="D615" s="824" t="s">
        <v>2977</v>
      </c>
      <c r="E615" s="825" t="s">
        <v>1912</v>
      </c>
      <c r="F615" s="823" t="s">
        <v>1888</v>
      </c>
      <c r="G615" s="823" t="s">
        <v>1914</v>
      </c>
      <c r="H615" s="823" t="s">
        <v>329</v>
      </c>
      <c r="I615" s="823" t="s">
        <v>2225</v>
      </c>
      <c r="J615" s="823" t="s">
        <v>704</v>
      </c>
      <c r="K615" s="823" t="s">
        <v>705</v>
      </c>
      <c r="L615" s="826">
        <v>117.03</v>
      </c>
      <c r="M615" s="826">
        <v>351.09000000000003</v>
      </c>
      <c r="N615" s="823">
        <v>3</v>
      </c>
      <c r="O615" s="827">
        <v>2</v>
      </c>
      <c r="P615" s="826">
        <v>117.03</v>
      </c>
      <c r="Q615" s="828">
        <v>0.33333333333333331</v>
      </c>
      <c r="R615" s="823">
        <v>1</v>
      </c>
      <c r="S615" s="828">
        <v>0.33333333333333331</v>
      </c>
      <c r="T615" s="827">
        <v>0.5</v>
      </c>
      <c r="U615" s="829">
        <v>0.25</v>
      </c>
    </row>
    <row r="616" spans="1:21" ht="14.45" customHeight="1" x14ac:dyDescent="0.2">
      <c r="A616" s="822">
        <v>50</v>
      </c>
      <c r="B616" s="823" t="s">
        <v>1887</v>
      </c>
      <c r="C616" s="823" t="s">
        <v>1893</v>
      </c>
      <c r="D616" s="824" t="s">
        <v>2977</v>
      </c>
      <c r="E616" s="825" t="s">
        <v>1912</v>
      </c>
      <c r="F616" s="823" t="s">
        <v>1888</v>
      </c>
      <c r="G616" s="823" t="s">
        <v>1914</v>
      </c>
      <c r="H616" s="823" t="s">
        <v>329</v>
      </c>
      <c r="I616" s="823" t="s">
        <v>2799</v>
      </c>
      <c r="J616" s="823" t="s">
        <v>2798</v>
      </c>
      <c r="K616" s="823" t="s">
        <v>2153</v>
      </c>
      <c r="L616" s="826">
        <v>234.07</v>
      </c>
      <c r="M616" s="826">
        <v>234.07</v>
      </c>
      <c r="N616" s="823">
        <v>1</v>
      </c>
      <c r="O616" s="827">
        <v>0.5</v>
      </c>
      <c r="P616" s="826"/>
      <c r="Q616" s="828">
        <v>0</v>
      </c>
      <c r="R616" s="823"/>
      <c r="S616" s="828">
        <v>0</v>
      </c>
      <c r="T616" s="827"/>
      <c r="U616" s="829">
        <v>0</v>
      </c>
    </row>
    <row r="617" spans="1:21" ht="14.45" customHeight="1" x14ac:dyDescent="0.2">
      <c r="A617" s="822">
        <v>50</v>
      </c>
      <c r="B617" s="823" t="s">
        <v>1887</v>
      </c>
      <c r="C617" s="823" t="s">
        <v>1893</v>
      </c>
      <c r="D617" s="824" t="s">
        <v>2977</v>
      </c>
      <c r="E617" s="825" t="s">
        <v>1912</v>
      </c>
      <c r="F617" s="823" t="s">
        <v>1888</v>
      </c>
      <c r="G617" s="823" t="s">
        <v>1914</v>
      </c>
      <c r="H617" s="823" t="s">
        <v>625</v>
      </c>
      <c r="I617" s="823" t="s">
        <v>1616</v>
      </c>
      <c r="J617" s="823" t="s">
        <v>673</v>
      </c>
      <c r="K617" s="823" t="s">
        <v>676</v>
      </c>
      <c r="L617" s="826">
        <v>17.559999999999999</v>
      </c>
      <c r="M617" s="826">
        <v>70.239999999999995</v>
      </c>
      <c r="N617" s="823">
        <v>4</v>
      </c>
      <c r="O617" s="827">
        <v>2</v>
      </c>
      <c r="P617" s="826">
        <v>70.239999999999995</v>
      </c>
      <c r="Q617" s="828">
        <v>1</v>
      </c>
      <c r="R617" s="823">
        <v>4</v>
      </c>
      <c r="S617" s="828">
        <v>1</v>
      </c>
      <c r="T617" s="827">
        <v>2</v>
      </c>
      <c r="U617" s="829">
        <v>1</v>
      </c>
    </row>
    <row r="618" spans="1:21" ht="14.45" customHeight="1" x14ac:dyDescent="0.2">
      <c r="A618" s="822">
        <v>50</v>
      </c>
      <c r="B618" s="823" t="s">
        <v>1887</v>
      </c>
      <c r="C618" s="823" t="s">
        <v>1893</v>
      </c>
      <c r="D618" s="824" t="s">
        <v>2977</v>
      </c>
      <c r="E618" s="825" t="s">
        <v>1912</v>
      </c>
      <c r="F618" s="823" t="s">
        <v>1888</v>
      </c>
      <c r="G618" s="823" t="s">
        <v>1914</v>
      </c>
      <c r="H618" s="823" t="s">
        <v>625</v>
      </c>
      <c r="I618" s="823" t="s">
        <v>2226</v>
      </c>
      <c r="J618" s="823" t="s">
        <v>673</v>
      </c>
      <c r="K618" s="823" t="s">
        <v>1923</v>
      </c>
      <c r="L618" s="826">
        <v>35.11</v>
      </c>
      <c r="M618" s="826">
        <v>35.11</v>
      </c>
      <c r="N618" s="823">
        <v>1</v>
      </c>
      <c r="O618" s="827">
        <v>1</v>
      </c>
      <c r="P618" s="826"/>
      <c r="Q618" s="828">
        <v>0</v>
      </c>
      <c r="R618" s="823"/>
      <c r="S618" s="828">
        <v>0</v>
      </c>
      <c r="T618" s="827"/>
      <c r="U618" s="829">
        <v>0</v>
      </c>
    </row>
    <row r="619" spans="1:21" ht="14.45" customHeight="1" x14ac:dyDescent="0.2">
      <c r="A619" s="822">
        <v>50</v>
      </c>
      <c r="B619" s="823" t="s">
        <v>1887</v>
      </c>
      <c r="C619" s="823" t="s">
        <v>1893</v>
      </c>
      <c r="D619" s="824" t="s">
        <v>2977</v>
      </c>
      <c r="E619" s="825" t="s">
        <v>1912</v>
      </c>
      <c r="F619" s="823" t="s">
        <v>1888</v>
      </c>
      <c r="G619" s="823" t="s">
        <v>2751</v>
      </c>
      <c r="H619" s="823" t="s">
        <v>625</v>
      </c>
      <c r="I619" s="823" t="s">
        <v>2752</v>
      </c>
      <c r="J619" s="823" t="s">
        <v>1061</v>
      </c>
      <c r="K619" s="823" t="s">
        <v>674</v>
      </c>
      <c r="L619" s="826">
        <v>58.77</v>
      </c>
      <c r="M619" s="826">
        <v>58.77</v>
      </c>
      <c r="N619" s="823">
        <v>1</v>
      </c>
      <c r="O619" s="827">
        <v>1</v>
      </c>
      <c r="P619" s="826">
        <v>58.77</v>
      </c>
      <c r="Q619" s="828">
        <v>1</v>
      </c>
      <c r="R619" s="823">
        <v>1</v>
      </c>
      <c r="S619" s="828">
        <v>1</v>
      </c>
      <c r="T619" s="827">
        <v>1</v>
      </c>
      <c r="U619" s="829">
        <v>1</v>
      </c>
    </row>
    <row r="620" spans="1:21" ht="14.45" customHeight="1" x14ac:dyDescent="0.2">
      <c r="A620" s="822">
        <v>50</v>
      </c>
      <c r="B620" s="823" t="s">
        <v>1887</v>
      </c>
      <c r="C620" s="823" t="s">
        <v>1893</v>
      </c>
      <c r="D620" s="824" t="s">
        <v>2977</v>
      </c>
      <c r="E620" s="825" t="s">
        <v>1912</v>
      </c>
      <c r="F620" s="823" t="s">
        <v>1888</v>
      </c>
      <c r="G620" s="823" t="s">
        <v>2044</v>
      </c>
      <c r="H620" s="823" t="s">
        <v>329</v>
      </c>
      <c r="I620" s="823" t="s">
        <v>2045</v>
      </c>
      <c r="J620" s="823" t="s">
        <v>2046</v>
      </c>
      <c r="K620" s="823" t="s">
        <v>2047</v>
      </c>
      <c r="L620" s="826">
        <v>1771.84</v>
      </c>
      <c r="M620" s="826">
        <v>5315.5199999999995</v>
      </c>
      <c r="N620" s="823">
        <v>3</v>
      </c>
      <c r="O620" s="827">
        <v>0.5</v>
      </c>
      <c r="P620" s="826"/>
      <c r="Q620" s="828">
        <v>0</v>
      </c>
      <c r="R620" s="823"/>
      <c r="S620" s="828">
        <v>0</v>
      </c>
      <c r="T620" s="827"/>
      <c r="U620" s="829">
        <v>0</v>
      </c>
    </row>
    <row r="621" spans="1:21" ht="14.45" customHeight="1" x14ac:dyDescent="0.2">
      <c r="A621" s="822">
        <v>50</v>
      </c>
      <c r="B621" s="823" t="s">
        <v>1887</v>
      </c>
      <c r="C621" s="823" t="s">
        <v>1893</v>
      </c>
      <c r="D621" s="824" t="s">
        <v>2977</v>
      </c>
      <c r="E621" s="825" t="s">
        <v>1912</v>
      </c>
      <c r="F621" s="823" t="s">
        <v>1888</v>
      </c>
      <c r="G621" s="823" t="s">
        <v>2044</v>
      </c>
      <c r="H621" s="823" t="s">
        <v>329</v>
      </c>
      <c r="I621" s="823" t="s">
        <v>2048</v>
      </c>
      <c r="J621" s="823" t="s">
        <v>2046</v>
      </c>
      <c r="K621" s="823" t="s">
        <v>2049</v>
      </c>
      <c r="L621" s="826">
        <v>1544.99</v>
      </c>
      <c r="M621" s="826">
        <v>4634.97</v>
      </c>
      <c r="N621" s="823">
        <v>3</v>
      </c>
      <c r="O621" s="827">
        <v>1</v>
      </c>
      <c r="P621" s="826"/>
      <c r="Q621" s="828">
        <v>0</v>
      </c>
      <c r="R621" s="823"/>
      <c r="S621" s="828">
        <v>0</v>
      </c>
      <c r="T621" s="827"/>
      <c r="U621" s="829">
        <v>0</v>
      </c>
    </row>
    <row r="622" spans="1:21" ht="14.45" customHeight="1" x14ac:dyDescent="0.2">
      <c r="A622" s="822">
        <v>50</v>
      </c>
      <c r="B622" s="823" t="s">
        <v>1887</v>
      </c>
      <c r="C622" s="823" t="s">
        <v>1893</v>
      </c>
      <c r="D622" s="824" t="s">
        <v>2977</v>
      </c>
      <c r="E622" s="825" t="s">
        <v>1912</v>
      </c>
      <c r="F622" s="823" t="s">
        <v>1888</v>
      </c>
      <c r="G622" s="823" t="s">
        <v>2066</v>
      </c>
      <c r="H622" s="823" t="s">
        <v>329</v>
      </c>
      <c r="I622" s="823" t="s">
        <v>2462</v>
      </c>
      <c r="J622" s="823" t="s">
        <v>727</v>
      </c>
      <c r="K622" s="823" t="s">
        <v>2463</v>
      </c>
      <c r="L622" s="826">
        <v>273.33</v>
      </c>
      <c r="M622" s="826">
        <v>819.99</v>
      </c>
      <c r="N622" s="823">
        <v>3</v>
      </c>
      <c r="O622" s="827">
        <v>3</v>
      </c>
      <c r="P622" s="826">
        <v>546.66</v>
      </c>
      <c r="Q622" s="828">
        <v>0.66666666666666663</v>
      </c>
      <c r="R622" s="823">
        <v>2</v>
      </c>
      <c r="S622" s="828">
        <v>0.66666666666666663</v>
      </c>
      <c r="T622" s="827">
        <v>2</v>
      </c>
      <c r="U622" s="829">
        <v>0.66666666666666663</v>
      </c>
    </row>
    <row r="623" spans="1:21" ht="14.45" customHeight="1" x14ac:dyDescent="0.2">
      <c r="A623" s="822">
        <v>50</v>
      </c>
      <c r="B623" s="823" t="s">
        <v>1887</v>
      </c>
      <c r="C623" s="823" t="s">
        <v>1893</v>
      </c>
      <c r="D623" s="824" t="s">
        <v>2977</v>
      </c>
      <c r="E623" s="825" t="s">
        <v>1912</v>
      </c>
      <c r="F623" s="823" t="s">
        <v>1888</v>
      </c>
      <c r="G623" s="823" t="s">
        <v>2069</v>
      </c>
      <c r="H623" s="823" t="s">
        <v>329</v>
      </c>
      <c r="I623" s="823" t="s">
        <v>2070</v>
      </c>
      <c r="J623" s="823" t="s">
        <v>1194</v>
      </c>
      <c r="K623" s="823" t="s">
        <v>2071</v>
      </c>
      <c r="L623" s="826">
        <v>0</v>
      </c>
      <c r="M623" s="826">
        <v>0</v>
      </c>
      <c r="N623" s="823">
        <v>1</v>
      </c>
      <c r="O623" s="827">
        <v>1</v>
      </c>
      <c r="P623" s="826">
        <v>0</v>
      </c>
      <c r="Q623" s="828"/>
      <c r="R623" s="823">
        <v>1</v>
      </c>
      <c r="S623" s="828">
        <v>1</v>
      </c>
      <c r="T623" s="827">
        <v>1</v>
      </c>
      <c r="U623" s="829">
        <v>1</v>
      </c>
    </row>
    <row r="624" spans="1:21" ht="14.45" customHeight="1" x14ac:dyDescent="0.2">
      <c r="A624" s="822">
        <v>50</v>
      </c>
      <c r="B624" s="823" t="s">
        <v>1887</v>
      </c>
      <c r="C624" s="823" t="s">
        <v>1893</v>
      </c>
      <c r="D624" s="824" t="s">
        <v>2977</v>
      </c>
      <c r="E624" s="825" t="s">
        <v>1912</v>
      </c>
      <c r="F624" s="823" t="s">
        <v>1888</v>
      </c>
      <c r="G624" s="823" t="s">
        <v>2464</v>
      </c>
      <c r="H624" s="823" t="s">
        <v>329</v>
      </c>
      <c r="I624" s="823" t="s">
        <v>2465</v>
      </c>
      <c r="J624" s="823" t="s">
        <v>1595</v>
      </c>
      <c r="K624" s="823" t="s">
        <v>2466</v>
      </c>
      <c r="L624" s="826">
        <v>63.11</v>
      </c>
      <c r="M624" s="826">
        <v>252.44</v>
      </c>
      <c r="N624" s="823">
        <v>4</v>
      </c>
      <c r="O624" s="827">
        <v>2</v>
      </c>
      <c r="P624" s="826"/>
      <c r="Q624" s="828">
        <v>0</v>
      </c>
      <c r="R624" s="823"/>
      <c r="S624" s="828">
        <v>0</v>
      </c>
      <c r="T624" s="827"/>
      <c r="U624" s="829">
        <v>0</v>
      </c>
    </row>
    <row r="625" spans="1:21" ht="14.45" customHeight="1" x14ac:dyDescent="0.2">
      <c r="A625" s="822">
        <v>50</v>
      </c>
      <c r="B625" s="823" t="s">
        <v>1887</v>
      </c>
      <c r="C625" s="823" t="s">
        <v>1893</v>
      </c>
      <c r="D625" s="824" t="s">
        <v>2977</v>
      </c>
      <c r="E625" s="825" t="s">
        <v>1912</v>
      </c>
      <c r="F625" s="823" t="s">
        <v>1888</v>
      </c>
      <c r="G625" s="823" t="s">
        <v>2464</v>
      </c>
      <c r="H625" s="823" t="s">
        <v>329</v>
      </c>
      <c r="I625" s="823" t="s">
        <v>2800</v>
      </c>
      <c r="J625" s="823" t="s">
        <v>2801</v>
      </c>
      <c r="K625" s="823" t="s">
        <v>2466</v>
      </c>
      <c r="L625" s="826">
        <v>63.11</v>
      </c>
      <c r="M625" s="826">
        <v>378.65999999999997</v>
      </c>
      <c r="N625" s="823">
        <v>6</v>
      </c>
      <c r="O625" s="827">
        <v>2</v>
      </c>
      <c r="P625" s="826"/>
      <c r="Q625" s="828">
        <v>0</v>
      </c>
      <c r="R625" s="823"/>
      <c r="S625" s="828">
        <v>0</v>
      </c>
      <c r="T625" s="827"/>
      <c r="U625" s="829">
        <v>0</v>
      </c>
    </row>
    <row r="626" spans="1:21" ht="14.45" customHeight="1" x14ac:dyDescent="0.2">
      <c r="A626" s="822">
        <v>50</v>
      </c>
      <c r="B626" s="823" t="s">
        <v>1887</v>
      </c>
      <c r="C626" s="823" t="s">
        <v>1893</v>
      </c>
      <c r="D626" s="824" t="s">
        <v>2977</v>
      </c>
      <c r="E626" s="825" t="s">
        <v>1912</v>
      </c>
      <c r="F626" s="823" t="s">
        <v>1888</v>
      </c>
      <c r="G626" s="823" t="s">
        <v>2072</v>
      </c>
      <c r="H626" s="823" t="s">
        <v>329</v>
      </c>
      <c r="I626" s="823" t="s">
        <v>2802</v>
      </c>
      <c r="J626" s="823" t="s">
        <v>2803</v>
      </c>
      <c r="K626" s="823" t="s">
        <v>1795</v>
      </c>
      <c r="L626" s="826">
        <v>373.46</v>
      </c>
      <c r="M626" s="826">
        <v>373.46</v>
      </c>
      <c r="N626" s="823">
        <v>1</v>
      </c>
      <c r="O626" s="827">
        <v>0.5</v>
      </c>
      <c r="P626" s="826"/>
      <c r="Q626" s="828">
        <v>0</v>
      </c>
      <c r="R626" s="823"/>
      <c r="S626" s="828">
        <v>0</v>
      </c>
      <c r="T626" s="827"/>
      <c r="U626" s="829">
        <v>0</v>
      </c>
    </row>
    <row r="627" spans="1:21" ht="14.45" customHeight="1" x14ac:dyDescent="0.2">
      <c r="A627" s="822">
        <v>50</v>
      </c>
      <c r="B627" s="823" t="s">
        <v>1887</v>
      </c>
      <c r="C627" s="823" t="s">
        <v>1893</v>
      </c>
      <c r="D627" s="824" t="s">
        <v>2977</v>
      </c>
      <c r="E627" s="825" t="s">
        <v>1912</v>
      </c>
      <c r="F627" s="823" t="s">
        <v>1888</v>
      </c>
      <c r="G627" s="823" t="s">
        <v>2804</v>
      </c>
      <c r="H627" s="823" t="s">
        <v>625</v>
      </c>
      <c r="I627" s="823" t="s">
        <v>2805</v>
      </c>
      <c r="J627" s="823" t="s">
        <v>2806</v>
      </c>
      <c r="K627" s="823" t="s">
        <v>2807</v>
      </c>
      <c r="L627" s="826">
        <v>419.2</v>
      </c>
      <c r="M627" s="826">
        <v>838.4</v>
      </c>
      <c r="N627" s="823">
        <v>2</v>
      </c>
      <c r="O627" s="827">
        <v>2</v>
      </c>
      <c r="P627" s="826"/>
      <c r="Q627" s="828">
        <v>0</v>
      </c>
      <c r="R627" s="823"/>
      <c r="S627" s="828">
        <v>0</v>
      </c>
      <c r="T627" s="827"/>
      <c r="U627" s="829">
        <v>0</v>
      </c>
    </row>
    <row r="628" spans="1:21" ht="14.45" customHeight="1" x14ac:dyDescent="0.2">
      <c r="A628" s="822">
        <v>50</v>
      </c>
      <c r="B628" s="823" t="s">
        <v>1887</v>
      </c>
      <c r="C628" s="823" t="s">
        <v>1893</v>
      </c>
      <c r="D628" s="824" t="s">
        <v>2977</v>
      </c>
      <c r="E628" s="825" t="s">
        <v>1912</v>
      </c>
      <c r="F628" s="823" t="s">
        <v>1888</v>
      </c>
      <c r="G628" s="823" t="s">
        <v>1952</v>
      </c>
      <c r="H628" s="823" t="s">
        <v>625</v>
      </c>
      <c r="I628" s="823" t="s">
        <v>1784</v>
      </c>
      <c r="J628" s="823" t="s">
        <v>811</v>
      </c>
      <c r="K628" s="823" t="s">
        <v>1785</v>
      </c>
      <c r="L628" s="826">
        <v>42.51</v>
      </c>
      <c r="M628" s="826">
        <v>42.51</v>
      </c>
      <c r="N628" s="823">
        <v>1</v>
      </c>
      <c r="O628" s="827">
        <v>0.5</v>
      </c>
      <c r="P628" s="826"/>
      <c r="Q628" s="828">
        <v>0</v>
      </c>
      <c r="R628" s="823"/>
      <c r="S628" s="828">
        <v>0</v>
      </c>
      <c r="T628" s="827"/>
      <c r="U628" s="829">
        <v>0</v>
      </c>
    </row>
    <row r="629" spans="1:21" ht="14.45" customHeight="1" x14ac:dyDescent="0.2">
      <c r="A629" s="822">
        <v>50</v>
      </c>
      <c r="B629" s="823" t="s">
        <v>1887</v>
      </c>
      <c r="C629" s="823" t="s">
        <v>1893</v>
      </c>
      <c r="D629" s="824" t="s">
        <v>2977</v>
      </c>
      <c r="E629" s="825" t="s">
        <v>1912</v>
      </c>
      <c r="F629" s="823" t="s">
        <v>1888</v>
      </c>
      <c r="G629" s="823" t="s">
        <v>1952</v>
      </c>
      <c r="H629" s="823" t="s">
        <v>625</v>
      </c>
      <c r="I629" s="823" t="s">
        <v>1591</v>
      </c>
      <c r="J629" s="823" t="s">
        <v>811</v>
      </c>
      <c r="K629" s="823" t="s">
        <v>1592</v>
      </c>
      <c r="L629" s="826">
        <v>85.02</v>
      </c>
      <c r="M629" s="826">
        <v>255.06</v>
      </c>
      <c r="N629" s="823">
        <v>3</v>
      </c>
      <c r="O629" s="827">
        <v>3</v>
      </c>
      <c r="P629" s="826">
        <v>170.04</v>
      </c>
      <c r="Q629" s="828">
        <v>0.66666666666666663</v>
      </c>
      <c r="R629" s="823">
        <v>2</v>
      </c>
      <c r="S629" s="828">
        <v>0.66666666666666663</v>
      </c>
      <c r="T629" s="827">
        <v>2</v>
      </c>
      <c r="U629" s="829">
        <v>0.66666666666666663</v>
      </c>
    </row>
    <row r="630" spans="1:21" ht="14.45" customHeight="1" x14ac:dyDescent="0.2">
      <c r="A630" s="822">
        <v>50</v>
      </c>
      <c r="B630" s="823" t="s">
        <v>1887</v>
      </c>
      <c r="C630" s="823" t="s">
        <v>1893</v>
      </c>
      <c r="D630" s="824" t="s">
        <v>2977</v>
      </c>
      <c r="E630" s="825" t="s">
        <v>1912</v>
      </c>
      <c r="F630" s="823" t="s">
        <v>1888</v>
      </c>
      <c r="G630" s="823" t="s">
        <v>1952</v>
      </c>
      <c r="H630" s="823" t="s">
        <v>625</v>
      </c>
      <c r="I630" s="823" t="s">
        <v>2808</v>
      </c>
      <c r="J630" s="823" t="s">
        <v>2809</v>
      </c>
      <c r="K630" s="823" t="s">
        <v>2810</v>
      </c>
      <c r="L630" s="826">
        <v>393.13</v>
      </c>
      <c r="M630" s="826">
        <v>393.13</v>
      </c>
      <c r="N630" s="823">
        <v>1</v>
      </c>
      <c r="O630" s="827">
        <v>0.5</v>
      </c>
      <c r="P630" s="826">
        <v>393.13</v>
      </c>
      <c r="Q630" s="828">
        <v>1</v>
      </c>
      <c r="R630" s="823">
        <v>1</v>
      </c>
      <c r="S630" s="828">
        <v>1</v>
      </c>
      <c r="T630" s="827">
        <v>0.5</v>
      </c>
      <c r="U630" s="829">
        <v>1</v>
      </c>
    </row>
    <row r="631" spans="1:21" ht="14.45" customHeight="1" x14ac:dyDescent="0.2">
      <c r="A631" s="822">
        <v>50</v>
      </c>
      <c r="B631" s="823" t="s">
        <v>1887</v>
      </c>
      <c r="C631" s="823" t="s">
        <v>1893</v>
      </c>
      <c r="D631" s="824" t="s">
        <v>2977</v>
      </c>
      <c r="E631" s="825" t="s">
        <v>1912</v>
      </c>
      <c r="F631" s="823" t="s">
        <v>1888</v>
      </c>
      <c r="G631" s="823" t="s">
        <v>1952</v>
      </c>
      <c r="H631" s="823" t="s">
        <v>329</v>
      </c>
      <c r="I631" s="823" t="s">
        <v>1953</v>
      </c>
      <c r="J631" s="823" t="s">
        <v>1954</v>
      </c>
      <c r="K631" s="823" t="s">
        <v>1785</v>
      </c>
      <c r="L631" s="826">
        <v>42.51</v>
      </c>
      <c r="M631" s="826">
        <v>42.51</v>
      </c>
      <c r="N631" s="823">
        <v>1</v>
      </c>
      <c r="O631" s="827">
        <v>1</v>
      </c>
      <c r="P631" s="826">
        <v>42.51</v>
      </c>
      <c r="Q631" s="828">
        <v>1</v>
      </c>
      <c r="R631" s="823">
        <v>1</v>
      </c>
      <c r="S631" s="828">
        <v>1</v>
      </c>
      <c r="T631" s="827">
        <v>1</v>
      </c>
      <c r="U631" s="829">
        <v>1</v>
      </c>
    </row>
    <row r="632" spans="1:21" ht="14.45" customHeight="1" x14ac:dyDescent="0.2">
      <c r="A632" s="822">
        <v>50</v>
      </c>
      <c r="B632" s="823" t="s">
        <v>1887</v>
      </c>
      <c r="C632" s="823" t="s">
        <v>1893</v>
      </c>
      <c r="D632" s="824" t="s">
        <v>2977</v>
      </c>
      <c r="E632" s="825" t="s">
        <v>1912</v>
      </c>
      <c r="F632" s="823" t="s">
        <v>1888</v>
      </c>
      <c r="G632" s="823" t="s">
        <v>2811</v>
      </c>
      <c r="H632" s="823" t="s">
        <v>329</v>
      </c>
      <c r="I632" s="823" t="s">
        <v>2812</v>
      </c>
      <c r="J632" s="823" t="s">
        <v>2813</v>
      </c>
      <c r="K632" s="823" t="s">
        <v>2814</v>
      </c>
      <c r="L632" s="826">
        <v>46.85</v>
      </c>
      <c r="M632" s="826">
        <v>46.85</v>
      </c>
      <c r="N632" s="823">
        <v>1</v>
      </c>
      <c r="O632" s="827">
        <v>1</v>
      </c>
      <c r="P632" s="826"/>
      <c r="Q632" s="828">
        <v>0</v>
      </c>
      <c r="R632" s="823"/>
      <c r="S632" s="828">
        <v>0</v>
      </c>
      <c r="T632" s="827"/>
      <c r="U632" s="829">
        <v>0</v>
      </c>
    </row>
    <row r="633" spans="1:21" ht="14.45" customHeight="1" x14ac:dyDescent="0.2">
      <c r="A633" s="822">
        <v>50</v>
      </c>
      <c r="B633" s="823" t="s">
        <v>1887</v>
      </c>
      <c r="C633" s="823" t="s">
        <v>1893</v>
      </c>
      <c r="D633" s="824" t="s">
        <v>2977</v>
      </c>
      <c r="E633" s="825" t="s">
        <v>1912</v>
      </c>
      <c r="F633" s="823" t="s">
        <v>1888</v>
      </c>
      <c r="G633" s="823" t="s">
        <v>2323</v>
      </c>
      <c r="H633" s="823" t="s">
        <v>329</v>
      </c>
      <c r="I633" s="823" t="s">
        <v>2324</v>
      </c>
      <c r="J633" s="823" t="s">
        <v>1115</v>
      </c>
      <c r="K633" s="823" t="s">
        <v>2325</v>
      </c>
      <c r="L633" s="826">
        <v>42.14</v>
      </c>
      <c r="M633" s="826">
        <v>42.14</v>
      </c>
      <c r="N633" s="823">
        <v>1</v>
      </c>
      <c r="O633" s="827">
        <v>1</v>
      </c>
      <c r="P633" s="826">
        <v>42.14</v>
      </c>
      <c r="Q633" s="828">
        <v>1</v>
      </c>
      <c r="R633" s="823">
        <v>1</v>
      </c>
      <c r="S633" s="828">
        <v>1</v>
      </c>
      <c r="T633" s="827">
        <v>1</v>
      </c>
      <c r="U633" s="829">
        <v>1</v>
      </c>
    </row>
    <row r="634" spans="1:21" ht="14.45" customHeight="1" x14ac:dyDescent="0.2">
      <c r="A634" s="822">
        <v>50</v>
      </c>
      <c r="B634" s="823" t="s">
        <v>1887</v>
      </c>
      <c r="C634" s="823" t="s">
        <v>1893</v>
      </c>
      <c r="D634" s="824" t="s">
        <v>2977</v>
      </c>
      <c r="E634" s="825" t="s">
        <v>1912</v>
      </c>
      <c r="F634" s="823" t="s">
        <v>1888</v>
      </c>
      <c r="G634" s="823" t="s">
        <v>1955</v>
      </c>
      <c r="H634" s="823" t="s">
        <v>329</v>
      </c>
      <c r="I634" s="823" t="s">
        <v>2237</v>
      </c>
      <c r="J634" s="823" t="s">
        <v>2238</v>
      </c>
      <c r="K634" s="823" t="s">
        <v>2239</v>
      </c>
      <c r="L634" s="826">
        <v>300.33</v>
      </c>
      <c r="M634" s="826">
        <v>600.66</v>
      </c>
      <c r="N634" s="823">
        <v>2</v>
      </c>
      <c r="O634" s="827">
        <v>1</v>
      </c>
      <c r="P634" s="826"/>
      <c r="Q634" s="828">
        <v>0</v>
      </c>
      <c r="R634" s="823"/>
      <c r="S634" s="828">
        <v>0</v>
      </c>
      <c r="T634" s="827"/>
      <c r="U634" s="829">
        <v>0</v>
      </c>
    </row>
    <row r="635" spans="1:21" ht="14.45" customHeight="1" x14ac:dyDescent="0.2">
      <c r="A635" s="822">
        <v>50</v>
      </c>
      <c r="B635" s="823" t="s">
        <v>1887</v>
      </c>
      <c r="C635" s="823" t="s">
        <v>1893</v>
      </c>
      <c r="D635" s="824" t="s">
        <v>2977</v>
      </c>
      <c r="E635" s="825" t="s">
        <v>1912</v>
      </c>
      <c r="F635" s="823" t="s">
        <v>1888</v>
      </c>
      <c r="G635" s="823" t="s">
        <v>1955</v>
      </c>
      <c r="H635" s="823" t="s">
        <v>329</v>
      </c>
      <c r="I635" s="823" t="s">
        <v>2815</v>
      </c>
      <c r="J635" s="823" t="s">
        <v>2816</v>
      </c>
      <c r="K635" s="823" t="s">
        <v>2239</v>
      </c>
      <c r="L635" s="826">
        <v>300.33</v>
      </c>
      <c r="M635" s="826">
        <v>300.33</v>
      </c>
      <c r="N635" s="823">
        <v>1</v>
      </c>
      <c r="O635" s="827">
        <v>0.5</v>
      </c>
      <c r="P635" s="826"/>
      <c r="Q635" s="828">
        <v>0</v>
      </c>
      <c r="R635" s="823"/>
      <c r="S635" s="828">
        <v>0</v>
      </c>
      <c r="T635" s="827"/>
      <c r="U635" s="829">
        <v>0</v>
      </c>
    </row>
    <row r="636" spans="1:21" ht="14.45" customHeight="1" x14ac:dyDescent="0.2">
      <c r="A636" s="822">
        <v>50</v>
      </c>
      <c r="B636" s="823" t="s">
        <v>1887</v>
      </c>
      <c r="C636" s="823" t="s">
        <v>1893</v>
      </c>
      <c r="D636" s="824" t="s">
        <v>2977</v>
      </c>
      <c r="E636" s="825" t="s">
        <v>1912</v>
      </c>
      <c r="F636" s="823" t="s">
        <v>1888</v>
      </c>
      <c r="G636" s="823" t="s">
        <v>1955</v>
      </c>
      <c r="H636" s="823" t="s">
        <v>625</v>
      </c>
      <c r="I636" s="823" t="s">
        <v>1567</v>
      </c>
      <c r="J636" s="823" t="s">
        <v>1568</v>
      </c>
      <c r="K636" s="823" t="s">
        <v>1569</v>
      </c>
      <c r="L636" s="826">
        <v>93.43</v>
      </c>
      <c r="M636" s="826">
        <v>1401.45</v>
      </c>
      <c r="N636" s="823">
        <v>15</v>
      </c>
      <c r="O636" s="827">
        <v>3.5</v>
      </c>
      <c r="P636" s="826">
        <v>280.29000000000002</v>
      </c>
      <c r="Q636" s="828">
        <v>0.2</v>
      </c>
      <c r="R636" s="823">
        <v>3</v>
      </c>
      <c r="S636" s="828">
        <v>0.2</v>
      </c>
      <c r="T636" s="827">
        <v>0.5</v>
      </c>
      <c r="U636" s="829">
        <v>0.14285714285714285</v>
      </c>
    </row>
    <row r="637" spans="1:21" ht="14.45" customHeight="1" x14ac:dyDescent="0.2">
      <c r="A637" s="822">
        <v>50</v>
      </c>
      <c r="B637" s="823" t="s">
        <v>1887</v>
      </c>
      <c r="C637" s="823" t="s">
        <v>1893</v>
      </c>
      <c r="D637" s="824" t="s">
        <v>2977</v>
      </c>
      <c r="E637" s="825" t="s">
        <v>1912</v>
      </c>
      <c r="F637" s="823" t="s">
        <v>1888</v>
      </c>
      <c r="G637" s="823" t="s">
        <v>1955</v>
      </c>
      <c r="H637" s="823" t="s">
        <v>625</v>
      </c>
      <c r="I637" s="823" t="s">
        <v>1570</v>
      </c>
      <c r="J637" s="823" t="s">
        <v>1568</v>
      </c>
      <c r="K637" s="823" t="s">
        <v>1571</v>
      </c>
      <c r="L637" s="826">
        <v>186.87</v>
      </c>
      <c r="M637" s="826">
        <v>186.87</v>
      </c>
      <c r="N637" s="823">
        <v>1</v>
      </c>
      <c r="O637" s="827">
        <v>1</v>
      </c>
      <c r="P637" s="826">
        <v>186.87</v>
      </c>
      <c r="Q637" s="828">
        <v>1</v>
      </c>
      <c r="R637" s="823">
        <v>1</v>
      </c>
      <c r="S637" s="828">
        <v>1</v>
      </c>
      <c r="T637" s="827">
        <v>1</v>
      </c>
      <c r="U637" s="829">
        <v>1</v>
      </c>
    </row>
    <row r="638" spans="1:21" ht="14.45" customHeight="1" x14ac:dyDescent="0.2">
      <c r="A638" s="822">
        <v>50</v>
      </c>
      <c r="B638" s="823" t="s">
        <v>1887</v>
      </c>
      <c r="C638" s="823" t="s">
        <v>1893</v>
      </c>
      <c r="D638" s="824" t="s">
        <v>2977</v>
      </c>
      <c r="E638" s="825" t="s">
        <v>1912</v>
      </c>
      <c r="F638" s="823" t="s">
        <v>1888</v>
      </c>
      <c r="G638" s="823" t="s">
        <v>1918</v>
      </c>
      <c r="H638" s="823" t="s">
        <v>329</v>
      </c>
      <c r="I638" s="823" t="s">
        <v>2487</v>
      </c>
      <c r="J638" s="823" t="s">
        <v>1961</v>
      </c>
      <c r="K638" s="823" t="s">
        <v>2488</v>
      </c>
      <c r="L638" s="826">
        <v>52.75</v>
      </c>
      <c r="M638" s="826">
        <v>52.75</v>
      </c>
      <c r="N638" s="823">
        <v>1</v>
      </c>
      <c r="O638" s="827">
        <v>0.5</v>
      </c>
      <c r="P638" s="826"/>
      <c r="Q638" s="828">
        <v>0</v>
      </c>
      <c r="R638" s="823"/>
      <c r="S638" s="828">
        <v>0</v>
      </c>
      <c r="T638" s="827"/>
      <c r="U638" s="829">
        <v>0</v>
      </c>
    </row>
    <row r="639" spans="1:21" ht="14.45" customHeight="1" x14ac:dyDescent="0.2">
      <c r="A639" s="822">
        <v>50</v>
      </c>
      <c r="B639" s="823" t="s">
        <v>1887</v>
      </c>
      <c r="C639" s="823" t="s">
        <v>1893</v>
      </c>
      <c r="D639" s="824" t="s">
        <v>2977</v>
      </c>
      <c r="E639" s="825" t="s">
        <v>1912</v>
      </c>
      <c r="F639" s="823" t="s">
        <v>1888</v>
      </c>
      <c r="G639" s="823" t="s">
        <v>1918</v>
      </c>
      <c r="H639" s="823" t="s">
        <v>329</v>
      </c>
      <c r="I639" s="823" t="s">
        <v>2242</v>
      </c>
      <c r="J639" s="823" t="s">
        <v>2243</v>
      </c>
      <c r="K639" s="823" t="s">
        <v>2244</v>
      </c>
      <c r="L639" s="826">
        <v>52.75</v>
      </c>
      <c r="M639" s="826">
        <v>105.5</v>
      </c>
      <c r="N639" s="823">
        <v>2</v>
      </c>
      <c r="O639" s="827">
        <v>1.5</v>
      </c>
      <c r="P639" s="826">
        <v>52.75</v>
      </c>
      <c r="Q639" s="828">
        <v>0.5</v>
      </c>
      <c r="R639" s="823">
        <v>1</v>
      </c>
      <c r="S639" s="828">
        <v>0.5</v>
      </c>
      <c r="T639" s="827">
        <v>1</v>
      </c>
      <c r="U639" s="829">
        <v>0.66666666666666663</v>
      </c>
    </row>
    <row r="640" spans="1:21" ht="14.45" customHeight="1" x14ac:dyDescent="0.2">
      <c r="A640" s="822">
        <v>50</v>
      </c>
      <c r="B640" s="823" t="s">
        <v>1887</v>
      </c>
      <c r="C640" s="823" t="s">
        <v>1893</v>
      </c>
      <c r="D640" s="824" t="s">
        <v>2977</v>
      </c>
      <c r="E640" s="825" t="s">
        <v>1912</v>
      </c>
      <c r="F640" s="823" t="s">
        <v>1888</v>
      </c>
      <c r="G640" s="823" t="s">
        <v>1918</v>
      </c>
      <c r="H640" s="823" t="s">
        <v>329</v>
      </c>
      <c r="I640" s="823" t="s">
        <v>2102</v>
      </c>
      <c r="J640" s="823" t="s">
        <v>642</v>
      </c>
      <c r="K640" s="823" t="s">
        <v>628</v>
      </c>
      <c r="L640" s="826">
        <v>0</v>
      </c>
      <c r="M640" s="826">
        <v>0</v>
      </c>
      <c r="N640" s="823">
        <v>1</v>
      </c>
      <c r="O640" s="827">
        <v>0.5</v>
      </c>
      <c r="P640" s="826">
        <v>0</v>
      </c>
      <c r="Q640" s="828"/>
      <c r="R640" s="823">
        <v>1</v>
      </c>
      <c r="S640" s="828">
        <v>1</v>
      </c>
      <c r="T640" s="827">
        <v>0.5</v>
      </c>
      <c r="U640" s="829">
        <v>1</v>
      </c>
    </row>
    <row r="641" spans="1:21" ht="14.45" customHeight="1" x14ac:dyDescent="0.2">
      <c r="A641" s="822">
        <v>50</v>
      </c>
      <c r="B641" s="823" t="s">
        <v>1887</v>
      </c>
      <c r="C641" s="823" t="s">
        <v>1893</v>
      </c>
      <c r="D641" s="824" t="s">
        <v>2977</v>
      </c>
      <c r="E641" s="825" t="s">
        <v>1912</v>
      </c>
      <c r="F641" s="823" t="s">
        <v>1888</v>
      </c>
      <c r="G641" s="823" t="s">
        <v>1918</v>
      </c>
      <c r="H641" s="823" t="s">
        <v>329</v>
      </c>
      <c r="I641" s="823" t="s">
        <v>2817</v>
      </c>
      <c r="J641" s="823" t="s">
        <v>2818</v>
      </c>
      <c r="K641" s="823" t="s">
        <v>2757</v>
      </c>
      <c r="L641" s="826">
        <v>0</v>
      </c>
      <c r="M641" s="826">
        <v>0</v>
      </c>
      <c r="N641" s="823">
        <v>1</v>
      </c>
      <c r="O641" s="827">
        <v>1</v>
      </c>
      <c r="P641" s="826">
        <v>0</v>
      </c>
      <c r="Q641" s="828"/>
      <c r="R641" s="823">
        <v>1</v>
      </c>
      <c r="S641" s="828">
        <v>1</v>
      </c>
      <c r="T641" s="827">
        <v>1</v>
      </c>
      <c r="U641" s="829">
        <v>1</v>
      </c>
    </row>
    <row r="642" spans="1:21" ht="14.45" customHeight="1" x14ac:dyDescent="0.2">
      <c r="A642" s="822">
        <v>50</v>
      </c>
      <c r="B642" s="823" t="s">
        <v>1887</v>
      </c>
      <c r="C642" s="823" t="s">
        <v>1893</v>
      </c>
      <c r="D642" s="824" t="s">
        <v>2977</v>
      </c>
      <c r="E642" s="825" t="s">
        <v>1912</v>
      </c>
      <c r="F642" s="823" t="s">
        <v>1888</v>
      </c>
      <c r="G642" s="823" t="s">
        <v>2493</v>
      </c>
      <c r="H642" s="823" t="s">
        <v>625</v>
      </c>
      <c r="I642" s="823" t="s">
        <v>1839</v>
      </c>
      <c r="J642" s="823" t="s">
        <v>1725</v>
      </c>
      <c r="K642" s="823" t="s">
        <v>1840</v>
      </c>
      <c r="L642" s="826">
        <v>366.31</v>
      </c>
      <c r="M642" s="826">
        <v>366.31</v>
      </c>
      <c r="N642" s="823">
        <v>1</v>
      </c>
      <c r="O642" s="827">
        <v>1</v>
      </c>
      <c r="P642" s="826"/>
      <c r="Q642" s="828">
        <v>0</v>
      </c>
      <c r="R642" s="823"/>
      <c r="S642" s="828">
        <v>0</v>
      </c>
      <c r="T642" s="827"/>
      <c r="U642" s="829">
        <v>0</v>
      </c>
    </row>
    <row r="643" spans="1:21" ht="14.45" customHeight="1" x14ac:dyDescent="0.2">
      <c r="A643" s="822">
        <v>50</v>
      </c>
      <c r="B643" s="823" t="s">
        <v>1887</v>
      </c>
      <c r="C643" s="823" t="s">
        <v>1893</v>
      </c>
      <c r="D643" s="824" t="s">
        <v>2977</v>
      </c>
      <c r="E643" s="825" t="s">
        <v>1912</v>
      </c>
      <c r="F643" s="823" t="s">
        <v>1888</v>
      </c>
      <c r="G643" s="823" t="s">
        <v>2245</v>
      </c>
      <c r="H643" s="823" t="s">
        <v>625</v>
      </c>
      <c r="I643" s="823" t="s">
        <v>2819</v>
      </c>
      <c r="J643" s="823" t="s">
        <v>2247</v>
      </c>
      <c r="K643" s="823" t="s">
        <v>2820</v>
      </c>
      <c r="L643" s="826">
        <v>57.64</v>
      </c>
      <c r="M643" s="826">
        <v>172.92000000000002</v>
      </c>
      <c r="N643" s="823">
        <v>3</v>
      </c>
      <c r="O643" s="827">
        <v>1</v>
      </c>
      <c r="P643" s="826">
        <v>172.92000000000002</v>
      </c>
      <c r="Q643" s="828">
        <v>1</v>
      </c>
      <c r="R643" s="823">
        <v>3</v>
      </c>
      <c r="S643" s="828">
        <v>1</v>
      </c>
      <c r="T643" s="827">
        <v>1</v>
      </c>
      <c r="U643" s="829">
        <v>1</v>
      </c>
    </row>
    <row r="644" spans="1:21" ht="14.45" customHeight="1" x14ac:dyDescent="0.2">
      <c r="A644" s="822">
        <v>50</v>
      </c>
      <c r="B644" s="823" t="s">
        <v>1887</v>
      </c>
      <c r="C644" s="823" t="s">
        <v>1893</v>
      </c>
      <c r="D644" s="824" t="s">
        <v>2977</v>
      </c>
      <c r="E644" s="825" t="s">
        <v>1912</v>
      </c>
      <c r="F644" s="823" t="s">
        <v>1888</v>
      </c>
      <c r="G644" s="823" t="s">
        <v>2497</v>
      </c>
      <c r="H644" s="823" t="s">
        <v>625</v>
      </c>
      <c r="I644" s="823" t="s">
        <v>2501</v>
      </c>
      <c r="J644" s="823" t="s">
        <v>2499</v>
      </c>
      <c r="K644" s="823" t="s">
        <v>2502</v>
      </c>
      <c r="L644" s="826">
        <v>207.27</v>
      </c>
      <c r="M644" s="826">
        <v>207.27</v>
      </c>
      <c r="N644" s="823">
        <v>1</v>
      </c>
      <c r="O644" s="827">
        <v>1</v>
      </c>
      <c r="P644" s="826">
        <v>207.27</v>
      </c>
      <c r="Q644" s="828">
        <v>1</v>
      </c>
      <c r="R644" s="823">
        <v>1</v>
      </c>
      <c r="S644" s="828">
        <v>1</v>
      </c>
      <c r="T644" s="827">
        <v>1</v>
      </c>
      <c r="U644" s="829">
        <v>1</v>
      </c>
    </row>
    <row r="645" spans="1:21" ht="14.45" customHeight="1" x14ac:dyDescent="0.2">
      <c r="A645" s="822">
        <v>50</v>
      </c>
      <c r="B645" s="823" t="s">
        <v>1887</v>
      </c>
      <c r="C645" s="823" t="s">
        <v>1893</v>
      </c>
      <c r="D645" s="824" t="s">
        <v>2977</v>
      </c>
      <c r="E645" s="825" t="s">
        <v>1912</v>
      </c>
      <c r="F645" s="823" t="s">
        <v>1888</v>
      </c>
      <c r="G645" s="823" t="s">
        <v>1933</v>
      </c>
      <c r="H645" s="823" t="s">
        <v>329</v>
      </c>
      <c r="I645" s="823" t="s">
        <v>2516</v>
      </c>
      <c r="J645" s="823" t="s">
        <v>2517</v>
      </c>
      <c r="K645" s="823" t="s">
        <v>2518</v>
      </c>
      <c r="L645" s="826">
        <v>234.07</v>
      </c>
      <c r="M645" s="826">
        <v>468.14</v>
      </c>
      <c r="N645" s="823">
        <v>2</v>
      </c>
      <c r="O645" s="827">
        <v>1.5</v>
      </c>
      <c r="P645" s="826"/>
      <c r="Q645" s="828">
        <v>0</v>
      </c>
      <c r="R645" s="823"/>
      <c r="S645" s="828">
        <v>0</v>
      </c>
      <c r="T645" s="827"/>
      <c r="U645" s="829">
        <v>0</v>
      </c>
    </row>
    <row r="646" spans="1:21" ht="14.45" customHeight="1" x14ac:dyDescent="0.2">
      <c r="A646" s="822">
        <v>50</v>
      </c>
      <c r="B646" s="823" t="s">
        <v>1887</v>
      </c>
      <c r="C646" s="823" t="s">
        <v>1893</v>
      </c>
      <c r="D646" s="824" t="s">
        <v>2977</v>
      </c>
      <c r="E646" s="825" t="s">
        <v>1912</v>
      </c>
      <c r="F646" s="823" t="s">
        <v>1888</v>
      </c>
      <c r="G646" s="823" t="s">
        <v>1933</v>
      </c>
      <c r="H646" s="823" t="s">
        <v>329</v>
      </c>
      <c r="I646" s="823" t="s">
        <v>2118</v>
      </c>
      <c r="J646" s="823" t="s">
        <v>1185</v>
      </c>
      <c r="K646" s="823" t="s">
        <v>2119</v>
      </c>
      <c r="L646" s="826">
        <v>117.03</v>
      </c>
      <c r="M646" s="826">
        <v>234.06</v>
      </c>
      <c r="N646" s="823">
        <v>2</v>
      </c>
      <c r="O646" s="827">
        <v>1.5</v>
      </c>
      <c r="P646" s="826"/>
      <c r="Q646" s="828">
        <v>0</v>
      </c>
      <c r="R646" s="823"/>
      <c r="S646" s="828">
        <v>0</v>
      </c>
      <c r="T646" s="827"/>
      <c r="U646" s="829">
        <v>0</v>
      </c>
    </row>
    <row r="647" spans="1:21" ht="14.45" customHeight="1" x14ac:dyDescent="0.2">
      <c r="A647" s="822">
        <v>50</v>
      </c>
      <c r="B647" s="823" t="s">
        <v>1887</v>
      </c>
      <c r="C647" s="823" t="s">
        <v>1893</v>
      </c>
      <c r="D647" s="824" t="s">
        <v>2977</v>
      </c>
      <c r="E647" s="825" t="s">
        <v>1912</v>
      </c>
      <c r="F647" s="823" t="s">
        <v>1888</v>
      </c>
      <c r="G647" s="823" t="s">
        <v>1933</v>
      </c>
      <c r="H647" s="823" t="s">
        <v>329</v>
      </c>
      <c r="I647" s="823" t="s">
        <v>1963</v>
      </c>
      <c r="J647" s="823" t="s">
        <v>1185</v>
      </c>
      <c r="K647" s="823" t="s">
        <v>1186</v>
      </c>
      <c r="L647" s="826">
        <v>58.52</v>
      </c>
      <c r="M647" s="826">
        <v>117.04</v>
      </c>
      <c r="N647" s="823">
        <v>2</v>
      </c>
      <c r="O647" s="827">
        <v>1</v>
      </c>
      <c r="P647" s="826"/>
      <c r="Q647" s="828">
        <v>0</v>
      </c>
      <c r="R647" s="823"/>
      <c r="S647" s="828">
        <v>0</v>
      </c>
      <c r="T647" s="827"/>
      <c r="U647" s="829">
        <v>0</v>
      </c>
    </row>
    <row r="648" spans="1:21" ht="14.45" customHeight="1" x14ac:dyDescent="0.2">
      <c r="A648" s="822">
        <v>50</v>
      </c>
      <c r="B648" s="823" t="s">
        <v>1887</v>
      </c>
      <c r="C648" s="823" t="s">
        <v>1893</v>
      </c>
      <c r="D648" s="824" t="s">
        <v>2977</v>
      </c>
      <c r="E648" s="825" t="s">
        <v>1912</v>
      </c>
      <c r="F648" s="823" t="s">
        <v>1888</v>
      </c>
      <c r="G648" s="823" t="s">
        <v>1966</v>
      </c>
      <c r="H648" s="823" t="s">
        <v>625</v>
      </c>
      <c r="I648" s="823" t="s">
        <v>1562</v>
      </c>
      <c r="J648" s="823" t="s">
        <v>803</v>
      </c>
      <c r="K648" s="823" t="s">
        <v>1563</v>
      </c>
      <c r="L648" s="826">
        <v>1154.68</v>
      </c>
      <c r="M648" s="826">
        <v>1154.68</v>
      </c>
      <c r="N648" s="823">
        <v>1</v>
      </c>
      <c r="O648" s="827">
        <v>1</v>
      </c>
      <c r="P648" s="826">
        <v>1154.68</v>
      </c>
      <c r="Q648" s="828">
        <v>1</v>
      </c>
      <c r="R648" s="823">
        <v>1</v>
      </c>
      <c r="S648" s="828">
        <v>1</v>
      </c>
      <c r="T648" s="827">
        <v>1</v>
      </c>
      <c r="U648" s="829">
        <v>1</v>
      </c>
    </row>
    <row r="649" spans="1:21" ht="14.45" customHeight="1" x14ac:dyDescent="0.2">
      <c r="A649" s="822">
        <v>50</v>
      </c>
      <c r="B649" s="823" t="s">
        <v>1887</v>
      </c>
      <c r="C649" s="823" t="s">
        <v>1893</v>
      </c>
      <c r="D649" s="824" t="s">
        <v>2977</v>
      </c>
      <c r="E649" s="825" t="s">
        <v>1912</v>
      </c>
      <c r="F649" s="823" t="s">
        <v>1888</v>
      </c>
      <c r="G649" s="823" t="s">
        <v>1966</v>
      </c>
      <c r="H649" s="823" t="s">
        <v>625</v>
      </c>
      <c r="I649" s="823" t="s">
        <v>1556</v>
      </c>
      <c r="J649" s="823" t="s">
        <v>803</v>
      </c>
      <c r="K649" s="823" t="s">
        <v>1557</v>
      </c>
      <c r="L649" s="826">
        <v>923.74</v>
      </c>
      <c r="M649" s="826">
        <v>923.74</v>
      </c>
      <c r="N649" s="823">
        <v>1</v>
      </c>
      <c r="O649" s="827">
        <v>1</v>
      </c>
      <c r="P649" s="826"/>
      <c r="Q649" s="828">
        <v>0</v>
      </c>
      <c r="R649" s="823"/>
      <c r="S649" s="828">
        <v>0</v>
      </c>
      <c r="T649" s="827"/>
      <c r="U649" s="829">
        <v>0</v>
      </c>
    </row>
    <row r="650" spans="1:21" ht="14.45" customHeight="1" x14ac:dyDescent="0.2">
      <c r="A650" s="822">
        <v>50</v>
      </c>
      <c r="B650" s="823" t="s">
        <v>1887</v>
      </c>
      <c r="C650" s="823" t="s">
        <v>1893</v>
      </c>
      <c r="D650" s="824" t="s">
        <v>2977</v>
      </c>
      <c r="E650" s="825" t="s">
        <v>1912</v>
      </c>
      <c r="F650" s="823" t="s">
        <v>1888</v>
      </c>
      <c r="G650" s="823" t="s">
        <v>1936</v>
      </c>
      <c r="H650" s="823" t="s">
        <v>329</v>
      </c>
      <c r="I650" s="823" t="s">
        <v>2821</v>
      </c>
      <c r="J650" s="823" t="s">
        <v>1938</v>
      </c>
      <c r="K650" s="823" t="s">
        <v>2119</v>
      </c>
      <c r="L650" s="826">
        <v>88.07</v>
      </c>
      <c r="M650" s="826">
        <v>176.14</v>
      </c>
      <c r="N650" s="823">
        <v>2</v>
      </c>
      <c r="O650" s="827">
        <v>0.5</v>
      </c>
      <c r="P650" s="826">
        <v>176.14</v>
      </c>
      <c r="Q650" s="828">
        <v>1</v>
      </c>
      <c r="R650" s="823">
        <v>2</v>
      </c>
      <c r="S650" s="828">
        <v>1</v>
      </c>
      <c r="T650" s="827">
        <v>0.5</v>
      </c>
      <c r="U650" s="829">
        <v>1</v>
      </c>
    </row>
    <row r="651" spans="1:21" ht="14.45" customHeight="1" x14ac:dyDescent="0.2">
      <c r="A651" s="822">
        <v>50</v>
      </c>
      <c r="B651" s="823" t="s">
        <v>1887</v>
      </c>
      <c r="C651" s="823" t="s">
        <v>1893</v>
      </c>
      <c r="D651" s="824" t="s">
        <v>2977</v>
      </c>
      <c r="E651" s="825" t="s">
        <v>1912</v>
      </c>
      <c r="F651" s="823" t="s">
        <v>1888</v>
      </c>
      <c r="G651" s="823" t="s">
        <v>2339</v>
      </c>
      <c r="H651" s="823" t="s">
        <v>625</v>
      </c>
      <c r="I651" s="823" t="s">
        <v>2535</v>
      </c>
      <c r="J651" s="823" t="s">
        <v>2341</v>
      </c>
      <c r="K651" s="823" t="s">
        <v>2536</v>
      </c>
      <c r="L651" s="826">
        <v>114.65</v>
      </c>
      <c r="M651" s="826">
        <v>229.3</v>
      </c>
      <c r="N651" s="823">
        <v>2</v>
      </c>
      <c r="O651" s="827">
        <v>1</v>
      </c>
      <c r="P651" s="826"/>
      <c r="Q651" s="828">
        <v>0</v>
      </c>
      <c r="R651" s="823"/>
      <c r="S651" s="828">
        <v>0</v>
      </c>
      <c r="T651" s="827"/>
      <c r="U651" s="829">
        <v>0</v>
      </c>
    </row>
    <row r="652" spans="1:21" ht="14.45" customHeight="1" x14ac:dyDescent="0.2">
      <c r="A652" s="822">
        <v>50</v>
      </c>
      <c r="B652" s="823" t="s">
        <v>1887</v>
      </c>
      <c r="C652" s="823" t="s">
        <v>1893</v>
      </c>
      <c r="D652" s="824" t="s">
        <v>2977</v>
      </c>
      <c r="E652" s="825" t="s">
        <v>1912</v>
      </c>
      <c r="F652" s="823" t="s">
        <v>1888</v>
      </c>
      <c r="G652" s="823" t="s">
        <v>2124</v>
      </c>
      <c r="H652" s="823" t="s">
        <v>625</v>
      </c>
      <c r="I652" s="823" t="s">
        <v>2125</v>
      </c>
      <c r="J652" s="823" t="s">
        <v>1621</v>
      </c>
      <c r="K652" s="823" t="s">
        <v>2126</v>
      </c>
      <c r="L652" s="826">
        <v>103.64</v>
      </c>
      <c r="M652" s="826">
        <v>103.64</v>
      </c>
      <c r="N652" s="823">
        <v>1</v>
      </c>
      <c r="O652" s="827">
        <v>0.5</v>
      </c>
      <c r="P652" s="826"/>
      <c r="Q652" s="828">
        <v>0</v>
      </c>
      <c r="R652" s="823"/>
      <c r="S652" s="828">
        <v>0</v>
      </c>
      <c r="T652" s="827"/>
      <c r="U652" s="829">
        <v>0</v>
      </c>
    </row>
    <row r="653" spans="1:21" ht="14.45" customHeight="1" x14ac:dyDescent="0.2">
      <c r="A653" s="822">
        <v>50</v>
      </c>
      <c r="B653" s="823" t="s">
        <v>1887</v>
      </c>
      <c r="C653" s="823" t="s">
        <v>1893</v>
      </c>
      <c r="D653" s="824" t="s">
        <v>2977</v>
      </c>
      <c r="E653" s="825" t="s">
        <v>1912</v>
      </c>
      <c r="F653" s="823" t="s">
        <v>1888</v>
      </c>
      <c r="G653" s="823" t="s">
        <v>2538</v>
      </c>
      <c r="H653" s="823" t="s">
        <v>329</v>
      </c>
      <c r="I653" s="823" t="s">
        <v>2822</v>
      </c>
      <c r="J653" s="823" t="s">
        <v>2540</v>
      </c>
      <c r="K653" s="823" t="s">
        <v>2541</v>
      </c>
      <c r="L653" s="826">
        <v>119.84</v>
      </c>
      <c r="M653" s="826">
        <v>239.68</v>
      </c>
      <c r="N653" s="823">
        <v>2</v>
      </c>
      <c r="O653" s="827">
        <v>1</v>
      </c>
      <c r="P653" s="826">
        <v>239.68</v>
      </c>
      <c r="Q653" s="828">
        <v>1</v>
      </c>
      <c r="R653" s="823">
        <v>2</v>
      </c>
      <c r="S653" s="828">
        <v>1</v>
      </c>
      <c r="T653" s="827">
        <v>1</v>
      </c>
      <c r="U653" s="829">
        <v>1</v>
      </c>
    </row>
    <row r="654" spans="1:21" ht="14.45" customHeight="1" x14ac:dyDescent="0.2">
      <c r="A654" s="822">
        <v>50</v>
      </c>
      <c r="B654" s="823" t="s">
        <v>1887</v>
      </c>
      <c r="C654" s="823" t="s">
        <v>1893</v>
      </c>
      <c r="D654" s="824" t="s">
        <v>2977</v>
      </c>
      <c r="E654" s="825" t="s">
        <v>1912</v>
      </c>
      <c r="F654" s="823" t="s">
        <v>1888</v>
      </c>
      <c r="G654" s="823" t="s">
        <v>1973</v>
      </c>
      <c r="H654" s="823" t="s">
        <v>329</v>
      </c>
      <c r="I654" s="823" t="s">
        <v>1974</v>
      </c>
      <c r="J654" s="823" t="s">
        <v>706</v>
      </c>
      <c r="K654" s="823" t="s">
        <v>1975</v>
      </c>
      <c r="L654" s="826">
        <v>57.64</v>
      </c>
      <c r="M654" s="826">
        <v>57.64</v>
      </c>
      <c r="N654" s="823">
        <v>1</v>
      </c>
      <c r="O654" s="827">
        <v>1</v>
      </c>
      <c r="P654" s="826">
        <v>57.64</v>
      </c>
      <c r="Q654" s="828">
        <v>1</v>
      </c>
      <c r="R654" s="823">
        <v>1</v>
      </c>
      <c r="S654" s="828">
        <v>1</v>
      </c>
      <c r="T654" s="827">
        <v>1</v>
      </c>
      <c r="U654" s="829">
        <v>1</v>
      </c>
    </row>
    <row r="655" spans="1:21" ht="14.45" customHeight="1" x14ac:dyDescent="0.2">
      <c r="A655" s="822">
        <v>50</v>
      </c>
      <c r="B655" s="823" t="s">
        <v>1887</v>
      </c>
      <c r="C655" s="823" t="s">
        <v>1893</v>
      </c>
      <c r="D655" s="824" t="s">
        <v>2977</v>
      </c>
      <c r="E655" s="825" t="s">
        <v>1912</v>
      </c>
      <c r="F655" s="823" t="s">
        <v>1888</v>
      </c>
      <c r="G655" s="823" t="s">
        <v>1921</v>
      </c>
      <c r="H655" s="823" t="s">
        <v>625</v>
      </c>
      <c r="I655" s="823" t="s">
        <v>1922</v>
      </c>
      <c r="J655" s="823" t="s">
        <v>967</v>
      </c>
      <c r="K655" s="823" t="s">
        <v>1923</v>
      </c>
      <c r="L655" s="826">
        <v>34.47</v>
      </c>
      <c r="M655" s="826">
        <v>34.47</v>
      </c>
      <c r="N655" s="823">
        <v>1</v>
      </c>
      <c r="O655" s="827">
        <v>1</v>
      </c>
      <c r="P655" s="826">
        <v>34.47</v>
      </c>
      <c r="Q655" s="828">
        <v>1</v>
      </c>
      <c r="R655" s="823">
        <v>1</v>
      </c>
      <c r="S655" s="828">
        <v>1</v>
      </c>
      <c r="T655" s="827">
        <v>1</v>
      </c>
      <c r="U655" s="829">
        <v>1</v>
      </c>
    </row>
    <row r="656" spans="1:21" ht="14.45" customHeight="1" x14ac:dyDescent="0.2">
      <c r="A656" s="822">
        <v>50</v>
      </c>
      <c r="B656" s="823" t="s">
        <v>1887</v>
      </c>
      <c r="C656" s="823" t="s">
        <v>1893</v>
      </c>
      <c r="D656" s="824" t="s">
        <v>2977</v>
      </c>
      <c r="E656" s="825" t="s">
        <v>1912</v>
      </c>
      <c r="F656" s="823" t="s">
        <v>1888</v>
      </c>
      <c r="G656" s="823" t="s">
        <v>1921</v>
      </c>
      <c r="H656" s="823" t="s">
        <v>625</v>
      </c>
      <c r="I656" s="823" t="s">
        <v>1624</v>
      </c>
      <c r="J656" s="823" t="s">
        <v>967</v>
      </c>
      <c r="K656" s="823" t="s">
        <v>1625</v>
      </c>
      <c r="L656" s="826">
        <v>103.4</v>
      </c>
      <c r="M656" s="826">
        <v>413.6</v>
      </c>
      <c r="N656" s="823">
        <v>4</v>
      </c>
      <c r="O656" s="827">
        <v>3.5</v>
      </c>
      <c r="P656" s="826">
        <v>103.4</v>
      </c>
      <c r="Q656" s="828">
        <v>0.25</v>
      </c>
      <c r="R656" s="823">
        <v>1</v>
      </c>
      <c r="S656" s="828">
        <v>0.25</v>
      </c>
      <c r="T656" s="827">
        <v>1</v>
      </c>
      <c r="U656" s="829">
        <v>0.2857142857142857</v>
      </c>
    </row>
    <row r="657" spans="1:21" ht="14.45" customHeight="1" x14ac:dyDescent="0.2">
      <c r="A657" s="822">
        <v>50</v>
      </c>
      <c r="B657" s="823" t="s">
        <v>1887</v>
      </c>
      <c r="C657" s="823" t="s">
        <v>1893</v>
      </c>
      <c r="D657" s="824" t="s">
        <v>2977</v>
      </c>
      <c r="E657" s="825" t="s">
        <v>1912</v>
      </c>
      <c r="F657" s="823" t="s">
        <v>1888</v>
      </c>
      <c r="G657" s="823" t="s">
        <v>1921</v>
      </c>
      <c r="H657" s="823" t="s">
        <v>625</v>
      </c>
      <c r="I657" s="823" t="s">
        <v>2132</v>
      </c>
      <c r="J657" s="823" t="s">
        <v>2133</v>
      </c>
      <c r="K657" s="823" t="s">
        <v>2134</v>
      </c>
      <c r="L657" s="826">
        <v>206.78</v>
      </c>
      <c r="M657" s="826">
        <v>206.78</v>
      </c>
      <c r="N657" s="823">
        <v>1</v>
      </c>
      <c r="O657" s="827">
        <v>0.5</v>
      </c>
      <c r="P657" s="826">
        <v>206.78</v>
      </c>
      <c r="Q657" s="828">
        <v>1</v>
      </c>
      <c r="R657" s="823">
        <v>1</v>
      </c>
      <c r="S657" s="828">
        <v>1</v>
      </c>
      <c r="T657" s="827">
        <v>0.5</v>
      </c>
      <c r="U657" s="829">
        <v>1</v>
      </c>
    </row>
    <row r="658" spans="1:21" ht="14.45" customHeight="1" x14ac:dyDescent="0.2">
      <c r="A658" s="822">
        <v>50</v>
      </c>
      <c r="B658" s="823" t="s">
        <v>1887</v>
      </c>
      <c r="C658" s="823" t="s">
        <v>1893</v>
      </c>
      <c r="D658" s="824" t="s">
        <v>2977</v>
      </c>
      <c r="E658" s="825" t="s">
        <v>1912</v>
      </c>
      <c r="F658" s="823" t="s">
        <v>1888</v>
      </c>
      <c r="G658" s="823" t="s">
        <v>2138</v>
      </c>
      <c r="H658" s="823" t="s">
        <v>329</v>
      </c>
      <c r="I658" s="823" t="s">
        <v>2823</v>
      </c>
      <c r="J658" s="823" t="s">
        <v>2140</v>
      </c>
      <c r="K658" s="823" t="s">
        <v>2824</v>
      </c>
      <c r="L658" s="826">
        <v>72.88</v>
      </c>
      <c r="M658" s="826">
        <v>72.88</v>
      </c>
      <c r="N658" s="823">
        <v>1</v>
      </c>
      <c r="O658" s="827">
        <v>1</v>
      </c>
      <c r="P658" s="826"/>
      <c r="Q658" s="828">
        <v>0</v>
      </c>
      <c r="R658" s="823"/>
      <c r="S658" s="828">
        <v>0</v>
      </c>
      <c r="T658" s="827"/>
      <c r="U658" s="829">
        <v>0</v>
      </c>
    </row>
    <row r="659" spans="1:21" ht="14.45" customHeight="1" x14ac:dyDescent="0.2">
      <c r="A659" s="822">
        <v>50</v>
      </c>
      <c r="B659" s="823" t="s">
        <v>1887</v>
      </c>
      <c r="C659" s="823" t="s">
        <v>1893</v>
      </c>
      <c r="D659" s="824" t="s">
        <v>2977</v>
      </c>
      <c r="E659" s="825" t="s">
        <v>1912</v>
      </c>
      <c r="F659" s="823" t="s">
        <v>1888</v>
      </c>
      <c r="G659" s="823" t="s">
        <v>2138</v>
      </c>
      <c r="H659" s="823" t="s">
        <v>329</v>
      </c>
      <c r="I659" s="823" t="s">
        <v>2139</v>
      </c>
      <c r="J659" s="823" t="s">
        <v>2140</v>
      </c>
      <c r="K659" s="823" t="s">
        <v>2141</v>
      </c>
      <c r="L659" s="826">
        <v>218.62</v>
      </c>
      <c r="M659" s="826">
        <v>437.24</v>
      </c>
      <c r="N659" s="823">
        <v>2</v>
      </c>
      <c r="O659" s="827">
        <v>1</v>
      </c>
      <c r="P659" s="826">
        <v>218.62</v>
      </c>
      <c r="Q659" s="828">
        <v>0.5</v>
      </c>
      <c r="R659" s="823">
        <v>1</v>
      </c>
      <c r="S659" s="828">
        <v>0.5</v>
      </c>
      <c r="T659" s="827">
        <v>0.5</v>
      </c>
      <c r="U659" s="829">
        <v>0.5</v>
      </c>
    </row>
    <row r="660" spans="1:21" ht="14.45" customHeight="1" x14ac:dyDescent="0.2">
      <c r="A660" s="822">
        <v>50</v>
      </c>
      <c r="B660" s="823" t="s">
        <v>1887</v>
      </c>
      <c r="C660" s="823" t="s">
        <v>1893</v>
      </c>
      <c r="D660" s="824" t="s">
        <v>2977</v>
      </c>
      <c r="E660" s="825" t="s">
        <v>1912</v>
      </c>
      <c r="F660" s="823" t="s">
        <v>1888</v>
      </c>
      <c r="G660" s="823" t="s">
        <v>2138</v>
      </c>
      <c r="H660" s="823" t="s">
        <v>329</v>
      </c>
      <c r="I660" s="823" t="s">
        <v>2551</v>
      </c>
      <c r="J660" s="823" t="s">
        <v>2140</v>
      </c>
      <c r="K660" s="823" t="s">
        <v>2552</v>
      </c>
      <c r="L660" s="826">
        <v>437.23</v>
      </c>
      <c r="M660" s="826">
        <v>1748.92</v>
      </c>
      <c r="N660" s="823">
        <v>4</v>
      </c>
      <c r="O660" s="827">
        <v>3</v>
      </c>
      <c r="P660" s="826"/>
      <c r="Q660" s="828">
        <v>0</v>
      </c>
      <c r="R660" s="823"/>
      <c r="S660" s="828">
        <v>0</v>
      </c>
      <c r="T660" s="827"/>
      <c r="U660" s="829">
        <v>0</v>
      </c>
    </row>
    <row r="661" spans="1:21" ht="14.45" customHeight="1" x14ac:dyDescent="0.2">
      <c r="A661" s="822">
        <v>50</v>
      </c>
      <c r="B661" s="823" t="s">
        <v>1887</v>
      </c>
      <c r="C661" s="823" t="s">
        <v>1893</v>
      </c>
      <c r="D661" s="824" t="s">
        <v>2977</v>
      </c>
      <c r="E661" s="825" t="s">
        <v>1912</v>
      </c>
      <c r="F661" s="823" t="s">
        <v>1888</v>
      </c>
      <c r="G661" s="823" t="s">
        <v>2759</v>
      </c>
      <c r="H661" s="823" t="s">
        <v>625</v>
      </c>
      <c r="I661" s="823" t="s">
        <v>2760</v>
      </c>
      <c r="J661" s="823" t="s">
        <v>2761</v>
      </c>
      <c r="K661" s="823" t="s">
        <v>2762</v>
      </c>
      <c r="L661" s="826">
        <v>320.20999999999998</v>
      </c>
      <c r="M661" s="826">
        <v>320.20999999999998</v>
      </c>
      <c r="N661" s="823">
        <v>1</v>
      </c>
      <c r="O661" s="827">
        <v>0.5</v>
      </c>
      <c r="P661" s="826"/>
      <c r="Q661" s="828">
        <v>0</v>
      </c>
      <c r="R661" s="823"/>
      <c r="S661" s="828">
        <v>0</v>
      </c>
      <c r="T661" s="827"/>
      <c r="U661" s="829">
        <v>0</v>
      </c>
    </row>
    <row r="662" spans="1:21" ht="14.45" customHeight="1" x14ac:dyDescent="0.2">
      <c r="A662" s="822">
        <v>50</v>
      </c>
      <c r="B662" s="823" t="s">
        <v>1887</v>
      </c>
      <c r="C662" s="823" t="s">
        <v>1893</v>
      </c>
      <c r="D662" s="824" t="s">
        <v>2977</v>
      </c>
      <c r="E662" s="825" t="s">
        <v>1912</v>
      </c>
      <c r="F662" s="823" t="s">
        <v>1888</v>
      </c>
      <c r="G662" s="823" t="s">
        <v>2146</v>
      </c>
      <c r="H662" s="823" t="s">
        <v>625</v>
      </c>
      <c r="I662" s="823" t="s">
        <v>2274</v>
      </c>
      <c r="J662" s="823" t="s">
        <v>1628</v>
      </c>
      <c r="K662" s="823" t="s">
        <v>2275</v>
      </c>
      <c r="L662" s="826">
        <v>114.88</v>
      </c>
      <c r="M662" s="826">
        <v>114.88</v>
      </c>
      <c r="N662" s="823">
        <v>1</v>
      </c>
      <c r="O662" s="827">
        <v>0.5</v>
      </c>
      <c r="P662" s="826"/>
      <c r="Q662" s="828">
        <v>0</v>
      </c>
      <c r="R662" s="823"/>
      <c r="S662" s="828">
        <v>0</v>
      </c>
      <c r="T662" s="827"/>
      <c r="U662" s="829">
        <v>0</v>
      </c>
    </row>
    <row r="663" spans="1:21" ht="14.45" customHeight="1" x14ac:dyDescent="0.2">
      <c r="A663" s="822">
        <v>50</v>
      </c>
      <c r="B663" s="823" t="s">
        <v>1887</v>
      </c>
      <c r="C663" s="823" t="s">
        <v>1893</v>
      </c>
      <c r="D663" s="824" t="s">
        <v>2977</v>
      </c>
      <c r="E663" s="825" t="s">
        <v>1912</v>
      </c>
      <c r="F663" s="823" t="s">
        <v>1888</v>
      </c>
      <c r="G663" s="823" t="s">
        <v>1978</v>
      </c>
      <c r="H663" s="823" t="s">
        <v>329</v>
      </c>
      <c r="I663" s="823" t="s">
        <v>2148</v>
      </c>
      <c r="J663" s="823" t="s">
        <v>1980</v>
      </c>
      <c r="K663" s="823" t="s">
        <v>2149</v>
      </c>
      <c r="L663" s="826">
        <v>5788.01</v>
      </c>
      <c r="M663" s="826">
        <v>75244.13</v>
      </c>
      <c r="N663" s="823">
        <v>13</v>
      </c>
      <c r="O663" s="827">
        <v>11.5</v>
      </c>
      <c r="P663" s="826">
        <v>23152.04</v>
      </c>
      <c r="Q663" s="828">
        <v>0.30769230769230771</v>
      </c>
      <c r="R663" s="823">
        <v>4</v>
      </c>
      <c r="S663" s="828">
        <v>0.30769230769230771</v>
      </c>
      <c r="T663" s="827">
        <v>4</v>
      </c>
      <c r="U663" s="829">
        <v>0.34782608695652173</v>
      </c>
    </row>
    <row r="664" spans="1:21" ht="14.45" customHeight="1" x14ac:dyDescent="0.2">
      <c r="A664" s="822">
        <v>50</v>
      </c>
      <c r="B664" s="823" t="s">
        <v>1887</v>
      </c>
      <c r="C664" s="823" t="s">
        <v>1893</v>
      </c>
      <c r="D664" s="824" t="s">
        <v>2977</v>
      </c>
      <c r="E664" s="825" t="s">
        <v>1912</v>
      </c>
      <c r="F664" s="823" t="s">
        <v>1888</v>
      </c>
      <c r="G664" s="823" t="s">
        <v>1982</v>
      </c>
      <c r="H664" s="823" t="s">
        <v>329</v>
      </c>
      <c r="I664" s="823" t="s">
        <v>2579</v>
      </c>
      <c r="J664" s="823" t="s">
        <v>1984</v>
      </c>
      <c r="K664" s="823" t="s">
        <v>2025</v>
      </c>
      <c r="L664" s="826">
        <v>661.62</v>
      </c>
      <c r="M664" s="826">
        <v>661.62</v>
      </c>
      <c r="N664" s="823">
        <v>1</v>
      </c>
      <c r="O664" s="827">
        <v>1</v>
      </c>
      <c r="P664" s="826"/>
      <c r="Q664" s="828">
        <v>0</v>
      </c>
      <c r="R664" s="823"/>
      <c r="S664" s="828">
        <v>0</v>
      </c>
      <c r="T664" s="827"/>
      <c r="U664" s="829">
        <v>0</v>
      </c>
    </row>
    <row r="665" spans="1:21" ht="14.45" customHeight="1" x14ac:dyDescent="0.2">
      <c r="A665" s="822">
        <v>50</v>
      </c>
      <c r="B665" s="823" t="s">
        <v>1887</v>
      </c>
      <c r="C665" s="823" t="s">
        <v>1893</v>
      </c>
      <c r="D665" s="824" t="s">
        <v>2977</v>
      </c>
      <c r="E665" s="825" t="s">
        <v>1912</v>
      </c>
      <c r="F665" s="823" t="s">
        <v>1888</v>
      </c>
      <c r="G665" s="823" t="s">
        <v>1982</v>
      </c>
      <c r="H665" s="823" t="s">
        <v>329</v>
      </c>
      <c r="I665" s="823" t="s">
        <v>2825</v>
      </c>
      <c r="J665" s="823" t="s">
        <v>2826</v>
      </c>
      <c r="K665" s="823" t="s">
        <v>2827</v>
      </c>
      <c r="L665" s="826">
        <v>133.79</v>
      </c>
      <c r="M665" s="826">
        <v>401.37</v>
      </c>
      <c r="N665" s="823">
        <v>3</v>
      </c>
      <c r="O665" s="827"/>
      <c r="P665" s="826"/>
      <c r="Q665" s="828">
        <v>0</v>
      </c>
      <c r="R665" s="823"/>
      <c r="S665" s="828">
        <v>0</v>
      </c>
      <c r="T665" s="827"/>
      <c r="U665" s="829"/>
    </row>
    <row r="666" spans="1:21" ht="14.45" customHeight="1" x14ac:dyDescent="0.2">
      <c r="A666" s="822">
        <v>50</v>
      </c>
      <c r="B666" s="823" t="s">
        <v>1887</v>
      </c>
      <c r="C666" s="823" t="s">
        <v>1893</v>
      </c>
      <c r="D666" s="824" t="s">
        <v>2977</v>
      </c>
      <c r="E666" s="825" t="s">
        <v>1912</v>
      </c>
      <c r="F666" s="823" t="s">
        <v>1888</v>
      </c>
      <c r="G666" s="823" t="s">
        <v>1982</v>
      </c>
      <c r="H666" s="823" t="s">
        <v>329</v>
      </c>
      <c r="I666" s="823" t="s">
        <v>2580</v>
      </c>
      <c r="J666" s="823" t="s">
        <v>2581</v>
      </c>
      <c r="K666" s="823" t="s">
        <v>2224</v>
      </c>
      <c r="L666" s="826">
        <v>477.84</v>
      </c>
      <c r="M666" s="826">
        <v>477.84</v>
      </c>
      <c r="N666" s="823">
        <v>1</v>
      </c>
      <c r="O666" s="827">
        <v>1</v>
      </c>
      <c r="P666" s="826">
        <v>477.84</v>
      </c>
      <c r="Q666" s="828">
        <v>1</v>
      </c>
      <c r="R666" s="823">
        <v>1</v>
      </c>
      <c r="S666" s="828">
        <v>1</v>
      </c>
      <c r="T666" s="827">
        <v>1</v>
      </c>
      <c r="U666" s="829">
        <v>1</v>
      </c>
    </row>
    <row r="667" spans="1:21" ht="14.45" customHeight="1" x14ac:dyDescent="0.2">
      <c r="A667" s="822">
        <v>50</v>
      </c>
      <c r="B667" s="823" t="s">
        <v>1887</v>
      </c>
      <c r="C667" s="823" t="s">
        <v>1893</v>
      </c>
      <c r="D667" s="824" t="s">
        <v>2977</v>
      </c>
      <c r="E667" s="825" t="s">
        <v>1912</v>
      </c>
      <c r="F667" s="823" t="s">
        <v>1888</v>
      </c>
      <c r="G667" s="823" t="s">
        <v>1982</v>
      </c>
      <c r="H667" s="823" t="s">
        <v>329</v>
      </c>
      <c r="I667" s="823" t="s">
        <v>2580</v>
      </c>
      <c r="J667" s="823" t="s">
        <v>2581</v>
      </c>
      <c r="K667" s="823" t="s">
        <v>2224</v>
      </c>
      <c r="L667" s="826">
        <v>282.76</v>
      </c>
      <c r="M667" s="826">
        <v>282.76</v>
      </c>
      <c r="N667" s="823">
        <v>1</v>
      </c>
      <c r="O667" s="827">
        <v>1</v>
      </c>
      <c r="P667" s="826"/>
      <c r="Q667" s="828">
        <v>0</v>
      </c>
      <c r="R667" s="823"/>
      <c r="S667" s="828">
        <v>0</v>
      </c>
      <c r="T667" s="827"/>
      <c r="U667" s="829">
        <v>0</v>
      </c>
    </row>
    <row r="668" spans="1:21" ht="14.45" customHeight="1" x14ac:dyDescent="0.2">
      <c r="A668" s="822">
        <v>50</v>
      </c>
      <c r="B668" s="823" t="s">
        <v>1887</v>
      </c>
      <c r="C668" s="823" t="s">
        <v>1893</v>
      </c>
      <c r="D668" s="824" t="s">
        <v>2977</v>
      </c>
      <c r="E668" s="825" t="s">
        <v>1912</v>
      </c>
      <c r="F668" s="823" t="s">
        <v>1888</v>
      </c>
      <c r="G668" s="823" t="s">
        <v>1982</v>
      </c>
      <c r="H668" s="823" t="s">
        <v>329</v>
      </c>
      <c r="I668" s="823" t="s">
        <v>2828</v>
      </c>
      <c r="J668" s="823" t="s">
        <v>2826</v>
      </c>
      <c r="K668" s="823" t="s">
        <v>2829</v>
      </c>
      <c r="L668" s="826">
        <v>0</v>
      </c>
      <c r="M668" s="826">
        <v>0</v>
      </c>
      <c r="N668" s="823">
        <v>1</v>
      </c>
      <c r="O668" s="827">
        <v>1</v>
      </c>
      <c r="P668" s="826"/>
      <c r="Q668" s="828"/>
      <c r="R668" s="823"/>
      <c r="S668" s="828">
        <v>0</v>
      </c>
      <c r="T668" s="827"/>
      <c r="U668" s="829">
        <v>0</v>
      </c>
    </row>
    <row r="669" spans="1:21" ht="14.45" customHeight="1" x14ac:dyDescent="0.2">
      <c r="A669" s="822">
        <v>50</v>
      </c>
      <c r="B669" s="823" t="s">
        <v>1887</v>
      </c>
      <c r="C669" s="823" t="s">
        <v>1893</v>
      </c>
      <c r="D669" s="824" t="s">
        <v>2977</v>
      </c>
      <c r="E669" s="825" t="s">
        <v>1912</v>
      </c>
      <c r="F669" s="823" t="s">
        <v>1888</v>
      </c>
      <c r="G669" s="823" t="s">
        <v>1982</v>
      </c>
      <c r="H669" s="823" t="s">
        <v>329</v>
      </c>
      <c r="I669" s="823" t="s">
        <v>2764</v>
      </c>
      <c r="J669" s="823" t="s">
        <v>2581</v>
      </c>
      <c r="K669" s="823" t="s">
        <v>1640</v>
      </c>
      <c r="L669" s="826">
        <v>220.53</v>
      </c>
      <c r="M669" s="826">
        <v>1323.18</v>
      </c>
      <c r="N669" s="823">
        <v>6</v>
      </c>
      <c r="O669" s="827">
        <v>2</v>
      </c>
      <c r="P669" s="826">
        <v>661.59</v>
      </c>
      <c r="Q669" s="828">
        <v>0.5</v>
      </c>
      <c r="R669" s="823">
        <v>3</v>
      </c>
      <c r="S669" s="828">
        <v>0.5</v>
      </c>
      <c r="T669" s="827">
        <v>1</v>
      </c>
      <c r="U669" s="829">
        <v>0.5</v>
      </c>
    </row>
    <row r="670" spans="1:21" ht="14.45" customHeight="1" x14ac:dyDescent="0.2">
      <c r="A670" s="822">
        <v>50</v>
      </c>
      <c r="B670" s="823" t="s">
        <v>1887</v>
      </c>
      <c r="C670" s="823" t="s">
        <v>1893</v>
      </c>
      <c r="D670" s="824" t="s">
        <v>2977</v>
      </c>
      <c r="E670" s="825" t="s">
        <v>1912</v>
      </c>
      <c r="F670" s="823" t="s">
        <v>1888</v>
      </c>
      <c r="G670" s="823" t="s">
        <v>1982</v>
      </c>
      <c r="H670" s="823" t="s">
        <v>329</v>
      </c>
      <c r="I670" s="823" t="s">
        <v>2582</v>
      </c>
      <c r="J670" s="823" t="s">
        <v>2581</v>
      </c>
      <c r="K670" s="823" t="s">
        <v>2153</v>
      </c>
      <c r="L670" s="826">
        <v>310.58999999999997</v>
      </c>
      <c r="M670" s="826">
        <v>310.58999999999997</v>
      </c>
      <c r="N670" s="823">
        <v>1</v>
      </c>
      <c r="O670" s="827">
        <v>0.5</v>
      </c>
      <c r="P670" s="826"/>
      <c r="Q670" s="828">
        <v>0</v>
      </c>
      <c r="R670" s="823"/>
      <c r="S670" s="828">
        <v>0</v>
      </c>
      <c r="T670" s="827"/>
      <c r="U670" s="829">
        <v>0</v>
      </c>
    </row>
    <row r="671" spans="1:21" ht="14.45" customHeight="1" x14ac:dyDescent="0.2">
      <c r="A671" s="822">
        <v>50</v>
      </c>
      <c r="B671" s="823" t="s">
        <v>1887</v>
      </c>
      <c r="C671" s="823" t="s">
        <v>1893</v>
      </c>
      <c r="D671" s="824" t="s">
        <v>2977</v>
      </c>
      <c r="E671" s="825" t="s">
        <v>1912</v>
      </c>
      <c r="F671" s="823" t="s">
        <v>1888</v>
      </c>
      <c r="G671" s="823" t="s">
        <v>2830</v>
      </c>
      <c r="H671" s="823" t="s">
        <v>329</v>
      </c>
      <c r="I671" s="823" t="s">
        <v>2831</v>
      </c>
      <c r="J671" s="823" t="s">
        <v>2832</v>
      </c>
      <c r="K671" s="823" t="s">
        <v>2833</v>
      </c>
      <c r="L671" s="826">
        <v>0</v>
      </c>
      <c r="M671" s="826">
        <v>0</v>
      </c>
      <c r="N671" s="823">
        <v>4</v>
      </c>
      <c r="O671" s="827">
        <v>2</v>
      </c>
      <c r="P671" s="826"/>
      <c r="Q671" s="828"/>
      <c r="R671" s="823"/>
      <c r="S671" s="828">
        <v>0</v>
      </c>
      <c r="T671" s="827"/>
      <c r="U671" s="829">
        <v>0</v>
      </c>
    </row>
    <row r="672" spans="1:21" ht="14.45" customHeight="1" x14ac:dyDescent="0.2">
      <c r="A672" s="822">
        <v>50</v>
      </c>
      <c r="B672" s="823" t="s">
        <v>1887</v>
      </c>
      <c r="C672" s="823" t="s">
        <v>1893</v>
      </c>
      <c r="D672" s="824" t="s">
        <v>2977</v>
      </c>
      <c r="E672" s="825" t="s">
        <v>1912</v>
      </c>
      <c r="F672" s="823" t="s">
        <v>1888</v>
      </c>
      <c r="G672" s="823" t="s">
        <v>2373</v>
      </c>
      <c r="H672" s="823" t="s">
        <v>625</v>
      </c>
      <c r="I672" s="823" t="s">
        <v>1711</v>
      </c>
      <c r="J672" s="823" t="s">
        <v>946</v>
      </c>
      <c r="K672" s="823" t="s">
        <v>947</v>
      </c>
      <c r="L672" s="826">
        <v>0</v>
      </c>
      <c r="M672" s="826">
        <v>0</v>
      </c>
      <c r="N672" s="823">
        <v>1</v>
      </c>
      <c r="O672" s="827">
        <v>1</v>
      </c>
      <c r="P672" s="826">
        <v>0</v>
      </c>
      <c r="Q672" s="828"/>
      <c r="R672" s="823">
        <v>1</v>
      </c>
      <c r="S672" s="828">
        <v>1</v>
      </c>
      <c r="T672" s="827">
        <v>1</v>
      </c>
      <c r="U672" s="829">
        <v>1</v>
      </c>
    </row>
    <row r="673" spans="1:21" ht="14.45" customHeight="1" x14ac:dyDescent="0.2">
      <c r="A673" s="822">
        <v>50</v>
      </c>
      <c r="B673" s="823" t="s">
        <v>1887</v>
      </c>
      <c r="C673" s="823" t="s">
        <v>1893</v>
      </c>
      <c r="D673" s="824" t="s">
        <v>2977</v>
      </c>
      <c r="E673" s="825" t="s">
        <v>1912</v>
      </c>
      <c r="F673" s="823" t="s">
        <v>1888</v>
      </c>
      <c r="G673" s="823" t="s">
        <v>2154</v>
      </c>
      <c r="H673" s="823" t="s">
        <v>329</v>
      </c>
      <c r="I673" s="823" t="s">
        <v>2155</v>
      </c>
      <c r="J673" s="823" t="s">
        <v>2156</v>
      </c>
      <c r="K673" s="823" t="s">
        <v>1015</v>
      </c>
      <c r="L673" s="826">
        <v>120.14</v>
      </c>
      <c r="M673" s="826">
        <v>600.70000000000005</v>
      </c>
      <c r="N673" s="823">
        <v>5</v>
      </c>
      <c r="O673" s="827">
        <v>4</v>
      </c>
      <c r="P673" s="826">
        <v>120.14</v>
      </c>
      <c r="Q673" s="828">
        <v>0.19999999999999998</v>
      </c>
      <c r="R673" s="823">
        <v>1</v>
      </c>
      <c r="S673" s="828">
        <v>0.2</v>
      </c>
      <c r="T673" s="827">
        <v>1</v>
      </c>
      <c r="U673" s="829">
        <v>0.25</v>
      </c>
    </row>
    <row r="674" spans="1:21" ht="14.45" customHeight="1" x14ac:dyDescent="0.2">
      <c r="A674" s="822">
        <v>50</v>
      </c>
      <c r="B674" s="823" t="s">
        <v>1887</v>
      </c>
      <c r="C674" s="823" t="s">
        <v>1893</v>
      </c>
      <c r="D674" s="824" t="s">
        <v>2977</v>
      </c>
      <c r="E674" s="825" t="s">
        <v>1912</v>
      </c>
      <c r="F674" s="823" t="s">
        <v>1888</v>
      </c>
      <c r="G674" s="823" t="s">
        <v>2154</v>
      </c>
      <c r="H674" s="823" t="s">
        <v>329</v>
      </c>
      <c r="I674" s="823" t="s">
        <v>2609</v>
      </c>
      <c r="J674" s="823" t="s">
        <v>2610</v>
      </c>
      <c r="K674" s="823" t="s">
        <v>2611</v>
      </c>
      <c r="L674" s="826">
        <v>240.27</v>
      </c>
      <c r="M674" s="826">
        <v>720.81000000000006</v>
      </c>
      <c r="N674" s="823">
        <v>3</v>
      </c>
      <c r="O674" s="827">
        <v>2</v>
      </c>
      <c r="P674" s="826">
        <v>720.81000000000006</v>
      </c>
      <c r="Q674" s="828">
        <v>1</v>
      </c>
      <c r="R674" s="823">
        <v>3</v>
      </c>
      <c r="S674" s="828">
        <v>1</v>
      </c>
      <c r="T674" s="827">
        <v>2</v>
      </c>
      <c r="U674" s="829">
        <v>1</v>
      </c>
    </row>
    <row r="675" spans="1:21" ht="14.45" customHeight="1" x14ac:dyDescent="0.2">
      <c r="A675" s="822">
        <v>50</v>
      </c>
      <c r="B675" s="823" t="s">
        <v>1887</v>
      </c>
      <c r="C675" s="823" t="s">
        <v>1893</v>
      </c>
      <c r="D675" s="824" t="s">
        <v>2977</v>
      </c>
      <c r="E675" s="825" t="s">
        <v>1912</v>
      </c>
      <c r="F675" s="823" t="s">
        <v>1888</v>
      </c>
      <c r="G675" s="823" t="s">
        <v>1988</v>
      </c>
      <c r="H675" s="823" t="s">
        <v>329</v>
      </c>
      <c r="I675" s="823" t="s">
        <v>2157</v>
      </c>
      <c r="J675" s="823" t="s">
        <v>1047</v>
      </c>
      <c r="K675" s="823" t="s">
        <v>2158</v>
      </c>
      <c r="L675" s="826">
        <v>210.38</v>
      </c>
      <c r="M675" s="826">
        <v>210.38</v>
      </c>
      <c r="N675" s="823">
        <v>1</v>
      </c>
      <c r="O675" s="827">
        <v>0.5</v>
      </c>
      <c r="P675" s="826"/>
      <c r="Q675" s="828">
        <v>0</v>
      </c>
      <c r="R675" s="823"/>
      <c r="S675" s="828">
        <v>0</v>
      </c>
      <c r="T675" s="827"/>
      <c r="U675" s="829">
        <v>0</v>
      </c>
    </row>
    <row r="676" spans="1:21" ht="14.45" customHeight="1" x14ac:dyDescent="0.2">
      <c r="A676" s="822">
        <v>50</v>
      </c>
      <c r="B676" s="823" t="s">
        <v>1887</v>
      </c>
      <c r="C676" s="823" t="s">
        <v>1893</v>
      </c>
      <c r="D676" s="824" t="s">
        <v>2977</v>
      </c>
      <c r="E676" s="825" t="s">
        <v>1912</v>
      </c>
      <c r="F676" s="823" t="s">
        <v>1888</v>
      </c>
      <c r="G676" s="823" t="s">
        <v>1991</v>
      </c>
      <c r="H676" s="823" t="s">
        <v>329</v>
      </c>
      <c r="I676" s="823" t="s">
        <v>1992</v>
      </c>
      <c r="J676" s="823" t="s">
        <v>1147</v>
      </c>
      <c r="K676" s="823" t="s">
        <v>1993</v>
      </c>
      <c r="L676" s="826">
        <v>219.37</v>
      </c>
      <c r="M676" s="826">
        <v>438.74</v>
      </c>
      <c r="N676" s="823">
        <v>2</v>
      </c>
      <c r="O676" s="827">
        <v>1</v>
      </c>
      <c r="P676" s="826">
        <v>438.74</v>
      </c>
      <c r="Q676" s="828">
        <v>1</v>
      </c>
      <c r="R676" s="823">
        <v>2</v>
      </c>
      <c r="S676" s="828">
        <v>1</v>
      </c>
      <c r="T676" s="827">
        <v>1</v>
      </c>
      <c r="U676" s="829">
        <v>1</v>
      </c>
    </row>
    <row r="677" spans="1:21" ht="14.45" customHeight="1" x14ac:dyDescent="0.2">
      <c r="A677" s="822">
        <v>50</v>
      </c>
      <c r="B677" s="823" t="s">
        <v>1887</v>
      </c>
      <c r="C677" s="823" t="s">
        <v>1893</v>
      </c>
      <c r="D677" s="824" t="s">
        <v>2977</v>
      </c>
      <c r="E677" s="825" t="s">
        <v>1912</v>
      </c>
      <c r="F677" s="823" t="s">
        <v>1888</v>
      </c>
      <c r="G677" s="823" t="s">
        <v>2617</v>
      </c>
      <c r="H677" s="823" t="s">
        <v>625</v>
      </c>
      <c r="I677" s="823" t="s">
        <v>1644</v>
      </c>
      <c r="J677" s="823" t="s">
        <v>800</v>
      </c>
      <c r="K677" s="823" t="s">
        <v>1645</v>
      </c>
      <c r="L677" s="826">
        <v>300.31</v>
      </c>
      <c r="M677" s="826">
        <v>300.31</v>
      </c>
      <c r="N677" s="823">
        <v>1</v>
      </c>
      <c r="O677" s="827">
        <v>1</v>
      </c>
      <c r="P677" s="826"/>
      <c r="Q677" s="828">
        <v>0</v>
      </c>
      <c r="R677" s="823"/>
      <c r="S677" s="828">
        <v>0</v>
      </c>
      <c r="T677" s="827"/>
      <c r="U677" s="829">
        <v>0</v>
      </c>
    </row>
    <row r="678" spans="1:21" ht="14.45" customHeight="1" x14ac:dyDescent="0.2">
      <c r="A678" s="822">
        <v>50</v>
      </c>
      <c r="B678" s="823" t="s">
        <v>1887</v>
      </c>
      <c r="C678" s="823" t="s">
        <v>1893</v>
      </c>
      <c r="D678" s="824" t="s">
        <v>2977</v>
      </c>
      <c r="E678" s="825" t="s">
        <v>1912</v>
      </c>
      <c r="F678" s="823" t="s">
        <v>1888</v>
      </c>
      <c r="G678" s="823" t="s">
        <v>1994</v>
      </c>
      <c r="H678" s="823" t="s">
        <v>329</v>
      </c>
      <c r="I678" s="823" t="s">
        <v>2162</v>
      </c>
      <c r="J678" s="823" t="s">
        <v>2163</v>
      </c>
      <c r="K678" s="823" t="s">
        <v>2164</v>
      </c>
      <c r="L678" s="826">
        <v>237.31</v>
      </c>
      <c r="M678" s="826">
        <v>237.31</v>
      </c>
      <c r="N678" s="823">
        <v>1</v>
      </c>
      <c r="O678" s="827">
        <v>0.5</v>
      </c>
      <c r="P678" s="826"/>
      <c r="Q678" s="828">
        <v>0</v>
      </c>
      <c r="R678" s="823"/>
      <c r="S678" s="828">
        <v>0</v>
      </c>
      <c r="T678" s="827"/>
      <c r="U678" s="829">
        <v>0</v>
      </c>
    </row>
    <row r="679" spans="1:21" ht="14.45" customHeight="1" x14ac:dyDescent="0.2">
      <c r="A679" s="822">
        <v>50</v>
      </c>
      <c r="B679" s="823" t="s">
        <v>1887</v>
      </c>
      <c r="C679" s="823" t="s">
        <v>1893</v>
      </c>
      <c r="D679" s="824" t="s">
        <v>2977</v>
      </c>
      <c r="E679" s="825" t="s">
        <v>1912</v>
      </c>
      <c r="F679" s="823" t="s">
        <v>1888</v>
      </c>
      <c r="G679" s="823" t="s">
        <v>1994</v>
      </c>
      <c r="H679" s="823" t="s">
        <v>329</v>
      </c>
      <c r="I679" s="823" t="s">
        <v>2834</v>
      </c>
      <c r="J679" s="823" t="s">
        <v>2622</v>
      </c>
      <c r="K679" s="823" t="s">
        <v>2835</v>
      </c>
      <c r="L679" s="826">
        <v>73.83</v>
      </c>
      <c r="M679" s="826">
        <v>73.83</v>
      </c>
      <c r="N679" s="823">
        <v>1</v>
      </c>
      <c r="O679" s="827">
        <v>1</v>
      </c>
      <c r="P679" s="826">
        <v>73.83</v>
      </c>
      <c r="Q679" s="828">
        <v>1</v>
      </c>
      <c r="R679" s="823">
        <v>1</v>
      </c>
      <c r="S679" s="828">
        <v>1</v>
      </c>
      <c r="T679" s="827">
        <v>1</v>
      </c>
      <c r="U679" s="829">
        <v>1</v>
      </c>
    </row>
    <row r="680" spans="1:21" ht="14.45" customHeight="1" x14ac:dyDescent="0.2">
      <c r="A680" s="822">
        <v>50</v>
      </c>
      <c r="B680" s="823" t="s">
        <v>1887</v>
      </c>
      <c r="C680" s="823" t="s">
        <v>1893</v>
      </c>
      <c r="D680" s="824" t="s">
        <v>2977</v>
      </c>
      <c r="E680" s="825" t="s">
        <v>1912</v>
      </c>
      <c r="F680" s="823" t="s">
        <v>1888</v>
      </c>
      <c r="G680" s="823" t="s">
        <v>2170</v>
      </c>
      <c r="H680" s="823" t="s">
        <v>625</v>
      </c>
      <c r="I680" s="823" t="s">
        <v>2171</v>
      </c>
      <c r="J680" s="823" t="s">
        <v>2172</v>
      </c>
      <c r="K680" s="823" t="s">
        <v>2173</v>
      </c>
      <c r="L680" s="826">
        <v>131.86000000000001</v>
      </c>
      <c r="M680" s="826">
        <v>791.16000000000008</v>
      </c>
      <c r="N680" s="823">
        <v>6</v>
      </c>
      <c r="O680" s="827">
        <v>1.5</v>
      </c>
      <c r="P680" s="826"/>
      <c r="Q680" s="828">
        <v>0</v>
      </c>
      <c r="R680" s="823"/>
      <c r="S680" s="828">
        <v>0</v>
      </c>
      <c r="T680" s="827"/>
      <c r="U680" s="829">
        <v>0</v>
      </c>
    </row>
    <row r="681" spans="1:21" ht="14.45" customHeight="1" x14ac:dyDescent="0.2">
      <c r="A681" s="822">
        <v>50</v>
      </c>
      <c r="B681" s="823" t="s">
        <v>1887</v>
      </c>
      <c r="C681" s="823" t="s">
        <v>1893</v>
      </c>
      <c r="D681" s="824" t="s">
        <v>2977</v>
      </c>
      <c r="E681" s="825" t="s">
        <v>1912</v>
      </c>
      <c r="F681" s="823" t="s">
        <v>1888</v>
      </c>
      <c r="G681" s="823" t="s">
        <v>2174</v>
      </c>
      <c r="H681" s="823" t="s">
        <v>329</v>
      </c>
      <c r="I681" s="823" t="s">
        <v>2836</v>
      </c>
      <c r="J681" s="823" t="s">
        <v>2837</v>
      </c>
      <c r="K681" s="823" t="s">
        <v>2838</v>
      </c>
      <c r="L681" s="826">
        <v>311.12</v>
      </c>
      <c r="M681" s="826">
        <v>1555.6</v>
      </c>
      <c r="N681" s="823">
        <v>5</v>
      </c>
      <c r="O681" s="827">
        <v>4</v>
      </c>
      <c r="P681" s="826">
        <v>933.36</v>
      </c>
      <c r="Q681" s="828">
        <v>0.60000000000000009</v>
      </c>
      <c r="R681" s="823">
        <v>3</v>
      </c>
      <c r="S681" s="828">
        <v>0.6</v>
      </c>
      <c r="T681" s="827">
        <v>3</v>
      </c>
      <c r="U681" s="829">
        <v>0.75</v>
      </c>
    </row>
    <row r="682" spans="1:21" ht="14.45" customHeight="1" x14ac:dyDescent="0.2">
      <c r="A682" s="822">
        <v>50</v>
      </c>
      <c r="B682" s="823" t="s">
        <v>1887</v>
      </c>
      <c r="C682" s="823" t="s">
        <v>1893</v>
      </c>
      <c r="D682" s="824" t="s">
        <v>2977</v>
      </c>
      <c r="E682" s="825" t="s">
        <v>1912</v>
      </c>
      <c r="F682" s="823" t="s">
        <v>1888</v>
      </c>
      <c r="G682" s="823" t="s">
        <v>2174</v>
      </c>
      <c r="H682" s="823" t="s">
        <v>329</v>
      </c>
      <c r="I682" s="823" t="s">
        <v>2839</v>
      </c>
      <c r="J682" s="823" t="s">
        <v>2630</v>
      </c>
      <c r="K682" s="823" t="s">
        <v>2840</v>
      </c>
      <c r="L682" s="826">
        <v>80.94</v>
      </c>
      <c r="M682" s="826">
        <v>242.82</v>
      </c>
      <c r="N682" s="823">
        <v>3</v>
      </c>
      <c r="O682" s="827">
        <v>1</v>
      </c>
      <c r="P682" s="826"/>
      <c r="Q682" s="828">
        <v>0</v>
      </c>
      <c r="R682" s="823"/>
      <c r="S682" s="828">
        <v>0</v>
      </c>
      <c r="T682" s="827"/>
      <c r="U682" s="829">
        <v>0</v>
      </c>
    </row>
    <row r="683" spans="1:21" ht="14.45" customHeight="1" x14ac:dyDescent="0.2">
      <c r="A683" s="822">
        <v>50</v>
      </c>
      <c r="B683" s="823" t="s">
        <v>1887</v>
      </c>
      <c r="C683" s="823" t="s">
        <v>1893</v>
      </c>
      <c r="D683" s="824" t="s">
        <v>2977</v>
      </c>
      <c r="E683" s="825" t="s">
        <v>1912</v>
      </c>
      <c r="F683" s="823" t="s">
        <v>1888</v>
      </c>
      <c r="G683" s="823" t="s">
        <v>2174</v>
      </c>
      <c r="H683" s="823" t="s">
        <v>625</v>
      </c>
      <c r="I683" s="823" t="s">
        <v>2175</v>
      </c>
      <c r="J683" s="823" t="s">
        <v>2176</v>
      </c>
      <c r="K683" s="823" t="s">
        <v>2177</v>
      </c>
      <c r="L683" s="826">
        <v>345.69</v>
      </c>
      <c r="M683" s="826">
        <v>691.38</v>
      </c>
      <c r="N683" s="823">
        <v>2</v>
      </c>
      <c r="O683" s="827">
        <v>2</v>
      </c>
      <c r="P683" s="826">
        <v>345.69</v>
      </c>
      <c r="Q683" s="828">
        <v>0.5</v>
      </c>
      <c r="R683" s="823">
        <v>1</v>
      </c>
      <c r="S683" s="828">
        <v>0.5</v>
      </c>
      <c r="T683" s="827">
        <v>1</v>
      </c>
      <c r="U683" s="829">
        <v>0.5</v>
      </c>
    </row>
    <row r="684" spans="1:21" ht="14.45" customHeight="1" x14ac:dyDescent="0.2">
      <c r="A684" s="822">
        <v>50</v>
      </c>
      <c r="B684" s="823" t="s">
        <v>1887</v>
      </c>
      <c r="C684" s="823" t="s">
        <v>1893</v>
      </c>
      <c r="D684" s="824" t="s">
        <v>2977</v>
      </c>
      <c r="E684" s="825" t="s">
        <v>1912</v>
      </c>
      <c r="F684" s="823" t="s">
        <v>1888</v>
      </c>
      <c r="G684" s="823" t="s">
        <v>2174</v>
      </c>
      <c r="H684" s="823" t="s">
        <v>329</v>
      </c>
      <c r="I684" s="823" t="s">
        <v>2841</v>
      </c>
      <c r="J684" s="823" t="s">
        <v>2630</v>
      </c>
      <c r="K684" s="823" t="s">
        <v>2842</v>
      </c>
      <c r="L684" s="826">
        <v>290.36</v>
      </c>
      <c r="M684" s="826">
        <v>290.36</v>
      </c>
      <c r="N684" s="823">
        <v>1</v>
      </c>
      <c r="O684" s="827">
        <v>0.5</v>
      </c>
      <c r="P684" s="826"/>
      <c r="Q684" s="828">
        <v>0</v>
      </c>
      <c r="R684" s="823"/>
      <c r="S684" s="828">
        <v>0</v>
      </c>
      <c r="T684" s="827"/>
      <c r="U684" s="829">
        <v>0</v>
      </c>
    </row>
    <row r="685" spans="1:21" ht="14.45" customHeight="1" x14ac:dyDescent="0.2">
      <c r="A685" s="822">
        <v>50</v>
      </c>
      <c r="B685" s="823" t="s">
        <v>1887</v>
      </c>
      <c r="C685" s="823" t="s">
        <v>1893</v>
      </c>
      <c r="D685" s="824" t="s">
        <v>2977</v>
      </c>
      <c r="E685" s="825" t="s">
        <v>1912</v>
      </c>
      <c r="F685" s="823" t="s">
        <v>1888</v>
      </c>
      <c r="G685" s="823" t="s">
        <v>1997</v>
      </c>
      <c r="H685" s="823" t="s">
        <v>329</v>
      </c>
      <c r="I685" s="823" t="s">
        <v>1998</v>
      </c>
      <c r="J685" s="823" t="s">
        <v>1999</v>
      </c>
      <c r="K685" s="823" t="s">
        <v>2000</v>
      </c>
      <c r="L685" s="826">
        <v>93.43</v>
      </c>
      <c r="M685" s="826">
        <v>186.86</v>
      </c>
      <c r="N685" s="823">
        <v>2</v>
      </c>
      <c r="O685" s="827">
        <v>1</v>
      </c>
      <c r="P685" s="826">
        <v>186.86</v>
      </c>
      <c r="Q685" s="828">
        <v>1</v>
      </c>
      <c r="R685" s="823">
        <v>2</v>
      </c>
      <c r="S685" s="828">
        <v>1</v>
      </c>
      <c r="T685" s="827">
        <v>1</v>
      </c>
      <c r="U685" s="829">
        <v>1</v>
      </c>
    </row>
    <row r="686" spans="1:21" ht="14.45" customHeight="1" x14ac:dyDescent="0.2">
      <c r="A686" s="822">
        <v>50</v>
      </c>
      <c r="B686" s="823" t="s">
        <v>1887</v>
      </c>
      <c r="C686" s="823" t="s">
        <v>1893</v>
      </c>
      <c r="D686" s="824" t="s">
        <v>2977</v>
      </c>
      <c r="E686" s="825" t="s">
        <v>1912</v>
      </c>
      <c r="F686" s="823" t="s">
        <v>1888</v>
      </c>
      <c r="G686" s="823" t="s">
        <v>2843</v>
      </c>
      <c r="H686" s="823" t="s">
        <v>625</v>
      </c>
      <c r="I686" s="823" t="s">
        <v>2844</v>
      </c>
      <c r="J686" s="823" t="s">
        <v>1632</v>
      </c>
      <c r="K686" s="823" t="s">
        <v>1633</v>
      </c>
      <c r="L686" s="826">
        <v>112.59</v>
      </c>
      <c r="M686" s="826">
        <v>112.59</v>
      </c>
      <c r="N686" s="823">
        <v>1</v>
      </c>
      <c r="O686" s="827">
        <v>1</v>
      </c>
      <c r="P686" s="826"/>
      <c r="Q686" s="828">
        <v>0</v>
      </c>
      <c r="R686" s="823"/>
      <c r="S686" s="828">
        <v>0</v>
      </c>
      <c r="T686" s="827"/>
      <c r="U686" s="829">
        <v>0</v>
      </c>
    </row>
    <row r="687" spans="1:21" ht="14.45" customHeight="1" x14ac:dyDescent="0.2">
      <c r="A687" s="822">
        <v>50</v>
      </c>
      <c r="B687" s="823" t="s">
        <v>1887</v>
      </c>
      <c r="C687" s="823" t="s">
        <v>1893</v>
      </c>
      <c r="D687" s="824" t="s">
        <v>2977</v>
      </c>
      <c r="E687" s="825" t="s">
        <v>1912</v>
      </c>
      <c r="F687" s="823" t="s">
        <v>1888</v>
      </c>
      <c r="G687" s="823" t="s">
        <v>2374</v>
      </c>
      <c r="H687" s="823" t="s">
        <v>329</v>
      </c>
      <c r="I687" s="823" t="s">
        <v>2375</v>
      </c>
      <c r="J687" s="823" t="s">
        <v>2376</v>
      </c>
      <c r="K687" s="823" t="s">
        <v>2377</v>
      </c>
      <c r="L687" s="826">
        <v>65.989999999999995</v>
      </c>
      <c r="M687" s="826">
        <v>131.97999999999999</v>
      </c>
      <c r="N687" s="823">
        <v>2</v>
      </c>
      <c r="O687" s="827">
        <v>1</v>
      </c>
      <c r="P687" s="826"/>
      <c r="Q687" s="828">
        <v>0</v>
      </c>
      <c r="R687" s="823"/>
      <c r="S687" s="828">
        <v>0</v>
      </c>
      <c r="T687" s="827"/>
      <c r="U687" s="829">
        <v>0</v>
      </c>
    </row>
    <row r="688" spans="1:21" ht="14.45" customHeight="1" x14ac:dyDescent="0.2">
      <c r="A688" s="822">
        <v>50</v>
      </c>
      <c r="B688" s="823" t="s">
        <v>1887</v>
      </c>
      <c r="C688" s="823" t="s">
        <v>1893</v>
      </c>
      <c r="D688" s="824" t="s">
        <v>2977</v>
      </c>
      <c r="E688" s="825" t="s">
        <v>1912</v>
      </c>
      <c r="F688" s="823" t="s">
        <v>1888</v>
      </c>
      <c r="G688" s="823" t="s">
        <v>2645</v>
      </c>
      <c r="H688" s="823" t="s">
        <v>329</v>
      </c>
      <c r="I688" s="823" t="s">
        <v>2770</v>
      </c>
      <c r="J688" s="823" t="s">
        <v>2647</v>
      </c>
      <c r="K688" s="823" t="s">
        <v>2771</v>
      </c>
      <c r="L688" s="826">
        <v>43.94</v>
      </c>
      <c r="M688" s="826">
        <v>395.46</v>
      </c>
      <c r="N688" s="823">
        <v>9</v>
      </c>
      <c r="O688" s="827">
        <v>2.5</v>
      </c>
      <c r="P688" s="826">
        <v>131.82</v>
      </c>
      <c r="Q688" s="828">
        <v>0.33333333333333331</v>
      </c>
      <c r="R688" s="823">
        <v>3</v>
      </c>
      <c r="S688" s="828">
        <v>0.33333333333333331</v>
      </c>
      <c r="T688" s="827">
        <v>0.5</v>
      </c>
      <c r="U688" s="829">
        <v>0.2</v>
      </c>
    </row>
    <row r="689" spans="1:21" ht="14.45" customHeight="1" x14ac:dyDescent="0.2">
      <c r="A689" s="822">
        <v>50</v>
      </c>
      <c r="B689" s="823" t="s">
        <v>1887</v>
      </c>
      <c r="C689" s="823" t="s">
        <v>1893</v>
      </c>
      <c r="D689" s="824" t="s">
        <v>2977</v>
      </c>
      <c r="E689" s="825" t="s">
        <v>1912</v>
      </c>
      <c r="F689" s="823" t="s">
        <v>1888</v>
      </c>
      <c r="G689" s="823" t="s">
        <v>2645</v>
      </c>
      <c r="H689" s="823" t="s">
        <v>329</v>
      </c>
      <c r="I689" s="823" t="s">
        <v>2646</v>
      </c>
      <c r="J689" s="823" t="s">
        <v>2647</v>
      </c>
      <c r="K689" s="823" t="s">
        <v>2648</v>
      </c>
      <c r="L689" s="826">
        <v>87.87</v>
      </c>
      <c r="M689" s="826">
        <v>527.22</v>
      </c>
      <c r="N689" s="823">
        <v>6</v>
      </c>
      <c r="O689" s="827">
        <v>1.5</v>
      </c>
      <c r="P689" s="826">
        <v>263.61</v>
      </c>
      <c r="Q689" s="828">
        <v>0.5</v>
      </c>
      <c r="R689" s="823">
        <v>3</v>
      </c>
      <c r="S689" s="828">
        <v>0.5</v>
      </c>
      <c r="T689" s="827">
        <v>0.5</v>
      </c>
      <c r="U689" s="829">
        <v>0.33333333333333331</v>
      </c>
    </row>
    <row r="690" spans="1:21" ht="14.45" customHeight="1" x14ac:dyDescent="0.2">
      <c r="A690" s="822">
        <v>50</v>
      </c>
      <c r="B690" s="823" t="s">
        <v>1887</v>
      </c>
      <c r="C690" s="823" t="s">
        <v>1893</v>
      </c>
      <c r="D690" s="824" t="s">
        <v>2977</v>
      </c>
      <c r="E690" s="825" t="s">
        <v>1912</v>
      </c>
      <c r="F690" s="823" t="s">
        <v>1888</v>
      </c>
      <c r="G690" s="823" t="s">
        <v>2845</v>
      </c>
      <c r="H690" s="823" t="s">
        <v>329</v>
      </c>
      <c r="I690" s="823" t="s">
        <v>2846</v>
      </c>
      <c r="J690" s="823" t="s">
        <v>2847</v>
      </c>
      <c r="K690" s="823" t="s">
        <v>2848</v>
      </c>
      <c r="L690" s="826">
        <v>124.3</v>
      </c>
      <c r="M690" s="826">
        <v>372.9</v>
      </c>
      <c r="N690" s="823">
        <v>3</v>
      </c>
      <c r="O690" s="827">
        <v>1</v>
      </c>
      <c r="P690" s="826">
        <v>372.9</v>
      </c>
      <c r="Q690" s="828">
        <v>1</v>
      </c>
      <c r="R690" s="823">
        <v>3</v>
      </c>
      <c r="S690" s="828">
        <v>1</v>
      </c>
      <c r="T690" s="827">
        <v>1</v>
      </c>
      <c r="U690" s="829">
        <v>1</v>
      </c>
    </row>
    <row r="691" spans="1:21" ht="14.45" customHeight="1" x14ac:dyDescent="0.2">
      <c r="A691" s="822">
        <v>50</v>
      </c>
      <c r="B691" s="823" t="s">
        <v>1887</v>
      </c>
      <c r="C691" s="823" t="s">
        <v>1893</v>
      </c>
      <c r="D691" s="824" t="s">
        <v>2977</v>
      </c>
      <c r="E691" s="825" t="s">
        <v>1912</v>
      </c>
      <c r="F691" s="823" t="s">
        <v>1888</v>
      </c>
      <c r="G691" s="823" t="s">
        <v>2001</v>
      </c>
      <c r="H691" s="823" t="s">
        <v>625</v>
      </c>
      <c r="I691" s="823" t="s">
        <v>1549</v>
      </c>
      <c r="J691" s="823" t="s">
        <v>1547</v>
      </c>
      <c r="K691" s="823" t="s">
        <v>1550</v>
      </c>
      <c r="L691" s="826">
        <v>184.74</v>
      </c>
      <c r="M691" s="826">
        <v>738.96</v>
      </c>
      <c r="N691" s="823">
        <v>4</v>
      </c>
      <c r="O691" s="827">
        <v>3</v>
      </c>
      <c r="P691" s="826"/>
      <c r="Q691" s="828">
        <v>0</v>
      </c>
      <c r="R691" s="823"/>
      <c r="S691" s="828">
        <v>0</v>
      </c>
      <c r="T691" s="827"/>
      <c r="U691" s="829">
        <v>0</v>
      </c>
    </row>
    <row r="692" spans="1:21" ht="14.45" customHeight="1" x14ac:dyDescent="0.2">
      <c r="A692" s="822">
        <v>50</v>
      </c>
      <c r="B692" s="823" t="s">
        <v>1887</v>
      </c>
      <c r="C692" s="823" t="s">
        <v>1893</v>
      </c>
      <c r="D692" s="824" t="s">
        <v>2977</v>
      </c>
      <c r="E692" s="825" t="s">
        <v>1912</v>
      </c>
      <c r="F692" s="823" t="s">
        <v>1888</v>
      </c>
      <c r="G692" s="823" t="s">
        <v>2001</v>
      </c>
      <c r="H692" s="823" t="s">
        <v>625</v>
      </c>
      <c r="I692" s="823" t="s">
        <v>2186</v>
      </c>
      <c r="J692" s="823" t="s">
        <v>2187</v>
      </c>
      <c r="K692" s="823" t="s">
        <v>2188</v>
      </c>
      <c r="L692" s="826">
        <v>120.61</v>
      </c>
      <c r="M692" s="826">
        <v>241.22</v>
      </c>
      <c r="N692" s="823">
        <v>2</v>
      </c>
      <c r="O692" s="827">
        <v>1.5</v>
      </c>
      <c r="P692" s="826">
        <v>120.61</v>
      </c>
      <c r="Q692" s="828">
        <v>0.5</v>
      </c>
      <c r="R692" s="823">
        <v>1</v>
      </c>
      <c r="S692" s="828">
        <v>0.5</v>
      </c>
      <c r="T692" s="827">
        <v>1</v>
      </c>
      <c r="U692" s="829">
        <v>0.66666666666666663</v>
      </c>
    </row>
    <row r="693" spans="1:21" ht="14.45" customHeight="1" x14ac:dyDescent="0.2">
      <c r="A693" s="822">
        <v>50</v>
      </c>
      <c r="B693" s="823" t="s">
        <v>1887</v>
      </c>
      <c r="C693" s="823" t="s">
        <v>1893</v>
      </c>
      <c r="D693" s="824" t="s">
        <v>2977</v>
      </c>
      <c r="E693" s="825" t="s">
        <v>1912</v>
      </c>
      <c r="F693" s="823" t="s">
        <v>1888</v>
      </c>
      <c r="G693" s="823" t="s">
        <v>2001</v>
      </c>
      <c r="H693" s="823" t="s">
        <v>329</v>
      </c>
      <c r="I693" s="823" t="s">
        <v>2278</v>
      </c>
      <c r="J693" s="823" t="s">
        <v>2187</v>
      </c>
      <c r="K693" s="823" t="s">
        <v>2275</v>
      </c>
      <c r="L693" s="826">
        <v>184.74</v>
      </c>
      <c r="M693" s="826">
        <v>184.74</v>
      </c>
      <c r="N693" s="823">
        <v>1</v>
      </c>
      <c r="O693" s="827">
        <v>0.5</v>
      </c>
      <c r="P693" s="826"/>
      <c r="Q693" s="828">
        <v>0</v>
      </c>
      <c r="R693" s="823"/>
      <c r="S693" s="828">
        <v>0</v>
      </c>
      <c r="T693" s="827"/>
      <c r="U693" s="829">
        <v>0</v>
      </c>
    </row>
    <row r="694" spans="1:21" ht="14.45" customHeight="1" x14ac:dyDescent="0.2">
      <c r="A694" s="822">
        <v>50</v>
      </c>
      <c r="B694" s="823" t="s">
        <v>1887</v>
      </c>
      <c r="C694" s="823" t="s">
        <v>1893</v>
      </c>
      <c r="D694" s="824" t="s">
        <v>2977</v>
      </c>
      <c r="E694" s="825" t="s">
        <v>1912</v>
      </c>
      <c r="F694" s="823" t="s">
        <v>1888</v>
      </c>
      <c r="G694" s="823" t="s">
        <v>2189</v>
      </c>
      <c r="H694" s="823" t="s">
        <v>329</v>
      </c>
      <c r="I694" s="823" t="s">
        <v>2849</v>
      </c>
      <c r="J694" s="823" t="s">
        <v>2657</v>
      </c>
      <c r="K694" s="823" t="s">
        <v>1849</v>
      </c>
      <c r="L694" s="826">
        <v>0</v>
      </c>
      <c r="M694" s="826">
        <v>0</v>
      </c>
      <c r="N694" s="823">
        <v>1</v>
      </c>
      <c r="O694" s="827">
        <v>1</v>
      </c>
      <c r="P694" s="826"/>
      <c r="Q694" s="828"/>
      <c r="R694" s="823"/>
      <c r="S694" s="828">
        <v>0</v>
      </c>
      <c r="T694" s="827"/>
      <c r="U694" s="829">
        <v>0</v>
      </c>
    </row>
    <row r="695" spans="1:21" ht="14.45" customHeight="1" x14ac:dyDescent="0.2">
      <c r="A695" s="822">
        <v>50</v>
      </c>
      <c r="B695" s="823" t="s">
        <v>1887</v>
      </c>
      <c r="C695" s="823" t="s">
        <v>1893</v>
      </c>
      <c r="D695" s="824" t="s">
        <v>2977</v>
      </c>
      <c r="E695" s="825" t="s">
        <v>1912</v>
      </c>
      <c r="F695" s="823" t="s">
        <v>1888</v>
      </c>
      <c r="G695" s="823" t="s">
        <v>2002</v>
      </c>
      <c r="H695" s="823" t="s">
        <v>625</v>
      </c>
      <c r="I695" s="823" t="s">
        <v>2190</v>
      </c>
      <c r="J695" s="823" t="s">
        <v>1574</v>
      </c>
      <c r="K695" s="823" t="s">
        <v>2191</v>
      </c>
      <c r="L695" s="826">
        <v>4961.1400000000003</v>
      </c>
      <c r="M695" s="826">
        <v>4961.1400000000003</v>
      </c>
      <c r="N695" s="823">
        <v>1</v>
      </c>
      <c r="O695" s="827">
        <v>1</v>
      </c>
      <c r="P695" s="826">
        <v>4961.1400000000003</v>
      </c>
      <c r="Q695" s="828">
        <v>1</v>
      </c>
      <c r="R695" s="823">
        <v>1</v>
      </c>
      <c r="S695" s="828">
        <v>1</v>
      </c>
      <c r="T695" s="827">
        <v>1</v>
      </c>
      <c r="U695" s="829">
        <v>1</v>
      </c>
    </row>
    <row r="696" spans="1:21" ht="14.45" customHeight="1" x14ac:dyDescent="0.2">
      <c r="A696" s="822">
        <v>50</v>
      </c>
      <c r="B696" s="823" t="s">
        <v>1887</v>
      </c>
      <c r="C696" s="823" t="s">
        <v>1893</v>
      </c>
      <c r="D696" s="824" t="s">
        <v>2977</v>
      </c>
      <c r="E696" s="825" t="s">
        <v>1912</v>
      </c>
      <c r="F696" s="823" t="s">
        <v>1888</v>
      </c>
      <c r="G696" s="823" t="s">
        <v>2002</v>
      </c>
      <c r="H696" s="823" t="s">
        <v>625</v>
      </c>
      <c r="I696" s="823" t="s">
        <v>1573</v>
      </c>
      <c r="J696" s="823" t="s">
        <v>1574</v>
      </c>
      <c r="K696" s="823" t="s">
        <v>1575</v>
      </c>
      <c r="L696" s="826">
        <v>2669.75</v>
      </c>
      <c r="M696" s="826">
        <v>8009.25</v>
      </c>
      <c r="N696" s="823">
        <v>3</v>
      </c>
      <c r="O696" s="827">
        <v>2.5</v>
      </c>
      <c r="P696" s="826">
        <v>5339.5</v>
      </c>
      <c r="Q696" s="828">
        <v>0.66666666666666663</v>
      </c>
      <c r="R696" s="823">
        <v>2</v>
      </c>
      <c r="S696" s="828">
        <v>0.66666666666666663</v>
      </c>
      <c r="T696" s="827">
        <v>1.5</v>
      </c>
      <c r="U696" s="829">
        <v>0.6</v>
      </c>
    </row>
    <row r="697" spans="1:21" ht="14.45" customHeight="1" x14ac:dyDescent="0.2">
      <c r="A697" s="822">
        <v>50</v>
      </c>
      <c r="B697" s="823" t="s">
        <v>1887</v>
      </c>
      <c r="C697" s="823" t="s">
        <v>1893</v>
      </c>
      <c r="D697" s="824" t="s">
        <v>2977</v>
      </c>
      <c r="E697" s="825" t="s">
        <v>1912</v>
      </c>
      <c r="F697" s="823" t="s">
        <v>1888</v>
      </c>
      <c r="G697" s="823" t="s">
        <v>2002</v>
      </c>
      <c r="H697" s="823" t="s">
        <v>329</v>
      </c>
      <c r="I697" s="823" t="s">
        <v>2850</v>
      </c>
      <c r="J697" s="823" t="s">
        <v>1574</v>
      </c>
      <c r="K697" s="823" t="s">
        <v>2034</v>
      </c>
      <c r="L697" s="826">
        <v>873.09</v>
      </c>
      <c r="M697" s="826">
        <v>873.09</v>
      </c>
      <c r="N697" s="823">
        <v>1</v>
      </c>
      <c r="O697" s="827">
        <v>1</v>
      </c>
      <c r="P697" s="826">
        <v>873.09</v>
      </c>
      <c r="Q697" s="828">
        <v>1</v>
      </c>
      <c r="R697" s="823">
        <v>1</v>
      </c>
      <c r="S697" s="828">
        <v>1</v>
      </c>
      <c r="T697" s="827">
        <v>1</v>
      </c>
      <c r="U697" s="829">
        <v>1</v>
      </c>
    </row>
    <row r="698" spans="1:21" ht="14.45" customHeight="1" x14ac:dyDescent="0.2">
      <c r="A698" s="822">
        <v>50</v>
      </c>
      <c r="B698" s="823" t="s">
        <v>1887</v>
      </c>
      <c r="C698" s="823" t="s">
        <v>1893</v>
      </c>
      <c r="D698" s="824" t="s">
        <v>2977</v>
      </c>
      <c r="E698" s="825" t="s">
        <v>1912</v>
      </c>
      <c r="F698" s="823" t="s">
        <v>1888</v>
      </c>
      <c r="G698" s="823" t="s">
        <v>2279</v>
      </c>
      <c r="H698" s="823" t="s">
        <v>329</v>
      </c>
      <c r="I698" s="823" t="s">
        <v>2665</v>
      </c>
      <c r="J698" s="823" t="s">
        <v>2281</v>
      </c>
      <c r="K698" s="823" t="s">
        <v>2666</v>
      </c>
      <c r="L698" s="826">
        <v>654.95000000000005</v>
      </c>
      <c r="M698" s="826">
        <v>1309.9000000000001</v>
      </c>
      <c r="N698" s="823">
        <v>2</v>
      </c>
      <c r="O698" s="827">
        <v>1</v>
      </c>
      <c r="P698" s="826">
        <v>654.95000000000005</v>
      </c>
      <c r="Q698" s="828">
        <v>0.5</v>
      </c>
      <c r="R698" s="823">
        <v>1</v>
      </c>
      <c r="S698" s="828">
        <v>0.5</v>
      </c>
      <c r="T698" s="827">
        <v>0.5</v>
      </c>
      <c r="U698" s="829">
        <v>0.5</v>
      </c>
    </row>
    <row r="699" spans="1:21" ht="14.45" customHeight="1" x14ac:dyDescent="0.2">
      <c r="A699" s="822">
        <v>50</v>
      </c>
      <c r="B699" s="823" t="s">
        <v>1887</v>
      </c>
      <c r="C699" s="823" t="s">
        <v>1893</v>
      </c>
      <c r="D699" s="824" t="s">
        <v>2977</v>
      </c>
      <c r="E699" s="825" t="s">
        <v>1912</v>
      </c>
      <c r="F699" s="823" t="s">
        <v>1888</v>
      </c>
      <c r="G699" s="823" t="s">
        <v>2279</v>
      </c>
      <c r="H699" s="823" t="s">
        <v>329</v>
      </c>
      <c r="I699" s="823" t="s">
        <v>2667</v>
      </c>
      <c r="J699" s="823" t="s">
        <v>2281</v>
      </c>
      <c r="K699" s="823" t="s">
        <v>2668</v>
      </c>
      <c r="L699" s="826">
        <v>544.38</v>
      </c>
      <c r="M699" s="826">
        <v>544.38</v>
      </c>
      <c r="N699" s="823">
        <v>1</v>
      </c>
      <c r="O699" s="827">
        <v>1</v>
      </c>
      <c r="P699" s="826"/>
      <c r="Q699" s="828">
        <v>0</v>
      </c>
      <c r="R699" s="823"/>
      <c r="S699" s="828">
        <v>0</v>
      </c>
      <c r="T699" s="827"/>
      <c r="U699" s="829">
        <v>0</v>
      </c>
    </row>
    <row r="700" spans="1:21" ht="14.45" customHeight="1" x14ac:dyDescent="0.2">
      <c r="A700" s="822">
        <v>50</v>
      </c>
      <c r="B700" s="823" t="s">
        <v>1887</v>
      </c>
      <c r="C700" s="823" t="s">
        <v>1893</v>
      </c>
      <c r="D700" s="824" t="s">
        <v>2977</v>
      </c>
      <c r="E700" s="825" t="s">
        <v>1912</v>
      </c>
      <c r="F700" s="823" t="s">
        <v>1888</v>
      </c>
      <c r="G700" s="823" t="s">
        <v>2279</v>
      </c>
      <c r="H700" s="823" t="s">
        <v>329</v>
      </c>
      <c r="I700" s="823" t="s">
        <v>2669</v>
      </c>
      <c r="J700" s="823" t="s">
        <v>2281</v>
      </c>
      <c r="K700" s="823" t="s">
        <v>2670</v>
      </c>
      <c r="L700" s="826">
        <v>327.49</v>
      </c>
      <c r="M700" s="826">
        <v>327.49</v>
      </c>
      <c r="N700" s="823">
        <v>1</v>
      </c>
      <c r="O700" s="827">
        <v>1</v>
      </c>
      <c r="P700" s="826"/>
      <c r="Q700" s="828">
        <v>0</v>
      </c>
      <c r="R700" s="823"/>
      <c r="S700" s="828">
        <v>0</v>
      </c>
      <c r="T700" s="827"/>
      <c r="U700" s="829">
        <v>0</v>
      </c>
    </row>
    <row r="701" spans="1:21" ht="14.45" customHeight="1" x14ac:dyDescent="0.2">
      <c r="A701" s="822">
        <v>50</v>
      </c>
      <c r="B701" s="823" t="s">
        <v>1887</v>
      </c>
      <c r="C701" s="823" t="s">
        <v>1893</v>
      </c>
      <c r="D701" s="824" t="s">
        <v>2977</v>
      </c>
      <c r="E701" s="825" t="s">
        <v>1912</v>
      </c>
      <c r="F701" s="823" t="s">
        <v>1888</v>
      </c>
      <c r="G701" s="823" t="s">
        <v>2279</v>
      </c>
      <c r="H701" s="823" t="s">
        <v>329</v>
      </c>
      <c r="I701" s="823" t="s">
        <v>2851</v>
      </c>
      <c r="J701" s="823" t="s">
        <v>2281</v>
      </c>
      <c r="K701" s="823" t="s">
        <v>2852</v>
      </c>
      <c r="L701" s="826">
        <v>438.06</v>
      </c>
      <c r="M701" s="826">
        <v>438.06</v>
      </c>
      <c r="N701" s="823">
        <v>1</v>
      </c>
      <c r="O701" s="827">
        <v>0.5</v>
      </c>
      <c r="P701" s="826"/>
      <c r="Q701" s="828">
        <v>0</v>
      </c>
      <c r="R701" s="823"/>
      <c r="S701" s="828">
        <v>0</v>
      </c>
      <c r="T701" s="827"/>
      <c r="U701" s="829">
        <v>0</v>
      </c>
    </row>
    <row r="702" spans="1:21" ht="14.45" customHeight="1" x14ac:dyDescent="0.2">
      <c r="A702" s="822">
        <v>50</v>
      </c>
      <c r="B702" s="823" t="s">
        <v>1887</v>
      </c>
      <c r="C702" s="823" t="s">
        <v>1893</v>
      </c>
      <c r="D702" s="824" t="s">
        <v>2977</v>
      </c>
      <c r="E702" s="825" t="s">
        <v>1912</v>
      </c>
      <c r="F702" s="823" t="s">
        <v>1888</v>
      </c>
      <c r="G702" s="823" t="s">
        <v>1928</v>
      </c>
      <c r="H702" s="823" t="s">
        <v>329</v>
      </c>
      <c r="I702" s="823" t="s">
        <v>2690</v>
      </c>
      <c r="J702" s="823" t="s">
        <v>1930</v>
      </c>
      <c r="K702" s="823" t="s">
        <v>2691</v>
      </c>
      <c r="L702" s="826">
        <v>299.83999999999997</v>
      </c>
      <c r="M702" s="826">
        <v>599.67999999999995</v>
      </c>
      <c r="N702" s="823">
        <v>2</v>
      </c>
      <c r="O702" s="827">
        <v>2</v>
      </c>
      <c r="P702" s="826">
        <v>599.67999999999995</v>
      </c>
      <c r="Q702" s="828">
        <v>1</v>
      </c>
      <c r="R702" s="823">
        <v>2</v>
      </c>
      <c r="S702" s="828">
        <v>1</v>
      </c>
      <c r="T702" s="827">
        <v>2</v>
      </c>
      <c r="U702" s="829">
        <v>1</v>
      </c>
    </row>
    <row r="703" spans="1:21" ht="14.45" customHeight="1" x14ac:dyDescent="0.2">
      <c r="A703" s="822">
        <v>50</v>
      </c>
      <c r="B703" s="823" t="s">
        <v>1887</v>
      </c>
      <c r="C703" s="823" t="s">
        <v>1893</v>
      </c>
      <c r="D703" s="824" t="s">
        <v>2977</v>
      </c>
      <c r="E703" s="825" t="s">
        <v>1912</v>
      </c>
      <c r="F703" s="823" t="s">
        <v>1888</v>
      </c>
      <c r="G703" s="823" t="s">
        <v>2196</v>
      </c>
      <c r="H703" s="823" t="s">
        <v>329</v>
      </c>
      <c r="I703" s="823" t="s">
        <v>2197</v>
      </c>
      <c r="J703" s="823" t="s">
        <v>2198</v>
      </c>
      <c r="K703" s="823" t="s">
        <v>2199</v>
      </c>
      <c r="L703" s="826">
        <v>83.38</v>
      </c>
      <c r="M703" s="826">
        <v>583.66</v>
      </c>
      <c r="N703" s="823">
        <v>7</v>
      </c>
      <c r="O703" s="827">
        <v>3</v>
      </c>
      <c r="P703" s="826"/>
      <c r="Q703" s="828">
        <v>0</v>
      </c>
      <c r="R703" s="823"/>
      <c r="S703" s="828">
        <v>0</v>
      </c>
      <c r="T703" s="827"/>
      <c r="U703" s="829">
        <v>0</v>
      </c>
    </row>
    <row r="704" spans="1:21" ht="14.45" customHeight="1" x14ac:dyDescent="0.2">
      <c r="A704" s="822">
        <v>50</v>
      </c>
      <c r="B704" s="823" t="s">
        <v>1887</v>
      </c>
      <c r="C704" s="823" t="s">
        <v>1893</v>
      </c>
      <c r="D704" s="824" t="s">
        <v>2977</v>
      </c>
      <c r="E704" s="825" t="s">
        <v>1912</v>
      </c>
      <c r="F704" s="823" t="s">
        <v>1888</v>
      </c>
      <c r="G704" s="823" t="s">
        <v>1924</v>
      </c>
      <c r="H704" s="823" t="s">
        <v>625</v>
      </c>
      <c r="I704" s="823" t="s">
        <v>2200</v>
      </c>
      <c r="J704" s="823" t="s">
        <v>1088</v>
      </c>
      <c r="K704" s="823" t="s">
        <v>2201</v>
      </c>
      <c r="L704" s="826">
        <v>154.36000000000001</v>
      </c>
      <c r="M704" s="826">
        <v>308.72000000000003</v>
      </c>
      <c r="N704" s="823">
        <v>2</v>
      </c>
      <c r="O704" s="827">
        <v>1</v>
      </c>
      <c r="P704" s="826">
        <v>308.72000000000003</v>
      </c>
      <c r="Q704" s="828">
        <v>1</v>
      </c>
      <c r="R704" s="823">
        <v>2</v>
      </c>
      <c r="S704" s="828">
        <v>1</v>
      </c>
      <c r="T704" s="827">
        <v>1</v>
      </c>
      <c r="U704" s="829">
        <v>1</v>
      </c>
    </row>
    <row r="705" spans="1:21" ht="14.45" customHeight="1" x14ac:dyDescent="0.2">
      <c r="A705" s="822">
        <v>50</v>
      </c>
      <c r="B705" s="823" t="s">
        <v>1887</v>
      </c>
      <c r="C705" s="823" t="s">
        <v>1893</v>
      </c>
      <c r="D705" s="824" t="s">
        <v>2977</v>
      </c>
      <c r="E705" s="825" t="s">
        <v>1912</v>
      </c>
      <c r="F705" s="823" t="s">
        <v>1888</v>
      </c>
      <c r="G705" s="823" t="s">
        <v>2853</v>
      </c>
      <c r="H705" s="823" t="s">
        <v>625</v>
      </c>
      <c r="I705" s="823" t="s">
        <v>2854</v>
      </c>
      <c r="J705" s="823" t="s">
        <v>2855</v>
      </c>
      <c r="K705" s="823" t="s">
        <v>2856</v>
      </c>
      <c r="L705" s="826">
        <v>212.45</v>
      </c>
      <c r="M705" s="826">
        <v>212.45</v>
      </c>
      <c r="N705" s="823">
        <v>1</v>
      </c>
      <c r="O705" s="827">
        <v>1</v>
      </c>
      <c r="P705" s="826"/>
      <c r="Q705" s="828">
        <v>0</v>
      </c>
      <c r="R705" s="823"/>
      <c r="S705" s="828">
        <v>0</v>
      </c>
      <c r="T705" s="827"/>
      <c r="U705" s="829">
        <v>0</v>
      </c>
    </row>
    <row r="706" spans="1:21" ht="14.45" customHeight="1" x14ac:dyDescent="0.2">
      <c r="A706" s="822">
        <v>50</v>
      </c>
      <c r="B706" s="823" t="s">
        <v>1887</v>
      </c>
      <c r="C706" s="823" t="s">
        <v>1893</v>
      </c>
      <c r="D706" s="824" t="s">
        <v>2977</v>
      </c>
      <c r="E706" s="825" t="s">
        <v>1912</v>
      </c>
      <c r="F706" s="823" t="s">
        <v>1888</v>
      </c>
      <c r="G706" s="823" t="s">
        <v>2202</v>
      </c>
      <c r="H706" s="823" t="s">
        <v>625</v>
      </c>
      <c r="I706" s="823" t="s">
        <v>2285</v>
      </c>
      <c r="J706" s="823" t="s">
        <v>1653</v>
      </c>
      <c r="K706" s="823" t="s">
        <v>2286</v>
      </c>
      <c r="L706" s="826">
        <v>49.08</v>
      </c>
      <c r="M706" s="826">
        <v>49.08</v>
      </c>
      <c r="N706" s="823">
        <v>1</v>
      </c>
      <c r="O706" s="827">
        <v>1</v>
      </c>
      <c r="P706" s="826"/>
      <c r="Q706" s="828">
        <v>0</v>
      </c>
      <c r="R706" s="823"/>
      <c r="S706" s="828">
        <v>0</v>
      </c>
      <c r="T706" s="827"/>
      <c r="U706" s="829">
        <v>0</v>
      </c>
    </row>
    <row r="707" spans="1:21" ht="14.45" customHeight="1" x14ac:dyDescent="0.2">
      <c r="A707" s="822">
        <v>50</v>
      </c>
      <c r="B707" s="823" t="s">
        <v>1887</v>
      </c>
      <c r="C707" s="823" t="s">
        <v>1893</v>
      </c>
      <c r="D707" s="824" t="s">
        <v>2977</v>
      </c>
      <c r="E707" s="825" t="s">
        <v>1912</v>
      </c>
      <c r="F707" s="823" t="s">
        <v>1888</v>
      </c>
      <c r="G707" s="823" t="s">
        <v>2206</v>
      </c>
      <c r="H707" s="823" t="s">
        <v>329</v>
      </c>
      <c r="I707" s="823" t="s">
        <v>2207</v>
      </c>
      <c r="J707" s="823" t="s">
        <v>1271</v>
      </c>
      <c r="K707" s="823" t="s">
        <v>1272</v>
      </c>
      <c r="L707" s="826">
        <v>121.92</v>
      </c>
      <c r="M707" s="826">
        <v>609.6</v>
      </c>
      <c r="N707" s="823">
        <v>5</v>
      </c>
      <c r="O707" s="827">
        <v>2</v>
      </c>
      <c r="P707" s="826"/>
      <c r="Q707" s="828">
        <v>0</v>
      </c>
      <c r="R707" s="823"/>
      <c r="S707" s="828">
        <v>0</v>
      </c>
      <c r="T707" s="827"/>
      <c r="U707" s="829">
        <v>0</v>
      </c>
    </row>
    <row r="708" spans="1:21" ht="14.45" customHeight="1" x14ac:dyDescent="0.2">
      <c r="A708" s="822">
        <v>50</v>
      </c>
      <c r="B708" s="823" t="s">
        <v>1887</v>
      </c>
      <c r="C708" s="823" t="s">
        <v>1893</v>
      </c>
      <c r="D708" s="824" t="s">
        <v>2977</v>
      </c>
      <c r="E708" s="825" t="s">
        <v>1912</v>
      </c>
      <c r="F708" s="823" t="s">
        <v>1890</v>
      </c>
      <c r="G708" s="823" t="s">
        <v>2208</v>
      </c>
      <c r="H708" s="823" t="s">
        <v>329</v>
      </c>
      <c r="I708" s="823" t="s">
        <v>2209</v>
      </c>
      <c r="J708" s="823" t="s">
        <v>2210</v>
      </c>
      <c r="K708" s="823" t="s">
        <v>2211</v>
      </c>
      <c r="L708" s="826">
        <v>389.82</v>
      </c>
      <c r="M708" s="826">
        <v>1559.28</v>
      </c>
      <c r="N708" s="823">
        <v>4</v>
      </c>
      <c r="O708" s="827">
        <v>4</v>
      </c>
      <c r="P708" s="826">
        <v>1559.28</v>
      </c>
      <c r="Q708" s="828">
        <v>1</v>
      </c>
      <c r="R708" s="823">
        <v>4</v>
      </c>
      <c r="S708" s="828">
        <v>1</v>
      </c>
      <c r="T708" s="827">
        <v>4</v>
      </c>
      <c r="U708" s="829">
        <v>1</v>
      </c>
    </row>
    <row r="709" spans="1:21" ht="14.45" customHeight="1" x14ac:dyDescent="0.2">
      <c r="A709" s="822">
        <v>50</v>
      </c>
      <c r="B709" s="823" t="s">
        <v>1887</v>
      </c>
      <c r="C709" s="823" t="s">
        <v>1893</v>
      </c>
      <c r="D709" s="824" t="s">
        <v>2977</v>
      </c>
      <c r="E709" s="825" t="s">
        <v>1912</v>
      </c>
      <c r="F709" s="823" t="s">
        <v>1890</v>
      </c>
      <c r="G709" s="823" t="s">
        <v>2208</v>
      </c>
      <c r="H709" s="823" t="s">
        <v>329</v>
      </c>
      <c r="I709" s="823" t="s">
        <v>2212</v>
      </c>
      <c r="J709" s="823" t="s">
        <v>2213</v>
      </c>
      <c r="K709" s="823" t="s">
        <v>2214</v>
      </c>
      <c r="L709" s="826">
        <v>389.82</v>
      </c>
      <c r="M709" s="826">
        <v>1559.28</v>
      </c>
      <c r="N709" s="823">
        <v>4</v>
      </c>
      <c r="O709" s="827">
        <v>4</v>
      </c>
      <c r="P709" s="826">
        <v>1559.28</v>
      </c>
      <c r="Q709" s="828">
        <v>1</v>
      </c>
      <c r="R709" s="823">
        <v>4</v>
      </c>
      <c r="S709" s="828">
        <v>1</v>
      </c>
      <c r="T709" s="827">
        <v>4</v>
      </c>
      <c r="U709" s="829">
        <v>1</v>
      </c>
    </row>
    <row r="710" spans="1:21" ht="14.45" customHeight="1" x14ac:dyDescent="0.2">
      <c r="A710" s="822">
        <v>50</v>
      </c>
      <c r="B710" s="823" t="s">
        <v>1887</v>
      </c>
      <c r="C710" s="823" t="s">
        <v>1893</v>
      </c>
      <c r="D710" s="824" t="s">
        <v>2977</v>
      </c>
      <c r="E710" s="825" t="s">
        <v>1912</v>
      </c>
      <c r="F710" s="823" t="s">
        <v>1890</v>
      </c>
      <c r="G710" s="823" t="s">
        <v>2208</v>
      </c>
      <c r="H710" s="823" t="s">
        <v>329</v>
      </c>
      <c r="I710" s="823" t="s">
        <v>2215</v>
      </c>
      <c r="J710" s="823" t="s">
        <v>2216</v>
      </c>
      <c r="K710" s="823" t="s">
        <v>2217</v>
      </c>
      <c r="L710" s="826">
        <v>389.82</v>
      </c>
      <c r="M710" s="826">
        <v>2728.7400000000002</v>
      </c>
      <c r="N710" s="823">
        <v>7</v>
      </c>
      <c r="O710" s="827">
        <v>7</v>
      </c>
      <c r="P710" s="826">
        <v>2338.92</v>
      </c>
      <c r="Q710" s="828">
        <v>0.8571428571428571</v>
      </c>
      <c r="R710" s="823">
        <v>6</v>
      </c>
      <c r="S710" s="828">
        <v>0.8571428571428571</v>
      </c>
      <c r="T710" s="827">
        <v>6</v>
      </c>
      <c r="U710" s="829">
        <v>0.8571428571428571</v>
      </c>
    </row>
    <row r="711" spans="1:21" ht="14.45" customHeight="1" x14ac:dyDescent="0.2">
      <c r="A711" s="822">
        <v>50</v>
      </c>
      <c r="B711" s="823" t="s">
        <v>1887</v>
      </c>
      <c r="C711" s="823" t="s">
        <v>1893</v>
      </c>
      <c r="D711" s="824" t="s">
        <v>2977</v>
      </c>
      <c r="E711" s="825" t="s">
        <v>1912</v>
      </c>
      <c r="F711" s="823" t="s">
        <v>1890</v>
      </c>
      <c r="G711" s="823" t="s">
        <v>2208</v>
      </c>
      <c r="H711" s="823" t="s">
        <v>329</v>
      </c>
      <c r="I711" s="823" t="s">
        <v>2218</v>
      </c>
      <c r="J711" s="823" t="s">
        <v>2219</v>
      </c>
      <c r="K711" s="823" t="s">
        <v>2220</v>
      </c>
      <c r="L711" s="826">
        <v>39.1</v>
      </c>
      <c r="M711" s="826">
        <v>2072.3000000000002</v>
      </c>
      <c r="N711" s="823">
        <v>53</v>
      </c>
      <c r="O711" s="827">
        <v>14</v>
      </c>
      <c r="P711" s="826">
        <v>1915.9000000000003</v>
      </c>
      <c r="Q711" s="828">
        <v>0.92452830188679258</v>
      </c>
      <c r="R711" s="823">
        <v>49</v>
      </c>
      <c r="S711" s="828">
        <v>0.92452830188679247</v>
      </c>
      <c r="T711" s="827">
        <v>13</v>
      </c>
      <c r="U711" s="829">
        <v>0.9285714285714286</v>
      </c>
    </row>
    <row r="712" spans="1:21" ht="14.45" customHeight="1" x14ac:dyDescent="0.2">
      <c r="A712" s="822">
        <v>50</v>
      </c>
      <c r="B712" s="823" t="s">
        <v>1887</v>
      </c>
      <c r="C712" s="823" t="s">
        <v>1893</v>
      </c>
      <c r="D712" s="824" t="s">
        <v>2977</v>
      </c>
      <c r="E712" s="825" t="s">
        <v>1912</v>
      </c>
      <c r="F712" s="823" t="s">
        <v>1890</v>
      </c>
      <c r="G712" s="823" t="s">
        <v>2208</v>
      </c>
      <c r="H712" s="823" t="s">
        <v>329</v>
      </c>
      <c r="I712" s="823" t="s">
        <v>2221</v>
      </c>
      <c r="J712" s="823" t="s">
        <v>2219</v>
      </c>
      <c r="K712" s="823" t="s">
        <v>2222</v>
      </c>
      <c r="L712" s="826">
        <v>49.02</v>
      </c>
      <c r="M712" s="826">
        <v>1764.7199999999998</v>
      </c>
      <c r="N712" s="823">
        <v>36</v>
      </c>
      <c r="O712" s="827">
        <v>9</v>
      </c>
      <c r="P712" s="826">
        <v>1764.7199999999998</v>
      </c>
      <c r="Q712" s="828">
        <v>1</v>
      </c>
      <c r="R712" s="823">
        <v>36</v>
      </c>
      <c r="S712" s="828">
        <v>1</v>
      </c>
      <c r="T712" s="827">
        <v>9</v>
      </c>
      <c r="U712" s="829">
        <v>1</v>
      </c>
    </row>
    <row r="713" spans="1:21" ht="14.45" customHeight="1" x14ac:dyDescent="0.2">
      <c r="A713" s="822">
        <v>50</v>
      </c>
      <c r="B713" s="823" t="s">
        <v>1887</v>
      </c>
      <c r="C713" s="823" t="s">
        <v>1893</v>
      </c>
      <c r="D713" s="824" t="s">
        <v>2977</v>
      </c>
      <c r="E713" s="825" t="s">
        <v>1913</v>
      </c>
      <c r="F713" s="823" t="s">
        <v>1888</v>
      </c>
      <c r="G713" s="823" t="s">
        <v>2585</v>
      </c>
      <c r="H713" s="823" t="s">
        <v>329</v>
      </c>
      <c r="I713" s="823" t="s">
        <v>2857</v>
      </c>
      <c r="J713" s="823" t="s">
        <v>2858</v>
      </c>
      <c r="K713" s="823" t="s">
        <v>2859</v>
      </c>
      <c r="L713" s="826">
        <v>0</v>
      </c>
      <c r="M713" s="826">
        <v>0</v>
      </c>
      <c r="N713" s="823">
        <v>1</v>
      </c>
      <c r="O713" s="827">
        <v>1</v>
      </c>
      <c r="P713" s="826">
        <v>0</v>
      </c>
      <c r="Q713" s="828"/>
      <c r="R713" s="823">
        <v>1</v>
      </c>
      <c r="S713" s="828">
        <v>1</v>
      </c>
      <c r="T713" s="827">
        <v>1</v>
      </c>
      <c r="U713" s="829">
        <v>1</v>
      </c>
    </row>
    <row r="714" spans="1:21" ht="14.45" customHeight="1" x14ac:dyDescent="0.2">
      <c r="A714" s="822">
        <v>50</v>
      </c>
      <c r="B714" s="823" t="s">
        <v>1887</v>
      </c>
      <c r="C714" s="823" t="s">
        <v>1893</v>
      </c>
      <c r="D714" s="824" t="s">
        <v>2977</v>
      </c>
      <c r="E714" s="825" t="s">
        <v>1913</v>
      </c>
      <c r="F714" s="823" t="s">
        <v>1888</v>
      </c>
      <c r="G714" s="823" t="s">
        <v>2585</v>
      </c>
      <c r="H714" s="823" t="s">
        <v>329</v>
      </c>
      <c r="I714" s="823" t="s">
        <v>2860</v>
      </c>
      <c r="J714" s="823" t="s">
        <v>2861</v>
      </c>
      <c r="K714" s="823" t="s">
        <v>2859</v>
      </c>
      <c r="L714" s="826">
        <v>0</v>
      </c>
      <c r="M714" s="826">
        <v>0</v>
      </c>
      <c r="N714" s="823">
        <v>6</v>
      </c>
      <c r="O714" s="827">
        <v>4</v>
      </c>
      <c r="P714" s="826">
        <v>0</v>
      </c>
      <c r="Q714" s="828"/>
      <c r="R714" s="823">
        <v>3</v>
      </c>
      <c r="S714" s="828">
        <v>0.5</v>
      </c>
      <c r="T714" s="827">
        <v>2</v>
      </c>
      <c r="U714" s="829">
        <v>0.5</v>
      </c>
    </row>
    <row r="715" spans="1:21" ht="14.45" customHeight="1" x14ac:dyDescent="0.2">
      <c r="A715" s="822">
        <v>50</v>
      </c>
      <c r="B715" s="823" t="s">
        <v>1887</v>
      </c>
      <c r="C715" s="823" t="s">
        <v>1893</v>
      </c>
      <c r="D715" s="824" t="s">
        <v>2977</v>
      </c>
      <c r="E715" s="825" t="s">
        <v>1913</v>
      </c>
      <c r="F715" s="823" t="s">
        <v>1888</v>
      </c>
      <c r="G715" s="823" t="s">
        <v>1924</v>
      </c>
      <c r="H715" s="823" t="s">
        <v>625</v>
      </c>
      <c r="I715" s="823" t="s">
        <v>2200</v>
      </c>
      <c r="J715" s="823" t="s">
        <v>1088</v>
      </c>
      <c r="K715" s="823" t="s">
        <v>2201</v>
      </c>
      <c r="L715" s="826">
        <v>154.36000000000001</v>
      </c>
      <c r="M715" s="826">
        <v>154.36000000000001</v>
      </c>
      <c r="N715" s="823">
        <v>1</v>
      </c>
      <c r="O715" s="827">
        <v>1</v>
      </c>
      <c r="P715" s="826">
        <v>154.36000000000001</v>
      </c>
      <c r="Q715" s="828">
        <v>1</v>
      </c>
      <c r="R715" s="823">
        <v>1</v>
      </c>
      <c r="S715" s="828">
        <v>1</v>
      </c>
      <c r="T715" s="827">
        <v>1</v>
      </c>
      <c r="U715" s="829">
        <v>1</v>
      </c>
    </row>
    <row r="716" spans="1:21" ht="14.45" customHeight="1" x14ac:dyDescent="0.2">
      <c r="A716" s="822">
        <v>50</v>
      </c>
      <c r="B716" s="823" t="s">
        <v>1887</v>
      </c>
      <c r="C716" s="823" t="s">
        <v>1893</v>
      </c>
      <c r="D716" s="824" t="s">
        <v>2977</v>
      </c>
      <c r="E716" s="825" t="s">
        <v>1913</v>
      </c>
      <c r="F716" s="823" t="s">
        <v>1888</v>
      </c>
      <c r="G716" s="823" t="s">
        <v>1924</v>
      </c>
      <c r="H716" s="823" t="s">
        <v>329</v>
      </c>
      <c r="I716" s="823" t="s">
        <v>2862</v>
      </c>
      <c r="J716" s="823" t="s">
        <v>2863</v>
      </c>
      <c r="K716" s="823" t="s">
        <v>2864</v>
      </c>
      <c r="L716" s="826">
        <v>75.73</v>
      </c>
      <c r="M716" s="826">
        <v>75.73</v>
      </c>
      <c r="N716" s="823">
        <v>1</v>
      </c>
      <c r="O716" s="827">
        <v>1</v>
      </c>
      <c r="P716" s="826">
        <v>75.73</v>
      </c>
      <c r="Q716" s="828">
        <v>1</v>
      </c>
      <c r="R716" s="823">
        <v>1</v>
      </c>
      <c r="S716" s="828">
        <v>1</v>
      </c>
      <c r="T716" s="827">
        <v>1</v>
      </c>
      <c r="U716" s="829">
        <v>1</v>
      </c>
    </row>
    <row r="717" spans="1:21" ht="14.45" customHeight="1" x14ac:dyDescent="0.2">
      <c r="A717" s="822">
        <v>50</v>
      </c>
      <c r="B717" s="823" t="s">
        <v>1887</v>
      </c>
      <c r="C717" s="823" t="s">
        <v>1893</v>
      </c>
      <c r="D717" s="824" t="s">
        <v>2977</v>
      </c>
      <c r="E717" s="825" t="s">
        <v>1902</v>
      </c>
      <c r="F717" s="823" t="s">
        <v>1888</v>
      </c>
      <c r="G717" s="823" t="s">
        <v>1940</v>
      </c>
      <c r="H717" s="823" t="s">
        <v>329</v>
      </c>
      <c r="I717" s="823" t="s">
        <v>2400</v>
      </c>
      <c r="J717" s="823" t="s">
        <v>2401</v>
      </c>
      <c r="K717" s="823" t="s">
        <v>628</v>
      </c>
      <c r="L717" s="826">
        <v>72.55</v>
      </c>
      <c r="M717" s="826">
        <v>72.55</v>
      </c>
      <c r="N717" s="823">
        <v>1</v>
      </c>
      <c r="O717" s="827">
        <v>0.5</v>
      </c>
      <c r="P717" s="826"/>
      <c r="Q717" s="828">
        <v>0</v>
      </c>
      <c r="R717" s="823"/>
      <c r="S717" s="828">
        <v>0</v>
      </c>
      <c r="T717" s="827"/>
      <c r="U717" s="829">
        <v>0</v>
      </c>
    </row>
    <row r="718" spans="1:21" ht="14.45" customHeight="1" x14ac:dyDescent="0.2">
      <c r="A718" s="822">
        <v>50</v>
      </c>
      <c r="B718" s="823" t="s">
        <v>1887</v>
      </c>
      <c r="C718" s="823" t="s">
        <v>1893</v>
      </c>
      <c r="D718" s="824" t="s">
        <v>2977</v>
      </c>
      <c r="E718" s="825" t="s">
        <v>1902</v>
      </c>
      <c r="F718" s="823" t="s">
        <v>1888</v>
      </c>
      <c r="G718" s="823" t="s">
        <v>1941</v>
      </c>
      <c r="H718" s="823" t="s">
        <v>625</v>
      </c>
      <c r="I718" s="823" t="s">
        <v>1735</v>
      </c>
      <c r="J718" s="823" t="s">
        <v>1736</v>
      </c>
      <c r="K718" s="823" t="s">
        <v>1737</v>
      </c>
      <c r="L718" s="826">
        <v>11.71</v>
      </c>
      <c r="M718" s="826">
        <v>23.42</v>
      </c>
      <c r="N718" s="823">
        <v>2</v>
      </c>
      <c r="O718" s="827">
        <v>1.5</v>
      </c>
      <c r="P718" s="826">
        <v>11.71</v>
      </c>
      <c r="Q718" s="828">
        <v>0.5</v>
      </c>
      <c r="R718" s="823">
        <v>1</v>
      </c>
      <c r="S718" s="828">
        <v>0.5</v>
      </c>
      <c r="T718" s="827">
        <v>0.5</v>
      </c>
      <c r="U718" s="829">
        <v>0.33333333333333331</v>
      </c>
    </row>
    <row r="719" spans="1:21" ht="14.45" customHeight="1" x14ac:dyDescent="0.2">
      <c r="A719" s="822">
        <v>50</v>
      </c>
      <c r="B719" s="823" t="s">
        <v>1887</v>
      </c>
      <c r="C719" s="823" t="s">
        <v>1893</v>
      </c>
      <c r="D719" s="824" t="s">
        <v>2977</v>
      </c>
      <c r="E719" s="825" t="s">
        <v>1902</v>
      </c>
      <c r="F719" s="823" t="s">
        <v>1888</v>
      </c>
      <c r="G719" s="823" t="s">
        <v>1944</v>
      </c>
      <c r="H719" s="823" t="s">
        <v>625</v>
      </c>
      <c r="I719" s="823" t="s">
        <v>1581</v>
      </c>
      <c r="J719" s="823" t="s">
        <v>712</v>
      </c>
      <c r="K719" s="823" t="s">
        <v>1582</v>
      </c>
      <c r="L719" s="826">
        <v>80.010000000000005</v>
      </c>
      <c r="M719" s="826">
        <v>320.04000000000002</v>
      </c>
      <c r="N719" s="823">
        <v>4</v>
      </c>
      <c r="O719" s="827">
        <v>3</v>
      </c>
      <c r="P719" s="826"/>
      <c r="Q719" s="828">
        <v>0</v>
      </c>
      <c r="R719" s="823"/>
      <c r="S719" s="828">
        <v>0</v>
      </c>
      <c r="T719" s="827"/>
      <c r="U719" s="829">
        <v>0</v>
      </c>
    </row>
    <row r="720" spans="1:21" ht="14.45" customHeight="1" x14ac:dyDescent="0.2">
      <c r="A720" s="822">
        <v>50</v>
      </c>
      <c r="B720" s="823" t="s">
        <v>1887</v>
      </c>
      <c r="C720" s="823" t="s">
        <v>1893</v>
      </c>
      <c r="D720" s="824" t="s">
        <v>2977</v>
      </c>
      <c r="E720" s="825" t="s">
        <v>1902</v>
      </c>
      <c r="F720" s="823" t="s">
        <v>1888</v>
      </c>
      <c r="G720" s="823" t="s">
        <v>2015</v>
      </c>
      <c r="H720" s="823" t="s">
        <v>625</v>
      </c>
      <c r="I720" s="823" t="s">
        <v>2018</v>
      </c>
      <c r="J720" s="823" t="s">
        <v>1794</v>
      </c>
      <c r="K720" s="823" t="s">
        <v>2019</v>
      </c>
      <c r="L720" s="826">
        <v>31.09</v>
      </c>
      <c r="M720" s="826">
        <v>31.09</v>
      </c>
      <c r="N720" s="823">
        <v>1</v>
      </c>
      <c r="O720" s="827">
        <v>0.5</v>
      </c>
      <c r="P720" s="826"/>
      <c r="Q720" s="828">
        <v>0</v>
      </c>
      <c r="R720" s="823"/>
      <c r="S720" s="828">
        <v>0</v>
      </c>
      <c r="T720" s="827"/>
      <c r="U720" s="829">
        <v>0</v>
      </c>
    </row>
    <row r="721" spans="1:21" ht="14.45" customHeight="1" x14ac:dyDescent="0.2">
      <c r="A721" s="822">
        <v>50</v>
      </c>
      <c r="B721" s="823" t="s">
        <v>1887</v>
      </c>
      <c r="C721" s="823" t="s">
        <v>1893</v>
      </c>
      <c r="D721" s="824" t="s">
        <v>2977</v>
      </c>
      <c r="E721" s="825" t="s">
        <v>1902</v>
      </c>
      <c r="F721" s="823" t="s">
        <v>1888</v>
      </c>
      <c r="G721" s="823" t="s">
        <v>2015</v>
      </c>
      <c r="H721" s="823" t="s">
        <v>329</v>
      </c>
      <c r="I721" s="823" t="s">
        <v>2865</v>
      </c>
      <c r="J721" s="823" t="s">
        <v>2866</v>
      </c>
      <c r="K721" s="823" t="s">
        <v>2019</v>
      </c>
      <c r="L721" s="826">
        <v>31.09</v>
      </c>
      <c r="M721" s="826">
        <v>31.09</v>
      </c>
      <c r="N721" s="823">
        <v>1</v>
      </c>
      <c r="O721" s="827">
        <v>0.5</v>
      </c>
      <c r="P721" s="826"/>
      <c r="Q721" s="828">
        <v>0</v>
      </c>
      <c r="R721" s="823"/>
      <c r="S721" s="828">
        <v>0</v>
      </c>
      <c r="T721" s="827"/>
      <c r="U721" s="829">
        <v>0</v>
      </c>
    </row>
    <row r="722" spans="1:21" ht="14.45" customHeight="1" x14ac:dyDescent="0.2">
      <c r="A722" s="822">
        <v>50</v>
      </c>
      <c r="B722" s="823" t="s">
        <v>1887</v>
      </c>
      <c r="C722" s="823" t="s">
        <v>1893</v>
      </c>
      <c r="D722" s="824" t="s">
        <v>2977</v>
      </c>
      <c r="E722" s="825" t="s">
        <v>1902</v>
      </c>
      <c r="F722" s="823" t="s">
        <v>1888</v>
      </c>
      <c r="G722" s="823" t="s">
        <v>1932</v>
      </c>
      <c r="H722" s="823" t="s">
        <v>625</v>
      </c>
      <c r="I722" s="823" t="s">
        <v>1796</v>
      </c>
      <c r="J722" s="823" t="s">
        <v>1639</v>
      </c>
      <c r="K722" s="823" t="s">
        <v>1797</v>
      </c>
      <c r="L722" s="826">
        <v>220.53</v>
      </c>
      <c r="M722" s="826">
        <v>1764.24</v>
      </c>
      <c r="N722" s="823">
        <v>8</v>
      </c>
      <c r="O722" s="827">
        <v>6</v>
      </c>
      <c r="P722" s="826">
        <v>220.53</v>
      </c>
      <c r="Q722" s="828">
        <v>0.125</v>
      </c>
      <c r="R722" s="823">
        <v>1</v>
      </c>
      <c r="S722" s="828">
        <v>0.125</v>
      </c>
      <c r="T722" s="827">
        <v>0.5</v>
      </c>
      <c r="U722" s="829">
        <v>8.3333333333333329E-2</v>
      </c>
    </row>
    <row r="723" spans="1:21" ht="14.45" customHeight="1" x14ac:dyDescent="0.2">
      <c r="A723" s="822">
        <v>50</v>
      </c>
      <c r="B723" s="823" t="s">
        <v>1887</v>
      </c>
      <c r="C723" s="823" t="s">
        <v>1893</v>
      </c>
      <c r="D723" s="824" t="s">
        <v>2977</v>
      </c>
      <c r="E723" s="825" t="s">
        <v>1902</v>
      </c>
      <c r="F723" s="823" t="s">
        <v>1888</v>
      </c>
      <c r="G723" s="823" t="s">
        <v>1932</v>
      </c>
      <c r="H723" s="823" t="s">
        <v>625</v>
      </c>
      <c r="I723" s="823" t="s">
        <v>1796</v>
      </c>
      <c r="J723" s="823" t="s">
        <v>1639</v>
      </c>
      <c r="K723" s="823" t="s">
        <v>1797</v>
      </c>
      <c r="L723" s="826">
        <v>130.51</v>
      </c>
      <c r="M723" s="826">
        <v>130.51</v>
      </c>
      <c r="N723" s="823">
        <v>1</v>
      </c>
      <c r="O723" s="827">
        <v>0.5</v>
      </c>
      <c r="P723" s="826"/>
      <c r="Q723" s="828">
        <v>0</v>
      </c>
      <c r="R723" s="823"/>
      <c r="S723" s="828">
        <v>0</v>
      </c>
      <c r="T723" s="827"/>
      <c r="U723" s="829">
        <v>0</v>
      </c>
    </row>
    <row r="724" spans="1:21" ht="14.45" customHeight="1" x14ac:dyDescent="0.2">
      <c r="A724" s="822">
        <v>50</v>
      </c>
      <c r="B724" s="823" t="s">
        <v>1887</v>
      </c>
      <c r="C724" s="823" t="s">
        <v>1893</v>
      </c>
      <c r="D724" s="824" t="s">
        <v>2977</v>
      </c>
      <c r="E724" s="825" t="s">
        <v>1902</v>
      </c>
      <c r="F724" s="823" t="s">
        <v>1888</v>
      </c>
      <c r="G724" s="823" t="s">
        <v>1932</v>
      </c>
      <c r="H724" s="823" t="s">
        <v>329</v>
      </c>
      <c r="I724" s="823" t="s">
        <v>1638</v>
      </c>
      <c r="J724" s="823" t="s">
        <v>1639</v>
      </c>
      <c r="K724" s="823" t="s">
        <v>1640</v>
      </c>
      <c r="L724" s="826">
        <v>143.35</v>
      </c>
      <c r="M724" s="826">
        <v>143.35</v>
      </c>
      <c r="N724" s="823">
        <v>1</v>
      </c>
      <c r="O724" s="827">
        <v>1</v>
      </c>
      <c r="P724" s="826"/>
      <c r="Q724" s="828">
        <v>0</v>
      </c>
      <c r="R724" s="823"/>
      <c r="S724" s="828">
        <v>0</v>
      </c>
      <c r="T724" s="827"/>
      <c r="U724" s="829">
        <v>0</v>
      </c>
    </row>
    <row r="725" spans="1:21" ht="14.45" customHeight="1" x14ac:dyDescent="0.2">
      <c r="A725" s="822">
        <v>50</v>
      </c>
      <c r="B725" s="823" t="s">
        <v>1887</v>
      </c>
      <c r="C725" s="823" t="s">
        <v>1893</v>
      </c>
      <c r="D725" s="824" t="s">
        <v>2977</v>
      </c>
      <c r="E725" s="825" t="s">
        <v>1902</v>
      </c>
      <c r="F725" s="823" t="s">
        <v>1888</v>
      </c>
      <c r="G725" s="823" t="s">
        <v>1932</v>
      </c>
      <c r="H725" s="823" t="s">
        <v>329</v>
      </c>
      <c r="I725" s="823" t="s">
        <v>1638</v>
      </c>
      <c r="J725" s="823" t="s">
        <v>1639</v>
      </c>
      <c r="K725" s="823" t="s">
        <v>1640</v>
      </c>
      <c r="L725" s="826">
        <v>84.83</v>
      </c>
      <c r="M725" s="826">
        <v>254.49</v>
      </c>
      <c r="N725" s="823">
        <v>3</v>
      </c>
      <c r="O725" s="827">
        <v>1.5</v>
      </c>
      <c r="P725" s="826">
        <v>84.83</v>
      </c>
      <c r="Q725" s="828">
        <v>0.33333333333333331</v>
      </c>
      <c r="R725" s="823">
        <v>1</v>
      </c>
      <c r="S725" s="828">
        <v>0.33333333333333331</v>
      </c>
      <c r="T725" s="827">
        <v>0.5</v>
      </c>
      <c r="U725" s="829">
        <v>0.33333333333333331</v>
      </c>
    </row>
    <row r="726" spans="1:21" ht="14.45" customHeight="1" x14ac:dyDescent="0.2">
      <c r="A726" s="822">
        <v>50</v>
      </c>
      <c r="B726" s="823" t="s">
        <v>1887</v>
      </c>
      <c r="C726" s="823" t="s">
        <v>1893</v>
      </c>
      <c r="D726" s="824" t="s">
        <v>2977</v>
      </c>
      <c r="E726" s="825" t="s">
        <v>1902</v>
      </c>
      <c r="F726" s="823" t="s">
        <v>1888</v>
      </c>
      <c r="G726" s="823" t="s">
        <v>1932</v>
      </c>
      <c r="H726" s="823" t="s">
        <v>329</v>
      </c>
      <c r="I726" s="823" t="s">
        <v>2030</v>
      </c>
      <c r="J726" s="823" t="s">
        <v>2027</v>
      </c>
      <c r="K726" s="823" t="s">
        <v>1797</v>
      </c>
      <c r="L726" s="826">
        <v>220.53</v>
      </c>
      <c r="M726" s="826">
        <v>220.53</v>
      </c>
      <c r="N726" s="823">
        <v>1</v>
      </c>
      <c r="O726" s="827">
        <v>0.5</v>
      </c>
      <c r="P726" s="826"/>
      <c r="Q726" s="828">
        <v>0</v>
      </c>
      <c r="R726" s="823"/>
      <c r="S726" s="828">
        <v>0</v>
      </c>
      <c r="T726" s="827"/>
      <c r="U726" s="829">
        <v>0</v>
      </c>
    </row>
    <row r="727" spans="1:21" ht="14.45" customHeight="1" x14ac:dyDescent="0.2">
      <c r="A727" s="822">
        <v>50</v>
      </c>
      <c r="B727" s="823" t="s">
        <v>1887</v>
      </c>
      <c r="C727" s="823" t="s">
        <v>1893</v>
      </c>
      <c r="D727" s="824" t="s">
        <v>2977</v>
      </c>
      <c r="E727" s="825" t="s">
        <v>1902</v>
      </c>
      <c r="F727" s="823" t="s">
        <v>1888</v>
      </c>
      <c r="G727" s="823" t="s">
        <v>1932</v>
      </c>
      <c r="H727" s="823" t="s">
        <v>329</v>
      </c>
      <c r="I727" s="823" t="s">
        <v>2779</v>
      </c>
      <c r="J727" s="823" t="s">
        <v>1636</v>
      </c>
      <c r="K727" s="823" t="s">
        <v>1640</v>
      </c>
      <c r="L727" s="826">
        <v>84.83</v>
      </c>
      <c r="M727" s="826">
        <v>84.83</v>
      </c>
      <c r="N727" s="823">
        <v>1</v>
      </c>
      <c r="O727" s="827">
        <v>0.5</v>
      </c>
      <c r="P727" s="826"/>
      <c r="Q727" s="828">
        <v>0</v>
      </c>
      <c r="R727" s="823"/>
      <c r="S727" s="828">
        <v>0</v>
      </c>
      <c r="T727" s="827"/>
      <c r="U727" s="829">
        <v>0</v>
      </c>
    </row>
    <row r="728" spans="1:21" ht="14.45" customHeight="1" x14ac:dyDescent="0.2">
      <c r="A728" s="822">
        <v>50</v>
      </c>
      <c r="B728" s="823" t="s">
        <v>1887</v>
      </c>
      <c r="C728" s="823" t="s">
        <v>1893</v>
      </c>
      <c r="D728" s="824" t="s">
        <v>2977</v>
      </c>
      <c r="E728" s="825" t="s">
        <v>1902</v>
      </c>
      <c r="F728" s="823" t="s">
        <v>1888</v>
      </c>
      <c r="G728" s="823" t="s">
        <v>1914</v>
      </c>
      <c r="H728" s="823" t="s">
        <v>329</v>
      </c>
      <c r="I728" s="823" t="s">
        <v>1948</v>
      </c>
      <c r="J728" s="823" t="s">
        <v>1949</v>
      </c>
      <c r="K728" s="823" t="s">
        <v>1923</v>
      </c>
      <c r="L728" s="826">
        <v>35.11</v>
      </c>
      <c r="M728" s="826">
        <v>35.11</v>
      </c>
      <c r="N728" s="823">
        <v>1</v>
      </c>
      <c r="O728" s="827">
        <v>0.5</v>
      </c>
      <c r="P728" s="826"/>
      <c r="Q728" s="828">
        <v>0</v>
      </c>
      <c r="R728" s="823"/>
      <c r="S728" s="828">
        <v>0</v>
      </c>
      <c r="T728" s="827"/>
      <c r="U728" s="829">
        <v>0</v>
      </c>
    </row>
    <row r="729" spans="1:21" ht="14.45" customHeight="1" x14ac:dyDescent="0.2">
      <c r="A729" s="822">
        <v>50</v>
      </c>
      <c r="B729" s="823" t="s">
        <v>1887</v>
      </c>
      <c r="C729" s="823" t="s">
        <v>1893</v>
      </c>
      <c r="D729" s="824" t="s">
        <v>2977</v>
      </c>
      <c r="E729" s="825" t="s">
        <v>1902</v>
      </c>
      <c r="F729" s="823" t="s">
        <v>1888</v>
      </c>
      <c r="G729" s="823" t="s">
        <v>1914</v>
      </c>
      <c r="H729" s="823" t="s">
        <v>625</v>
      </c>
      <c r="I729" s="823" t="s">
        <v>1616</v>
      </c>
      <c r="J729" s="823" t="s">
        <v>673</v>
      </c>
      <c r="K729" s="823" t="s">
        <v>676</v>
      </c>
      <c r="L729" s="826">
        <v>17.559999999999999</v>
      </c>
      <c r="M729" s="826">
        <v>193.16</v>
      </c>
      <c r="N729" s="823">
        <v>11</v>
      </c>
      <c r="O729" s="827">
        <v>6.5</v>
      </c>
      <c r="P729" s="826">
        <v>70.239999999999995</v>
      </c>
      <c r="Q729" s="828">
        <v>0.36363636363636359</v>
      </c>
      <c r="R729" s="823">
        <v>4</v>
      </c>
      <c r="S729" s="828">
        <v>0.36363636363636365</v>
      </c>
      <c r="T729" s="827">
        <v>2.5</v>
      </c>
      <c r="U729" s="829">
        <v>0.38461538461538464</v>
      </c>
    </row>
    <row r="730" spans="1:21" ht="14.45" customHeight="1" x14ac:dyDescent="0.2">
      <c r="A730" s="822">
        <v>50</v>
      </c>
      <c r="B730" s="823" t="s">
        <v>1887</v>
      </c>
      <c r="C730" s="823" t="s">
        <v>1893</v>
      </c>
      <c r="D730" s="824" t="s">
        <v>2977</v>
      </c>
      <c r="E730" s="825" t="s">
        <v>1902</v>
      </c>
      <c r="F730" s="823" t="s">
        <v>1888</v>
      </c>
      <c r="G730" s="823" t="s">
        <v>1914</v>
      </c>
      <c r="H730" s="823" t="s">
        <v>625</v>
      </c>
      <c r="I730" s="823" t="s">
        <v>2226</v>
      </c>
      <c r="J730" s="823" t="s">
        <v>673</v>
      </c>
      <c r="K730" s="823" t="s">
        <v>1923</v>
      </c>
      <c r="L730" s="826">
        <v>35.11</v>
      </c>
      <c r="M730" s="826">
        <v>105.33</v>
      </c>
      <c r="N730" s="823">
        <v>3</v>
      </c>
      <c r="O730" s="827">
        <v>2</v>
      </c>
      <c r="P730" s="826"/>
      <c r="Q730" s="828">
        <v>0</v>
      </c>
      <c r="R730" s="823"/>
      <c r="S730" s="828">
        <v>0</v>
      </c>
      <c r="T730" s="827"/>
      <c r="U730" s="829">
        <v>0</v>
      </c>
    </row>
    <row r="731" spans="1:21" ht="14.45" customHeight="1" x14ac:dyDescent="0.2">
      <c r="A731" s="822">
        <v>50</v>
      </c>
      <c r="B731" s="823" t="s">
        <v>1887</v>
      </c>
      <c r="C731" s="823" t="s">
        <v>1893</v>
      </c>
      <c r="D731" s="824" t="s">
        <v>2977</v>
      </c>
      <c r="E731" s="825" t="s">
        <v>1902</v>
      </c>
      <c r="F731" s="823" t="s">
        <v>1888</v>
      </c>
      <c r="G731" s="823" t="s">
        <v>2035</v>
      </c>
      <c r="H731" s="823" t="s">
        <v>625</v>
      </c>
      <c r="I731" s="823" t="s">
        <v>2867</v>
      </c>
      <c r="J731" s="823" t="s">
        <v>2037</v>
      </c>
      <c r="K731" s="823" t="s">
        <v>698</v>
      </c>
      <c r="L731" s="826">
        <v>96.04</v>
      </c>
      <c r="M731" s="826">
        <v>96.04</v>
      </c>
      <c r="N731" s="823">
        <v>1</v>
      </c>
      <c r="O731" s="827">
        <v>0.5</v>
      </c>
      <c r="P731" s="826"/>
      <c r="Q731" s="828">
        <v>0</v>
      </c>
      <c r="R731" s="823"/>
      <c r="S731" s="828">
        <v>0</v>
      </c>
      <c r="T731" s="827"/>
      <c r="U731" s="829">
        <v>0</v>
      </c>
    </row>
    <row r="732" spans="1:21" ht="14.45" customHeight="1" x14ac:dyDescent="0.2">
      <c r="A732" s="822">
        <v>50</v>
      </c>
      <c r="B732" s="823" t="s">
        <v>1887</v>
      </c>
      <c r="C732" s="823" t="s">
        <v>1893</v>
      </c>
      <c r="D732" s="824" t="s">
        <v>2977</v>
      </c>
      <c r="E732" s="825" t="s">
        <v>1902</v>
      </c>
      <c r="F732" s="823" t="s">
        <v>1888</v>
      </c>
      <c r="G732" s="823" t="s">
        <v>2441</v>
      </c>
      <c r="H732" s="823" t="s">
        <v>329</v>
      </c>
      <c r="I732" s="823" t="s">
        <v>2868</v>
      </c>
      <c r="J732" s="823" t="s">
        <v>2443</v>
      </c>
      <c r="K732" s="823" t="s">
        <v>1854</v>
      </c>
      <c r="L732" s="826">
        <v>132</v>
      </c>
      <c r="M732" s="826">
        <v>132</v>
      </c>
      <c r="N732" s="823">
        <v>1</v>
      </c>
      <c r="O732" s="827">
        <v>1</v>
      </c>
      <c r="P732" s="826"/>
      <c r="Q732" s="828">
        <v>0</v>
      </c>
      <c r="R732" s="823"/>
      <c r="S732" s="828">
        <v>0</v>
      </c>
      <c r="T732" s="827"/>
      <c r="U732" s="829">
        <v>0</v>
      </c>
    </row>
    <row r="733" spans="1:21" ht="14.45" customHeight="1" x14ac:dyDescent="0.2">
      <c r="A733" s="822">
        <v>50</v>
      </c>
      <c r="B733" s="823" t="s">
        <v>1887</v>
      </c>
      <c r="C733" s="823" t="s">
        <v>1893</v>
      </c>
      <c r="D733" s="824" t="s">
        <v>2977</v>
      </c>
      <c r="E733" s="825" t="s">
        <v>1902</v>
      </c>
      <c r="F733" s="823" t="s">
        <v>1888</v>
      </c>
      <c r="G733" s="823" t="s">
        <v>2869</v>
      </c>
      <c r="H733" s="823" t="s">
        <v>625</v>
      </c>
      <c r="I733" s="823" t="s">
        <v>2870</v>
      </c>
      <c r="J733" s="823" t="s">
        <v>2871</v>
      </c>
      <c r="K733" s="823" t="s">
        <v>2548</v>
      </c>
      <c r="L733" s="826">
        <v>300.31</v>
      </c>
      <c r="M733" s="826">
        <v>300.31</v>
      </c>
      <c r="N733" s="823">
        <v>1</v>
      </c>
      <c r="O733" s="827">
        <v>0.5</v>
      </c>
      <c r="P733" s="826"/>
      <c r="Q733" s="828">
        <v>0</v>
      </c>
      <c r="R733" s="823"/>
      <c r="S733" s="828">
        <v>0</v>
      </c>
      <c r="T733" s="827"/>
      <c r="U733" s="829">
        <v>0</v>
      </c>
    </row>
    <row r="734" spans="1:21" ht="14.45" customHeight="1" x14ac:dyDescent="0.2">
      <c r="A734" s="822">
        <v>50</v>
      </c>
      <c r="B734" s="823" t="s">
        <v>1887</v>
      </c>
      <c r="C734" s="823" t="s">
        <v>1893</v>
      </c>
      <c r="D734" s="824" t="s">
        <v>2977</v>
      </c>
      <c r="E734" s="825" t="s">
        <v>1902</v>
      </c>
      <c r="F734" s="823" t="s">
        <v>1888</v>
      </c>
      <c r="G734" s="823" t="s">
        <v>1952</v>
      </c>
      <c r="H734" s="823" t="s">
        <v>625</v>
      </c>
      <c r="I734" s="823" t="s">
        <v>1784</v>
      </c>
      <c r="J734" s="823" t="s">
        <v>811</v>
      </c>
      <c r="K734" s="823" t="s">
        <v>1785</v>
      </c>
      <c r="L734" s="826">
        <v>42.51</v>
      </c>
      <c r="M734" s="826">
        <v>127.53</v>
      </c>
      <c r="N734" s="823">
        <v>3</v>
      </c>
      <c r="O734" s="827">
        <v>2</v>
      </c>
      <c r="P734" s="826">
        <v>42.51</v>
      </c>
      <c r="Q734" s="828">
        <v>0.33333333333333331</v>
      </c>
      <c r="R734" s="823">
        <v>1</v>
      </c>
      <c r="S734" s="828">
        <v>0.33333333333333331</v>
      </c>
      <c r="T734" s="827">
        <v>0.5</v>
      </c>
      <c r="U734" s="829">
        <v>0.25</v>
      </c>
    </row>
    <row r="735" spans="1:21" ht="14.45" customHeight="1" x14ac:dyDescent="0.2">
      <c r="A735" s="822">
        <v>50</v>
      </c>
      <c r="B735" s="823" t="s">
        <v>1887</v>
      </c>
      <c r="C735" s="823" t="s">
        <v>1893</v>
      </c>
      <c r="D735" s="824" t="s">
        <v>2977</v>
      </c>
      <c r="E735" s="825" t="s">
        <v>1902</v>
      </c>
      <c r="F735" s="823" t="s">
        <v>1888</v>
      </c>
      <c r="G735" s="823" t="s">
        <v>2872</v>
      </c>
      <c r="H735" s="823" t="s">
        <v>625</v>
      </c>
      <c r="I735" s="823" t="s">
        <v>1541</v>
      </c>
      <c r="J735" s="823" t="s">
        <v>1542</v>
      </c>
      <c r="K735" s="823" t="s">
        <v>1543</v>
      </c>
      <c r="L735" s="826">
        <v>20.83</v>
      </c>
      <c r="M735" s="826">
        <v>20.83</v>
      </c>
      <c r="N735" s="823">
        <v>1</v>
      </c>
      <c r="O735" s="827">
        <v>0.5</v>
      </c>
      <c r="P735" s="826"/>
      <c r="Q735" s="828">
        <v>0</v>
      </c>
      <c r="R735" s="823"/>
      <c r="S735" s="828">
        <v>0</v>
      </c>
      <c r="T735" s="827"/>
      <c r="U735" s="829">
        <v>0</v>
      </c>
    </row>
    <row r="736" spans="1:21" ht="14.45" customHeight="1" x14ac:dyDescent="0.2">
      <c r="A736" s="822">
        <v>50</v>
      </c>
      <c r="B736" s="823" t="s">
        <v>1887</v>
      </c>
      <c r="C736" s="823" t="s">
        <v>1893</v>
      </c>
      <c r="D736" s="824" t="s">
        <v>2977</v>
      </c>
      <c r="E736" s="825" t="s">
        <v>1902</v>
      </c>
      <c r="F736" s="823" t="s">
        <v>1888</v>
      </c>
      <c r="G736" s="823" t="s">
        <v>2230</v>
      </c>
      <c r="H736" s="823" t="s">
        <v>329</v>
      </c>
      <c r="I736" s="823" t="s">
        <v>2474</v>
      </c>
      <c r="J736" s="823" t="s">
        <v>866</v>
      </c>
      <c r="K736" s="823" t="s">
        <v>2475</v>
      </c>
      <c r="L736" s="826">
        <v>75.05</v>
      </c>
      <c r="M736" s="826">
        <v>75.05</v>
      </c>
      <c r="N736" s="823">
        <v>1</v>
      </c>
      <c r="O736" s="827">
        <v>1</v>
      </c>
      <c r="P736" s="826"/>
      <c r="Q736" s="828">
        <v>0</v>
      </c>
      <c r="R736" s="823"/>
      <c r="S736" s="828">
        <v>0</v>
      </c>
      <c r="T736" s="827"/>
      <c r="U736" s="829">
        <v>0</v>
      </c>
    </row>
    <row r="737" spans="1:21" ht="14.45" customHeight="1" x14ac:dyDescent="0.2">
      <c r="A737" s="822">
        <v>50</v>
      </c>
      <c r="B737" s="823" t="s">
        <v>1887</v>
      </c>
      <c r="C737" s="823" t="s">
        <v>1893</v>
      </c>
      <c r="D737" s="824" t="s">
        <v>2977</v>
      </c>
      <c r="E737" s="825" t="s">
        <v>1902</v>
      </c>
      <c r="F737" s="823" t="s">
        <v>1888</v>
      </c>
      <c r="G737" s="823" t="s">
        <v>2230</v>
      </c>
      <c r="H737" s="823" t="s">
        <v>329</v>
      </c>
      <c r="I737" s="823" t="s">
        <v>2231</v>
      </c>
      <c r="J737" s="823" t="s">
        <v>870</v>
      </c>
      <c r="K737" s="823" t="s">
        <v>2232</v>
      </c>
      <c r="L737" s="826">
        <v>45.03</v>
      </c>
      <c r="M737" s="826">
        <v>90.06</v>
      </c>
      <c r="N737" s="823">
        <v>2</v>
      </c>
      <c r="O737" s="827">
        <v>1.5</v>
      </c>
      <c r="P737" s="826">
        <v>45.03</v>
      </c>
      <c r="Q737" s="828">
        <v>0.5</v>
      </c>
      <c r="R737" s="823">
        <v>1</v>
      </c>
      <c r="S737" s="828">
        <v>0.5</v>
      </c>
      <c r="T737" s="827">
        <v>0.5</v>
      </c>
      <c r="U737" s="829">
        <v>0.33333333333333331</v>
      </c>
    </row>
    <row r="738" spans="1:21" ht="14.45" customHeight="1" x14ac:dyDescent="0.2">
      <c r="A738" s="822">
        <v>50</v>
      </c>
      <c r="B738" s="823" t="s">
        <v>1887</v>
      </c>
      <c r="C738" s="823" t="s">
        <v>1893</v>
      </c>
      <c r="D738" s="824" t="s">
        <v>2977</v>
      </c>
      <c r="E738" s="825" t="s">
        <v>1902</v>
      </c>
      <c r="F738" s="823" t="s">
        <v>1888</v>
      </c>
      <c r="G738" s="823" t="s">
        <v>2476</v>
      </c>
      <c r="H738" s="823" t="s">
        <v>329</v>
      </c>
      <c r="I738" s="823" t="s">
        <v>2733</v>
      </c>
      <c r="J738" s="823" t="s">
        <v>2478</v>
      </c>
      <c r="K738" s="823" t="s">
        <v>2479</v>
      </c>
      <c r="L738" s="826">
        <v>94.7</v>
      </c>
      <c r="M738" s="826">
        <v>94.7</v>
      </c>
      <c r="N738" s="823">
        <v>1</v>
      </c>
      <c r="O738" s="827">
        <v>1</v>
      </c>
      <c r="P738" s="826">
        <v>94.7</v>
      </c>
      <c r="Q738" s="828">
        <v>1</v>
      </c>
      <c r="R738" s="823">
        <v>1</v>
      </c>
      <c r="S738" s="828">
        <v>1</v>
      </c>
      <c r="T738" s="827">
        <v>1</v>
      </c>
      <c r="U738" s="829">
        <v>1</v>
      </c>
    </row>
    <row r="739" spans="1:21" ht="14.45" customHeight="1" x14ac:dyDescent="0.2">
      <c r="A739" s="822">
        <v>50</v>
      </c>
      <c r="B739" s="823" t="s">
        <v>1887</v>
      </c>
      <c r="C739" s="823" t="s">
        <v>1893</v>
      </c>
      <c r="D739" s="824" t="s">
        <v>2977</v>
      </c>
      <c r="E739" s="825" t="s">
        <v>1902</v>
      </c>
      <c r="F739" s="823" t="s">
        <v>1888</v>
      </c>
      <c r="G739" s="823" t="s">
        <v>2873</v>
      </c>
      <c r="H739" s="823" t="s">
        <v>329</v>
      </c>
      <c r="I739" s="823" t="s">
        <v>2874</v>
      </c>
      <c r="J739" s="823" t="s">
        <v>2875</v>
      </c>
      <c r="K739" s="823" t="s">
        <v>789</v>
      </c>
      <c r="L739" s="826">
        <v>72.47</v>
      </c>
      <c r="M739" s="826">
        <v>72.47</v>
      </c>
      <c r="N739" s="823">
        <v>1</v>
      </c>
      <c r="O739" s="827">
        <v>1</v>
      </c>
      <c r="P739" s="826"/>
      <c r="Q739" s="828">
        <v>0</v>
      </c>
      <c r="R739" s="823"/>
      <c r="S739" s="828">
        <v>0</v>
      </c>
      <c r="T739" s="827"/>
      <c r="U739" s="829">
        <v>0</v>
      </c>
    </row>
    <row r="740" spans="1:21" ht="14.45" customHeight="1" x14ac:dyDescent="0.2">
      <c r="A740" s="822">
        <v>50</v>
      </c>
      <c r="B740" s="823" t="s">
        <v>1887</v>
      </c>
      <c r="C740" s="823" t="s">
        <v>1893</v>
      </c>
      <c r="D740" s="824" t="s">
        <v>2977</v>
      </c>
      <c r="E740" s="825" t="s">
        <v>1902</v>
      </c>
      <c r="F740" s="823" t="s">
        <v>1888</v>
      </c>
      <c r="G740" s="823" t="s">
        <v>1955</v>
      </c>
      <c r="H740" s="823" t="s">
        <v>625</v>
      </c>
      <c r="I740" s="823" t="s">
        <v>1567</v>
      </c>
      <c r="J740" s="823" t="s">
        <v>1568</v>
      </c>
      <c r="K740" s="823" t="s">
        <v>1569</v>
      </c>
      <c r="L740" s="826">
        <v>93.43</v>
      </c>
      <c r="M740" s="826">
        <v>747.44</v>
      </c>
      <c r="N740" s="823">
        <v>8</v>
      </c>
      <c r="O740" s="827">
        <v>6</v>
      </c>
      <c r="P740" s="826">
        <v>93.43</v>
      </c>
      <c r="Q740" s="828">
        <v>0.125</v>
      </c>
      <c r="R740" s="823">
        <v>1</v>
      </c>
      <c r="S740" s="828">
        <v>0.125</v>
      </c>
      <c r="T740" s="827">
        <v>0.5</v>
      </c>
      <c r="U740" s="829">
        <v>8.3333333333333329E-2</v>
      </c>
    </row>
    <row r="741" spans="1:21" ht="14.45" customHeight="1" x14ac:dyDescent="0.2">
      <c r="A741" s="822">
        <v>50</v>
      </c>
      <c r="B741" s="823" t="s">
        <v>1887</v>
      </c>
      <c r="C741" s="823" t="s">
        <v>1893</v>
      </c>
      <c r="D741" s="824" t="s">
        <v>2977</v>
      </c>
      <c r="E741" s="825" t="s">
        <v>1902</v>
      </c>
      <c r="F741" s="823" t="s">
        <v>1888</v>
      </c>
      <c r="G741" s="823" t="s">
        <v>1955</v>
      </c>
      <c r="H741" s="823" t="s">
        <v>625</v>
      </c>
      <c r="I741" s="823" t="s">
        <v>1570</v>
      </c>
      <c r="J741" s="823" t="s">
        <v>1568</v>
      </c>
      <c r="K741" s="823" t="s">
        <v>1571</v>
      </c>
      <c r="L741" s="826">
        <v>186.87</v>
      </c>
      <c r="M741" s="826">
        <v>373.74</v>
      </c>
      <c r="N741" s="823">
        <v>2</v>
      </c>
      <c r="O741" s="827">
        <v>1</v>
      </c>
      <c r="P741" s="826"/>
      <c r="Q741" s="828">
        <v>0</v>
      </c>
      <c r="R741" s="823"/>
      <c r="S741" s="828">
        <v>0</v>
      </c>
      <c r="T741" s="827"/>
      <c r="U741" s="829">
        <v>0</v>
      </c>
    </row>
    <row r="742" spans="1:21" ht="14.45" customHeight="1" x14ac:dyDescent="0.2">
      <c r="A742" s="822">
        <v>50</v>
      </c>
      <c r="B742" s="823" t="s">
        <v>1887</v>
      </c>
      <c r="C742" s="823" t="s">
        <v>1893</v>
      </c>
      <c r="D742" s="824" t="s">
        <v>2977</v>
      </c>
      <c r="E742" s="825" t="s">
        <v>1902</v>
      </c>
      <c r="F742" s="823" t="s">
        <v>1888</v>
      </c>
      <c r="G742" s="823" t="s">
        <v>1955</v>
      </c>
      <c r="H742" s="823" t="s">
        <v>329</v>
      </c>
      <c r="I742" s="823" t="s">
        <v>2876</v>
      </c>
      <c r="J742" s="823" t="s">
        <v>2238</v>
      </c>
      <c r="K742" s="823" t="s">
        <v>2877</v>
      </c>
      <c r="L742" s="826">
        <v>100.11</v>
      </c>
      <c r="M742" s="826">
        <v>100.11</v>
      </c>
      <c r="N742" s="823">
        <v>1</v>
      </c>
      <c r="O742" s="827">
        <v>0.5</v>
      </c>
      <c r="P742" s="826"/>
      <c r="Q742" s="828">
        <v>0</v>
      </c>
      <c r="R742" s="823"/>
      <c r="S742" s="828">
        <v>0</v>
      </c>
      <c r="T742" s="827"/>
      <c r="U742" s="829">
        <v>0</v>
      </c>
    </row>
    <row r="743" spans="1:21" ht="14.45" customHeight="1" x14ac:dyDescent="0.2">
      <c r="A743" s="822">
        <v>50</v>
      </c>
      <c r="B743" s="823" t="s">
        <v>1887</v>
      </c>
      <c r="C743" s="823" t="s">
        <v>1893</v>
      </c>
      <c r="D743" s="824" t="s">
        <v>2977</v>
      </c>
      <c r="E743" s="825" t="s">
        <v>1902</v>
      </c>
      <c r="F743" s="823" t="s">
        <v>1888</v>
      </c>
      <c r="G743" s="823" t="s">
        <v>1956</v>
      </c>
      <c r="H743" s="823" t="s">
        <v>329</v>
      </c>
      <c r="I743" s="823" t="s">
        <v>2878</v>
      </c>
      <c r="J743" s="823" t="s">
        <v>1958</v>
      </c>
      <c r="K743" s="823" t="s">
        <v>2879</v>
      </c>
      <c r="L743" s="826">
        <v>231.16</v>
      </c>
      <c r="M743" s="826">
        <v>231.16</v>
      </c>
      <c r="N743" s="823">
        <v>1</v>
      </c>
      <c r="O743" s="827">
        <v>1</v>
      </c>
      <c r="P743" s="826">
        <v>231.16</v>
      </c>
      <c r="Q743" s="828">
        <v>1</v>
      </c>
      <c r="R743" s="823">
        <v>1</v>
      </c>
      <c r="S743" s="828">
        <v>1</v>
      </c>
      <c r="T743" s="827">
        <v>1</v>
      </c>
      <c r="U743" s="829">
        <v>1</v>
      </c>
    </row>
    <row r="744" spans="1:21" ht="14.45" customHeight="1" x14ac:dyDescent="0.2">
      <c r="A744" s="822">
        <v>50</v>
      </c>
      <c r="B744" s="823" t="s">
        <v>1887</v>
      </c>
      <c r="C744" s="823" t="s">
        <v>1893</v>
      </c>
      <c r="D744" s="824" t="s">
        <v>2977</v>
      </c>
      <c r="E744" s="825" t="s">
        <v>1902</v>
      </c>
      <c r="F744" s="823" t="s">
        <v>1888</v>
      </c>
      <c r="G744" s="823" t="s">
        <v>1918</v>
      </c>
      <c r="H744" s="823" t="s">
        <v>329</v>
      </c>
      <c r="I744" s="823" t="s">
        <v>2100</v>
      </c>
      <c r="J744" s="823" t="s">
        <v>642</v>
      </c>
      <c r="K744" s="823" t="s">
        <v>2101</v>
      </c>
      <c r="L744" s="826">
        <v>31.65</v>
      </c>
      <c r="M744" s="826">
        <v>284.85000000000002</v>
      </c>
      <c r="N744" s="823">
        <v>9</v>
      </c>
      <c r="O744" s="827">
        <v>5.5</v>
      </c>
      <c r="P744" s="826">
        <v>63.3</v>
      </c>
      <c r="Q744" s="828">
        <v>0.22222222222222218</v>
      </c>
      <c r="R744" s="823">
        <v>2</v>
      </c>
      <c r="S744" s="828">
        <v>0.22222222222222221</v>
      </c>
      <c r="T744" s="827">
        <v>1</v>
      </c>
      <c r="U744" s="829">
        <v>0.18181818181818182</v>
      </c>
    </row>
    <row r="745" spans="1:21" ht="14.45" customHeight="1" x14ac:dyDescent="0.2">
      <c r="A745" s="822">
        <v>50</v>
      </c>
      <c r="B745" s="823" t="s">
        <v>1887</v>
      </c>
      <c r="C745" s="823" t="s">
        <v>1893</v>
      </c>
      <c r="D745" s="824" t="s">
        <v>2977</v>
      </c>
      <c r="E745" s="825" t="s">
        <v>1902</v>
      </c>
      <c r="F745" s="823" t="s">
        <v>1888</v>
      </c>
      <c r="G745" s="823" t="s">
        <v>1918</v>
      </c>
      <c r="H745" s="823" t="s">
        <v>329</v>
      </c>
      <c r="I745" s="823" t="s">
        <v>2240</v>
      </c>
      <c r="J745" s="823" t="s">
        <v>1961</v>
      </c>
      <c r="K745" s="823" t="s">
        <v>2241</v>
      </c>
      <c r="L745" s="826">
        <v>26.37</v>
      </c>
      <c r="M745" s="826">
        <v>79.11</v>
      </c>
      <c r="N745" s="823">
        <v>3</v>
      </c>
      <c r="O745" s="827">
        <v>2.5</v>
      </c>
      <c r="P745" s="826"/>
      <c r="Q745" s="828">
        <v>0</v>
      </c>
      <c r="R745" s="823"/>
      <c r="S745" s="828">
        <v>0</v>
      </c>
      <c r="T745" s="827"/>
      <c r="U745" s="829">
        <v>0</v>
      </c>
    </row>
    <row r="746" spans="1:21" ht="14.45" customHeight="1" x14ac:dyDescent="0.2">
      <c r="A746" s="822">
        <v>50</v>
      </c>
      <c r="B746" s="823" t="s">
        <v>1887</v>
      </c>
      <c r="C746" s="823" t="s">
        <v>1893</v>
      </c>
      <c r="D746" s="824" t="s">
        <v>2977</v>
      </c>
      <c r="E746" s="825" t="s">
        <v>1902</v>
      </c>
      <c r="F746" s="823" t="s">
        <v>1888</v>
      </c>
      <c r="G746" s="823" t="s">
        <v>1918</v>
      </c>
      <c r="H746" s="823" t="s">
        <v>329</v>
      </c>
      <c r="I746" s="823" t="s">
        <v>1960</v>
      </c>
      <c r="J746" s="823" t="s">
        <v>1961</v>
      </c>
      <c r="K746" s="823" t="s">
        <v>1962</v>
      </c>
      <c r="L746" s="826">
        <v>10.55</v>
      </c>
      <c r="M746" s="826">
        <v>10.55</v>
      </c>
      <c r="N746" s="823">
        <v>1</v>
      </c>
      <c r="O746" s="827">
        <v>0.5</v>
      </c>
      <c r="P746" s="826"/>
      <c r="Q746" s="828">
        <v>0</v>
      </c>
      <c r="R746" s="823"/>
      <c r="S746" s="828">
        <v>0</v>
      </c>
      <c r="T746" s="827"/>
      <c r="U746" s="829">
        <v>0</v>
      </c>
    </row>
    <row r="747" spans="1:21" ht="14.45" customHeight="1" x14ac:dyDescent="0.2">
      <c r="A747" s="822">
        <v>50</v>
      </c>
      <c r="B747" s="823" t="s">
        <v>1887</v>
      </c>
      <c r="C747" s="823" t="s">
        <v>1893</v>
      </c>
      <c r="D747" s="824" t="s">
        <v>2977</v>
      </c>
      <c r="E747" s="825" t="s">
        <v>1902</v>
      </c>
      <c r="F747" s="823" t="s">
        <v>1888</v>
      </c>
      <c r="G747" s="823" t="s">
        <v>1918</v>
      </c>
      <c r="H747" s="823" t="s">
        <v>329</v>
      </c>
      <c r="I747" s="823" t="s">
        <v>2242</v>
      </c>
      <c r="J747" s="823" t="s">
        <v>2243</v>
      </c>
      <c r="K747" s="823" t="s">
        <v>2244</v>
      </c>
      <c r="L747" s="826">
        <v>52.75</v>
      </c>
      <c r="M747" s="826">
        <v>52.75</v>
      </c>
      <c r="N747" s="823">
        <v>1</v>
      </c>
      <c r="O747" s="827">
        <v>0.5</v>
      </c>
      <c r="P747" s="826">
        <v>52.75</v>
      </c>
      <c r="Q747" s="828">
        <v>1</v>
      </c>
      <c r="R747" s="823">
        <v>1</v>
      </c>
      <c r="S747" s="828">
        <v>1</v>
      </c>
      <c r="T747" s="827">
        <v>0.5</v>
      </c>
      <c r="U747" s="829">
        <v>1</v>
      </c>
    </row>
    <row r="748" spans="1:21" ht="14.45" customHeight="1" x14ac:dyDescent="0.2">
      <c r="A748" s="822">
        <v>50</v>
      </c>
      <c r="B748" s="823" t="s">
        <v>1887</v>
      </c>
      <c r="C748" s="823" t="s">
        <v>1893</v>
      </c>
      <c r="D748" s="824" t="s">
        <v>2977</v>
      </c>
      <c r="E748" s="825" t="s">
        <v>1902</v>
      </c>
      <c r="F748" s="823" t="s">
        <v>1888</v>
      </c>
      <c r="G748" s="823" t="s">
        <v>1918</v>
      </c>
      <c r="H748" s="823" t="s">
        <v>329</v>
      </c>
      <c r="I748" s="823" t="s">
        <v>2326</v>
      </c>
      <c r="J748" s="823" t="s">
        <v>2243</v>
      </c>
      <c r="K748" s="823" t="s">
        <v>2327</v>
      </c>
      <c r="L748" s="826">
        <v>31.65</v>
      </c>
      <c r="M748" s="826">
        <v>31.65</v>
      </c>
      <c r="N748" s="823">
        <v>1</v>
      </c>
      <c r="O748" s="827">
        <v>1</v>
      </c>
      <c r="P748" s="826"/>
      <c r="Q748" s="828">
        <v>0</v>
      </c>
      <c r="R748" s="823"/>
      <c r="S748" s="828">
        <v>0</v>
      </c>
      <c r="T748" s="827"/>
      <c r="U748" s="829">
        <v>0</v>
      </c>
    </row>
    <row r="749" spans="1:21" ht="14.45" customHeight="1" x14ac:dyDescent="0.2">
      <c r="A749" s="822">
        <v>50</v>
      </c>
      <c r="B749" s="823" t="s">
        <v>1887</v>
      </c>
      <c r="C749" s="823" t="s">
        <v>1893</v>
      </c>
      <c r="D749" s="824" t="s">
        <v>2977</v>
      </c>
      <c r="E749" s="825" t="s">
        <v>1902</v>
      </c>
      <c r="F749" s="823" t="s">
        <v>1888</v>
      </c>
      <c r="G749" s="823" t="s">
        <v>2328</v>
      </c>
      <c r="H749" s="823" t="s">
        <v>329</v>
      </c>
      <c r="I749" s="823" t="s">
        <v>2329</v>
      </c>
      <c r="J749" s="823" t="s">
        <v>2330</v>
      </c>
      <c r="K749" s="823" t="s">
        <v>2331</v>
      </c>
      <c r="L749" s="826">
        <v>73.150000000000006</v>
      </c>
      <c r="M749" s="826">
        <v>73.150000000000006</v>
      </c>
      <c r="N749" s="823">
        <v>1</v>
      </c>
      <c r="O749" s="827">
        <v>1</v>
      </c>
      <c r="P749" s="826">
        <v>73.150000000000006</v>
      </c>
      <c r="Q749" s="828">
        <v>1</v>
      </c>
      <c r="R749" s="823">
        <v>1</v>
      </c>
      <c r="S749" s="828">
        <v>1</v>
      </c>
      <c r="T749" s="827">
        <v>1</v>
      </c>
      <c r="U749" s="829">
        <v>1</v>
      </c>
    </row>
    <row r="750" spans="1:21" ht="14.45" customHeight="1" x14ac:dyDescent="0.2">
      <c r="A750" s="822">
        <v>50</v>
      </c>
      <c r="B750" s="823" t="s">
        <v>1887</v>
      </c>
      <c r="C750" s="823" t="s">
        <v>1893</v>
      </c>
      <c r="D750" s="824" t="s">
        <v>2977</v>
      </c>
      <c r="E750" s="825" t="s">
        <v>1902</v>
      </c>
      <c r="F750" s="823" t="s">
        <v>1888</v>
      </c>
      <c r="G750" s="823" t="s">
        <v>2249</v>
      </c>
      <c r="H750" s="823" t="s">
        <v>329</v>
      </c>
      <c r="I750" s="823" t="s">
        <v>2250</v>
      </c>
      <c r="J750" s="823" t="s">
        <v>2251</v>
      </c>
      <c r="K750" s="823" t="s">
        <v>2252</v>
      </c>
      <c r="L750" s="826">
        <v>2666.33</v>
      </c>
      <c r="M750" s="826">
        <v>2666.33</v>
      </c>
      <c r="N750" s="823">
        <v>1</v>
      </c>
      <c r="O750" s="827">
        <v>0.5</v>
      </c>
      <c r="P750" s="826"/>
      <c r="Q750" s="828">
        <v>0</v>
      </c>
      <c r="R750" s="823"/>
      <c r="S750" s="828">
        <v>0</v>
      </c>
      <c r="T750" s="827"/>
      <c r="U750" s="829">
        <v>0</v>
      </c>
    </row>
    <row r="751" spans="1:21" ht="14.45" customHeight="1" x14ac:dyDescent="0.2">
      <c r="A751" s="822">
        <v>50</v>
      </c>
      <c r="B751" s="823" t="s">
        <v>1887</v>
      </c>
      <c r="C751" s="823" t="s">
        <v>1893</v>
      </c>
      <c r="D751" s="824" t="s">
        <v>2977</v>
      </c>
      <c r="E751" s="825" t="s">
        <v>1902</v>
      </c>
      <c r="F751" s="823" t="s">
        <v>1888</v>
      </c>
      <c r="G751" s="823" t="s">
        <v>2107</v>
      </c>
      <c r="H751" s="823" t="s">
        <v>625</v>
      </c>
      <c r="I751" s="823" t="s">
        <v>2253</v>
      </c>
      <c r="J751" s="823" t="s">
        <v>2109</v>
      </c>
      <c r="K751" s="823" t="s">
        <v>2254</v>
      </c>
      <c r="L751" s="826">
        <v>39.549999999999997</v>
      </c>
      <c r="M751" s="826">
        <v>39.549999999999997</v>
      </c>
      <c r="N751" s="823">
        <v>1</v>
      </c>
      <c r="O751" s="827">
        <v>0.5</v>
      </c>
      <c r="P751" s="826"/>
      <c r="Q751" s="828">
        <v>0</v>
      </c>
      <c r="R751" s="823"/>
      <c r="S751" s="828">
        <v>0</v>
      </c>
      <c r="T751" s="827"/>
      <c r="U751" s="829">
        <v>0</v>
      </c>
    </row>
    <row r="752" spans="1:21" ht="14.45" customHeight="1" x14ac:dyDescent="0.2">
      <c r="A752" s="822">
        <v>50</v>
      </c>
      <c r="B752" s="823" t="s">
        <v>1887</v>
      </c>
      <c r="C752" s="823" t="s">
        <v>1893</v>
      </c>
      <c r="D752" s="824" t="s">
        <v>2977</v>
      </c>
      <c r="E752" s="825" t="s">
        <v>1902</v>
      </c>
      <c r="F752" s="823" t="s">
        <v>1888</v>
      </c>
      <c r="G752" s="823" t="s">
        <v>2255</v>
      </c>
      <c r="H752" s="823" t="s">
        <v>625</v>
      </c>
      <c r="I752" s="823" t="s">
        <v>1536</v>
      </c>
      <c r="J752" s="823" t="s">
        <v>1533</v>
      </c>
      <c r="K752" s="823" t="s">
        <v>1537</v>
      </c>
      <c r="L752" s="826">
        <v>43.21</v>
      </c>
      <c r="M752" s="826">
        <v>43.21</v>
      </c>
      <c r="N752" s="823">
        <v>1</v>
      </c>
      <c r="O752" s="827">
        <v>1</v>
      </c>
      <c r="P752" s="826"/>
      <c r="Q752" s="828">
        <v>0</v>
      </c>
      <c r="R752" s="823"/>
      <c r="S752" s="828">
        <v>0</v>
      </c>
      <c r="T752" s="827"/>
      <c r="U752" s="829">
        <v>0</v>
      </c>
    </row>
    <row r="753" spans="1:21" ht="14.45" customHeight="1" x14ac:dyDescent="0.2">
      <c r="A753" s="822">
        <v>50</v>
      </c>
      <c r="B753" s="823" t="s">
        <v>1887</v>
      </c>
      <c r="C753" s="823" t="s">
        <v>1893</v>
      </c>
      <c r="D753" s="824" t="s">
        <v>2977</v>
      </c>
      <c r="E753" s="825" t="s">
        <v>1902</v>
      </c>
      <c r="F753" s="823" t="s">
        <v>1888</v>
      </c>
      <c r="G753" s="823" t="s">
        <v>2255</v>
      </c>
      <c r="H753" s="823" t="s">
        <v>329</v>
      </c>
      <c r="I753" s="823" t="s">
        <v>2880</v>
      </c>
      <c r="J753" s="823" t="s">
        <v>2881</v>
      </c>
      <c r="K753" s="823" t="s">
        <v>2303</v>
      </c>
      <c r="L753" s="826">
        <v>43.21</v>
      </c>
      <c r="M753" s="826">
        <v>43.21</v>
      </c>
      <c r="N753" s="823">
        <v>1</v>
      </c>
      <c r="O753" s="827">
        <v>1</v>
      </c>
      <c r="P753" s="826"/>
      <c r="Q753" s="828">
        <v>0</v>
      </c>
      <c r="R753" s="823"/>
      <c r="S753" s="828">
        <v>0</v>
      </c>
      <c r="T753" s="827"/>
      <c r="U753" s="829">
        <v>0</v>
      </c>
    </row>
    <row r="754" spans="1:21" ht="14.45" customHeight="1" x14ac:dyDescent="0.2">
      <c r="A754" s="822">
        <v>50</v>
      </c>
      <c r="B754" s="823" t="s">
        <v>1887</v>
      </c>
      <c r="C754" s="823" t="s">
        <v>1893</v>
      </c>
      <c r="D754" s="824" t="s">
        <v>2977</v>
      </c>
      <c r="E754" s="825" t="s">
        <v>1902</v>
      </c>
      <c r="F754" s="823" t="s">
        <v>1888</v>
      </c>
      <c r="G754" s="823" t="s">
        <v>1933</v>
      </c>
      <c r="H754" s="823" t="s">
        <v>329</v>
      </c>
      <c r="I754" s="823" t="s">
        <v>2758</v>
      </c>
      <c r="J754" s="823" t="s">
        <v>1185</v>
      </c>
      <c r="K754" s="823" t="s">
        <v>1604</v>
      </c>
      <c r="L754" s="826">
        <v>35.11</v>
      </c>
      <c r="M754" s="826">
        <v>35.11</v>
      </c>
      <c r="N754" s="823">
        <v>1</v>
      </c>
      <c r="O754" s="827">
        <v>1</v>
      </c>
      <c r="P754" s="826"/>
      <c r="Q754" s="828">
        <v>0</v>
      </c>
      <c r="R754" s="823"/>
      <c r="S754" s="828">
        <v>0</v>
      </c>
      <c r="T754" s="827"/>
      <c r="U754" s="829">
        <v>0</v>
      </c>
    </row>
    <row r="755" spans="1:21" ht="14.45" customHeight="1" x14ac:dyDescent="0.2">
      <c r="A755" s="822">
        <v>50</v>
      </c>
      <c r="B755" s="823" t="s">
        <v>1887</v>
      </c>
      <c r="C755" s="823" t="s">
        <v>1893</v>
      </c>
      <c r="D755" s="824" t="s">
        <v>2977</v>
      </c>
      <c r="E755" s="825" t="s">
        <v>1902</v>
      </c>
      <c r="F755" s="823" t="s">
        <v>1888</v>
      </c>
      <c r="G755" s="823" t="s">
        <v>1966</v>
      </c>
      <c r="H755" s="823" t="s">
        <v>625</v>
      </c>
      <c r="I755" s="823" t="s">
        <v>1552</v>
      </c>
      <c r="J755" s="823" t="s">
        <v>809</v>
      </c>
      <c r="K755" s="823" t="s">
        <v>1553</v>
      </c>
      <c r="L755" s="826">
        <v>1385.62</v>
      </c>
      <c r="M755" s="826">
        <v>1385.62</v>
      </c>
      <c r="N755" s="823">
        <v>1</v>
      </c>
      <c r="O755" s="827">
        <v>1</v>
      </c>
      <c r="P755" s="826"/>
      <c r="Q755" s="828">
        <v>0</v>
      </c>
      <c r="R755" s="823"/>
      <c r="S755" s="828">
        <v>0</v>
      </c>
      <c r="T755" s="827"/>
      <c r="U755" s="829">
        <v>0</v>
      </c>
    </row>
    <row r="756" spans="1:21" ht="14.45" customHeight="1" x14ac:dyDescent="0.2">
      <c r="A756" s="822">
        <v>50</v>
      </c>
      <c r="B756" s="823" t="s">
        <v>1887</v>
      </c>
      <c r="C756" s="823" t="s">
        <v>1893</v>
      </c>
      <c r="D756" s="824" t="s">
        <v>2977</v>
      </c>
      <c r="E756" s="825" t="s">
        <v>1902</v>
      </c>
      <c r="F756" s="823" t="s">
        <v>1888</v>
      </c>
      <c r="G756" s="823" t="s">
        <v>1966</v>
      </c>
      <c r="H756" s="823" t="s">
        <v>625</v>
      </c>
      <c r="I756" s="823" t="s">
        <v>1562</v>
      </c>
      <c r="J756" s="823" t="s">
        <v>803</v>
      </c>
      <c r="K756" s="823" t="s">
        <v>1563</v>
      </c>
      <c r="L756" s="826">
        <v>1154.68</v>
      </c>
      <c r="M756" s="826">
        <v>1154.68</v>
      </c>
      <c r="N756" s="823">
        <v>1</v>
      </c>
      <c r="O756" s="827">
        <v>1</v>
      </c>
      <c r="P756" s="826"/>
      <c r="Q756" s="828">
        <v>0</v>
      </c>
      <c r="R756" s="823"/>
      <c r="S756" s="828">
        <v>0</v>
      </c>
      <c r="T756" s="827"/>
      <c r="U756" s="829">
        <v>0</v>
      </c>
    </row>
    <row r="757" spans="1:21" ht="14.45" customHeight="1" x14ac:dyDescent="0.2">
      <c r="A757" s="822">
        <v>50</v>
      </c>
      <c r="B757" s="823" t="s">
        <v>1887</v>
      </c>
      <c r="C757" s="823" t="s">
        <v>1893</v>
      </c>
      <c r="D757" s="824" t="s">
        <v>2977</v>
      </c>
      <c r="E757" s="825" t="s">
        <v>1902</v>
      </c>
      <c r="F757" s="823" t="s">
        <v>1888</v>
      </c>
      <c r="G757" s="823" t="s">
        <v>1966</v>
      </c>
      <c r="H757" s="823" t="s">
        <v>625</v>
      </c>
      <c r="I757" s="823" t="s">
        <v>1556</v>
      </c>
      <c r="J757" s="823" t="s">
        <v>803</v>
      </c>
      <c r="K757" s="823" t="s">
        <v>1557</v>
      </c>
      <c r="L757" s="826">
        <v>923.74</v>
      </c>
      <c r="M757" s="826">
        <v>923.74</v>
      </c>
      <c r="N757" s="823">
        <v>1</v>
      </c>
      <c r="O757" s="827">
        <v>1</v>
      </c>
      <c r="P757" s="826"/>
      <c r="Q757" s="828">
        <v>0</v>
      </c>
      <c r="R757" s="823"/>
      <c r="S757" s="828">
        <v>0</v>
      </c>
      <c r="T757" s="827"/>
      <c r="U757" s="829">
        <v>0</v>
      </c>
    </row>
    <row r="758" spans="1:21" ht="14.45" customHeight="1" x14ac:dyDescent="0.2">
      <c r="A758" s="822">
        <v>50</v>
      </c>
      <c r="B758" s="823" t="s">
        <v>1887</v>
      </c>
      <c r="C758" s="823" t="s">
        <v>1893</v>
      </c>
      <c r="D758" s="824" t="s">
        <v>2977</v>
      </c>
      <c r="E758" s="825" t="s">
        <v>1902</v>
      </c>
      <c r="F758" s="823" t="s">
        <v>1888</v>
      </c>
      <c r="G758" s="823" t="s">
        <v>2339</v>
      </c>
      <c r="H758" s="823" t="s">
        <v>329</v>
      </c>
      <c r="I758" s="823" t="s">
        <v>2340</v>
      </c>
      <c r="J758" s="823" t="s">
        <v>2341</v>
      </c>
      <c r="K758" s="823" t="s">
        <v>2342</v>
      </c>
      <c r="L758" s="826">
        <v>32.76</v>
      </c>
      <c r="M758" s="826">
        <v>32.76</v>
      </c>
      <c r="N758" s="823">
        <v>1</v>
      </c>
      <c r="O758" s="827">
        <v>0.5</v>
      </c>
      <c r="P758" s="826"/>
      <c r="Q758" s="828">
        <v>0</v>
      </c>
      <c r="R758" s="823"/>
      <c r="S758" s="828">
        <v>0</v>
      </c>
      <c r="T758" s="827"/>
      <c r="U758" s="829">
        <v>0</v>
      </c>
    </row>
    <row r="759" spans="1:21" ht="14.45" customHeight="1" x14ac:dyDescent="0.2">
      <c r="A759" s="822">
        <v>50</v>
      </c>
      <c r="B759" s="823" t="s">
        <v>1887</v>
      </c>
      <c r="C759" s="823" t="s">
        <v>1893</v>
      </c>
      <c r="D759" s="824" t="s">
        <v>2977</v>
      </c>
      <c r="E759" s="825" t="s">
        <v>1902</v>
      </c>
      <c r="F759" s="823" t="s">
        <v>1888</v>
      </c>
      <c r="G759" s="823" t="s">
        <v>2120</v>
      </c>
      <c r="H759" s="823" t="s">
        <v>329</v>
      </c>
      <c r="I759" s="823" t="s">
        <v>2121</v>
      </c>
      <c r="J759" s="823" t="s">
        <v>2122</v>
      </c>
      <c r="K759" s="823" t="s">
        <v>2123</v>
      </c>
      <c r="L759" s="826">
        <v>35.25</v>
      </c>
      <c r="M759" s="826">
        <v>35.25</v>
      </c>
      <c r="N759" s="823">
        <v>1</v>
      </c>
      <c r="O759" s="827">
        <v>1</v>
      </c>
      <c r="P759" s="826"/>
      <c r="Q759" s="828">
        <v>0</v>
      </c>
      <c r="R759" s="823"/>
      <c r="S759" s="828">
        <v>0</v>
      </c>
      <c r="T759" s="827"/>
      <c r="U759" s="829">
        <v>0</v>
      </c>
    </row>
    <row r="760" spans="1:21" ht="14.45" customHeight="1" x14ac:dyDescent="0.2">
      <c r="A760" s="822">
        <v>50</v>
      </c>
      <c r="B760" s="823" t="s">
        <v>1887</v>
      </c>
      <c r="C760" s="823" t="s">
        <v>1893</v>
      </c>
      <c r="D760" s="824" t="s">
        <v>2977</v>
      </c>
      <c r="E760" s="825" t="s">
        <v>1902</v>
      </c>
      <c r="F760" s="823" t="s">
        <v>1888</v>
      </c>
      <c r="G760" s="823" t="s">
        <v>1967</v>
      </c>
      <c r="H760" s="823" t="s">
        <v>329</v>
      </c>
      <c r="I760" s="823" t="s">
        <v>2882</v>
      </c>
      <c r="J760" s="823" t="s">
        <v>832</v>
      </c>
      <c r="K760" s="823" t="s">
        <v>2883</v>
      </c>
      <c r="L760" s="826">
        <v>57.64</v>
      </c>
      <c r="M760" s="826">
        <v>57.64</v>
      </c>
      <c r="N760" s="823">
        <v>1</v>
      </c>
      <c r="O760" s="827">
        <v>1</v>
      </c>
      <c r="P760" s="826"/>
      <c r="Q760" s="828">
        <v>0</v>
      </c>
      <c r="R760" s="823"/>
      <c r="S760" s="828">
        <v>0</v>
      </c>
      <c r="T760" s="827"/>
      <c r="U760" s="829">
        <v>0</v>
      </c>
    </row>
    <row r="761" spans="1:21" ht="14.45" customHeight="1" x14ac:dyDescent="0.2">
      <c r="A761" s="822">
        <v>50</v>
      </c>
      <c r="B761" s="823" t="s">
        <v>1887</v>
      </c>
      <c r="C761" s="823" t="s">
        <v>1893</v>
      </c>
      <c r="D761" s="824" t="s">
        <v>2977</v>
      </c>
      <c r="E761" s="825" t="s">
        <v>1902</v>
      </c>
      <c r="F761" s="823" t="s">
        <v>1888</v>
      </c>
      <c r="G761" s="823" t="s">
        <v>1967</v>
      </c>
      <c r="H761" s="823" t="s">
        <v>329</v>
      </c>
      <c r="I761" s="823" t="s">
        <v>2347</v>
      </c>
      <c r="J761" s="823" t="s">
        <v>832</v>
      </c>
      <c r="K761" s="823" t="s">
        <v>2348</v>
      </c>
      <c r="L761" s="826">
        <v>185.26</v>
      </c>
      <c r="M761" s="826">
        <v>185.26</v>
      </c>
      <c r="N761" s="823">
        <v>1</v>
      </c>
      <c r="O761" s="827">
        <v>1</v>
      </c>
      <c r="P761" s="826">
        <v>185.26</v>
      </c>
      <c r="Q761" s="828">
        <v>1</v>
      </c>
      <c r="R761" s="823">
        <v>1</v>
      </c>
      <c r="S761" s="828">
        <v>1</v>
      </c>
      <c r="T761" s="827">
        <v>1</v>
      </c>
      <c r="U761" s="829">
        <v>1</v>
      </c>
    </row>
    <row r="762" spans="1:21" ht="14.45" customHeight="1" x14ac:dyDescent="0.2">
      <c r="A762" s="822">
        <v>50</v>
      </c>
      <c r="B762" s="823" t="s">
        <v>1887</v>
      </c>
      <c r="C762" s="823" t="s">
        <v>1893</v>
      </c>
      <c r="D762" s="824" t="s">
        <v>2977</v>
      </c>
      <c r="E762" s="825" t="s">
        <v>1902</v>
      </c>
      <c r="F762" s="823" t="s">
        <v>1888</v>
      </c>
      <c r="G762" s="823" t="s">
        <v>1973</v>
      </c>
      <c r="H762" s="823" t="s">
        <v>329</v>
      </c>
      <c r="I762" s="823" t="s">
        <v>1974</v>
      </c>
      <c r="J762" s="823" t="s">
        <v>706</v>
      </c>
      <c r="K762" s="823" t="s">
        <v>1975</v>
      </c>
      <c r="L762" s="826">
        <v>57.64</v>
      </c>
      <c r="M762" s="826">
        <v>172.92000000000002</v>
      </c>
      <c r="N762" s="823">
        <v>3</v>
      </c>
      <c r="O762" s="827">
        <v>2</v>
      </c>
      <c r="P762" s="826">
        <v>115.28</v>
      </c>
      <c r="Q762" s="828">
        <v>0.66666666666666663</v>
      </c>
      <c r="R762" s="823">
        <v>2</v>
      </c>
      <c r="S762" s="828">
        <v>0.66666666666666663</v>
      </c>
      <c r="T762" s="827">
        <v>1</v>
      </c>
      <c r="U762" s="829">
        <v>0.5</v>
      </c>
    </row>
    <row r="763" spans="1:21" ht="14.45" customHeight="1" x14ac:dyDescent="0.2">
      <c r="A763" s="822">
        <v>50</v>
      </c>
      <c r="B763" s="823" t="s">
        <v>1887</v>
      </c>
      <c r="C763" s="823" t="s">
        <v>1893</v>
      </c>
      <c r="D763" s="824" t="s">
        <v>2977</v>
      </c>
      <c r="E763" s="825" t="s">
        <v>1902</v>
      </c>
      <c r="F763" s="823" t="s">
        <v>1888</v>
      </c>
      <c r="G763" s="823" t="s">
        <v>1973</v>
      </c>
      <c r="H763" s="823" t="s">
        <v>329</v>
      </c>
      <c r="I763" s="823" t="s">
        <v>1974</v>
      </c>
      <c r="J763" s="823" t="s">
        <v>706</v>
      </c>
      <c r="K763" s="823" t="s">
        <v>1975</v>
      </c>
      <c r="L763" s="826">
        <v>27.37</v>
      </c>
      <c r="M763" s="826">
        <v>54.74</v>
      </c>
      <c r="N763" s="823">
        <v>2</v>
      </c>
      <c r="O763" s="827">
        <v>1</v>
      </c>
      <c r="P763" s="826">
        <v>27.37</v>
      </c>
      <c r="Q763" s="828">
        <v>0.5</v>
      </c>
      <c r="R763" s="823">
        <v>1</v>
      </c>
      <c r="S763" s="828">
        <v>0.5</v>
      </c>
      <c r="T763" s="827">
        <v>0.5</v>
      </c>
      <c r="U763" s="829">
        <v>0.5</v>
      </c>
    </row>
    <row r="764" spans="1:21" ht="14.45" customHeight="1" x14ac:dyDescent="0.2">
      <c r="A764" s="822">
        <v>50</v>
      </c>
      <c r="B764" s="823" t="s">
        <v>1887</v>
      </c>
      <c r="C764" s="823" t="s">
        <v>1893</v>
      </c>
      <c r="D764" s="824" t="s">
        <v>2977</v>
      </c>
      <c r="E764" s="825" t="s">
        <v>1902</v>
      </c>
      <c r="F764" s="823" t="s">
        <v>1888</v>
      </c>
      <c r="G764" s="823" t="s">
        <v>1973</v>
      </c>
      <c r="H764" s="823" t="s">
        <v>329</v>
      </c>
      <c r="I764" s="823" t="s">
        <v>2265</v>
      </c>
      <c r="J764" s="823" t="s">
        <v>2266</v>
      </c>
      <c r="K764" s="823" t="s">
        <v>2267</v>
      </c>
      <c r="L764" s="826">
        <v>29.33</v>
      </c>
      <c r="M764" s="826">
        <v>29.33</v>
      </c>
      <c r="N764" s="823">
        <v>1</v>
      </c>
      <c r="O764" s="827">
        <v>0.5</v>
      </c>
      <c r="P764" s="826"/>
      <c r="Q764" s="828">
        <v>0</v>
      </c>
      <c r="R764" s="823"/>
      <c r="S764" s="828">
        <v>0</v>
      </c>
      <c r="T764" s="827"/>
      <c r="U764" s="829">
        <v>0</v>
      </c>
    </row>
    <row r="765" spans="1:21" ht="14.45" customHeight="1" x14ac:dyDescent="0.2">
      <c r="A765" s="822">
        <v>50</v>
      </c>
      <c r="B765" s="823" t="s">
        <v>1887</v>
      </c>
      <c r="C765" s="823" t="s">
        <v>1893</v>
      </c>
      <c r="D765" s="824" t="s">
        <v>2977</v>
      </c>
      <c r="E765" s="825" t="s">
        <v>1902</v>
      </c>
      <c r="F765" s="823" t="s">
        <v>1888</v>
      </c>
      <c r="G765" s="823" t="s">
        <v>2884</v>
      </c>
      <c r="H765" s="823" t="s">
        <v>625</v>
      </c>
      <c r="I765" s="823" t="s">
        <v>1853</v>
      </c>
      <c r="J765" s="823" t="s">
        <v>1171</v>
      </c>
      <c r="K765" s="823" t="s">
        <v>1854</v>
      </c>
      <c r="L765" s="826">
        <v>132</v>
      </c>
      <c r="M765" s="826">
        <v>132</v>
      </c>
      <c r="N765" s="823">
        <v>1</v>
      </c>
      <c r="O765" s="827">
        <v>0.5</v>
      </c>
      <c r="P765" s="826">
        <v>132</v>
      </c>
      <c r="Q765" s="828">
        <v>1</v>
      </c>
      <c r="R765" s="823">
        <v>1</v>
      </c>
      <c r="S765" s="828">
        <v>1</v>
      </c>
      <c r="T765" s="827">
        <v>0.5</v>
      </c>
      <c r="U765" s="829">
        <v>1</v>
      </c>
    </row>
    <row r="766" spans="1:21" ht="14.45" customHeight="1" x14ac:dyDescent="0.2">
      <c r="A766" s="822">
        <v>50</v>
      </c>
      <c r="B766" s="823" t="s">
        <v>1887</v>
      </c>
      <c r="C766" s="823" t="s">
        <v>1893</v>
      </c>
      <c r="D766" s="824" t="s">
        <v>2977</v>
      </c>
      <c r="E766" s="825" t="s">
        <v>1902</v>
      </c>
      <c r="F766" s="823" t="s">
        <v>1888</v>
      </c>
      <c r="G766" s="823" t="s">
        <v>1921</v>
      </c>
      <c r="H766" s="823" t="s">
        <v>625</v>
      </c>
      <c r="I766" s="823" t="s">
        <v>1922</v>
      </c>
      <c r="J766" s="823" t="s">
        <v>967</v>
      </c>
      <c r="K766" s="823" t="s">
        <v>1923</v>
      </c>
      <c r="L766" s="826">
        <v>34.47</v>
      </c>
      <c r="M766" s="826">
        <v>137.88</v>
      </c>
      <c r="N766" s="823">
        <v>4</v>
      </c>
      <c r="O766" s="827">
        <v>2.5</v>
      </c>
      <c r="P766" s="826">
        <v>34.47</v>
      </c>
      <c r="Q766" s="828">
        <v>0.25</v>
      </c>
      <c r="R766" s="823">
        <v>1</v>
      </c>
      <c r="S766" s="828">
        <v>0.25</v>
      </c>
      <c r="T766" s="827">
        <v>0.5</v>
      </c>
      <c r="U766" s="829">
        <v>0.2</v>
      </c>
    </row>
    <row r="767" spans="1:21" ht="14.45" customHeight="1" x14ac:dyDescent="0.2">
      <c r="A767" s="822">
        <v>50</v>
      </c>
      <c r="B767" s="823" t="s">
        <v>1887</v>
      </c>
      <c r="C767" s="823" t="s">
        <v>1893</v>
      </c>
      <c r="D767" s="824" t="s">
        <v>2977</v>
      </c>
      <c r="E767" s="825" t="s">
        <v>1902</v>
      </c>
      <c r="F767" s="823" t="s">
        <v>1888</v>
      </c>
      <c r="G767" s="823" t="s">
        <v>1921</v>
      </c>
      <c r="H767" s="823" t="s">
        <v>625</v>
      </c>
      <c r="I767" s="823" t="s">
        <v>1624</v>
      </c>
      <c r="J767" s="823" t="s">
        <v>967</v>
      </c>
      <c r="K767" s="823" t="s">
        <v>1625</v>
      </c>
      <c r="L767" s="826">
        <v>103.4</v>
      </c>
      <c r="M767" s="826">
        <v>103.4</v>
      </c>
      <c r="N767" s="823">
        <v>1</v>
      </c>
      <c r="O767" s="827">
        <v>0.5</v>
      </c>
      <c r="P767" s="826"/>
      <c r="Q767" s="828">
        <v>0</v>
      </c>
      <c r="R767" s="823"/>
      <c r="S767" s="828">
        <v>0</v>
      </c>
      <c r="T767" s="827"/>
      <c r="U767" s="829">
        <v>0</v>
      </c>
    </row>
    <row r="768" spans="1:21" ht="14.45" customHeight="1" x14ac:dyDescent="0.2">
      <c r="A768" s="822">
        <v>50</v>
      </c>
      <c r="B768" s="823" t="s">
        <v>1887</v>
      </c>
      <c r="C768" s="823" t="s">
        <v>1893</v>
      </c>
      <c r="D768" s="824" t="s">
        <v>2977</v>
      </c>
      <c r="E768" s="825" t="s">
        <v>1902</v>
      </c>
      <c r="F768" s="823" t="s">
        <v>1888</v>
      </c>
      <c r="G768" s="823" t="s">
        <v>2268</v>
      </c>
      <c r="H768" s="823" t="s">
        <v>625</v>
      </c>
      <c r="I768" s="823" t="s">
        <v>2785</v>
      </c>
      <c r="J768" s="823" t="s">
        <v>2270</v>
      </c>
      <c r="K768" s="823" t="s">
        <v>2786</v>
      </c>
      <c r="L768" s="826">
        <v>117.46</v>
      </c>
      <c r="M768" s="826">
        <v>117.46</v>
      </c>
      <c r="N768" s="823">
        <v>1</v>
      </c>
      <c r="O768" s="827">
        <v>1</v>
      </c>
      <c r="P768" s="826"/>
      <c r="Q768" s="828">
        <v>0</v>
      </c>
      <c r="R768" s="823"/>
      <c r="S768" s="828">
        <v>0</v>
      </c>
      <c r="T768" s="827"/>
      <c r="U768" s="829">
        <v>0</v>
      </c>
    </row>
    <row r="769" spans="1:21" ht="14.45" customHeight="1" x14ac:dyDescent="0.2">
      <c r="A769" s="822">
        <v>50</v>
      </c>
      <c r="B769" s="823" t="s">
        <v>1887</v>
      </c>
      <c r="C769" s="823" t="s">
        <v>1893</v>
      </c>
      <c r="D769" s="824" t="s">
        <v>2977</v>
      </c>
      <c r="E769" s="825" t="s">
        <v>1902</v>
      </c>
      <c r="F769" s="823" t="s">
        <v>1888</v>
      </c>
      <c r="G769" s="823" t="s">
        <v>2268</v>
      </c>
      <c r="H769" s="823" t="s">
        <v>625</v>
      </c>
      <c r="I769" s="823" t="s">
        <v>2885</v>
      </c>
      <c r="J769" s="823" t="s">
        <v>2270</v>
      </c>
      <c r="K769" s="823" t="s">
        <v>2886</v>
      </c>
      <c r="L769" s="826">
        <v>234.91</v>
      </c>
      <c r="M769" s="826">
        <v>234.91</v>
      </c>
      <c r="N769" s="823">
        <v>1</v>
      </c>
      <c r="O769" s="827">
        <v>0.5</v>
      </c>
      <c r="P769" s="826"/>
      <c r="Q769" s="828">
        <v>0</v>
      </c>
      <c r="R769" s="823"/>
      <c r="S769" s="828">
        <v>0</v>
      </c>
      <c r="T769" s="827"/>
      <c r="U769" s="829">
        <v>0</v>
      </c>
    </row>
    <row r="770" spans="1:21" ht="14.45" customHeight="1" x14ac:dyDescent="0.2">
      <c r="A770" s="822">
        <v>50</v>
      </c>
      <c r="B770" s="823" t="s">
        <v>1887</v>
      </c>
      <c r="C770" s="823" t="s">
        <v>1893</v>
      </c>
      <c r="D770" s="824" t="s">
        <v>2977</v>
      </c>
      <c r="E770" s="825" t="s">
        <v>1902</v>
      </c>
      <c r="F770" s="823" t="s">
        <v>1888</v>
      </c>
      <c r="G770" s="823" t="s">
        <v>2142</v>
      </c>
      <c r="H770" s="823" t="s">
        <v>329</v>
      </c>
      <c r="I770" s="823" t="s">
        <v>2553</v>
      </c>
      <c r="J770" s="823" t="s">
        <v>2144</v>
      </c>
      <c r="K770" s="823" t="s">
        <v>2554</v>
      </c>
      <c r="L770" s="826">
        <v>21.92</v>
      </c>
      <c r="M770" s="826">
        <v>21.92</v>
      </c>
      <c r="N770" s="823">
        <v>1</v>
      </c>
      <c r="O770" s="827">
        <v>0.5</v>
      </c>
      <c r="P770" s="826">
        <v>21.92</v>
      </c>
      <c r="Q770" s="828">
        <v>1</v>
      </c>
      <c r="R770" s="823">
        <v>1</v>
      </c>
      <c r="S770" s="828">
        <v>1</v>
      </c>
      <c r="T770" s="827">
        <v>0.5</v>
      </c>
      <c r="U770" s="829">
        <v>1</v>
      </c>
    </row>
    <row r="771" spans="1:21" ht="14.45" customHeight="1" x14ac:dyDescent="0.2">
      <c r="A771" s="822">
        <v>50</v>
      </c>
      <c r="B771" s="823" t="s">
        <v>1887</v>
      </c>
      <c r="C771" s="823" t="s">
        <v>1893</v>
      </c>
      <c r="D771" s="824" t="s">
        <v>2977</v>
      </c>
      <c r="E771" s="825" t="s">
        <v>1902</v>
      </c>
      <c r="F771" s="823" t="s">
        <v>1888</v>
      </c>
      <c r="G771" s="823" t="s">
        <v>2146</v>
      </c>
      <c r="H771" s="823" t="s">
        <v>625</v>
      </c>
      <c r="I771" s="823" t="s">
        <v>2565</v>
      </c>
      <c r="J771" s="823" t="s">
        <v>1628</v>
      </c>
      <c r="K771" s="823" t="s">
        <v>2566</v>
      </c>
      <c r="L771" s="826">
        <v>68.930000000000007</v>
      </c>
      <c r="M771" s="826">
        <v>68.930000000000007</v>
      </c>
      <c r="N771" s="823">
        <v>1</v>
      </c>
      <c r="O771" s="827">
        <v>1</v>
      </c>
      <c r="P771" s="826">
        <v>68.930000000000007</v>
      </c>
      <c r="Q771" s="828">
        <v>1</v>
      </c>
      <c r="R771" s="823">
        <v>1</v>
      </c>
      <c r="S771" s="828">
        <v>1</v>
      </c>
      <c r="T771" s="827">
        <v>1</v>
      </c>
      <c r="U771" s="829">
        <v>1</v>
      </c>
    </row>
    <row r="772" spans="1:21" ht="14.45" customHeight="1" x14ac:dyDescent="0.2">
      <c r="A772" s="822">
        <v>50</v>
      </c>
      <c r="B772" s="823" t="s">
        <v>1887</v>
      </c>
      <c r="C772" s="823" t="s">
        <v>1893</v>
      </c>
      <c r="D772" s="824" t="s">
        <v>2977</v>
      </c>
      <c r="E772" s="825" t="s">
        <v>1902</v>
      </c>
      <c r="F772" s="823" t="s">
        <v>1888</v>
      </c>
      <c r="G772" s="823" t="s">
        <v>2146</v>
      </c>
      <c r="H772" s="823" t="s">
        <v>625</v>
      </c>
      <c r="I772" s="823" t="s">
        <v>2272</v>
      </c>
      <c r="J772" s="823" t="s">
        <v>1628</v>
      </c>
      <c r="K772" s="823" t="s">
        <v>2273</v>
      </c>
      <c r="L772" s="826">
        <v>7.47</v>
      </c>
      <c r="M772" s="826">
        <v>7.47</v>
      </c>
      <c r="N772" s="823">
        <v>1</v>
      </c>
      <c r="O772" s="827">
        <v>1</v>
      </c>
      <c r="P772" s="826"/>
      <c r="Q772" s="828">
        <v>0</v>
      </c>
      <c r="R772" s="823"/>
      <c r="S772" s="828">
        <v>0</v>
      </c>
      <c r="T772" s="827"/>
      <c r="U772" s="829">
        <v>0</v>
      </c>
    </row>
    <row r="773" spans="1:21" ht="14.45" customHeight="1" x14ac:dyDescent="0.2">
      <c r="A773" s="822">
        <v>50</v>
      </c>
      <c r="B773" s="823" t="s">
        <v>1887</v>
      </c>
      <c r="C773" s="823" t="s">
        <v>1893</v>
      </c>
      <c r="D773" s="824" t="s">
        <v>2977</v>
      </c>
      <c r="E773" s="825" t="s">
        <v>1902</v>
      </c>
      <c r="F773" s="823" t="s">
        <v>1888</v>
      </c>
      <c r="G773" s="823" t="s">
        <v>1978</v>
      </c>
      <c r="H773" s="823" t="s">
        <v>329</v>
      </c>
      <c r="I773" s="823" t="s">
        <v>2148</v>
      </c>
      <c r="J773" s="823" t="s">
        <v>1980</v>
      </c>
      <c r="K773" s="823" t="s">
        <v>2149</v>
      </c>
      <c r="L773" s="826">
        <v>5788.01</v>
      </c>
      <c r="M773" s="826">
        <v>5788.01</v>
      </c>
      <c r="N773" s="823">
        <v>1</v>
      </c>
      <c r="O773" s="827">
        <v>1</v>
      </c>
      <c r="P773" s="826">
        <v>5788.01</v>
      </c>
      <c r="Q773" s="828">
        <v>1</v>
      </c>
      <c r="R773" s="823">
        <v>1</v>
      </c>
      <c r="S773" s="828">
        <v>1</v>
      </c>
      <c r="T773" s="827">
        <v>1</v>
      </c>
      <c r="U773" s="829">
        <v>1</v>
      </c>
    </row>
    <row r="774" spans="1:21" ht="14.45" customHeight="1" x14ac:dyDescent="0.2">
      <c r="A774" s="822">
        <v>50</v>
      </c>
      <c r="B774" s="823" t="s">
        <v>1887</v>
      </c>
      <c r="C774" s="823" t="s">
        <v>1893</v>
      </c>
      <c r="D774" s="824" t="s">
        <v>2977</v>
      </c>
      <c r="E774" s="825" t="s">
        <v>1902</v>
      </c>
      <c r="F774" s="823" t="s">
        <v>1888</v>
      </c>
      <c r="G774" s="823" t="s">
        <v>1982</v>
      </c>
      <c r="H774" s="823" t="s">
        <v>329</v>
      </c>
      <c r="I774" s="823" t="s">
        <v>2764</v>
      </c>
      <c r="J774" s="823" t="s">
        <v>2581</v>
      </c>
      <c r="K774" s="823" t="s">
        <v>1640</v>
      </c>
      <c r="L774" s="826">
        <v>130.51</v>
      </c>
      <c r="M774" s="826">
        <v>130.51</v>
      </c>
      <c r="N774" s="823">
        <v>1</v>
      </c>
      <c r="O774" s="827">
        <v>0.5</v>
      </c>
      <c r="P774" s="826"/>
      <c r="Q774" s="828">
        <v>0</v>
      </c>
      <c r="R774" s="823"/>
      <c r="S774" s="828">
        <v>0</v>
      </c>
      <c r="T774" s="827"/>
      <c r="U774" s="829">
        <v>0</v>
      </c>
    </row>
    <row r="775" spans="1:21" ht="14.45" customHeight="1" x14ac:dyDescent="0.2">
      <c r="A775" s="822">
        <v>50</v>
      </c>
      <c r="B775" s="823" t="s">
        <v>1887</v>
      </c>
      <c r="C775" s="823" t="s">
        <v>1893</v>
      </c>
      <c r="D775" s="824" t="s">
        <v>2977</v>
      </c>
      <c r="E775" s="825" t="s">
        <v>1902</v>
      </c>
      <c r="F775" s="823" t="s">
        <v>1888</v>
      </c>
      <c r="G775" s="823" t="s">
        <v>1982</v>
      </c>
      <c r="H775" s="823" t="s">
        <v>329</v>
      </c>
      <c r="I775" s="823" t="s">
        <v>2366</v>
      </c>
      <c r="J775" s="823" t="s">
        <v>2367</v>
      </c>
      <c r="K775" s="823" t="s">
        <v>2368</v>
      </c>
      <c r="L775" s="826">
        <v>928.81</v>
      </c>
      <c r="M775" s="826">
        <v>928.81</v>
      </c>
      <c r="N775" s="823">
        <v>1</v>
      </c>
      <c r="O775" s="827">
        <v>0.5</v>
      </c>
      <c r="P775" s="826"/>
      <c r="Q775" s="828">
        <v>0</v>
      </c>
      <c r="R775" s="823"/>
      <c r="S775" s="828">
        <v>0</v>
      </c>
      <c r="T775" s="827"/>
      <c r="U775" s="829">
        <v>0</v>
      </c>
    </row>
    <row r="776" spans="1:21" ht="14.45" customHeight="1" x14ac:dyDescent="0.2">
      <c r="A776" s="822">
        <v>50</v>
      </c>
      <c r="B776" s="823" t="s">
        <v>1887</v>
      </c>
      <c r="C776" s="823" t="s">
        <v>1893</v>
      </c>
      <c r="D776" s="824" t="s">
        <v>2977</v>
      </c>
      <c r="E776" s="825" t="s">
        <v>1902</v>
      </c>
      <c r="F776" s="823" t="s">
        <v>1888</v>
      </c>
      <c r="G776" s="823" t="s">
        <v>1985</v>
      </c>
      <c r="H776" s="823" t="s">
        <v>329</v>
      </c>
      <c r="I776" s="823" t="s">
        <v>1986</v>
      </c>
      <c r="J776" s="823" t="s">
        <v>998</v>
      </c>
      <c r="K776" s="823" t="s">
        <v>1987</v>
      </c>
      <c r="L776" s="826">
        <v>128.69999999999999</v>
      </c>
      <c r="M776" s="826">
        <v>514.79999999999995</v>
      </c>
      <c r="N776" s="823">
        <v>4</v>
      </c>
      <c r="O776" s="827">
        <v>2</v>
      </c>
      <c r="P776" s="826">
        <v>128.69999999999999</v>
      </c>
      <c r="Q776" s="828">
        <v>0.25</v>
      </c>
      <c r="R776" s="823">
        <v>1</v>
      </c>
      <c r="S776" s="828">
        <v>0.25</v>
      </c>
      <c r="T776" s="827">
        <v>0.5</v>
      </c>
      <c r="U776" s="829">
        <v>0.25</v>
      </c>
    </row>
    <row r="777" spans="1:21" ht="14.45" customHeight="1" x14ac:dyDescent="0.2">
      <c r="A777" s="822">
        <v>50</v>
      </c>
      <c r="B777" s="823" t="s">
        <v>1887</v>
      </c>
      <c r="C777" s="823" t="s">
        <v>1893</v>
      </c>
      <c r="D777" s="824" t="s">
        <v>2977</v>
      </c>
      <c r="E777" s="825" t="s">
        <v>1902</v>
      </c>
      <c r="F777" s="823" t="s">
        <v>1888</v>
      </c>
      <c r="G777" s="823" t="s">
        <v>1985</v>
      </c>
      <c r="H777" s="823" t="s">
        <v>329</v>
      </c>
      <c r="I777" s="823" t="s">
        <v>2276</v>
      </c>
      <c r="J777" s="823" t="s">
        <v>998</v>
      </c>
      <c r="K777" s="823" t="s">
        <v>2277</v>
      </c>
      <c r="L777" s="826">
        <v>64.349999999999994</v>
      </c>
      <c r="M777" s="826">
        <v>321.75</v>
      </c>
      <c r="N777" s="823">
        <v>5</v>
      </c>
      <c r="O777" s="827">
        <v>4.5</v>
      </c>
      <c r="P777" s="826">
        <v>64.349999999999994</v>
      </c>
      <c r="Q777" s="828">
        <v>0.19999999999999998</v>
      </c>
      <c r="R777" s="823">
        <v>1</v>
      </c>
      <c r="S777" s="828">
        <v>0.2</v>
      </c>
      <c r="T777" s="827">
        <v>1</v>
      </c>
      <c r="U777" s="829">
        <v>0.22222222222222221</v>
      </c>
    </row>
    <row r="778" spans="1:21" ht="14.45" customHeight="1" x14ac:dyDescent="0.2">
      <c r="A778" s="822">
        <v>50</v>
      </c>
      <c r="B778" s="823" t="s">
        <v>1887</v>
      </c>
      <c r="C778" s="823" t="s">
        <v>1893</v>
      </c>
      <c r="D778" s="824" t="s">
        <v>2977</v>
      </c>
      <c r="E778" s="825" t="s">
        <v>1902</v>
      </c>
      <c r="F778" s="823" t="s">
        <v>1888</v>
      </c>
      <c r="G778" s="823" t="s">
        <v>2369</v>
      </c>
      <c r="H778" s="823" t="s">
        <v>329</v>
      </c>
      <c r="I778" s="823" t="s">
        <v>2370</v>
      </c>
      <c r="J778" s="823" t="s">
        <v>2371</v>
      </c>
      <c r="K778" s="823" t="s">
        <v>2372</v>
      </c>
      <c r="L778" s="826">
        <v>829.52</v>
      </c>
      <c r="M778" s="826">
        <v>829.52</v>
      </c>
      <c r="N778" s="823">
        <v>1</v>
      </c>
      <c r="O778" s="827">
        <v>0.5</v>
      </c>
      <c r="P778" s="826"/>
      <c r="Q778" s="828">
        <v>0</v>
      </c>
      <c r="R778" s="823"/>
      <c r="S778" s="828">
        <v>0</v>
      </c>
      <c r="T778" s="827"/>
      <c r="U778" s="829">
        <v>0</v>
      </c>
    </row>
    <row r="779" spans="1:21" ht="14.45" customHeight="1" x14ac:dyDescent="0.2">
      <c r="A779" s="822">
        <v>50</v>
      </c>
      <c r="B779" s="823" t="s">
        <v>1887</v>
      </c>
      <c r="C779" s="823" t="s">
        <v>1893</v>
      </c>
      <c r="D779" s="824" t="s">
        <v>2977</v>
      </c>
      <c r="E779" s="825" t="s">
        <v>1902</v>
      </c>
      <c r="F779" s="823" t="s">
        <v>1888</v>
      </c>
      <c r="G779" s="823" t="s">
        <v>1988</v>
      </c>
      <c r="H779" s="823" t="s">
        <v>329</v>
      </c>
      <c r="I779" s="823" t="s">
        <v>1989</v>
      </c>
      <c r="J779" s="823" t="s">
        <v>1047</v>
      </c>
      <c r="K779" s="823" t="s">
        <v>1990</v>
      </c>
      <c r="L779" s="826">
        <v>42.08</v>
      </c>
      <c r="M779" s="826">
        <v>84.16</v>
      </c>
      <c r="N779" s="823">
        <v>2</v>
      </c>
      <c r="O779" s="827">
        <v>1.5</v>
      </c>
      <c r="P779" s="826"/>
      <c r="Q779" s="828">
        <v>0</v>
      </c>
      <c r="R779" s="823"/>
      <c r="S779" s="828">
        <v>0</v>
      </c>
      <c r="T779" s="827"/>
      <c r="U779" s="829">
        <v>0</v>
      </c>
    </row>
    <row r="780" spans="1:21" ht="14.45" customHeight="1" x14ac:dyDescent="0.2">
      <c r="A780" s="822">
        <v>50</v>
      </c>
      <c r="B780" s="823" t="s">
        <v>1887</v>
      </c>
      <c r="C780" s="823" t="s">
        <v>1893</v>
      </c>
      <c r="D780" s="824" t="s">
        <v>2977</v>
      </c>
      <c r="E780" s="825" t="s">
        <v>1902</v>
      </c>
      <c r="F780" s="823" t="s">
        <v>1888</v>
      </c>
      <c r="G780" s="823" t="s">
        <v>2159</v>
      </c>
      <c r="H780" s="823" t="s">
        <v>329</v>
      </c>
      <c r="I780" s="823" t="s">
        <v>2887</v>
      </c>
      <c r="J780" s="823" t="s">
        <v>669</v>
      </c>
      <c r="K780" s="823" t="s">
        <v>2161</v>
      </c>
      <c r="L780" s="826">
        <v>0</v>
      </c>
      <c r="M780" s="826">
        <v>0</v>
      </c>
      <c r="N780" s="823">
        <v>1</v>
      </c>
      <c r="O780" s="827">
        <v>0.5</v>
      </c>
      <c r="P780" s="826"/>
      <c r="Q780" s="828"/>
      <c r="R780" s="823"/>
      <c r="S780" s="828">
        <v>0</v>
      </c>
      <c r="T780" s="827"/>
      <c r="U780" s="829">
        <v>0</v>
      </c>
    </row>
    <row r="781" spans="1:21" ht="14.45" customHeight="1" x14ac:dyDescent="0.2">
      <c r="A781" s="822">
        <v>50</v>
      </c>
      <c r="B781" s="823" t="s">
        <v>1887</v>
      </c>
      <c r="C781" s="823" t="s">
        <v>1893</v>
      </c>
      <c r="D781" s="824" t="s">
        <v>2977</v>
      </c>
      <c r="E781" s="825" t="s">
        <v>1902</v>
      </c>
      <c r="F781" s="823" t="s">
        <v>1888</v>
      </c>
      <c r="G781" s="823" t="s">
        <v>2159</v>
      </c>
      <c r="H781" s="823" t="s">
        <v>329</v>
      </c>
      <c r="I781" s="823" t="s">
        <v>2160</v>
      </c>
      <c r="J781" s="823" t="s">
        <v>1143</v>
      </c>
      <c r="K781" s="823" t="s">
        <v>2161</v>
      </c>
      <c r="L781" s="826">
        <v>42.54</v>
      </c>
      <c r="M781" s="826">
        <v>42.54</v>
      </c>
      <c r="N781" s="823">
        <v>1</v>
      </c>
      <c r="O781" s="827">
        <v>1</v>
      </c>
      <c r="P781" s="826"/>
      <c r="Q781" s="828">
        <v>0</v>
      </c>
      <c r="R781" s="823"/>
      <c r="S781" s="828">
        <v>0</v>
      </c>
      <c r="T781" s="827"/>
      <c r="U781" s="829">
        <v>0</v>
      </c>
    </row>
    <row r="782" spans="1:21" ht="14.45" customHeight="1" x14ac:dyDescent="0.2">
      <c r="A782" s="822">
        <v>50</v>
      </c>
      <c r="B782" s="823" t="s">
        <v>1887</v>
      </c>
      <c r="C782" s="823" t="s">
        <v>1893</v>
      </c>
      <c r="D782" s="824" t="s">
        <v>2977</v>
      </c>
      <c r="E782" s="825" t="s">
        <v>1902</v>
      </c>
      <c r="F782" s="823" t="s">
        <v>1888</v>
      </c>
      <c r="G782" s="823" t="s">
        <v>2159</v>
      </c>
      <c r="H782" s="823" t="s">
        <v>329</v>
      </c>
      <c r="I782" s="823" t="s">
        <v>2888</v>
      </c>
      <c r="J782" s="823" t="s">
        <v>669</v>
      </c>
      <c r="K782" s="823" t="s">
        <v>670</v>
      </c>
      <c r="L782" s="826">
        <v>59.56</v>
      </c>
      <c r="M782" s="826">
        <v>119.12</v>
      </c>
      <c r="N782" s="823">
        <v>2</v>
      </c>
      <c r="O782" s="827">
        <v>1</v>
      </c>
      <c r="P782" s="826"/>
      <c r="Q782" s="828">
        <v>0</v>
      </c>
      <c r="R782" s="823"/>
      <c r="S782" s="828">
        <v>0</v>
      </c>
      <c r="T782" s="827"/>
      <c r="U782" s="829">
        <v>0</v>
      </c>
    </row>
    <row r="783" spans="1:21" ht="14.45" customHeight="1" x14ac:dyDescent="0.2">
      <c r="A783" s="822">
        <v>50</v>
      </c>
      <c r="B783" s="823" t="s">
        <v>1887</v>
      </c>
      <c r="C783" s="823" t="s">
        <v>1893</v>
      </c>
      <c r="D783" s="824" t="s">
        <v>2977</v>
      </c>
      <c r="E783" s="825" t="s">
        <v>1902</v>
      </c>
      <c r="F783" s="823" t="s">
        <v>1888</v>
      </c>
      <c r="G783" s="823" t="s">
        <v>1991</v>
      </c>
      <c r="H783" s="823" t="s">
        <v>329</v>
      </c>
      <c r="I783" s="823" t="s">
        <v>1992</v>
      </c>
      <c r="J783" s="823" t="s">
        <v>1147</v>
      </c>
      <c r="K783" s="823" t="s">
        <v>1993</v>
      </c>
      <c r="L783" s="826">
        <v>219.37</v>
      </c>
      <c r="M783" s="826">
        <v>1096.8499999999999</v>
      </c>
      <c r="N783" s="823">
        <v>5</v>
      </c>
      <c r="O783" s="827">
        <v>2.5</v>
      </c>
      <c r="P783" s="826">
        <v>438.74</v>
      </c>
      <c r="Q783" s="828">
        <v>0.4</v>
      </c>
      <c r="R783" s="823">
        <v>2</v>
      </c>
      <c r="S783" s="828">
        <v>0.4</v>
      </c>
      <c r="T783" s="827">
        <v>0.5</v>
      </c>
      <c r="U783" s="829">
        <v>0.2</v>
      </c>
    </row>
    <row r="784" spans="1:21" ht="14.45" customHeight="1" x14ac:dyDescent="0.2">
      <c r="A784" s="822">
        <v>50</v>
      </c>
      <c r="B784" s="823" t="s">
        <v>1887</v>
      </c>
      <c r="C784" s="823" t="s">
        <v>1893</v>
      </c>
      <c r="D784" s="824" t="s">
        <v>2977</v>
      </c>
      <c r="E784" s="825" t="s">
        <v>1902</v>
      </c>
      <c r="F784" s="823" t="s">
        <v>1888</v>
      </c>
      <c r="G784" s="823" t="s">
        <v>2617</v>
      </c>
      <c r="H784" s="823" t="s">
        <v>625</v>
      </c>
      <c r="I784" s="823" t="s">
        <v>1642</v>
      </c>
      <c r="J784" s="823" t="s">
        <v>800</v>
      </c>
      <c r="K784" s="823" t="s">
        <v>1643</v>
      </c>
      <c r="L784" s="826">
        <v>100.1</v>
      </c>
      <c r="M784" s="826">
        <v>100.1</v>
      </c>
      <c r="N784" s="823">
        <v>1</v>
      </c>
      <c r="O784" s="827">
        <v>0.5</v>
      </c>
      <c r="P784" s="826"/>
      <c r="Q784" s="828">
        <v>0</v>
      </c>
      <c r="R784" s="823"/>
      <c r="S784" s="828">
        <v>0</v>
      </c>
      <c r="T784" s="827"/>
      <c r="U784" s="829">
        <v>0</v>
      </c>
    </row>
    <row r="785" spans="1:21" ht="14.45" customHeight="1" x14ac:dyDescent="0.2">
      <c r="A785" s="822">
        <v>50</v>
      </c>
      <c r="B785" s="823" t="s">
        <v>1887</v>
      </c>
      <c r="C785" s="823" t="s">
        <v>1893</v>
      </c>
      <c r="D785" s="824" t="s">
        <v>2977</v>
      </c>
      <c r="E785" s="825" t="s">
        <v>1902</v>
      </c>
      <c r="F785" s="823" t="s">
        <v>1888</v>
      </c>
      <c r="G785" s="823" t="s">
        <v>1994</v>
      </c>
      <c r="H785" s="823" t="s">
        <v>329</v>
      </c>
      <c r="I785" s="823" t="s">
        <v>2889</v>
      </c>
      <c r="J785" s="823" t="s">
        <v>2163</v>
      </c>
      <c r="K785" s="823" t="s">
        <v>2835</v>
      </c>
      <c r="L785" s="826">
        <v>73.83</v>
      </c>
      <c r="M785" s="826">
        <v>73.83</v>
      </c>
      <c r="N785" s="823">
        <v>1</v>
      </c>
      <c r="O785" s="827">
        <v>0.5</v>
      </c>
      <c r="P785" s="826"/>
      <c r="Q785" s="828">
        <v>0</v>
      </c>
      <c r="R785" s="823"/>
      <c r="S785" s="828">
        <v>0</v>
      </c>
      <c r="T785" s="827"/>
      <c r="U785" s="829">
        <v>0</v>
      </c>
    </row>
    <row r="786" spans="1:21" ht="14.45" customHeight="1" x14ac:dyDescent="0.2">
      <c r="A786" s="822">
        <v>50</v>
      </c>
      <c r="B786" s="823" t="s">
        <v>1887</v>
      </c>
      <c r="C786" s="823" t="s">
        <v>1893</v>
      </c>
      <c r="D786" s="824" t="s">
        <v>2977</v>
      </c>
      <c r="E786" s="825" t="s">
        <v>1902</v>
      </c>
      <c r="F786" s="823" t="s">
        <v>1888</v>
      </c>
      <c r="G786" s="823" t="s">
        <v>1994</v>
      </c>
      <c r="H786" s="823" t="s">
        <v>329</v>
      </c>
      <c r="I786" s="823" t="s">
        <v>2890</v>
      </c>
      <c r="J786" s="823" t="s">
        <v>2891</v>
      </c>
      <c r="K786" s="823" t="s">
        <v>1640</v>
      </c>
      <c r="L786" s="826">
        <v>39.549999999999997</v>
      </c>
      <c r="M786" s="826">
        <v>39.549999999999997</v>
      </c>
      <c r="N786" s="823">
        <v>1</v>
      </c>
      <c r="O786" s="827">
        <v>1</v>
      </c>
      <c r="P786" s="826">
        <v>39.549999999999997</v>
      </c>
      <c r="Q786" s="828">
        <v>1</v>
      </c>
      <c r="R786" s="823">
        <v>1</v>
      </c>
      <c r="S786" s="828">
        <v>1</v>
      </c>
      <c r="T786" s="827">
        <v>1</v>
      </c>
      <c r="U786" s="829">
        <v>1</v>
      </c>
    </row>
    <row r="787" spans="1:21" ht="14.45" customHeight="1" x14ac:dyDescent="0.2">
      <c r="A787" s="822">
        <v>50</v>
      </c>
      <c r="B787" s="823" t="s">
        <v>1887</v>
      </c>
      <c r="C787" s="823" t="s">
        <v>1893</v>
      </c>
      <c r="D787" s="824" t="s">
        <v>2977</v>
      </c>
      <c r="E787" s="825" t="s">
        <v>1902</v>
      </c>
      <c r="F787" s="823" t="s">
        <v>1888</v>
      </c>
      <c r="G787" s="823" t="s">
        <v>2174</v>
      </c>
      <c r="H787" s="823" t="s">
        <v>625</v>
      </c>
      <c r="I787" s="823" t="s">
        <v>2892</v>
      </c>
      <c r="J787" s="823" t="s">
        <v>2176</v>
      </c>
      <c r="K787" s="823" t="s">
        <v>2893</v>
      </c>
      <c r="L787" s="826">
        <v>103.72</v>
      </c>
      <c r="M787" s="826">
        <v>103.72</v>
      </c>
      <c r="N787" s="823">
        <v>1</v>
      </c>
      <c r="O787" s="827">
        <v>1</v>
      </c>
      <c r="P787" s="826"/>
      <c r="Q787" s="828">
        <v>0</v>
      </c>
      <c r="R787" s="823"/>
      <c r="S787" s="828">
        <v>0</v>
      </c>
      <c r="T787" s="827"/>
      <c r="U787" s="829">
        <v>0</v>
      </c>
    </row>
    <row r="788" spans="1:21" ht="14.45" customHeight="1" x14ac:dyDescent="0.2">
      <c r="A788" s="822">
        <v>50</v>
      </c>
      <c r="B788" s="823" t="s">
        <v>1887</v>
      </c>
      <c r="C788" s="823" t="s">
        <v>1893</v>
      </c>
      <c r="D788" s="824" t="s">
        <v>2977</v>
      </c>
      <c r="E788" s="825" t="s">
        <v>1902</v>
      </c>
      <c r="F788" s="823" t="s">
        <v>1888</v>
      </c>
      <c r="G788" s="823" t="s">
        <v>1997</v>
      </c>
      <c r="H788" s="823" t="s">
        <v>329</v>
      </c>
      <c r="I788" s="823" t="s">
        <v>1998</v>
      </c>
      <c r="J788" s="823" t="s">
        <v>1999</v>
      </c>
      <c r="K788" s="823" t="s">
        <v>2000</v>
      </c>
      <c r="L788" s="826">
        <v>93.43</v>
      </c>
      <c r="M788" s="826">
        <v>373.72</v>
      </c>
      <c r="N788" s="823">
        <v>4</v>
      </c>
      <c r="O788" s="827">
        <v>3</v>
      </c>
      <c r="P788" s="826">
        <v>186.86</v>
      </c>
      <c r="Q788" s="828">
        <v>0.5</v>
      </c>
      <c r="R788" s="823">
        <v>2</v>
      </c>
      <c r="S788" s="828">
        <v>0.5</v>
      </c>
      <c r="T788" s="827">
        <v>1.5</v>
      </c>
      <c r="U788" s="829">
        <v>0.5</v>
      </c>
    </row>
    <row r="789" spans="1:21" ht="14.45" customHeight="1" x14ac:dyDescent="0.2">
      <c r="A789" s="822">
        <v>50</v>
      </c>
      <c r="B789" s="823" t="s">
        <v>1887</v>
      </c>
      <c r="C789" s="823" t="s">
        <v>1893</v>
      </c>
      <c r="D789" s="824" t="s">
        <v>2977</v>
      </c>
      <c r="E789" s="825" t="s">
        <v>1902</v>
      </c>
      <c r="F789" s="823" t="s">
        <v>1888</v>
      </c>
      <c r="G789" s="823" t="s">
        <v>2843</v>
      </c>
      <c r="H789" s="823" t="s">
        <v>625</v>
      </c>
      <c r="I789" s="823" t="s">
        <v>2894</v>
      </c>
      <c r="J789" s="823" t="s">
        <v>1632</v>
      </c>
      <c r="K789" s="823" t="s">
        <v>2895</v>
      </c>
      <c r="L789" s="826">
        <v>64.33</v>
      </c>
      <c r="M789" s="826">
        <v>64.33</v>
      </c>
      <c r="N789" s="823">
        <v>1</v>
      </c>
      <c r="O789" s="827">
        <v>0.5</v>
      </c>
      <c r="P789" s="826"/>
      <c r="Q789" s="828">
        <v>0</v>
      </c>
      <c r="R789" s="823"/>
      <c r="S789" s="828">
        <v>0</v>
      </c>
      <c r="T789" s="827"/>
      <c r="U789" s="829">
        <v>0</v>
      </c>
    </row>
    <row r="790" spans="1:21" ht="14.45" customHeight="1" x14ac:dyDescent="0.2">
      <c r="A790" s="822">
        <v>50</v>
      </c>
      <c r="B790" s="823" t="s">
        <v>1887</v>
      </c>
      <c r="C790" s="823" t="s">
        <v>1893</v>
      </c>
      <c r="D790" s="824" t="s">
        <v>2977</v>
      </c>
      <c r="E790" s="825" t="s">
        <v>1902</v>
      </c>
      <c r="F790" s="823" t="s">
        <v>1888</v>
      </c>
      <c r="G790" s="823" t="s">
        <v>2374</v>
      </c>
      <c r="H790" s="823" t="s">
        <v>329</v>
      </c>
      <c r="I790" s="823" t="s">
        <v>2375</v>
      </c>
      <c r="J790" s="823" t="s">
        <v>2376</v>
      </c>
      <c r="K790" s="823" t="s">
        <v>2377</v>
      </c>
      <c r="L790" s="826">
        <v>65.989999999999995</v>
      </c>
      <c r="M790" s="826">
        <v>65.989999999999995</v>
      </c>
      <c r="N790" s="823">
        <v>1</v>
      </c>
      <c r="O790" s="827">
        <v>0.5</v>
      </c>
      <c r="P790" s="826">
        <v>65.989999999999995</v>
      </c>
      <c r="Q790" s="828">
        <v>1</v>
      </c>
      <c r="R790" s="823">
        <v>1</v>
      </c>
      <c r="S790" s="828">
        <v>1</v>
      </c>
      <c r="T790" s="827">
        <v>0.5</v>
      </c>
      <c r="U790" s="829">
        <v>1</v>
      </c>
    </row>
    <row r="791" spans="1:21" ht="14.45" customHeight="1" x14ac:dyDescent="0.2">
      <c r="A791" s="822">
        <v>50</v>
      </c>
      <c r="B791" s="823" t="s">
        <v>1887</v>
      </c>
      <c r="C791" s="823" t="s">
        <v>1893</v>
      </c>
      <c r="D791" s="824" t="s">
        <v>2977</v>
      </c>
      <c r="E791" s="825" t="s">
        <v>1902</v>
      </c>
      <c r="F791" s="823" t="s">
        <v>1888</v>
      </c>
      <c r="G791" s="823" t="s">
        <v>2896</v>
      </c>
      <c r="H791" s="823" t="s">
        <v>329</v>
      </c>
      <c r="I791" s="823" t="s">
        <v>2897</v>
      </c>
      <c r="J791" s="823" t="s">
        <v>2898</v>
      </c>
      <c r="K791" s="823" t="s">
        <v>2558</v>
      </c>
      <c r="L791" s="826">
        <v>67.41</v>
      </c>
      <c r="M791" s="826">
        <v>67.41</v>
      </c>
      <c r="N791" s="823">
        <v>1</v>
      </c>
      <c r="O791" s="827">
        <v>1</v>
      </c>
      <c r="P791" s="826"/>
      <c r="Q791" s="828">
        <v>0</v>
      </c>
      <c r="R791" s="823"/>
      <c r="S791" s="828">
        <v>0</v>
      </c>
      <c r="T791" s="827"/>
      <c r="U791" s="829">
        <v>0</v>
      </c>
    </row>
    <row r="792" spans="1:21" ht="14.45" customHeight="1" x14ac:dyDescent="0.2">
      <c r="A792" s="822">
        <v>50</v>
      </c>
      <c r="B792" s="823" t="s">
        <v>1887</v>
      </c>
      <c r="C792" s="823" t="s">
        <v>1893</v>
      </c>
      <c r="D792" s="824" t="s">
        <v>2977</v>
      </c>
      <c r="E792" s="825" t="s">
        <v>1902</v>
      </c>
      <c r="F792" s="823" t="s">
        <v>1888</v>
      </c>
      <c r="G792" s="823" t="s">
        <v>2001</v>
      </c>
      <c r="H792" s="823" t="s">
        <v>625</v>
      </c>
      <c r="I792" s="823" t="s">
        <v>1546</v>
      </c>
      <c r="J792" s="823" t="s">
        <v>1547</v>
      </c>
      <c r="K792" s="823" t="s">
        <v>1548</v>
      </c>
      <c r="L792" s="826">
        <v>93.75</v>
      </c>
      <c r="M792" s="826">
        <v>93.75</v>
      </c>
      <c r="N792" s="823">
        <v>1</v>
      </c>
      <c r="O792" s="827">
        <v>0.5</v>
      </c>
      <c r="P792" s="826"/>
      <c r="Q792" s="828">
        <v>0</v>
      </c>
      <c r="R792" s="823"/>
      <c r="S792" s="828">
        <v>0</v>
      </c>
      <c r="T792" s="827"/>
      <c r="U792" s="829">
        <v>0</v>
      </c>
    </row>
    <row r="793" spans="1:21" ht="14.45" customHeight="1" x14ac:dyDescent="0.2">
      <c r="A793" s="822">
        <v>50</v>
      </c>
      <c r="B793" s="823" t="s">
        <v>1887</v>
      </c>
      <c r="C793" s="823" t="s">
        <v>1893</v>
      </c>
      <c r="D793" s="824" t="s">
        <v>2977</v>
      </c>
      <c r="E793" s="825" t="s">
        <v>1902</v>
      </c>
      <c r="F793" s="823" t="s">
        <v>1888</v>
      </c>
      <c r="G793" s="823" t="s">
        <v>2001</v>
      </c>
      <c r="H793" s="823" t="s">
        <v>625</v>
      </c>
      <c r="I793" s="823" t="s">
        <v>1549</v>
      </c>
      <c r="J793" s="823" t="s">
        <v>1547</v>
      </c>
      <c r="K793" s="823" t="s">
        <v>1550</v>
      </c>
      <c r="L793" s="826">
        <v>184.74</v>
      </c>
      <c r="M793" s="826">
        <v>184.74</v>
      </c>
      <c r="N793" s="823">
        <v>1</v>
      </c>
      <c r="O793" s="827">
        <v>1</v>
      </c>
      <c r="P793" s="826"/>
      <c r="Q793" s="828">
        <v>0</v>
      </c>
      <c r="R793" s="823"/>
      <c r="S793" s="828">
        <v>0</v>
      </c>
      <c r="T793" s="827"/>
      <c r="U793" s="829">
        <v>0</v>
      </c>
    </row>
    <row r="794" spans="1:21" ht="14.45" customHeight="1" x14ac:dyDescent="0.2">
      <c r="A794" s="822">
        <v>50</v>
      </c>
      <c r="B794" s="823" t="s">
        <v>1887</v>
      </c>
      <c r="C794" s="823" t="s">
        <v>1893</v>
      </c>
      <c r="D794" s="824" t="s">
        <v>2977</v>
      </c>
      <c r="E794" s="825" t="s">
        <v>1902</v>
      </c>
      <c r="F794" s="823" t="s">
        <v>1888</v>
      </c>
      <c r="G794" s="823" t="s">
        <v>2001</v>
      </c>
      <c r="H794" s="823" t="s">
        <v>625</v>
      </c>
      <c r="I794" s="823" t="s">
        <v>2186</v>
      </c>
      <c r="J794" s="823" t="s">
        <v>2187</v>
      </c>
      <c r="K794" s="823" t="s">
        <v>2188</v>
      </c>
      <c r="L794" s="826">
        <v>120.61</v>
      </c>
      <c r="M794" s="826">
        <v>120.61</v>
      </c>
      <c r="N794" s="823">
        <v>1</v>
      </c>
      <c r="O794" s="827">
        <v>0.5</v>
      </c>
      <c r="P794" s="826"/>
      <c r="Q794" s="828">
        <v>0</v>
      </c>
      <c r="R794" s="823"/>
      <c r="S794" s="828">
        <v>0</v>
      </c>
      <c r="T794" s="827"/>
      <c r="U794" s="829">
        <v>0</v>
      </c>
    </row>
    <row r="795" spans="1:21" ht="14.45" customHeight="1" x14ac:dyDescent="0.2">
      <c r="A795" s="822">
        <v>50</v>
      </c>
      <c r="B795" s="823" t="s">
        <v>1887</v>
      </c>
      <c r="C795" s="823" t="s">
        <v>1893</v>
      </c>
      <c r="D795" s="824" t="s">
        <v>2977</v>
      </c>
      <c r="E795" s="825" t="s">
        <v>1902</v>
      </c>
      <c r="F795" s="823" t="s">
        <v>1888</v>
      </c>
      <c r="G795" s="823" t="s">
        <v>2189</v>
      </c>
      <c r="H795" s="823" t="s">
        <v>625</v>
      </c>
      <c r="I795" s="823" t="s">
        <v>1848</v>
      </c>
      <c r="J795" s="823" t="s">
        <v>1066</v>
      </c>
      <c r="K795" s="823" t="s">
        <v>1849</v>
      </c>
      <c r="L795" s="826">
        <v>0</v>
      </c>
      <c r="M795" s="826">
        <v>0</v>
      </c>
      <c r="N795" s="823">
        <v>1</v>
      </c>
      <c r="O795" s="827">
        <v>1</v>
      </c>
      <c r="P795" s="826"/>
      <c r="Q795" s="828"/>
      <c r="R795" s="823"/>
      <c r="S795" s="828">
        <v>0</v>
      </c>
      <c r="T795" s="827"/>
      <c r="U795" s="829">
        <v>0</v>
      </c>
    </row>
    <row r="796" spans="1:21" ht="14.45" customHeight="1" x14ac:dyDescent="0.2">
      <c r="A796" s="822">
        <v>50</v>
      </c>
      <c r="B796" s="823" t="s">
        <v>1887</v>
      </c>
      <c r="C796" s="823" t="s">
        <v>1893</v>
      </c>
      <c r="D796" s="824" t="s">
        <v>2977</v>
      </c>
      <c r="E796" s="825" t="s">
        <v>1902</v>
      </c>
      <c r="F796" s="823" t="s">
        <v>1888</v>
      </c>
      <c r="G796" s="823" t="s">
        <v>2002</v>
      </c>
      <c r="H796" s="823" t="s">
        <v>625</v>
      </c>
      <c r="I796" s="823" t="s">
        <v>1576</v>
      </c>
      <c r="J796" s="823" t="s">
        <v>1574</v>
      </c>
      <c r="K796" s="823" t="s">
        <v>1577</v>
      </c>
      <c r="L796" s="826">
        <v>1771.84</v>
      </c>
      <c r="M796" s="826">
        <v>1771.84</v>
      </c>
      <c r="N796" s="823">
        <v>1</v>
      </c>
      <c r="O796" s="827">
        <v>1</v>
      </c>
      <c r="P796" s="826"/>
      <c r="Q796" s="828">
        <v>0</v>
      </c>
      <c r="R796" s="823"/>
      <c r="S796" s="828">
        <v>0</v>
      </c>
      <c r="T796" s="827"/>
      <c r="U796" s="829">
        <v>0</v>
      </c>
    </row>
    <row r="797" spans="1:21" ht="14.45" customHeight="1" x14ac:dyDescent="0.2">
      <c r="A797" s="822">
        <v>50</v>
      </c>
      <c r="B797" s="823" t="s">
        <v>1887</v>
      </c>
      <c r="C797" s="823" t="s">
        <v>1893</v>
      </c>
      <c r="D797" s="824" t="s">
        <v>2977</v>
      </c>
      <c r="E797" s="825" t="s">
        <v>1902</v>
      </c>
      <c r="F797" s="823" t="s">
        <v>1888</v>
      </c>
      <c r="G797" s="823" t="s">
        <v>2002</v>
      </c>
      <c r="H797" s="823" t="s">
        <v>625</v>
      </c>
      <c r="I797" s="823" t="s">
        <v>2899</v>
      </c>
      <c r="J797" s="823" t="s">
        <v>1574</v>
      </c>
      <c r="K797" s="823" t="s">
        <v>2900</v>
      </c>
      <c r="L797" s="826">
        <v>1544.99</v>
      </c>
      <c r="M797" s="826">
        <v>1544.99</v>
      </c>
      <c r="N797" s="823">
        <v>1</v>
      </c>
      <c r="O797" s="827">
        <v>0.5</v>
      </c>
      <c r="P797" s="826">
        <v>1544.99</v>
      </c>
      <c r="Q797" s="828">
        <v>1</v>
      </c>
      <c r="R797" s="823">
        <v>1</v>
      </c>
      <c r="S797" s="828">
        <v>1</v>
      </c>
      <c r="T797" s="827">
        <v>0.5</v>
      </c>
      <c r="U797" s="829">
        <v>1</v>
      </c>
    </row>
    <row r="798" spans="1:21" ht="14.45" customHeight="1" x14ac:dyDescent="0.2">
      <c r="A798" s="822">
        <v>50</v>
      </c>
      <c r="B798" s="823" t="s">
        <v>1887</v>
      </c>
      <c r="C798" s="823" t="s">
        <v>1893</v>
      </c>
      <c r="D798" s="824" t="s">
        <v>2977</v>
      </c>
      <c r="E798" s="825" t="s">
        <v>1902</v>
      </c>
      <c r="F798" s="823" t="s">
        <v>1888</v>
      </c>
      <c r="G798" s="823" t="s">
        <v>2279</v>
      </c>
      <c r="H798" s="823" t="s">
        <v>329</v>
      </c>
      <c r="I798" s="823" t="s">
        <v>2791</v>
      </c>
      <c r="J798" s="823" t="s">
        <v>2281</v>
      </c>
      <c r="K798" s="823" t="s">
        <v>2792</v>
      </c>
      <c r="L798" s="826">
        <v>218.32</v>
      </c>
      <c r="M798" s="826">
        <v>218.32</v>
      </c>
      <c r="N798" s="823">
        <v>1</v>
      </c>
      <c r="O798" s="827">
        <v>0.5</v>
      </c>
      <c r="P798" s="826">
        <v>218.32</v>
      </c>
      <c r="Q798" s="828">
        <v>1</v>
      </c>
      <c r="R798" s="823">
        <v>1</v>
      </c>
      <c r="S798" s="828">
        <v>1</v>
      </c>
      <c r="T798" s="827">
        <v>0.5</v>
      </c>
      <c r="U798" s="829">
        <v>1</v>
      </c>
    </row>
    <row r="799" spans="1:21" ht="14.45" customHeight="1" x14ac:dyDescent="0.2">
      <c r="A799" s="822">
        <v>50</v>
      </c>
      <c r="B799" s="823" t="s">
        <v>1887</v>
      </c>
      <c r="C799" s="823" t="s">
        <v>1893</v>
      </c>
      <c r="D799" s="824" t="s">
        <v>2977</v>
      </c>
      <c r="E799" s="825" t="s">
        <v>1902</v>
      </c>
      <c r="F799" s="823" t="s">
        <v>1888</v>
      </c>
      <c r="G799" s="823" t="s">
        <v>2382</v>
      </c>
      <c r="H799" s="823" t="s">
        <v>625</v>
      </c>
      <c r="I799" s="823" t="s">
        <v>2901</v>
      </c>
      <c r="J799" s="823" t="s">
        <v>2902</v>
      </c>
      <c r="K799" s="823" t="s">
        <v>2903</v>
      </c>
      <c r="L799" s="826">
        <v>755.17</v>
      </c>
      <c r="M799" s="826">
        <v>755.17</v>
      </c>
      <c r="N799" s="823">
        <v>1</v>
      </c>
      <c r="O799" s="827">
        <v>0.5</v>
      </c>
      <c r="P799" s="826"/>
      <c r="Q799" s="828">
        <v>0</v>
      </c>
      <c r="R799" s="823"/>
      <c r="S799" s="828">
        <v>0</v>
      </c>
      <c r="T799" s="827"/>
      <c r="U799" s="829">
        <v>0</v>
      </c>
    </row>
    <row r="800" spans="1:21" ht="14.45" customHeight="1" x14ac:dyDescent="0.2">
      <c r="A800" s="822">
        <v>50</v>
      </c>
      <c r="B800" s="823" t="s">
        <v>1887</v>
      </c>
      <c r="C800" s="823" t="s">
        <v>1893</v>
      </c>
      <c r="D800" s="824" t="s">
        <v>2977</v>
      </c>
      <c r="E800" s="825" t="s">
        <v>1902</v>
      </c>
      <c r="F800" s="823" t="s">
        <v>1888</v>
      </c>
      <c r="G800" s="823" t="s">
        <v>1928</v>
      </c>
      <c r="H800" s="823" t="s">
        <v>329</v>
      </c>
      <c r="I800" s="823" t="s">
        <v>2904</v>
      </c>
      <c r="J800" s="823" t="s">
        <v>1930</v>
      </c>
      <c r="K800" s="823" t="s">
        <v>2905</v>
      </c>
      <c r="L800" s="826">
        <v>33.549999999999997</v>
      </c>
      <c r="M800" s="826">
        <v>33.549999999999997</v>
      </c>
      <c r="N800" s="823">
        <v>1</v>
      </c>
      <c r="O800" s="827">
        <v>0.5</v>
      </c>
      <c r="P800" s="826">
        <v>33.549999999999997</v>
      </c>
      <c r="Q800" s="828">
        <v>1</v>
      </c>
      <c r="R800" s="823">
        <v>1</v>
      </c>
      <c r="S800" s="828">
        <v>1</v>
      </c>
      <c r="T800" s="827">
        <v>0.5</v>
      </c>
      <c r="U800" s="829">
        <v>1</v>
      </c>
    </row>
    <row r="801" spans="1:21" ht="14.45" customHeight="1" x14ac:dyDescent="0.2">
      <c r="A801" s="822">
        <v>50</v>
      </c>
      <c r="B801" s="823" t="s">
        <v>1887</v>
      </c>
      <c r="C801" s="823" t="s">
        <v>1893</v>
      </c>
      <c r="D801" s="824" t="s">
        <v>2977</v>
      </c>
      <c r="E801" s="825" t="s">
        <v>1902</v>
      </c>
      <c r="F801" s="823" t="s">
        <v>1888</v>
      </c>
      <c r="G801" s="823" t="s">
        <v>1928</v>
      </c>
      <c r="H801" s="823" t="s">
        <v>329</v>
      </c>
      <c r="I801" s="823" t="s">
        <v>2774</v>
      </c>
      <c r="J801" s="823" t="s">
        <v>1059</v>
      </c>
      <c r="K801" s="823" t="s">
        <v>2775</v>
      </c>
      <c r="L801" s="826">
        <v>16.77</v>
      </c>
      <c r="M801" s="826">
        <v>16.77</v>
      </c>
      <c r="N801" s="823">
        <v>1</v>
      </c>
      <c r="O801" s="827">
        <v>0.5</v>
      </c>
      <c r="P801" s="826">
        <v>16.77</v>
      </c>
      <c r="Q801" s="828">
        <v>1</v>
      </c>
      <c r="R801" s="823">
        <v>1</v>
      </c>
      <c r="S801" s="828">
        <v>1</v>
      </c>
      <c r="T801" s="827">
        <v>0.5</v>
      </c>
      <c r="U801" s="829">
        <v>1</v>
      </c>
    </row>
    <row r="802" spans="1:21" ht="14.45" customHeight="1" x14ac:dyDescent="0.2">
      <c r="A802" s="822">
        <v>50</v>
      </c>
      <c r="B802" s="823" t="s">
        <v>1887</v>
      </c>
      <c r="C802" s="823" t="s">
        <v>1893</v>
      </c>
      <c r="D802" s="824" t="s">
        <v>2977</v>
      </c>
      <c r="E802" s="825" t="s">
        <v>1902</v>
      </c>
      <c r="F802" s="823" t="s">
        <v>1888</v>
      </c>
      <c r="G802" s="823" t="s">
        <v>2196</v>
      </c>
      <c r="H802" s="823" t="s">
        <v>329</v>
      </c>
      <c r="I802" s="823" t="s">
        <v>2197</v>
      </c>
      <c r="J802" s="823" t="s">
        <v>2198</v>
      </c>
      <c r="K802" s="823" t="s">
        <v>2199</v>
      </c>
      <c r="L802" s="826">
        <v>83.38</v>
      </c>
      <c r="M802" s="826">
        <v>416.9</v>
      </c>
      <c r="N802" s="823">
        <v>5</v>
      </c>
      <c r="O802" s="827">
        <v>4</v>
      </c>
      <c r="P802" s="826"/>
      <c r="Q802" s="828">
        <v>0</v>
      </c>
      <c r="R802" s="823"/>
      <c r="S802" s="828">
        <v>0</v>
      </c>
      <c r="T802" s="827"/>
      <c r="U802" s="829">
        <v>0</v>
      </c>
    </row>
    <row r="803" spans="1:21" ht="14.45" customHeight="1" x14ac:dyDescent="0.2">
      <c r="A803" s="822">
        <v>50</v>
      </c>
      <c r="B803" s="823" t="s">
        <v>1887</v>
      </c>
      <c r="C803" s="823" t="s">
        <v>1893</v>
      </c>
      <c r="D803" s="824" t="s">
        <v>2977</v>
      </c>
      <c r="E803" s="825" t="s">
        <v>1902</v>
      </c>
      <c r="F803" s="823" t="s">
        <v>1888</v>
      </c>
      <c r="G803" s="823" t="s">
        <v>2196</v>
      </c>
      <c r="H803" s="823" t="s">
        <v>329</v>
      </c>
      <c r="I803" s="823" t="s">
        <v>2283</v>
      </c>
      <c r="J803" s="823" t="s">
        <v>2198</v>
      </c>
      <c r="K803" s="823" t="s">
        <v>2284</v>
      </c>
      <c r="L803" s="826">
        <v>166.76</v>
      </c>
      <c r="M803" s="826">
        <v>333.52</v>
      </c>
      <c r="N803" s="823">
        <v>2</v>
      </c>
      <c r="O803" s="827">
        <v>1</v>
      </c>
      <c r="P803" s="826"/>
      <c r="Q803" s="828">
        <v>0</v>
      </c>
      <c r="R803" s="823"/>
      <c r="S803" s="828">
        <v>0</v>
      </c>
      <c r="T803" s="827"/>
      <c r="U803" s="829">
        <v>0</v>
      </c>
    </row>
    <row r="804" spans="1:21" ht="14.45" customHeight="1" x14ac:dyDescent="0.2">
      <c r="A804" s="822">
        <v>50</v>
      </c>
      <c r="B804" s="823" t="s">
        <v>1887</v>
      </c>
      <c r="C804" s="823" t="s">
        <v>1893</v>
      </c>
      <c r="D804" s="824" t="s">
        <v>2977</v>
      </c>
      <c r="E804" s="825" t="s">
        <v>1902</v>
      </c>
      <c r="F804" s="823" t="s">
        <v>1888</v>
      </c>
      <c r="G804" s="823" t="s">
        <v>2202</v>
      </c>
      <c r="H804" s="823" t="s">
        <v>329</v>
      </c>
      <c r="I804" s="823" t="s">
        <v>2703</v>
      </c>
      <c r="J804" s="823" t="s">
        <v>786</v>
      </c>
      <c r="K804" s="823" t="s">
        <v>2704</v>
      </c>
      <c r="L804" s="826">
        <v>94.28</v>
      </c>
      <c r="M804" s="826">
        <v>94.28</v>
      </c>
      <c r="N804" s="823">
        <v>1</v>
      </c>
      <c r="O804" s="827">
        <v>1</v>
      </c>
      <c r="P804" s="826"/>
      <c r="Q804" s="828">
        <v>0</v>
      </c>
      <c r="R804" s="823"/>
      <c r="S804" s="828">
        <v>0</v>
      </c>
      <c r="T804" s="827"/>
      <c r="U804" s="829">
        <v>0</v>
      </c>
    </row>
    <row r="805" spans="1:21" ht="14.45" customHeight="1" x14ac:dyDescent="0.2">
      <c r="A805" s="822">
        <v>50</v>
      </c>
      <c r="B805" s="823" t="s">
        <v>1887</v>
      </c>
      <c r="C805" s="823" t="s">
        <v>1893</v>
      </c>
      <c r="D805" s="824" t="s">
        <v>2977</v>
      </c>
      <c r="E805" s="825" t="s">
        <v>1902</v>
      </c>
      <c r="F805" s="823" t="s">
        <v>1888</v>
      </c>
      <c r="G805" s="823" t="s">
        <v>2202</v>
      </c>
      <c r="H805" s="823" t="s">
        <v>625</v>
      </c>
      <c r="I805" s="823" t="s">
        <v>1655</v>
      </c>
      <c r="J805" s="823" t="s">
        <v>786</v>
      </c>
      <c r="K805" s="823" t="s">
        <v>789</v>
      </c>
      <c r="L805" s="826">
        <v>84.18</v>
      </c>
      <c r="M805" s="826">
        <v>84.18</v>
      </c>
      <c r="N805" s="823">
        <v>1</v>
      </c>
      <c r="O805" s="827">
        <v>0.5</v>
      </c>
      <c r="P805" s="826"/>
      <c r="Q805" s="828">
        <v>0</v>
      </c>
      <c r="R805" s="823"/>
      <c r="S805" s="828">
        <v>0</v>
      </c>
      <c r="T805" s="827"/>
      <c r="U805" s="829">
        <v>0</v>
      </c>
    </row>
    <row r="806" spans="1:21" ht="14.45" customHeight="1" x14ac:dyDescent="0.2">
      <c r="A806" s="822">
        <v>50</v>
      </c>
      <c r="B806" s="823" t="s">
        <v>1887</v>
      </c>
      <c r="C806" s="823" t="s">
        <v>1893</v>
      </c>
      <c r="D806" s="824" t="s">
        <v>2977</v>
      </c>
      <c r="E806" s="825" t="s">
        <v>1902</v>
      </c>
      <c r="F806" s="823" t="s">
        <v>1888</v>
      </c>
      <c r="G806" s="823" t="s">
        <v>2202</v>
      </c>
      <c r="H806" s="823" t="s">
        <v>625</v>
      </c>
      <c r="I806" s="823" t="s">
        <v>1656</v>
      </c>
      <c r="J806" s="823" t="s">
        <v>786</v>
      </c>
      <c r="K806" s="823" t="s">
        <v>788</v>
      </c>
      <c r="L806" s="826">
        <v>63.14</v>
      </c>
      <c r="M806" s="826">
        <v>63.14</v>
      </c>
      <c r="N806" s="823">
        <v>1</v>
      </c>
      <c r="O806" s="827">
        <v>0.5</v>
      </c>
      <c r="P806" s="826"/>
      <c r="Q806" s="828">
        <v>0</v>
      </c>
      <c r="R806" s="823"/>
      <c r="S806" s="828">
        <v>0</v>
      </c>
      <c r="T806" s="827"/>
      <c r="U806" s="829">
        <v>0</v>
      </c>
    </row>
    <row r="807" spans="1:21" ht="14.45" customHeight="1" x14ac:dyDescent="0.2">
      <c r="A807" s="822">
        <v>50</v>
      </c>
      <c r="B807" s="823" t="s">
        <v>1887</v>
      </c>
      <c r="C807" s="823" t="s">
        <v>1893</v>
      </c>
      <c r="D807" s="824" t="s">
        <v>2977</v>
      </c>
      <c r="E807" s="825" t="s">
        <v>1902</v>
      </c>
      <c r="F807" s="823" t="s">
        <v>1888</v>
      </c>
      <c r="G807" s="823" t="s">
        <v>2206</v>
      </c>
      <c r="H807" s="823" t="s">
        <v>329</v>
      </c>
      <c r="I807" s="823" t="s">
        <v>2207</v>
      </c>
      <c r="J807" s="823" t="s">
        <v>1271</v>
      </c>
      <c r="K807" s="823" t="s">
        <v>1272</v>
      </c>
      <c r="L807" s="826">
        <v>121.92</v>
      </c>
      <c r="M807" s="826">
        <v>121.92</v>
      </c>
      <c r="N807" s="823">
        <v>1</v>
      </c>
      <c r="O807" s="827">
        <v>1</v>
      </c>
      <c r="P807" s="826"/>
      <c r="Q807" s="828">
        <v>0</v>
      </c>
      <c r="R807" s="823"/>
      <c r="S807" s="828">
        <v>0</v>
      </c>
      <c r="T807" s="827"/>
      <c r="U807" s="829">
        <v>0</v>
      </c>
    </row>
    <row r="808" spans="1:21" ht="14.45" customHeight="1" x14ac:dyDescent="0.2">
      <c r="A808" s="822">
        <v>50</v>
      </c>
      <c r="B808" s="823" t="s">
        <v>1887</v>
      </c>
      <c r="C808" s="823" t="s">
        <v>1893</v>
      </c>
      <c r="D808" s="824" t="s">
        <v>2977</v>
      </c>
      <c r="E808" s="825" t="s">
        <v>1902</v>
      </c>
      <c r="F808" s="823" t="s">
        <v>1888</v>
      </c>
      <c r="G808" s="823" t="s">
        <v>2206</v>
      </c>
      <c r="H808" s="823" t="s">
        <v>329</v>
      </c>
      <c r="I808" s="823" t="s">
        <v>2207</v>
      </c>
      <c r="J808" s="823" t="s">
        <v>1271</v>
      </c>
      <c r="K808" s="823" t="s">
        <v>1272</v>
      </c>
      <c r="L808" s="826">
        <v>107.27</v>
      </c>
      <c r="M808" s="826">
        <v>107.27</v>
      </c>
      <c r="N808" s="823">
        <v>1</v>
      </c>
      <c r="O808" s="827">
        <v>1</v>
      </c>
      <c r="P808" s="826"/>
      <c r="Q808" s="828">
        <v>0</v>
      </c>
      <c r="R808" s="823"/>
      <c r="S808" s="828">
        <v>0</v>
      </c>
      <c r="T808" s="827"/>
      <c r="U808" s="829">
        <v>0</v>
      </c>
    </row>
    <row r="809" spans="1:21" ht="14.45" customHeight="1" x14ac:dyDescent="0.2">
      <c r="A809" s="822">
        <v>50</v>
      </c>
      <c r="B809" s="823" t="s">
        <v>1887</v>
      </c>
      <c r="C809" s="823" t="s">
        <v>1893</v>
      </c>
      <c r="D809" s="824" t="s">
        <v>2977</v>
      </c>
      <c r="E809" s="825" t="s">
        <v>1898</v>
      </c>
      <c r="F809" s="823" t="s">
        <v>1888</v>
      </c>
      <c r="G809" s="823" t="s">
        <v>1940</v>
      </c>
      <c r="H809" s="823" t="s">
        <v>329</v>
      </c>
      <c r="I809" s="823" t="s">
        <v>2906</v>
      </c>
      <c r="J809" s="823" t="s">
        <v>2907</v>
      </c>
      <c r="K809" s="823" t="s">
        <v>2908</v>
      </c>
      <c r="L809" s="826">
        <v>36.270000000000003</v>
      </c>
      <c r="M809" s="826">
        <v>36.270000000000003</v>
      </c>
      <c r="N809" s="823">
        <v>1</v>
      </c>
      <c r="O809" s="827">
        <v>0.5</v>
      </c>
      <c r="P809" s="826">
        <v>36.270000000000003</v>
      </c>
      <c r="Q809" s="828">
        <v>1</v>
      </c>
      <c r="R809" s="823">
        <v>1</v>
      </c>
      <c r="S809" s="828">
        <v>1</v>
      </c>
      <c r="T809" s="827">
        <v>0.5</v>
      </c>
      <c r="U809" s="829">
        <v>1</v>
      </c>
    </row>
    <row r="810" spans="1:21" ht="14.45" customHeight="1" x14ac:dyDescent="0.2">
      <c r="A810" s="822">
        <v>50</v>
      </c>
      <c r="B810" s="823" t="s">
        <v>1887</v>
      </c>
      <c r="C810" s="823" t="s">
        <v>1893</v>
      </c>
      <c r="D810" s="824" t="s">
        <v>2977</v>
      </c>
      <c r="E810" s="825" t="s">
        <v>1898</v>
      </c>
      <c r="F810" s="823" t="s">
        <v>1888</v>
      </c>
      <c r="G810" s="823" t="s">
        <v>1940</v>
      </c>
      <c r="H810" s="823" t="s">
        <v>625</v>
      </c>
      <c r="I810" s="823" t="s">
        <v>1705</v>
      </c>
      <c r="J810" s="823" t="s">
        <v>626</v>
      </c>
      <c r="K810" s="823" t="s">
        <v>627</v>
      </c>
      <c r="L810" s="826">
        <v>65.28</v>
      </c>
      <c r="M810" s="826">
        <v>65.28</v>
      </c>
      <c r="N810" s="823">
        <v>1</v>
      </c>
      <c r="O810" s="827">
        <v>1</v>
      </c>
      <c r="P810" s="826">
        <v>65.28</v>
      </c>
      <c r="Q810" s="828">
        <v>1</v>
      </c>
      <c r="R810" s="823">
        <v>1</v>
      </c>
      <c r="S810" s="828">
        <v>1</v>
      </c>
      <c r="T810" s="827">
        <v>1</v>
      </c>
      <c r="U810" s="829">
        <v>1</v>
      </c>
    </row>
    <row r="811" spans="1:21" ht="14.45" customHeight="1" x14ac:dyDescent="0.2">
      <c r="A811" s="822">
        <v>50</v>
      </c>
      <c r="B811" s="823" t="s">
        <v>1887</v>
      </c>
      <c r="C811" s="823" t="s">
        <v>1893</v>
      </c>
      <c r="D811" s="824" t="s">
        <v>2977</v>
      </c>
      <c r="E811" s="825" t="s">
        <v>1898</v>
      </c>
      <c r="F811" s="823" t="s">
        <v>1888</v>
      </c>
      <c r="G811" s="823" t="s">
        <v>1940</v>
      </c>
      <c r="H811" s="823" t="s">
        <v>329</v>
      </c>
      <c r="I811" s="823" t="s">
        <v>2909</v>
      </c>
      <c r="J811" s="823" t="s">
        <v>2910</v>
      </c>
      <c r="K811" s="823" t="s">
        <v>628</v>
      </c>
      <c r="L811" s="826">
        <v>72.55</v>
      </c>
      <c r="M811" s="826">
        <v>72.55</v>
      </c>
      <c r="N811" s="823">
        <v>1</v>
      </c>
      <c r="O811" s="827">
        <v>1</v>
      </c>
      <c r="P811" s="826"/>
      <c r="Q811" s="828">
        <v>0</v>
      </c>
      <c r="R811" s="823"/>
      <c r="S811" s="828">
        <v>0</v>
      </c>
      <c r="T811" s="827"/>
      <c r="U811" s="829">
        <v>0</v>
      </c>
    </row>
    <row r="812" spans="1:21" ht="14.45" customHeight="1" x14ac:dyDescent="0.2">
      <c r="A812" s="822">
        <v>50</v>
      </c>
      <c r="B812" s="823" t="s">
        <v>1887</v>
      </c>
      <c r="C812" s="823" t="s">
        <v>1893</v>
      </c>
      <c r="D812" s="824" t="s">
        <v>2977</v>
      </c>
      <c r="E812" s="825" t="s">
        <v>1898</v>
      </c>
      <c r="F812" s="823" t="s">
        <v>1888</v>
      </c>
      <c r="G812" s="823" t="s">
        <v>1944</v>
      </c>
      <c r="H812" s="823" t="s">
        <v>625</v>
      </c>
      <c r="I812" s="823" t="s">
        <v>1581</v>
      </c>
      <c r="J812" s="823" t="s">
        <v>712</v>
      </c>
      <c r="K812" s="823" t="s">
        <v>1582</v>
      </c>
      <c r="L812" s="826">
        <v>80.010000000000005</v>
      </c>
      <c r="M812" s="826">
        <v>880.11</v>
      </c>
      <c r="N812" s="823">
        <v>11</v>
      </c>
      <c r="O812" s="827">
        <v>9</v>
      </c>
      <c r="P812" s="826">
        <v>480.06</v>
      </c>
      <c r="Q812" s="828">
        <v>0.54545454545454541</v>
      </c>
      <c r="R812" s="823">
        <v>6</v>
      </c>
      <c r="S812" s="828">
        <v>0.54545454545454541</v>
      </c>
      <c r="T812" s="827">
        <v>5</v>
      </c>
      <c r="U812" s="829">
        <v>0.55555555555555558</v>
      </c>
    </row>
    <row r="813" spans="1:21" ht="14.45" customHeight="1" x14ac:dyDescent="0.2">
      <c r="A813" s="822">
        <v>50</v>
      </c>
      <c r="B813" s="823" t="s">
        <v>1887</v>
      </c>
      <c r="C813" s="823" t="s">
        <v>1893</v>
      </c>
      <c r="D813" s="824" t="s">
        <v>2977</v>
      </c>
      <c r="E813" s="825" t="s">
        <v>1898</v>
      </c>
      <c r="F813" s="823" t="s">
        <v>1888</v>
      </c>
      <c r="G813" s="823" t="s">
        <v>2015</v>
      </c>
      <c r="H813" s="823" t="s">
        <v>625</v>
      </c>
      <c r="I813" s="823" t="s">
        <v>2018</v>
      </c>
      <c r="J813" s="823" t="s">
        <v>1794</v>
      </c>
      <c r="K813" s="823" t="s">
        <v>2019</v>
      </c>
      <c r="L813" s="826">
        <v>31.09</v>
      </c>
      <c r="M813" s="826">
        <v>31.09</v>
      </c>
      <c r="N813" s="823">
        <v>1</v>
      </c>
      <c r="O813" s="827">
        <v>0.5</v>
      </c>
      <c r="P813" s="826">
        <v>31.09</v>
      </c>
      <c r="Q813" s="828">
        <v>1</v>
      </c>
      <c r="R813" s="823">
        <v>1</v>
      </c>
      <c r="S813" s="828">
        <v>1</v>
      </c>
      <c r="T813" s="827">
        <v>0.5</v>
      </c>
      <c r="U813" s="829">
        <v>1</v>
      </c>
    </row>
    <row r="814" spans="1:21" ht="14.45" customHeight="1" x14ac:dyDescent="0.2">
      <c r="A814" s="822">
        <v>50</v>
      </c>
      <c r="B814" s="823" t="s">
        <v>1887</v>
      </c>
      <c r="C814" s="823" t="s">
        <v>1893</v>
      </c>
      <c r="D814" s="824" t="s">
        <v>2977</v>
      </c>
      <c r="E814" s="825" t="s">
        <v>1898</v>
      </c>
      <c r="F814" s="823" t="s">
        <v>1888</v>
      </c>
      <c r="G814" s="823" t="s">
        <v>1932</v>
      </c>
      <c r="H814" s="823" t="s">
        <v>625</v>
      </c>
      <c r="I814" s="823" t="s">
        <v>1796</v>
      </c>
      <c r="J814" s="823" t="s">
        <v>1639</v>
      </c>
      <c r="K814" s="823" t="s">
        <v>1797</v>
      </c>
      <c r="L814" s="826">
        <v>220.53</v>
      </c>
      <c r="M814" s="826">
        <v>661.59</v>
      </c>
      <c r="N814" s="823">
        <v>3</v>
      </c>
      <c r="O814" s="827">
        <v>2.5</v>
      </c>
      <c r="P814" s="826">
        <v>220.53</v>
      </c>
      <c r="Q814" s="828">
        <v>0.33333333333333331</v>
      </c>
      <c r="R814" s="823">
        <v>1</v>
      </c>
      <c r="S814" s="828">
        <v>0.33333333333333331</v>
      </c>
      <c r="T814" s="827">
        <v>1</v>
      </c>
      <c r="U814" s="829">
        <v>0.4</v>
      </c>
    </row>
    <row r="815" spans="1:21" ht="14.45" customHeight="1" x14ac:dyDescent="0.2">
      <c r="A815" s="822">
        <v>50</v>
      </c>
      <c r="B815" s="823" t="s">
        <v>1887</v>
      </c>
      <c r="C815" s="823" t="s">
        <v>1893</v>
      </c>
      <c r="D815" s="824" t="s">
        <v>2977</v>
      </c>
      <c r="E815" s="825" t="s">
        <v>1898</v>
      </c>
      <c r="F815" s="823" t="s">
        <v>1888</v>
      </c>
      <c r="G815" s="823" t="s">
        <v>1932</v>
      </c>
      <c r="H815" s="823" t="s">
        <v>329</v>
      </c>
      <c r="I815" s="823" t="s">
        <v>2911</v>
      </c>
      <c r="J815" s="823" t="s">
        <v>1639</v>
      </c>
      <c r="K815" s="823" t="s">
        <v>1854</v>
      </c>
      <c r="L815" s="826">
        <v>93.18</v>
      </c>
      <c r="M815" s="826">
        <v>186.36</v>
      </c>
      <c r="N815" s="823">
        <v>2</v>
      </c>
      <c r="O815" s="827">
        <v>1.5</v>
      </c>
      <c r="P815" s="826">
        <v>186.36</v>
      </c>
      <c r="Q815" s="828">
        <v>1</v>
      </c>
      <c r="R815" s="823">
        <v>2</v>
      </c>
      <c r="S815" s="828">
        <v>1</v>
      </c>
      <c r="T815" s="827">
        <v>1.5</v>
      </c>
      <c r="U815" s="829">
        <v>1</v>
      </c>
    </row>
    <row r="816" spans="1:21" ht="14.45" customHeight="1" x14ac:dyDescent="0.2">
      <c r="A816" s="822">
        <v>50</v>
      </c>
      <c r="B816" s="823" t="s">
        <v>1887</v>
      </c>
      <c r="C816" s="823" t="s">
        <v>1893</v>
      </c>
      <c r="D816" s="824" t="s">
        <v>2977</v>
      </c>
      <c r="E816" s="825" t="s">
        <v>1898</v>
      </c>
      <c r="F816" s="823" t="s">
        <v>1888</v>
      </c>
      <c r="G816" s="823" t="s">
        <v>1932</v>
      </c>
      <c r="H816" s="823" t="s">
        <v>329</v>
      </c>
      <c r="I816" s="823" t="s">
        <v>2911</v>
      </c>
      <c r="J816" s="823" t="s">
        <v>1639</v>
      </c>
      <c r="K816" s="823" t="s">
        <v>1854</v>
      </c>
      <c r="L816" s="826">
        <v>55.14</v>
      </c>
      <c r="M816" s="826">
        <v>55.14</v>
      </c>
      <c r="N816" s="823">
        <v>1</v>
      </c>
      <c r="O816" s="827">
        <v>0.5</v>
      </c>
      <c r="P816" s="826">
        <v>55.14</v>
      </c>
      <c r="Q816" s="828">
        <v>1</v>
      </c>
      <c r="R816" s="823">
        <v>1</v>
      </c>
      <c r="S816" s="828">
        <v>1</v>
      </c>
      <c r="T816" s="827">
        <v>0.5</v>
      </c>
      <c r="U816" s="829">
        <v>1</v>
      </c>
    </row>
    <row r="817" spans="1:21" ht="14.45" customHeight="1" x14ac:dyDescent="0.2">
      <c r="A817" s="822">
        <v>50</v>
      </c>
      <c r="B817" s="823" t="s">
        <v>1887</v>
      </c>
      <c r="C817" s="823" t="s">
        <v>1893</v>
      </c>
      <c r="D817" s="824" t="s">
        <v>2977</v>
      </c>
      <c r="E817" s="825" t="s">
        <v>1898</v>
      </c>
      <c r="F817" s="823" t="s">
        <v>1888</v>
      </c>
      <c r="G817" s="823" t="s">
        <v>1932</v>
      </c>
      <c r="H817" s="823" t="s">
        <v>329</v>
      </c>
      <c r="I817" s="823" t="s">
        <v>1638</v>
      </c>
      <c r="J817" s="823" t="s">
        <v>1639</v>
      </c>
      <c r="K817" s="823" t="s">
        <v>1640</v>
      </c>
      <c r="L817" s="826">
        <v>143.35</v>
      </c>
      <c r="M817" s="826">
        <v>143.35</v>
      </c>
      <c r="N817" s="823">
        <v>1</v>
      </c>
      <c r="O817" s="827">
        <v>1</v>
      </c>
      <c r="P817" s="826"/>
      <c r="Q817" s="828">
        <v>0</v>
      </c>
      <c r="R817" s="823"/>
      <c r="S817" s="828">
        <v>0</v>
      </c>
      <c r="T817" s="827"/>
      <c r="U817" s="829">
        <v>0</v>
      </c>
    </row>
    <row r="818" spans="1:21" ht="14.45" customHeight="1" x14ac:dyDescent="0.2">
      <c r="A818" s="822">
        <v>50</v>
      </c>
      <c r="B818" s="823" t="s">
        <v>1887</v>
      </c>
      <c r="C818" s="823" t="s">
        <v>1893</v>
      </c>
      <c r="D818" s="824" t="s">
        <v>2977</v>
      </c>
      <c r="E818" s="825" t="s">
        <v>1898</v>
      </c>
      <c r="F818" s="823" t="s">
        <v>1888</v>
      </c>
      <c r="G818" s="823" t="s">
        <v>1932</v>
      </c>
      <c r="H818" s="823" t="s">
        <v>329</v>
      </c>
      <c r="I818" s="823" t="s">
        <v>1638</v>
      </c>
      <c r="J818" s="823" t="s">
        <v>1639</v>
      </c>
      <c r="K818" s="823" t="s">
        <v>1640</v>
      </c>
      <c r="L818" s="826">
        <v>84.83</v>
      </c>
      <c r="M818" s="826">
        <v>84.83</v>
      </c>
      <c r="N818" s="823">
        <v>1</v>
      </c>
      <c r="O818" s="827">
        <v>0.5</v>
      </c>
      <c r="P818" s="826"/>
      <c r="Q818" s="828">
        <v>0</v>
      </c>
      <c r="R818" s="823"/>
      <c r="S818" s="828">
        <v>0</v>
      </c>
      <c r="T818" s="827"/>
      <c r="U818" s="829">
        <v>0</v>
      </c>
    </row>
    <row r="819" spans="1:21" ht="14.45" customHeight="1" x14ac:dyDescent="0.2">
      <c r="A819" s="822">
        <v>50</v>
      </c>
      <c r="B819" s="823" t="s">
        <v>1887</v>
      </c>
      <c r="C819" s="823" t="s">
        <v>1893</v>
      </c>
      <c r="D819" s="824" t="s">
        <v>2977</v>
      </c>
      <c r="E819" s="825" t="s">
        <v>1898</v>
      </c>
      <c r="F819" s="823" t="s">
        <v>1888</v>
      </c>
      <c r="G819" s="823" t="s">
        <v>1914</v>
      </c>
      <c r="H819" s="823" t="s">
        <v>329</v>
      </c>
      <c r="I819" s="823" t="s">
        <v>1945</v>
      </c>
      <c r="J819" s="823" t="s">
        <v>1946</v>
      </c>
      <c r="K819" s="823" t="s">
        <v>1947</v>
      </c>
      <c r="L819" s="826">
        <v>16.38</v>
      </c>
      <c r="M819" s="826">
        <v>49.14</v>
      </c>
      <c r="N819" s="823">
        <v>3</v>
      </c>
      <c r="O819" s="827">
        <v>2.5</v>
      </c>
      <c r="P819" s="826">
        <v>49.14</v>
      </c>
      <c r="Q819" s="828">
        <v>1</v>
      </c>
      <c r="R819" s="823">
        <v>3</v>
      </c>
      <c r="S819" s="828">
        <v>1</v>
      </c>
      <c r="T819" s="827">
        <v>2.5</v>
      </c>
      <c r="U819" s="829">
        <v>1</v>
      </c>
    </row>
    <row r="820" spans="1:21" ht="14.45" customHeight="1" x14ac:dyDescent="0.2">
      <c r="A820" s="822">
        <v>50</v>
      </c>
      <c r="B820" s="823" t="s">
        <v>1887</v>
      </c>
      <c r="C820" s="823" t="s">
        <v>1893</v>
      </c>
      <c r="D820" s="824" t="s">
        <v>2977</v>
      </c>
      <c r="E820" s="825" t="s">
        <v>1898</v>
      </c>
      <c r="F820" s="823" t="s">
        <v>1888</v>
      </c>
      <c r="G820" s="823" t="s">
        <v>1914</v>
      </c>
      <c r="H820" s="823" t="s">
        <v>329</v>
      </c>
      <c r="I820" s="823" t="s">
        <v>1948</v>
      </c>
      <c r="J820" s="823" t="s">
        <v>1949</v>
      </c>
      <c r="K820" s="823" t="s">
        <v>1923</v>
      </c>
      <c r="L820" s="826">
        <v>35.11</v>
      </c>
      <c r="M820" s="826">
        <v>35.11</v>
      </c>
      <c r="N820" s="823">
        <v>1</v>
      </c>
      <c r="O820" s="827">
        <v>1</v>
      </c>
      <c r="P820" s="826"/>
      <c r="Q820" s="828">
        <v>0</v>
      </c>
      <c r="R820" s="823"/>
      <c r="S820" s="828">
        <v>0</v>
      </c>
      <c r="T820" s="827"/>
      <c r="U820" s="829">
        <v>0</v>
      </c>
    </row>
    <row r="821" spans="1:21" ht="14.45" customHeight="1" x14ac:dyDescent="0.2">
      <c r="A821" s="822">
        <v>50</v>
      </c>
      <c r="B821" s="823" t="s">
        <v>1887</v>
      </c>
      <c r="C821" s="823" t="s">
        <v>1893</v>
      </c>
      <c r="D821" s="824" t="s">
        <v>2977</v>
      </c>
      <c r="E821" s="825" t="s">
        <v>1898</v>
      </c>
      <c r="F821" s="823" t="s">
        <v>1888</v>
      </c>
      <c r="G821" s="823" t="s">
        <v>1914</v>
      </c>
      <c r="H821" s="823" t="s">
        <v>329</v>
      </c>
      <c r="I821" s="823" t="s">
        <v>1950</v>
      </c>
      <c r="J821" s="823" t="s">
        <v>1615</v>
      </c>
      <c r="K821" s="823" t="s">
        <v>676</v>
      </c>
      <c r="L821" s="826">
        <v>17.559999999999999</v>
      </c>
      <c r="M821" s="826">
        <v>70.239999999999995</v>
      </c>
      <c r="N821" s="823">
        <v>4</v>
      </c>
      <c r="O821" s="827">
        <v>3</v>
      </c>
      <c r="P821" s="826">
        <v>35.119999999999997</v>
      </c>
      <c r="Q821" s="828">
        <v>0.5</v>
      </c>
      <c r="R821" s="823">
        <v>2</v>
      </c>
      <c r="S821" s="828">
        <v>0.5</v>
      </c>
      <c r="T821" s="827">
        <v>1.5</v>
      </c>
      <c r="U821" s="829">
        <v>0.5</v>
      </c>
    </row>
    <row r="822" spans="1:21" ht="14.45" customHeight="1" x14ac:dyDescent="0.2">
      <c r="A822" s="822">
        <v>50</v>
      </c>
      <c r="B822" s="823" t="s">
        <v>1887</v>
      </c>
      <c r="C822" s="823" t="s">
        <v>1893</v>
      </c>
      <c r="D822" s="824" t="s">
        <v>2977</v>
      </c>
      <c r="E822" s="825" t="s">
        <v>1898</v>
      </c>
      <c r="F822" s="823" t="s">
        <v>1888</v>
      </c>
      <c r="G822" s="823" t="s">
        <v>1914</v>
      </c>
      <c r="H822" s="823" t="s">
        <v>329</v>
      </c>
      <c r="I822" s="823" t="s">
        <v>1951</v>
      </c>
      <c r="J822" s="823" t="s">
        <v>1615</v>
      </c>
      <c r="K822" s="823" t="s">
        <v>1923</v>
      </c>
      <c r="L822" s="826">
        <v>35.11</v>
      </c>
      <c r="M822" s="826">
        <v>140.44</v>
      </c>
      <c r="N822" s="823">
        <v>4</v>
      </c>
      <c r="O822" s="827">
        <v>2.5</v>
      </c>
      <c r="P822" s="826">
        <v>35.11</v>
      </c>
      <c r="Q822" s="828">
        <v>0.25</v>
      </c>
      <c r="R822" s="823">
        <v>1</v>
      </c>
      <c r="S822" s="828">
        <v>0.25</v>
      </c>
      <c r="T822" s="827">
        <v>0.5</v>
      </c>
      <c r="U822" s="829">
        <v>0.2</v>
      </c>
    </row>
    <row r="823" spans="1:21" ht="14.45" customHeight="1" x14ac:dyDescent="0.2">
      <c r="A823" s="822">
        <v>50</v>
      </c>
      <c r="B823" s="823" t="s">
        <v>1887</v>
      </c>
      <c r="C823" s="823" t="s">
        <v>1893</v>
      </c>
      <c r="D823" s="824" t="s">
        <v>2977</v>
      </c>
      <c r="E823" s="825" t="s">
        <v>1898</v>
      </c>
      <c r="F823" s="823" t="s">
        <v>1888</v>
      </c>
      <c r="G823" s="823" t="s">
        <v>1914</v>
      </c>
      <c r="H823" s="823" t="s">
        <v>329</v>
      </c>
      <c r="I823" s="823" t="s">
        <v>2912</v>
      </c>
      <c r="J823" s="823" t="s">
        <v>1615</v>
      </c>
      <c r="K823" s="823" t="s">
        <v>674</v>
      </c>
      <c r="L823" s="826">
        <v>70.23</v>
      </c>
      <c r="M823" s="826">
        <v>70.23</v>
      </c>
      <c r="N823" s="823">
        <v>1</v>
      </c>
      <c r="O823" s="827">
        <v>0.5</v>
      </c>
      <c r="P823" s="826"/>
      <c r="Q823" s="828">
        <v>0</v>
      </c>
      <c r="R823" s="823"/>
      <c r="S823" s="828">
        <v>0</v>
      </c>
      <c r="T823" s="827"/>
      <c r="U823" s="829">
        <v>0</v>
      </c>
    </row>
    <row r="824" spans="1:21" ht="14.45" customHeight="1" x14ac:dyDescent="0.2">
      <c r="A824" s="822">
        <v>50</v>
      </c>
      <c r="B824" s="823" t="s">
        <v>1887</v>
      </c>
      <c r="C824" s="823" t="s">
        <v>1893</v>
      </c>
      <c r="D824" s="824" t="s">
        <v>2977</v>
      </c>
      <c r="E824" s="825" t="s">
        <v>1898</v>
      </c>
      <c r="F824" s="823" t="s">
        <v>1888</v>
      </c>
      <c r="G824" s="823" t="s">
        <v>2913</v>
      </c>
      <c r="H824" s="823" t="s">
        <v>329</v>
      </c>
      <c r="I824" s="823" t="s">
        <v>2914</v>
      </c>
      <c r="J824" s="823" t="s">
        <v>2915</v>
      </c>
      <c r="K824" s="823" t="s">
        <v>2916</v>
      </c>
      <c r="L824" s="826">
        <v>17.47</v>
      </c>
      <c r="M824" s="826">
        <v>34.94</v>
      </c>
      <c r="N824" s="823">
        <v>2</v>
      </c>
      <c r="O824" s="827">
        <v>1</v>
      </c>
      <c r="P824" s="826">
        <v>34.94</v>
      </c>
      <c r="Q824" s="828">
        <v>1</v>
      </c>
      <c r="R824" s="823">
        <v>2</v>
      </c>
      <c r="S824" s="828">
        <v>1</v>
      </c>
      <c r="T824" s="827">
        <v>1</v>
      </c>
      <c r="U824" s="829">
        <v>1</v>
      </c>
    </row>
    <row r="825" spans="1:21" ht="14.45" customHeight="1" x14ac:dyDescent="0.2">
      <c r="A825" s="822">
        <v>50</v>
      </c>
      <c r="B825" s="823" t="s">
        <v>1887</v>
      </c>
      <c r="C825" s="823" t="s">
        <v>1893</v>
      </c>
      <c r="D825" s="824" t="s">
        <v>2977</v>
      </c>
      <c r="E825" s="825" t="s">
        <v>1898</v>
      </c>
      <c r="F825" s="823" t="s">
        <v>1888</v>
      </c>
      <c r="G825" s="823" t="s">
        <v>2035</v>
      </c>
      <c r="H825" s="823" t="s">
        <v>625</v>
      </c>
      <c r="I825" s="823" t="s">
        <v>2867</v>
      </c>
      <c r="J825" s="823" t="s">
        <v>2037</v>
      </c>
      <c r="K825" s="823" t="s">
        <v>698</v>
      </c>
      <c r="L825" s="826">
        <v>96.04</v>
      </c>
      <c r="M825" s="826">
        <v>96.04</v>
      </c>
      <c r="N825" s="823">
        <v>1</v>
      </c>
      <c r="O825" s="827">
        <v>1</v>
      </c>
      <c r="P825" s="826"/>
      <c r="Q825" s="828">
        <v>0</v>
      </c>
      <c r="R825" s="823"/>
      <c r="S825" s="828">
        <v>0</v>
      </c>
      <c r="T825" s="827"/>
      <c r="U825" s="829">
        <v>0</v>
      </c>
    </row>
    <row r="826" spans="1:21" ht="14.45" customHeight="1" x14ac:dyDescent="0.2">
      <c r="A826" s="822">
        <v>50</v>
      </c>
      <c r="B826" s="823" t="s">
        <v>1887</v>
      </c>
      <c r="C826" s="823" t="s">
        <v>1893</v>
      </c>
      <c r="D826" s="824" t="s">
        <v>2977</v>
      </c>
      <c r="E826" s="825" t="s">
        <v>1898</v>
      </c>
      <c r="F826" s="823" t="s">
        <v>1888</v>
      </c>
      <c r="G826" s="823" t="s">
        <v>2041</v>
      </c>
      <c r="H826" s="823" t="s">
        <v>329</v>
      </c>
      <c r="I826" s="823" t="s">
        <v>2042</v>
      </c>
      <c r="J826" s="823" t="s">
        <v>2043</v>
      </c>
      <c r="K826" s="823" t="s">
        <v>698</v>
      </c>
      <c r="L826" s="826">
        <v>78.33</v>
      </c>
      <c r="M826" s="826">
        <v>78.33</v>
      </c>
      <c r="N826" s="823">
        <v>1</v>
      </c>
      <c r="O826" s="827">
        <v>1</v>
      </c>
      <c r="P826" s="826"/>
      <c r="Q826" s="828">
        <v>0</v>
      </c>
      <c r="R826" s="823"/>
      <c r="S826" s="828">
        <v>0</v>
      </c>
      <c r="T826" s="827"/>
      <c r="U826" s="829">
        <v>0</v>
      </c>
    </row>
    <row r="827" spans="1:21" ht="14.45" customHeight="1" x14ac:dyDescent="0.2">
      <c r="A827" s="822">
        <v>50</v>
      </c>
      <c r="B827" s="823" t="s">
        <v>1887</v>
      </c>
      <c r="C827" s="823" t="s">
        <v>1893</v>
      </c>
      <c r="D827" s="824" t="s">
        <v>2977</v>
      </c>
      <c r="E827" s="825" t="s">
        <v>1898</v>
      </c>
      <c r="F827" s="823" t="s">
        <v>1888</v>
      </c>
      <c r="G827" s="823" t="s">
        <v>1952</v>
      </c>
      <c r="H827" s="823" t="s">
        <v>625</v>
      </c>
      <c r="I827" s="823" t="s">
        <v>1784</v>
      </c>
      <c r="J827" s="823" t="s">
        <v>811</v>
      </c>
      <c r="K827" s="823" t="s">
        <v>1785</v>
      </c>
      <c r="L827" s="826">
        <v>42.51</v>
      </c>
      <c r="M827" s="826">
        <v>42.51</v>
      </c>
      <c r="N827" s="823">
        <v>1</v>
      </c>
      <c r="O827" s="827">
        <v>1</v>
      </c>
      <c r="P827" s="826"/>
      <c r="Q827" s="828">
        <v>0</v>
      </c>
      <c r="R827" s="823"/>
      <c r="S827" s="828">
        <v>0</v>
      </c>
      <c r="T827" s="827"/>
      <c r="U827" s="829">
        <v>0</v>
      </c>
    </row>
    <row r="828" spans="1:21" ht="14.45" customHeight="1" x14ac:dyDescent="0.2">
      <c r="A828" s="822">
        <v>50</v>
      </c>
      <c r="B828" s="823" t="s">
        <v>1887</v>
      </c>
      <c r="C828" s="823" t="s">
        <v>1893</v>
      </c>
      <c r="D828" s="824" t="s">
        <v>2977</v>
      </c>
      <c r="E828" s="825" t="s">
        <v>1898</v>
      </c>
      <c r="F828" s="823" t="s">
        <v>1888</v>
      </c>
      <c r="G828" s="823" t="s">
        <v>1952</v>
      </c>
      <c r="H828" s="823" t="s">
        <v>329</v>
      </c>
      <c r="I828" s="823" t="s">
        <v>1953</v>
      </c>
      <c r="J828" s="823" t="s">
        <v>1954</v>
      </c>
      <c r="K828" s="823" t="s">
        <v>1785</v>
      </c>
      <c r="L828" s="826">
        <v>42.51</v>
      </c>
      <c r="M828" s="826">
        <v>42.51</v>
      </c>
      <c r="N828" s="823">
        <v>1</v>
      </c>
      <c r="O828" s="827">
        <v>0.5</v>
      </c>
      <c r="P828" s="826">
        <v>42.51</v>
      </c>
      <c r="Q828" s="828">
        <v>1</v>
      </c>
      <c r="R828" s="823">
        <v>1</v>
      </c>
      <c r="S828" s="828">
        <v>1</v>
      </c>
      <c r="T828" s="827">
        <v>0.5</v>
      </c>
      <c r="U828" s="829">
        <v>1</v>
      </c>
    </row>
    <row r="829" spans="1:21" ht="14.45" customHeight="1" x14ac:dyDescent="0.2">
      <c r="A829" s="822">
        <v>50</v>
      </c>
      <c r="B829" s="823" t="s">
        <v>1887</v>
      </c>
      <c r="C829" s="823" t="s">
        <v>1893</v>
      </c>
      <c r="D829" s="824" t="s">
        <v>2977</v>
      </c>
      <c r="E829" s="825" t="s">
        <v>1898</v>
      </c>
      <c r="F829" s="823" t="s">
        <v>1888</v>
      </c>
      <c r="G829" s="823" t="s">
        <v>1952</v>
      </c>
      <c r="H829" s="823" t="s">
        <v>329</v>
      </c>
      <c r="I829" s="823" t="s">
        <v>2917</v>
      </c>
      <c r="J829" s="823" t="s">
        <v>2918</v>
      </c>
      <c r="K829" s="823" t="s">
        <v>1785</v>
      </c>
      <c r="L829" s="826">
        <v>42.51</v>
      </c>
      <c r="M829" s="826">
        <v>42.51</v>
      </c>
      <c r="N829" s="823">
        <v>1</v>
      </c>
      <c r="O829" s="827">
        <v>0.5</v>
      </c>
      <c r="P829" s="826">
        <v>42.51</v>
      </c>
      <c r="Q829" s="828">
        <v>1</v>
      </c>
      <c r="R829" s="823">
        <v>1</v>
      </c>
      <c r="S829" s="828">
        <v>1</v>
      </c>
      <c r="T829" s="827">
        <v>0.5</v>
      </c>
      <c r="U829" s="829">
        <v>1</v>
      </c>
    </row>
    <row r="830" spans="1:21" ht="14.45" customHeight="1" x14ac:dyDescent="0.2">
      <c r="A830" s="822">
        <v>50</v>
      </c>
      <c r="B830" s="823" t="s">
        <v>1887</v>
      </c>
      <c r="C830" s="823" t="s">
        <v>1893</v>
      </c>
      <c r="D830" s="824" t="s">
        <v>2977</v>
      </c>
      <c r="E830" s="825" t="s">
        <v>1898</v>
      </c>
      <c r="F830" s="823" t="s">
        <v>1888</v>
      </c>
      <c r="G830" s="823" t="s">
        <v>2872</v>
      </c>
      <c r="H830" s="823" t="s">
        <v>625</v>
      </c>
      <c r="I830" s="823" t="s">
        <v>1544</v>
      </c>
      <c r="J830" s="823" t="s">
        <v>1542</v>
      </c>
      <c r="K830" s="823" t="s">
        <v>894</v>
      </c>
      <c r="L830" s="826">
        <v>31.23</v>
      </c>
      <c r="M830" s="826">
        <v>31.23</v>
      </c>
      <c r="N830" s="823">
        <v>1</v>
      </c>
      <c r="O830" s="827">
        <v>1</v>
      </c>
      <c r="P830" s="826"/>
      <c r="Q830" s="828">
        <v>0</v>
      </c>
      <c r="R830" s="823"/>
      <c r="S830" s="828">
        <v>0</v>
      </c>
      <c r="T830" s="827"/>
      <c r="U830" s="829">
        <v>0</v>
      </c>
    </row>
    <row r="831" spans="1:21" ht="14.45" customHeight="1" x14ac:dyDescent="0.2">
      <c r="A831" s="822">
        <v>50</v>
      </c>
      <c r="B831" s="823" t="s">
        <v>1887</v>
      </c>
      <c r="C831" s="823" t="s">
        <v>1893</v>
      </c>
      <c r="D831" s="824" t="s">
        <v>2977</v>
      </c>
      <c r="E831" s="825" t="s">
        <v>1898</v>
      </c>
      <c r="F831" s="823" t="s">
        <v>1888</v>
      </c>
      <c r="G831" s="823" t="s">
        <v>2872</v>
      </c>
      <c r="H831" s="823" t="s">
        <v>329</v>
      </c>
      <c r="I831" s="823" t="s">
        <v>2919</v>
      </c>
      <c r="J831" s="823" t="s">
        <v>2920</v>
      </c>
      <c r="K831" s="823" t="s">
        <v>2014</v>
      </c>
      <c r="L831" s="826">
        <v>12.15</v>
      </c>
      <c r="M831" s="826">
        <v>12.15</v>
      </c>
      <c r="N831" s="823">
        <v>1</v>
      </c>
      <c r="O831" s="827">
        <v>1</v>
      </c>
      <c r="P831" s="826"/>
      <c r="Q831" s="828">
        <v>0</v>
      </c>
      <c r="R831" s="823"/>
      <c r="S831" s="828">
        <v>0</v>
      </c>
      <c r="T831" s="827"/>
      <c r="U831" s="829">
        <v>0</v>
      </c>
    </row>
    <row r="832" spans="1:21" ht="14.45" customHeight="1" x14ac:dyDescent="0.2">
      <c r="A832" s="822">
        <v>50</v>
      </c>
      <c r="B832" s="823" t="s">
        <v>1887</v>
      </c>
      <c r="C832" s="823" t="s">
        <v>1893</v>
      </c>
      <c r="D832" s="824" t="s">
        <v>2977</v>
      </c>
      <c r="E832" s="825" t="s">
        <v>1898</v>
      </c>
      <c r="F832" s="823" t="s">
        <v>1888</v>
      </c>
      <c r="G832" s="823" t="s">
        <v>2230</v>
      </c>
      <c r="H832" s="823" t="s">
        <v>329</v>
      </c>
      <c r="I832" s="823" t="s">
        <v>2231</v>
      </c>
      <c r="J832" s="823" t="s">
        <v>870</v>
      </c>
      <c r="K832" s="823" t="s">
        <v>2232</v>
      </c>
      <c r="L832" s="826">
        <v>45.03</v>
      </c>
      <c r="M832" s="826">
        <v>45.03</v>
      </c>
      <c r="N832" s="823">
        <v>1</v>
      </c>
      <c r="O832" s="827">
        <v>0.5</v>
      </c>
      <c r="P832" s="826">
        <v>45.03</v>
      </c>
      <c r="Q832" s="828">
        <v>1</v>
      </c>
      <c r="R832" s="823">
        <v>1</v>
      </c>
      <c r="S832" s="828">
        <v>1</v>
      </c>
      <c r="T832" s="827">
        <v>0.5</v>
      </c>
      <c r="U832" s="829">
        <v>1</v>
      </c>
    </row>
    <row r="833" spans="1:21" ht="14.45" customHeight="1" x14ac:dyDescent="0.2">
      <c r="A833" s="822">
        <v>50</v>
      </c>
      <c r="B833" s="823" t="s">
        <v>1887</v>
      </c>
      <c r="C833" s="823" t="s">
        <v>1893</v>
      </c>
      <c r="D833" s="824" t="s">
        <v>2977</v>
      </c>
      <c r="E833" s="825" t="s">
        <v>1898</v>
      </c>
      <c r="F833" s="823" t="s">
        <v>1888</v>
      </c>
      <c r="G833" s="823" t="s">
        <v>2323</v>
      </c>
      <c r="H833" s="823" t="s">
        <v>329</v>
      </c>
      <c r="I833" s="823" t="s">
        <v>2324</v>
      </c>
      <c r="J833" s="823" t="s">
        <v>1115</v>
      </c>
      <c r="K833" s="823" t="s">
        <v>2325</v>
      </c>
      <c r="L833" s="826">
        <v>42.14</v>
      </c>
      <c r="M833" s="826">
        <v>42.14</v>
      </c>
      <c r="N833" s="823">
        <v>1</v>
      </c>
      <c r="O833" s="827">
        <v>1</v>
      </c>
      <c r="P833" s="826"/>
      <c r="Q833" s="828">
        <v>0</v>
      </c>
      <c r="R833" s="823"/>
      <c r="S833" s="828">
        <v>0</v>
      </c>
      <c r="T833" s="827"/>
      <c r="U833" s="829">
        <v>0</v>
      </c>
    </row>
    <row r="834" spans="1:21" ht="14.45" customHeight="1" x14ac:dyDescent="0.2">
      <c r="A834" s="822">
        <v>50</v>
      </c>
      <c r="B834" s="823" t="s">
        <v>1887</v>
      </c>
      <c r="C834" s="823" t="s">
        <v>1893</v>
      </c>
      <c r="D834" s="824" t="s">
        <v>2977</v>
      </c>
      <c r="E834" s="825" t="s">
        <v>1898</v>
      </c>
      <c r="F834" s="823" t="s">
        <v>1888</v>
      </c>
      <c r="G834" s="823" t="s">
        <v>2921</v>
      </c>
      <c r="H834" s="823" t="s">
        <v>329</v>
      </c>
      <c r="I834" s="823" t="s">
        <v>2922</v>
      </c>
      <c r="J834" s="823" t="s">
        <v>952</v>
      </c>
      <c r="K834" s="823" t="s">
        <v>953</v>
      </c>
      <c r="L834" s="826">
        <v>0</v>
      </c>
      <c r="M834" s="826">
        <v>0</v>
      </c>
      <c r="N834" s="823">
        <v>2</v>
      </c>
      <c r="O834" s="827">
        <v>1</v>
      </c>
      <c r="P834" s="826">
        <v>0</v>
      </c>
      <c r="Q834" s="828"/>
      <c r="R834" s="823">
        <v>2</v>
      </c>
      <c r="S834" s="828">
        <v>1</v>
      </c>
      <c r="T834" s="827">
        <v>1</v>
      </c>
      <c r="U834" s="829">
        <v>1</v>
      </c>
    </row>
    <row r="835" spans="1:21" ht="14.45" customHeight="1" x14ac:dyDescent="0.2">
      <c r="A835" s="822">
        <v>50</v>
      </c>
      <c r="B835" s="823" t="s">
        <v>1887</v>
      </c>
      <c r="C835" s="823" t="s">
        <v>1893</v>
      </c>
      <c r="D835" s="824" t="s">
        <v>2977</v>
      </c>
      <c r="E835" s="825" t="s">
        <v>1898</v>
      </c>
      <c r="F835" s="823" t="s">
        <v>1888</v>
      </c>
      <c r="G835" s="823" t="s">
        <v>2923</v>
      </c>
      <c r="H835" s="823" t="s">
        <v>329</v>
      </c>
      <c r="I835" s="823" t="s">
        <v>2924</v>
      </c>
      <c r="J835" s="823" t="s">
        <v>2925</v>
      </c>
      <c r="K835" s="823" t="s">
        <v>2926</v>
      </c>
      <c r="L835" s="826">
        <v>114</v>
      </c>
      <c r="M835" s="826">
        <v>114</v>
      </c>
      <c r="N835" s="823">
        <v>1</v>
      </c>
      <c r="O835" s="827">
        <v>1</v>
      </c>
      <c r="P835" s="826">
        <v>114</v>
      </c>
      <c r="Q835" s="828">
        <v>1</v>
      </c>
      <c r="R835" s="823">
        <v>1</v>
      </c>
      <c r="S835" s="828">
        <v>1</v>
      </c>
      <c r="T835" s="827">
        <v>1</v>
      </c>
      <c r="U835" s="829">
        <v>1</v>
      </c>
    </row>
    <row r="836" spans="1:21" ht="14.45" customHeight="1" x14ac:dyDescent="0.2">
      <c r="A836" s="822">
        <v>50</v>
      </c>
      <c r="B836" s="823" t="s">
        <v>1887</v>
      </c>
      <c r="C836" s="823" t="s">
        <v>1893</v>
      </c>
      <c r="D836" s="824" t="s">
        <v>2977</v>
      </c>
      <c r="E836" s="825" t="s">
        <v>1898</v>
      </c>
      <c r="F836" s="823" t="s">
        <v>1888</v>
      </c>
      <c r="G836" s="823" t="s">
        <v>1955</v>
      </c>
      <c r="H836" s="823" t="s">
        <v>625</v>
      </c>
      <c r="I836" s="823" t="s">
        <v>1567</v>
      </c>
      <c r="J836" s="823" t="s">
        <v>1568</v>
      </c>
      <c r="K836" s="823" t="s">
        <v>1569</v>
      </c>
      <c r="L836" s="826">
        <v>93.43</v>
      </c>
      <c r="M836" s="826">
        <v>654.01</v>
      </c>
      <c r="N836" s="823">
        <v>7</v>
      </c>
      <c r="O836" s="827">
        <v>7</v>
      </c>
      <c r="P836" s="826">
        <v>186.86</v>
      </c>
      <c r="Q836" s="828">
        <v>0.28571428571428575</v>
      </c>
      <c r="R836" s="823">
        <v>2</v>
      </c>
      <c r="S836" s="828">
        <v>0.2857142857142857</v>
      </c>
      <c r="T836" s="827">
        <v>2</v>
      </c>
      <c r="U836" s="829">
        <v>0.2857142857142857</v>
      </c>
    </row>
    <row r="837" spans="1:21" ht="14.45" customHeight="1" x14ac:dyDescent="0.2">
      <c r="A837" s="822">
        <v>50</v>
      </c>
      <c r="B837" s="823" t="s">
        <v>1887</v>
      </c>
      <c r="C837" s="823" t="s">
        <v>1893</v>
      </c>
      <c r="D837" s="824" t="s">
        <v>2977</v>
      </c>
      <c r="E837" s="825" t="s">
        <v>1898</v>
      </c>
      <c r="F837" s="823" t="s">
        <v>1888</v>
      </c>
      <c r="G837" s="823" t="s">
        <v>1955</v>
      </c>
      <c r="H837" s="823" t="s">
        <v>625</v>
      </c>
      <c r="I837" s="823" t="s">
        <v>1570</v>
      </c>
      <c r="J837" s="823" t="s">
        <v>1568</v>
      </c>
      <c r="K837" s="823" t="s">
        <v>1571</v>
      </c>
      <c r="L837" s="826">
        <v>186.87</v>
      </c>
      <c r="M837" s="826">
        <v>186.87</v>
      </c>
      <c r="N837" s="823">
        <v>1</v>
      </c>
      <c r="O837" s="827">
        <v>0.5</v>
      </c>
      <c r="P837" s="826"/>
      <c r="Q837" s="828">
        <v>0</v>
      </c>
      <c r="R837" s="823"/>
      <c r="S837" s="828">
        <v>0</v>
      </c>
      <c r="T837" s="827"/>
      <c r="U837" s="829">
        <v>0</v>
      </c>
    </row>
    <row r="838" spans="1:21" ht="14.45" customHeight="1" x14ac:dyDescent="0.2">
      <c r="A838" s="822">
        <v>50</v>
      </c>
      <c r="B838" s="823" t="s">
        <v>1887</v>
      </c>
      <c r="C838" s="823" t="s">
        <v>1893</v>
      </c>
      <c r="D838" s="824" t="s">
        <v>2977</v>
      </c>
      <c r="E838" s="825" t="s">
        <v>1898</v>
      </c>
      <c r="F838" s="823" t="s">
        <v>1888</v>
      </c>
      <c r="G838" s="823" t="s">
        <v>1955</v>
      </c>
      <c r="H838" s="823" t="s">
        <v>329</v>
      </c>
      <c r="I838" s="823" t="s">
        <v>2876</v>
      </c>
      <c r="J838" s="823" t="s">
        <v>2238</v>
      </c>
      <c r="K838" s="823" t="s">
        <v>2877</v>
      </c>
      <c r="L838" s="826">
        <v>100.11</v>
      </c>
      <c r="M838" s="826">
        <v>100.11</v>
      </c>
      <c r="N838" s="823">
        <v>1</v>
      </c>
      <c r="O838" s="827">
        <v>0.5</v>
      </c>
      <c r="P838" s="826"/>
      <c r="Q838" s="828">
        <v>0</v>
      </c>
      <c r="R838" s="823"/>
      <c r="S838" s="828">
        <v>0</v>
      </c>
      <c r="T838" s="827"/>
      <c r="U838" s="829">
        <v>0</v>
      </c>
    </row>
    <row r="839" spans="1:21" ht="14.45" customHeight="1" x14ac:dyDescent="0.2">
      <c r="A839" s="822">
        <v>50</v>
      </c>
      <c r="B839" s="823" t="s">
        <v>1887</v>
      </c>
      <c r="C839" s="823" t="s">
        <v>1893</v>
      </c>
      <c r="D839" s="824" t="s">
        <v>2977</v>
      </c>
      <c r="E839" s="825" t="s">
        <v>1898</v>
      </c>
      <c r="F839" s="823" t="s">
        <v>1888</v>
      </c>
      <c r="G839" s="823" t="s">
        <v>1918</v>
      </c>
      <c r="H839" s="823" t="s">
        <v>329</v>
      </c>
      <c r="I839" s="823" t="s">
        <v>2100</v>
      </c>
      <c r="J839" s="823" t="s">
        <v>642</v>
      </c>
      <c r="K839" s="823" t="s">
        <v>2101</v>
      </c>
      <c r="L839" s="826">
        <v>31.65</v>
      </c>
      <c r="M839" s="826">
        <v>126.6</v>
      </c>
      <c r="N839" s="823">
        <v>4</v>
      </c>
      <c r="O839" s="827">
        <v>3</v>
      </c>
      <c r="P839" s="826"/>
      <c r="Q839" s="828">
        <v>0</v>
      </c>
      <c r="R839" s="823"/>
      <c r="S839" s="828">
        <v>0</v>
      </c>
      <c r="T839" s="827"/>
      <c r="U839" s="829">
        <v>0</v>
      </c>
    </row>
    <row r="840" spans="1:21" ht="14.45" customHeight="1" x14ac:dyDescent="0.2">
      <c r="A840" s="822">
        <v>50</v>
      </c>
      <c r="B840" s="823" t="s">
        <v>1887</v>
      </c>
      <c r="C840" s="823" t="s">
        <v>1893</v>
      </c>
      <c r="D840" s="824" t="s">
        <v>2977</v>
      </c>
      <c r="E840" s="825" t="s">
        <v>1898</v>
      </c>
      <c r="F840" s="823" t="s">
        <v>1888</v>
      </c>
      <c r="G840" s="823" t="s">
        <v>1918</v>
      </c>
      <c r="H840" s="823" t="s">
        <v>329</v>
      </c>
      <c r="I840" s="823" t="s">
        <v>2240</v>
      </c>
      <c r="J840" s="823" t="s">
        <v>1961</v>
      </c>
      <c r="K840" s="823" t="s">
        <v>2241</v>
      </c>
      <c r="L840" s="826">
        <v>26.37</v>
      </c>
      <c r="M840" s="826">
        <v>52.74</v>
      </c>
      <c r="N840" s="823">
        <v>2</v>
      </c>
      <c r="O840" s="827">
        <v>2</v>
      </c>
      <c r="P840" s="826">
        <v>26.37</v>
      </c>
      <c r="Q840" s="828">
        <v>0.5</v>
      </c>
      <c r="R840" s="823">
        <v>1</v>
      </c>
      <c r="S840" s="828">
        <v>0.5</v>
      </c>
      <c r="T840" s="827">
        <v>1</v>
      </c>
      <c r="U840" s="829">
        <v>0.5</v>
      </c>
    </row>
    <row r="841" spans="1:21" ht="14.45" customHeight="1" x14ac:dyDescent="0.2">
      <c r="A841" s="822">
        <v>50</v>
      </c>
      <c r="B841" s="823" t="s">
        <v>1887</v>
      </c>
      <c r="C841" s="823" t="s">
        <v>1893</v>
      </c>
      <c r="D841" s="824" t="s">
        <v>2977</v>
      </c>
      <c r="E841" s="825" t="s">
        <v>1898</v>
      </c>
      <c r="F841" s="823" t="s">
        <v>1888</v>
      </c>
      <c r="G841" s="823" t="s">
        <v>2927</v>
      </c>
      <c r="H841" s="823" t="s">
        <v>329</v>
      </c>
      <c r="I841" s="823" t="s">
        <v>2928</v>
      </c>
      <c r="J841" s="823" t="s">
        <v>2929</v>
      </c>
      <c r="K841" s="823" t="s">
        <v>2930</v>
      </c>
      <c r="L841" s="826">
        <v>69.59</v>
      </c>
      <c r="M841" s="826">
        <v>139.18</v>
      </c>
      <c r="N841" s="823">
        <v>2</v>
      </c>
      <c r="O841" s="827">
        <v>1</v>
      </c>
      <c r="P841" s="826"/>
      <c r="Q841" s="828">
        <v>0</v>
      </c>
      <c r="R841" s="823"/>
      <c r="S841" s="828">
        <v>0</v>
      </c>
      <c r="T841" s="827"/>
      <c r="U841" s="829">
        <v>0</v>
      </c>
    </row>
    <row r="842" spans="1:21" ht="14.45" customHeight="1" x14ac:dyDescent="0.2">
      <c r="A842" s="822">
        <v>50</v>
      </c>
      <c r="B842" s="823" t="s">
        <v>1887</v>
      </c>
      <c r="C842" s="823" t="s">
        <v>1893</v>
      </c>
      <c r="D842" s="824" t="s">
        <v>2977</v>
      </c>
      <c r="E842" s="825" t="s">
        <v>1898</v>
      </c>
      <c r="F842" s="823" t="s">
        <v>1888</v>
      </c>
      <c r="G842" s="823" t="s">
        <v>2328</v>
      </c>
      <c r="H842" s="823" t="s">
        <v>329</v>
      </c>
      <c r="I842" s="823" t="s">
        <v>2329</v>
      </c>
      <c r="J842" s="823" t="s">
        <v>2330</v>
      </c>
      <c r="K842" s="823" t="s">
        <v>2331</v>
      </c>
      <c r="L842" s="826">
        <v>73.150000000000006</v>
      </c>
      <c r="M842" s="826">
        <v>73.150000000000006</v>
      </c>
      <c r="N842" s="823">
        <v>1</v>
      </c>
      <c r="O842" s="827">
        <v>1</v>
      </c>
      <c r="P842" s="826"/>
      <c r="Q842" s="828">
        <v>0</v>
      </c>
      <c r="R842" s="823"/>
      <c r="S842" s="828">
        <v>0</v>
      </c>
      <c r="T842" s="827"/>
      <c r="U842" s="829">
        <v>0</v>
      </c>
    </row>
    <row r="843" spans="1:21" ht="14.45" customHeight="1" x14ac:dyDescent="0.2">
      <c r="A843" s="822">
        <v>50</v>
      </c>
      <c r="B843" s="823" t="s">
        <v>1887</v>
      </c>
      <c r="C843" s="823" t="s">
        <v>1893</v>
      </c>
      <c r="D843" s="824" t="s">
        <v>2977</v>
      </c>
      <c r="E843" s="825" t="s">
        <v>1898</v>
      </c>
      <c r="F843" s="823" t="s">
        <v>1888</v>
      </c>
      <c r="G843" s="823" t="s">
        <v>2931</v>
      </c>
      <c r="H843" s="823" t="s">
        <v>329</v>
      </c>
      <c r="I843" s="823" t="s">
        <v>2932</v>
      </c>
      <c r="J843" s="823" t="s">
        <v>2933</v>
      </c>
      <c r="K843" s="823" t="s">
        <v>1582</v>
      </c>
      <c r="L843" s="826">
        <v>38.56</v>
      </c>
      <c r="M843" s="826">
        <v>77.12</v>
      </c>
      <c r="N843" s="823">
        <v>2</v>
      </c>
      <c r="O843" s="827">
        <v>1</v>
      </c>
      <c r="P843" s="826"/>
      <c r="Q843" s="828">
        <v>0</v>
      </c>
      <c r="R843" s="823"/>
      <c r="S843" s="828">
        <v>0</v>
      </c>
      <c r="T843" s="827"/>
      <c r="U843" s="829">
        <v>0</v>
      </c>
    </row>
    <row r="844" spans="1:21" ht="14.45" customHeight="1" x14ac:dyDescent="0.2">
      <c r="A844" s="822">
        <v>50</v>
      </c>
      <c r="B844" s="823" t="s">
        <v>1887</v>
      </c>
      <c r="C844" s="823" t="s">
        <v>1893</v>
      </c>
      <c r="D844" s="824" t="s">
        <v>2977</v>
      </c>
      <c r="E844" s="825" t="s">
        <v>1898</v>
      </c>
      <c r="F844" s="823" t="s">
        <v>1888</v>
      </c>
      <c r="G844" s="823" t="s">
        <v>1933</v>
      </c>
      <c r="H844" s="823" t="s">
        <v>329</v>
      </c>
      <c r="I844" s="823" t="s">
        <v>1934</v>
      </c>
      <c r="J844" s="823" t="s">
        <v>1185</v>
      </c>
      <c r="K844" s="823" t="s">
        <v>1935</v>
      </c>
      <c r="L844" s="826">
        <v>10.65</v>
      </c>
      <c r="M844" s="826">
        <v>21.3</v>
      </c>
      <c r="N844" s="823">
        <v>2</v>
      </c>
      <c r="O844" s="827">
        <v>1.5</v>
      </c>
      <c r="P844" s="826">
        <v>10.65</v>
      </c>
      <c r="Q844" s="828">
        <v>0.5</v>
      </c>
      <c r="R844" s="823">
        <v>1</v>
      </c>
      <c r="S844" s="828">
        <v>0.5</v>
      </c>
      <c r="T844" s="827">
        <v>0.5</v>
      </c>
      <c r="U844" s="829">
        <v>0.33333333333333331</v>
      </c>
    </row>
    <row r="845" spans="1:21" ht="14.45" customHeight="1" x14ac:dyDescent="0.2">
      <c r="A845" s="822">
        <v>50</v>
      </c>
      <c r="B845" s="823" t="s">
        <v>1887</v>
      </c>
      <c r="C845" s="823" t="s">
        <v>1893</v>
      </c>
      <c r="D845" s="824" t="s">
        <v>2977</v>
      </c>
      <c r="E845" s="825" t="s">
        <v>1898</v>
      </c>
      <c r="F845" s="823" t="s">
        <v>1888</v>
      </c>
      <c r="G845" s="823" t="s">
        <v>1933</v>
      </c>
      <c r="H845" s="823" t="s">
        <v>329</v>
      </c>
      <c r="I845" s="823" t="s">
        <v>2934</v>
      </c>
      <c r="J845" s="823" t="s">
        <v>1185</v>
      </c>
      <c r="K845" s="823" t="s">
        <v>1965</v>
      </c>
      <c r="L845" s="826">
        <v>17.559999999999999</v>
      </c>
      <c r="M845" s="826">
        <v>35.119999999999997</v>
      </c>
      <c r="N845" s="823">
        <v>2</v>
      </c>
      <c r="O845" s="827">
        <v>2</v>
      </c>
      <c r="P845" s="826">
        <v>17.559999999999999</v>
      </c>
      <c r="Q845" s="828">
        <v>0.5</v>
      </c>
      <c r="R845" s="823">
        <v>1</v>
      </c>
      <c r="S845" s="828">
        <v>0.5</v>
      </c>
      <c r="T845" s="827">
        <v>1</v>
      </c>
      <c r="U845" s="829">
        <v>0.5</v>
      </c>
    </row>
    <row r="846" spans="1:21" ht="14.45" customHeight="1" x14ac:dyDescent="0.2">
      <c r="A846" s="822">
        <v>50</v>
      </c>
      <c r="B846" s="823" t="s">
        <v>1887</v>
      </c>
      <c r="C846" s="823" t="s">
        <v>1893</v>
      </c>
      <c r="D846" s="824" t="s">
        <v>2977</v>
      </c>
      <c r="E846" s="825" t="s">
        <v>1898</v>
      </c>
      <c r="F846" s="823" t="s">
        <v>1888</v>
      </c>
      <c r="G846" s="823" t="s">
        <v>1933</v>
      </c>
      <c r="H846" s="823" t="s">
        <v>625</v>
      </c>
      <c r="I846" s="823" t="s">
        <v>1603</v>
      </c>
      <c r="J846" s="823" t="s">
        <v>1185</v>
      </c>
      <c r="K846" s="823" t="s">
        <v>1604</v>
      </c>
      <c r="L846" s="826">
        <v>35.11</v>
      </c>
      <c r="M846" s="826">
        <v>35.11</v>
      </c>
      <c r="N846" s="823">
        <v>1</v>
      </c>
      <c r="O846" s="827">
        <v>1</v>
      </c>
      <c r="P846" s="826"/>
      <c r="Q846" s="828">
        <v>0</v>
      </c>
      <c r="R846" s="823"/>
      <c r="S846" s="828">
        <v>0</v>
      </c>
      <c r="T846" s="827"/>
      <c r="U846" s="829">
        <v>0</v>
      </c>
    </row>
    <row r="847" spans="1:21" ht="14.45" customHeight="1" x14ac:dyDescent="0.2">
      <c r="A847" s="822">
        <v>50</v>
      </c>
      <c r="B847" s="823" t="s">
        <v>1887</v>
      </c>
      <c r="C847" s="823" t="s">
        <v>1893</v>
      </c>
      <c r="D847" s="824" t="s">
        <v>2977</v>
      </c>
      <c r="E847" s="825" t="s">
        <v>1898</v>
      </c>
      <c r="F847" s="823" t="s">
        <v>1888</v>
      </c>
      <c r="G847" s="823" t="s">
        <v>1966</v>
      </c>
      <c r="H847" s="823" t="s">
        <v>625</v>
      </c>
      <c r="I847" s="823" t="s">
        <v>1552</v>
      </c>
      <c r="J847" s="823" t="s">
        <v>809</v>
      </c>
      <c r="K847" s="823" t="s">
        <v>1553</v>
      </c>
      <c r="L847" s="826">
        <v>1385.62</v>
      </c>
      <c r="M847" s="826">
        <v>1385.62</v>
      </c>
      <c r="N847" s="823">
        <v>1</v>
      </c>
      <c r="O847" s="827">
        <v>1</v>
      </c>
      <c r="P847" s="826">
        <v>1385.62</v>
      </c>
      <c r="Q847" s="828">
        <v>1</v>
      </c>
      <c r="R847" s="823">
        <v>1</v>
      </c>
      <c r="S847" s="828">
        <v>1</v>
      </c>
      <c r="T847" s="827">
        <v>1</v>
      </c>
      <c r="U847" s="829">
        <v>1</v>
      </c>
    </row>
    <row r="848" spans="1:21" ht="14.45" customHeight="1" x14ac:dyDescent="0.2">
      <c r="A848" s="822">
        <v>50</v>
      </c>
      <c r="B848" s="823" t="s">
        <v>1887</v>
      </c>
      <c r="C848" s="823" t="s">
        <v>1893</v>
      </c>
      <c r="D848" s="824" t="s">
        <v>2977</v>
      </c>
      <c r="E848" s="825" t="s">
        <v>1898</v>
      </c>
      <c r="F848" s="823" t="s">
        <v>1888</v>
      </c>
      <c r="G848" s="823" t="s">
        <v>1966</v>
      </c>
      <c r="H848" s="823" t="s">
        <v>625</v>
      </c>
      <c r="I848" s="823" t="s">
        <v>1564</v>
      </c>
      <c r="J848" s="823" t="s">
        <v>803</v>
      </c>
      <c r="K848" s="823" t="s">
        <v>1565</v>
      </c>
      <c r="L848" s="826">
        <v>490.89</v>
      </c>
      <c r="M848" s="826">
        <v>490.89</v>
      </c>
      <c r="N848" s="823">
        <v>1</v>
      </c>
      <c r="O848" s="827">
        <v>0.5</v>
      </c>
      <c r="P848" s="826">
        <v>490.89</v>
      </c>
      <c r="Q848" s="828">
        <v>1</v>
      </c>
      <c r="R848" s="823">
        <v>1</v>
      </c>
      <c r="S848" s="828">
        <v>1</v>
      </c>
      <c r="T848" s="827">
        <v>0.5</v>
      </c>
      <c r="U848" s="829">
        <v>1</v>
      </c>
    </row>
    <row r="849" spans="1:21" ht="14.45" customHeight="1" x14ac:dyDescent="0.2">
      <c r="A849" s="822">
        <v>50</v>
      </c>
      <c r="B849" s="823" t="s">
        <v>1887</v>
      </c>
      <c r="C849" s="823" t="s">
        <v>1893</v>
      </c>
      <c r="D849" s="824" t="s">
        <v>2977</v>
      </c>
      <c r="E849" s="825" t="s">
        <v>1898</v>
      </c>
      <c r="F849" s="823" t="s">
        <v>1888</v>
      </c>
      <c r="G849" s="823" t="s">
        <v>1966</v>
      </c>
      <c r="H849" s="823" t="s">
        <v>625</v>
      </c>
      <c r="I849" s="823" t="s">
        <v>1554</v>
      </c>
      <c r="J849" s="823" t="s">
        <v>809</v>
      </c>
      <c r="K849" s="823" t="s">
        <v>1555</v>
      </c>
      <c r="L849" s="826">
        <v>1847.49</v>
      </c>
      <c r="M849" s="826">
        <v>5542.47</v>
      </c>
      <c r="N849" s="823">
        <v>3</v>
      </c>
      <c r="O849" s="827">
        <v>3</v>
      </c>
      <c r="P849" s="826">
        <v>3694.98</v>
      </c>
      <c r="Q849" s="828">
        <v>0.66666666666666663</v>
      </c>
      <c r="R849" s="823">
        <v>2</v>
      </c>
      <c r="S849" s="828">
        <v>0.66666666666666663</v>
      </c>
      <c r="T849" s="827">
        <v>2</v>
      </c>
      <c r="U849" s="829">
        <v>0.66666666666666663</v>
      </c>
    </row>
    <row r="850" spans="1:21" ht="14.45" customHeight="1" x14ac:dyDescent="0.2">
      <c r="A850" s="822">
        <v>50</v>
      </c>
      <c r="B850" s="823" t="s">
        <v>1887</v>
      </c>
      <c r="C850" s="823" t="s">
        <v>1893</v>
      </c>
      <c r="D850" s="824" t="s">
        <v>2977</v>
      </c>
      <c r="E850" s="825" t="s">
        <v>1898</v>
      </c>
      <c r="F850" s="823" t="s">
        <v>1888</v>
      </c>
      <c r="G850" s="823" t="s">
        <v>1966</v>
      </c>
      <c r="H850" s="823" t="s">
        <v>625</v>
      </c>
      <c r="I850" s="823" t="s">
        <v>1562</v>
      </c>
      <c r="J850" s="823" t="s">
        <v>803</v>
      </c>
      <c r="K850" s="823" t="s">
        <v>1563</v>
      </c>
      <c r="L850" s="826">
        <v>1154.68</v>
      </c>
      <c r="M850" s="826">
        <v>1154.68</v>
      </c>
      <c r="N850" s="823">
        <v>1</v>
      </c>
      <c r="O850" s="827">
        <v>1</v>
      </c>
      <c r="P850" s="826">
        <v>1154.68</v>
      </c>
      <c r="Q850" s="828">
        <v>1</v>
      </c>
      <c r="R850" s="823">
        <v>1</v>
      </c>
      <c r="S850" s="828">
        <v>1</v>
      </c>
      <c r="T850" s="827">
        <v>1</v>
      </c>
      <c r="U850" s="829">
        <v>1</v>
      </c>
    </row>
    <row r="851" spans="1:21" ht="14.45" customHeight="1" x14ac:dyDescent="0.2">
      <c r="A851" s="822">
        <v>50</v>
      </c>
      <c r="B851" s="823" t="s">
        <v>1887</v>
      </c>
      <c r="C851" s="823" t="s">
        <v>1893</v>
      </c>
      <c r="D851" s="824" t="s">
        <v>2977</v>
      </c>
      <c r="E851" s="825" t="s">
        <v>1898</v>
      </c>
      <c r="F851" s="823" t="s">
        <v>1888</v>
      </c>
      <c r="G851" s="823" t="s">
        <v>1936</v>
      </c>
      <c r="H851" s="823" t="s">
        <v>329</v>
      </c>
      <c r="I851" s="823" t="s">
        <v>2821</v>
      </c>
      <c r="J851" s="823" t="s">
        <v>1938</v>
      </c>
      <c r="K851" s="823" t="s">
        <v>2119</v>
      </c>
      <c r="L851" s="826">
        <v>134.47999999999999</v>
      </c>
      <c r="M851" s="826">
        <v>134.47999999999999</v>
      </c>
      <c r="N851" s="823">
        <v>1</v>
      </c>
      <c r="O851" s="827">
        <v>1</v>
      </c>
      <c r="P851" s="826">
        <v>134.47999999999999</v>
      </c>
      <c r="Q851" s="828">
        <v>1</v>
      </c>
      <c r="R851" s="823">
        <v>1</v>
      </c>
      <c r="S851" s="828">
        <v>1</v>
      </c>
      <c r="T851" s="827">
        <v>1</v>
      </c>
      <c r="U851" s="829">
        <v>1</v>
      </c>
    </row>
    <row r="852" spans="1:21" ht="14.45" customHeight="1" x14ac:dyDescent="0.2">
      <c r="A852" s="822">
        <v>50</v>
      </c>
      <c r="B852" s="823" t="s">
        <v>1887</v>
      </c>
      <c r="C852" s="823" t="s">
        <v>1893</v>
      </c>
      <c r="D852" s="824" t="s">
        <v>2977</v>
      </c>
      <c r="E852" s="825" t="s">
        <v>1898</v>
      </c>
      <c r="F852" s="823" t="s">
        <v>1888</v>
      </c>
      <c r="G852" s="823" t="s">
        <v>1936</v>
      </c>
      <c r="H852" s="823" t="s">
        <v>329</v>
      </c>
      <c r="I852" s="823" t="s">
        <v>1937</v>
      </c>
      <c r="J852" s="823" t="s">
        <v>1938</v>
      </c>
      <c r="K852" s="823" t="s">
        <v>1939</v>
      </c>
      <c r="L852" s="826">
        <v>57.28</v>
      </c>
      <c r="M852" s="826">
        <v>57.28</v>
      </c>
      <c r="N852" s="823">
        <v>1</v>
      </c>
      <c r="O852" s="827">
        <v>1</v>
      </c>
      <c r="P852" s="826"/>
      <c r="Q852" s="828">
        <v>0</v>
      </c>
      <c r="R852" s="823"/>
      <c r="S852" s="828">
        <v>0</v>
      </c>
      <c r="T852" s="827"/>
      <c r="U852" s="829">
        <v>0</v>
      </c>
    </row>
    <row r="853" spans="1:21" ht="14.45" customHeight="1" x14ac:dyDescent="0.2">
      <c r="A853" s="822">
        <v>50</v>
      </c>
      <c r="B853" s="823" t="s">
        <v>1887</v>
      </c>
      <c r="C853" s="823" t="s">
        <v>1893</v>
      </c>
      <c r="D853" s="824" t="s">
        <v>2977</v>
      </c>
      <c r="E853" s="825" t="s">
        <v>1898</v>
      </c>
      <c r="F853" s="823" t="s">
        <v>1888</v>
      </c>
      <c r="G853" s="823" t="s">
        <v>2349</v>
      </c>
      <c r="H853" s="823" t="s">
        <v>329</v>
      </c>
      <c r="I853" s="823" t="s">
        <v>2350</v>
      </c>
      <c r="J853" s="823" t="s">
        <v>2351</v>
      </c>
      <c r="K853" s="823" t="s">
        <v>2087</v>
      </c>
      <c r="L853" s="826">
        <v>46.81</v>
      </c>
      <c r="M853" s="826">
        <v>46.81</v>
      </c>
      <c r="N853" s="823">
        <v>1</v>
      </c>
      <c r="O853" s="827">
        <v>0.5</v>
      </c>
      <c r="P853" s="826">
        <v>46.81</v>
      </c>
      <c r="Q853" s="828">
        <v>1</v>
      </c>
      <c r="R853" s="823">
        <v>1</v>
      </c>
      <c r="S853" s="828">
        <v>1</v>
      </c>
      <c r="T853" s="827">
        <v>0.5</v>
      </c>
      <c r="U853" s="829">
        <v>1</v>
      </c>
    </row>
    <row r="854" spans="1:21" ht="14.45" customHeight="1" x14ac:dyDescent="0.2">
      <c r="A854" s="822">
        <v>50</v>
      </c>
      <c r="B854" s="823" t="s">
        <v>1887</v>
      </c>
      <c r="C854" s="823" t="s">
        <v>1893</v>
      </c>
      <c r="D854" s="824" t="s">
        <v>2977</v>
      </c>
      <c r="E854" s="825" t="s">
        <v>1898</v>
      </c>
      <c r="F854" s="823" t="s">
        <v>1888</v>
      </c>
      <c r="G854" s="823" t="s">
        <v>1973</v>
      </c>
      <c r="H854" s="823" t="s">
        <v>329</v>
      </c>
      <c r="I854" s="823" t="s">
        <v>1974</v>
      </c>
      <c r="J854" s="823" t="s">
        <v>706</v>
      </c>
      <c r="K854" s="823" t="s">
        <v>1975</v>
      </c>
      <c r="L854" s="826">
        <v>57.64</v>
      </c>
      <c r="M854" s="826">
        <v>172.92000000000002</v>
      </c>
      <c r="N854" s="823">
        <v>3</v>
      </c>
      <c r="O854" s="827">
        <v>2</v>
      </c>
      <c r="P854" s="826">
        <v>57.64</v>
      </c>
      <c r="Q854" s="828">
        <v>0.33333333333333331</v>
      </c>
      <c r="R854" s="823">
        <v>1</v>
      </c>
      <c r="S854" s="828">
        <v>0.33333333333333331</v>
      </c>
      <c r="T854" s="827">
        <v>0.5</v>
      </c>
      <c r="U854" s="829">
        <v>0.25</v>
      </c>
    </row>
    <row r="855" spans="1:21" ht="14.45" customHeight="1" x14ac:dyDescent="0.2">
      <c r="A855" s="822">
        <v>50</v>
      </c>
      <c r="B855" s="823" t="s">
        <v>1887</v>
      </c>
      <c r="C855" s="823" t="s">
        <v>1893</v>
      </c>
      <c r="D855" s="824" t="s">
        <v>2977</v>
      </c>
      <c r="E855" s="825" t="s">
        <v>1898</v>
      </c>
      <c r="F855" s="823" t="s">
        <v>1888</v>
      </c>
      <c r="G855" s="823" t="s">
        <v>1973</v>
      </c>
      <c r="H855" s="823" t="s">
        <v>329</v>
      </c>
      <c r="I855" s="823" t="s">
        <v>1974</v>
      </c>
      <c r="J855" s="823" t="s">
        <v>706</v>
      </c>
      <c r="K855" s="823" t="s">
        <v>1975</v>
      </c>
      <c r="L855" s="826">
        <v>27.37</v>
      </c>
      <c r="M855" s="826">
        <v>27.37</v>
      </c>
      <c r="N855" s="823">
        <v>1</v>
      </c>
      <c r="O855" s="827">
        <v>0.5</v>
      </c>
      <c r="P855" s="826">
        <v>27.37</v>
      </c>
      <c r="Q855" s="828">
        <v>1</v>
      </c>
      <c r="R855" s="823">
        <v>1</v>
      </c>
      <c r="S855" s="828">
        <v>1</v>
      </c>
      <c r="T855" s="827">
        <v>0.5</v>
      </c>
      <c r="U855" s="829">
        <v>1</v>
      </c>
    </row>
    <row r="856" spans="1:21" ht="14.45" customHeight="1" x14ac:dyDescent="0.2">
      <c r="A856" s="822">
        <v>50</v>
      </c>
      <c r="B856" s="823" t="s">
        <v>1887</v>
      </c>
      <c r="C856" s="823" t="s">
        <v>1893</v>
      </c>
      <c r="D856" s="824" t="s">
        <v>2977</v>
      </c>
      <c r="E856" s="825" t="s">
        <v>1898</v>
      </c>
      <c r="F856" s="823" t="s">
        <v>1888</v>
      </c>
      <c r="G856" s="823" t="s">
        <v>1973</v>
      </c>
      <c r="H856" s="823" t="s">
        <v>329</v>
      </c>
      <c r="I856" s="823" t="s">
        <v>2127</v>
      </c>
      <c r="J856" s="823" t="s">
        <v>706</v>
      </c>
      <c r="K856" s="823" t="s">
        <v>707</v>
      </c>
      <c r="L856" s="826">
        <v>205.84</v>
      </c>
      <c r="M856" s="826">
        <v>205.84</v>
      </c>
      <c r="N856" s="823">
        <v>1</v>
      </c>
      <c r="O856" s="827">
        <v>1</v>
      </c>
      <c r="P856" s="826">
        <v>205.84</v>
      </c>
      <c r="Q856" s="828">
        <v>1</v>
      </c>
      <c r="R856" s="823">
        <v>1</v>
      </c>
      <c r="S856" s="828">
        <v>1</v>
      </c>
      <c r="T856" s="827">
        <v>1</v>
      </c>
      <c r="U856" s="829">
        <v>1</v>
      </c>
    </row>
    <row r="857" spans="1:21" ht="14.45" customHeight="1" x14ac:dyDescent="0.2">
      <c r="A857" s="822">
        <v>50</v>
      </c>
      <c r="B857" s="823" t="s">
        <v>1887</v>
      </c>
      <c r="C857" s="823" t="s">
        <v>1893</v>
      </c>
      <c r="D857" s="824" t="s">
        <v>2977</v>
      </c>
      <c r="E857" s="825" t="s">
        <v>1898</v>
      </c>
      <c r="F857" s="823" t="s">
        <v>1888</v>
      </c>
      <c r="G857" s="823" t="s">
        <v>1973</v>
      </c>
      <c r="H857" s="823" t="s">
        <v>625</v>
      </c>
      <c r="I857" s="823" t="s">
        <v>1976</v>
      </c>
      <c r="J857" s="823" t="s">
        <v>706</v>
      </c>
      <c r="K857" s="823" t="s">
        <v>1977</v>
      </c>
      <c r="L857" s="826">
        <v>28.81</v>
      </c>
      <c r="M857" s="826">
        <v>28.81</v>
      </c>
      <c r="N857" s="823">
        <v>1</v>
      </c>
      <c r="O857" s="827">
        <v>1</v>
      </c>
      <c r="P857" s="826">
        <v>28.81</v>
      </c>
      <c r="Q857" s="828">
        <v>1</v>
      </c>
      <c r="R857" s="823">
        <v>1</v>
      </c>
      <c r="S857" s="828">
        <v>1</v>
      </c>
      <c r="T857" s="827">
        <v>1</v>
      </c>
      <c r="U857" s="829">
        <v>1</v>
      </c>
    </row>
    <row r="858" spans="1:21" ht="14.45" customHeight="1" x14ac:dyDescent="0.2">
      <c r="A858" s="822">
        <v>50</v>
      </c>
      <c r="B858" s="823" t="s">
        <v>1887</v>
      </c>
      <c r="C858" s="823" t="s">
        <v>1893</v>
      </c>
      <c r="D858" s="824" t="s">
        <v>2977</v>
      </c>
      <c r="E858" s="825" t="s">
        <v>1898</v>
      </c>
      <c r="F858" s="823" t="s">
        <v>1888</v>
      </c>
      <c r="G858" s="823" t="s">
        <v>1921</v>
      </c>
      <c r="H858" s="823" t="s">
        <v>625</v>
      </c>
      <c r="I858" s="823" t="s">
        <v>1922</v>
      </c>
      <c r="J858" s="823" t="s">
        <v>967</v>
      </c>
      <c r="K858" s="823" t="s">
        <v>1923</v>
      </c>
      <c r="L858" s="826">
        <v>34.47</v>
      </c>
      <c r="M858" s="826">
        <v>137.88</v>
      </c>
      <c r="N858" s="823">
        <v>4</v>
      </c>
      <c r="O858" s="827">
        <v>4</v>
      </c>
      <c r="P858" s="826">
        <v>68.94</v>
      </c>
      <c r="Q858" s="828">
        <v>0.5</v>
      </c>
      <c r="R858" s="823">
        <v>2</v>
      </c>
      <c r="S858" s="828">
        <v>0.5</v>
      </c>
      <c r="T858" s="827">
        <v>2</v>
      </c>
      <c r="U858" s="829">
        <v>0.5</v>
      </c>
    </row>
    <row r="859" spans="1:21" ht="14.45" customHeight="1" x14ac:dyDescent="0.2">
      <c r="A859" s="822">
        <v>50</v>
      </c>
      <c r="B859" s="823" t="s">
        <v>1887</v>
      </c>
      <c r="C859" s="823" t="s">
        <v>1893</v>
      </c>
      <c r="D859" s="824" t="s">
        <v>2977</v>
      </c>
      <c r="E859" s="825" t="s">
        <v>1898</v>
      </c>
      <c r="F859" s="823" t="s">
        <v>1888</v>
      </c>
      <c r="G859" s="823" t="s">
        <v>2935</v>
      </c>
      <c r="H859" s="823" t="s">
        <v>329</v>
      </c>
      <c r="I859" s="823" t="s">
        <v>2936</v>
      </c>
      <c r="J859" s="823" t="s">
        <v>2937</v>
      </c>
      <c r="K859" s="823" t="s">
        <v>2938</v>
      </c>
      <c r="L859" s="826">
        <v>107.37</v>
      </c>
      <c r="M859" s="826">
        <v>214.74</v>
      </c>
      <c r="N859" s="823">
        <v>2</v>
      </c>
      <c r="O859" s="827">
        <v>1</v>
      </c>
      <c r="P859" s="826">
        <v>214.74</v>
      </c>
      <c r="Q859" s="828">
        <v>1</v>
      </c>
      <c r="R859" s="823">
        <v>2</v>
      </c>
      <c r="S859" s="828">
        <v>1</v>
      </c>
      <c r="T859" s="827">
        <v>1</v>
      </c>
      <c r="U859" s="829">
        <v>1</v>
      </c>
    </row>
    <row r="860" spans="1:21" ht="14.45" customHeight="1" x14ac:dyDescent="0.2">
      <c r="A860" s="822">
        <v>50</v>
      </c>
      <c r="B860" s="823" t="s">
        <v>1887</v>
      </c>
      <c r="C860" s="823" t="s">
        <v>1893</v>
      </c>
      <c r="D860" s="824" t="s">
        <v>2977</v>
      </c>
      <c r="E860" s="825" t="s">
        <v>1898</v>
      </c>
      <c r="F860" s="823" t="s">
        <v>1888</v>
      </c>
      <c r="G860" s="823" t="s">
        <v>2146</v>
      </c>
      <c r="H860" s="823" t="s">
        <v>625</v>
      </c>
      <c r="I860" s="823" t="s">
        <v>2362</v>
      </c>
      <c r="J860" s="823" t="s">
        <v>1628</v>
      </c>
      <c r="K860" s="823" t="s">
        <v>2019</v>
      </c>
      <c r="L860" s="826">
        <v>34.47</v>
      </c>
      <c r="M860" s="826">
        <v>34.47</v>
      </c>
      <c r="N860" s="823">
        <v>1</v>
      </c>
      <c r="O860" s="827">
        <v>0.5</v>
      </c>
      <c r="P860" s="826"/>
      <c r="Q860" s="828">
        <v>0</v>
      </c>
      <c r="R860" s="823"/>
      <c r="S860" s="828">
        <v>0</v>
      </c>
      <c r="T860" s="827"/>
      <c r="U860" s="829">
        <v>0</v>
      </c>
    </row>
    <row r="861" spans="1:21" ht="14.45" customHeight="1" x14ac:dyDescent="0.2">
      <c r="A861" s="822">
        <v>50</v>
      </c>
      <c r="B861" s="823" t="s">
        <v>1887</v>
      </c>
      <c r="C861" s="823" t="s">
        <v>1893</v>
      </c>
      <c r="D861" s="824" t="s">
        <v>2977</v>
      </c>
      <c r="E861" s="825" t="s">
        <v>1898</v>
      </c>
      <c r="F861" s="823" t="s">
        <v>1888</v>
      </c>
      <c r="G861" s="823" t="s">
        <v>1982</v>
      </c>
      <c r="H861" s="823" t="s">
        <v>329</v>
      </c>
      <c r="I861" s="823" t="s">
        <v>2365</v>
      </c>
      <c r="J861" s="823" t="s">
        <v>1984</v>
      </c>
      <c r="K861" s="823" t="s">
        <v>1854</v>
      </c>
      <c r="L861" s="826">
        <v>143.35</v>
      </c>
      <c r="M861" s="826">
        <v>143.35</v>
      </c>
      <c r="N861" s="823">
        <v>1</v>
      </c>
      <c r="O861" s="827">
        <v>1</v>
      </c>
      <c r="P861" s="826"/>
      <c r="Q861" s="828">
        <v>0</v>
      </c>
      <c r="R861" s="823"/>
      <c r="S861" s="828">
        <v>0</v>
      </c>
      <c r="T861" s="827"/>
      <c r="U861" s="829">
        <v>0</v>
      </c>
    </row>
    <row r="862" spans="1:21" ht="14.45" customHeight="1" x14ac:dyDescent="0.2">
      <c r="A862" s="822">
        <v>50</v>
      </c>
      <c r="B862" s="823" t="s">
        <v>1887</v>
      </c>
      <c r="C862" s="823" t="s">
        <v>1893</v>
      </c>
      <c r="D862" s="824" t="s">
        <v>2977</v>
      </c>
      <c r="E862" s="825" t="s">
        <v>1898</v>
      </c>
      <c r="F862" s="823" t="s">
        <v>1888</v>
      </c>
      <c r="G862" s="823" t="s">
        <v>1982</v>
      </c>
      <c r="H862" s="823" t="s">
        <v>329</v>
      </c>
      <c r="I862" s="823" t="s">
        <v>1983</v>
      </c>
      <c r="J862" s="823" t="s">
        <v>1984</v>
      </c>
      <c r="K862" s="823" t="s">
        <v>1640</v>
      </c>
      <c r="L862" s="826">
        <v>220.53</v>
      </c>
      <c r="M862" s="826">
        <v>220.53</v>
      </c>
      <c r="N862" s="823">
        <v>1</v>
      </c>
      <c r="O862" s="827">
        <v>1</v>
      </c>
      <c r="P862" s="826">
        <v>220.53</v>
      </c>
      <c r="Q862" s="828">
        <v>1</v>
      </c>
      <c r="R862" s="823">
        <v>1</v>
      </c>
      <c r="S862" s="828">
        <v>1</v>
      </c>
      <c r="T862" s="827">
        <v>1</v>
      </c>
      <c r="U862" s="829">
        <v>1</v>
      </c>
    </row>
    <row r="863" spans="1:21" ht="14.45" customHeight="1" x14ac:dyDescent="0.2">
      <c r="A863" s="822">
        <v>50</v>
      </c>
      <c r="B863" s="823" t="s">
        <v>1887</v>
      </c>
      <c r="C863" s="823" t="s">
        <v>1893</v>
      </c>
      <c r="D863" s="824" t="s">
        <v>2977</v>
      </c>
      <c r="E863" s="825" t="s">
        <v>1898</v>
      </c>
      <c r="F863" s="823" t="s">
        <v>1888</v>
      </c>
      <c r="G863" s="823" t="s">
        <v>1985</v>
      </c>
      <c r="H863" s="823" t="s">
        <v>329</v>
      </c>
      <c r="I863" s="823" t="s">
        <v>1986</v>
      </c>
      <c r="J863" s="823" t="s">
        <v>998</v>
      </c>
      <c r="K863" s="823" t="s">
        <v>1987</v>
      </c>
      <c r="L863" s="826">
        <v>128.69999999999999</v>
      </c>
      <c r="M863" s="826">
        <v>386.09999999999997</v>
      </c>
      <c r="N863" s="823">
        <v>3</v>
      </c>
      <c r="O863" s="827">
        <v>2.5</v>
      </c>
      <c r="P863" s="826">
        <v>257.39999999999998</v>
      </c>
      <c r="Q863" s="828">
        <v>0.66666666666666663</v>
      </c>
      <c r="R863" s="823">
        <v>2</v>
      </c>
      <c r="S863" s="828">
        <v>0.66666666666666663</v>
      </c>
      <c r="T863" s="827">
        <v>1.5</v>
      </c>
      <c r="U863" s="829">
        <v>0.6</v>
      </c>
    </row>
    <row r="864" spans="1:21" ht="14.45" customHeight="1" x14ac:dyDescent="0.2">
      <c r="A864" s="822">
        <v>50</v>
      </c>
      <c r="B864" s="823" t="s">
        <v>1887</v>
      </c>
      <c r="C864" s="823" t="s">
        <v>1893</v>
      </c>
      <c r="D864" s="824" t="s">
        <v>2977</v>
      </c>
      <c r="E864" s="825" t="s">
        <v>1898</v>
      </c>
      <c r="F864" s="823" t="s">
        <v>1888</v>
      </c>
      <c r="G864" s="823" t="s">
        <v>1985</v>
      </c>
      <c r="H864" s="823" t="s">
        <v>329</v>
      </c>
      <c r="I864" s="823" t="s">
        <v>2276</v>
      </c>
      <c r="J864" s="823" t="s">
        <v>998</v>
      </c>
      <c r="K864" s="823" t="s">
        <v>2277</v>
      </c>
      <c r="L864" s="826">
        <v>64.349999999999994</v>
      </c>
      <c r="M864" s="826">
        <v>64.349999999999994</v>
      </c>
      <c r="N864" s="823">
        <v>1</v>
      </c>
      <c r="O864" s="827">
        <v>1</v>
      </c>
      <c r="P864" s="826">
        <v>64.349999999999994</v>
      </c>
      <c r="Q864" s="828">
        <v>1</v>
      </c>
      <c r="R864" s="823">
        <v>1</v>
      </c>
      <c r="S864" s="828">
        <v>1</v>
      </c>
      <c r="T864" s="827">
        <v>1</v>
      </c>
      <c r="U864" s="829">
        <v>1</v>
      </c>
    </row>
    <row r="865" spans="1:21" ht="14.45" customHeight="1" x14ac:dyDescent="0.2">
      <c r="A865" s="822">
        <v>50</v>
      </c>
      <c r="B865" s="823" t="s">
        <v>1887</v>
      </c>
      <c r="C865" s="823" t="s">
        <v>1893</v>
      </c>
      <c r="D865" s="824" t="s">
        <v>2977</v>
      </c>
      <c r="E865" s="825" t="s">
        <v>1898</v>
      </c>
      <c r="F865" s="823" t="s">
        <v>1888</v>
      </c>
      <c r="G865" s="823" t="s">
        <v>1988</v>
      </c>
      <c r="H865" s="823" t="s">
        <v>329</v>
      </c>
      <c r="I865" s="823" t="s">
        <v>1989</v>
      </c>
      <c r="J865" s="823" t="s">
        <v>1047</v>
      </c>
      <c r="K865" s="823" t="s">
        <v>1990</v>
      </c>
      <c r="L865" s="826">
        <v>42.08</v>
      </c>
      <c r="M865" s="826">
        <v>84.16</v>
      </c>
      <c r="N865" s="823">
        <v>2</v>
      </c>
      <c r="O865" s="827">
        <v>1.5</v>
      </c>
      <c r="P865" s="826">
        <v>42.08</v>
      </c>
      <c r="Q865" s="828">
        <v>0.5</v>
      </c>
      <c r="R865" s="823">
        <v>1</v>
      </c>
      <c r="S865" s="828">
        <v>0.5</v>
      </c>
      <c r="T865" s="827">
        <v>0.5</v>
      </c>
      <c r="U865" s="829">
        <v>0.33333333333333331</v>
      </c>
    </row>
    <row r="866" spans="1:21" ht="14.45" customHeight="1" x14ac:dyDescent="0.2">
      <c r="A866" s="822">
        <v>50</v>
      </c>
      <c r="B866" s="823" t="s">
        <v>1887</v>
      </c>
      <c r="C866" s="823" t="s">
        <v>1893</v>
      </c>
      <c r="D866" s="824" t="s">
        <v>2977</v>
      </c>
      <c r="E866" s="825" t="s">
        <v>1898</v>
      </c>
      <c r="F866" s="823" t="s">
        <v>1888</v>
      </c>
      <c r="G866" s="823" t="s">
        <v>2159</v>
      </c>
      <c r="H866" s="823" t="s">
        <v>329</v>
      </c>
      <c r="I866" s="823" t="s">
        <v>2887</v>
      </c>
      <c r="J866" s="823" t="s">
        <v>669</v>
      </c>
      <c r="K866" s="823" t="s">
        <v>2161</v>
      </c>
      <c r="L866" s="826">
        <v>42.54</v>
      </c>
      <c r="M866" s="826">
        <v>85.08</v>
      </c>
      <c r="N866" s="823">
        <v>2</v>
      </c>
      <c r="O866" s="827">
        <v>2</v>
      </c>
      <c r="P866" s="826"/>
      <c r="Q866" s="828">
        <v>0</v>
      </c>
      <c r="R866" s="823"/>
      <c r="S866" s="828">
        <v>0</v>
      </c>
      <c r="T866" s="827"/>
      <c r="U866" s="829">
        <v>0</v>
      </c>
    </row>
    <row r="867" spans="1:21" ht="14.45" customHeight="1" x14ac:dyDescent="0.2">
      <c r="A867" s="822">
        <v>50</v>
      </c>
      <c r="B867" s="823" t="s">
        <v>1887</v>
      </c>
      <c r="C867" s="823" t="s">
        <v>1893</v>
      </c>
      <c r="D867" s="824" t="s">
        <v>2977</v>
      </c>
      <c r="E867" s="825" t="s">
        <v>1898</v>
      </c>
      <c r="F867" s="823" t="s">
        <v>1888</v>
      </c>
      <c r="G867" s="823" t="s">
        <v>1991</v>
      </c>
      <c r="H867" s="823" t="s">
        <v>329</v>
      </c>
      <c r="I867" s="823" t="s">
        <v>1992</v>
      </c>
      <c r="J867" s="823" t="s">
        <v>1147</v>
      </c>
      <c r="K867" s="823" t="s">
        <v>1993</v>
      </c>
      <c r="L867" s="826">
        <v>219.37</v>
      </c>
      <c r="M867" s="826">
        <v>438.74</v>
      </c>
      <c r="N867" s="823">
        <v>2</v>
      </c>
      <c r="O867" s="827">
        <v>1</v>
      </c>
      <c r="P867" s="826"/>
      <c r="Q867" s="828">
        <v>0</v>
      </c>
      <c r="R867" s="823"/>
      <c r="S867" s="828">
        <v>0</v>
      </c>
      <c r="T867" s="827"/>
      <c r="U867" s="829">
        <v>0</v>
      </c>
    </row>
    <row r="868" spans="1:21" ht="14.45" customHeight="1" x14ac:dyDescent="0.2">
      <c r="A868" s="822">
        <v>50</v>
      </c>
      <c r="B868" s="823" t="s">
        <v>1887</v>
      </c>
      <c r="C868" s="823" t="s">
        <v>1893</v>
      </c>
      <c r="D868" s="824" t="s">
        <v>2977</v>
      </c>
      <c r="E868" s="825" t="s">
        <v>1898</v>
      </c>
      <c r="F868" s="823" t="s">
        <v>1888</v>
      </c>
      <c r="G868" s="823" t="s">
        <v>2939</v>
      </c>
      <c r="H868" s="823" t="s">
        <v>329</v>
      </c>
      <c r="I868" s="823" t="s">
        <v>2940</v>
      </c>
      <c r="J868" s="823" t="s">
        <v>1020</v>
      </c>
      <c r="K868" s="823" t="s">
        <v>2908</v>
      </c>
      <c r="L868" s="826">
        <v>137.88</v>
      </c>
      <c r="M868" s="826">
        <v>137.88</v>
      </c>
      <c r="N868" s="823">
        <v>1</v>
      </c>
      <c r="O868" s="827">
        <v>0.5</v>
      </c>
      <c r="P868" s="826">
        <v>137.88</v>
      </c>
      <c r="Q868" s="828">
        <v>1</v>
      </c>
      <c r="R868" s="823">
        <v>1</v>
      </c>
      <c r="S868" s="828">
        <v>1</v>
      </c>
      <c r="T868" s="827">
        <v>0.5</v>
      </c>
      <c r="U868" s="829">
        <v>1</v>
      </c>
    </row>
    <row r="869" spans="1:21" ht="14.45" customHeight="1" x14ac:dyDescent="0.2">
      <c r="A869" s="822">
        <v>50</v>
      </c>
      <c r="B869" s="823" t="s">
        <v>1887</v>
      </c>
      <c r="C869" s="823" t="s">
        <v>1893</v>
      </c>
      <c r="D869" s="824" t="s">
        <v>2977</v>
      </c>
      <c r="E869" s="825" t="s">
        <v>1898</v>
      </c>
      <c r="F869" s="823" t="s">
        <v>1888</v>
      </c>
      <c r="G869" s="823" t="s">
        <v>2740</v>
      </c>
      <c r="H869" s="823" t="s">
        <v>329</v>
      </c>
      <c r="I869" s="823" t="s">
        <v>2741</v>
      </c>
      <c r="J869" s="823" t="s">
        <v>1399</v>
      </c>
      <c r="K869" s="823" t="s">
        <v>2742</v>
      </c>
      <c r="L869" s="826">
        <v>61.97</v>
      </c>
      <c r="M869" s="826">
        <v>123.94</v>
      </c>
      <c r="N869" s="823">
        <v>2</v>
      </c>
      <c r="O869" s="827">
        <v>1</v>
      </c>
      <c r="P869" s="826">
        <v>123.94</v>
      </c>
      <c r="Q869" s="828">
        <v>1</v>
      </c>
      <c r="R869" s="823">
        <v>2</v>
      </c>
      <c r="S869" s="828">
        <v>1</v>
      </c>
      <c r="T869" s="827">
        <v>1</v>
      </c>
      <c r="U869" s="829">
        <v>1</v>
      </c>
    </row>
    <row r="870" spans="1:21" ht="14.45" customHeight="1" x14ac:dyDescent="0.2">
      <c r="A870" s="822">
        <v>50</v>
      </c>
      <c r="B870" s="823" t="s">
        <v>1887</v>
      </c>
      <c r="C870" s="823" t="s">
        <v>1893</v>
      </c>
      <c r="D870" s="824" t="s">
        <v>2977</v>
      </c>
      <c r="E870" s="825" t="s">
        <v>1898</v>
      </c>
      <c r="F870" s="823" t="s">
        <v>1888</v>
      </c>
      <c r="G870" s="823" t="s">
        <v>2645</v>
      </c>
      <c r="H870" s="823" t="s">
        <v>329</v>
      </c>
      <c r="I870" s="823" t="s">
        <v>2646</v>
      </c>
      <c r="J870" s="823" t="s">
        <v>2647</v>
      </c>
      <c r="K870" s="823" t="s">
        <v>2648</v>
      </c>
      <c r="L870" s="826">
        <v>87.87</v>
      </c>
      <c r="M870" s="826">
        <v>87.87</v>
      </c>
      <c r="N870" s="823">
        <v>1</v>
      </c>
      <c r="O870" s="827">
        <v>1</v>
      </c>
      <c r="P870" s="826"/>
      <c r="Q870" s="828">
        <v>0</v>
      </c>
      <c r="R870" s="823"/>
      <c r="S870" s="828">
        <v>0</v>
      </c>
      <c r="T870" s="827"/>
      <c r="U870" s="829">
        <v>0</v>
      </c>
    </row>
    <row r="871" spans="1:21" ht="14.45" customHeight="1" x14ac:dyDescent="0.2">
      <c r="A871" s="822">
        <v>50</v>
      </c>
      <c r="B871" s="823" t="s">
        <v>1887</v>
      </c>
      <c r="C871" s="823" t="s">
        <v>1893</v>
      </c>
      <c r="D871" s="824" t="s">
        <v>2977</v>
      </c>
      <c r="E871" s="825" t="s">
        <v>1898</v>
      </c>
      <c r="F871" s="823" t="s">
        <v>1888</v>
      </c>
      <c r="G871" s="823" t="s">
        <v>2001</v>
      </c>
      <c r="H871" s="823" t="s">
        <v>625</v>
      </c>
      <c r="I871" s="823" t="s">
        <v>1546</v>
      </c>
      <c r="J871" s="823" t="s">
        <v>1547</v>
      </c>
      <c r="K871" s="823" t="s">
        <v>1548</v>
      </c>
      <c r="L871" s="826">
        <v>93.75</v>
      </c>
      <c r="M871" s="826">
        <v>93.75</v>
      </c>
      <c r="N871" s="823">
        <v>1</v>
      </c>
      <c r="O871" s="827">
        <v>0.5</v>
      </c>
      <c r="P871" s="826">
        <v>93.75</v>
      </c>
      <c r="Q871" s="828">
        <v>1</v>
      </c>
      <c r="R871" s="823">
        <v>1</v>
      </c>
      <c r="S871" s="828">
        <v>1</v>
      </c>
      <c r="T871" s="827">
        <v>0.5</v>
      </c>
      <c r="U871" s="829">
        <v>1</v>
      </c>
    </row>
    <row r="872" spans="1:21" ht="14.45" customHeight="1" x14ac:dyDescent="0.2">
      <c r="A872" s="822">
        <v>50</v>
      </c>
      <c r="B872" s="823" t="s">
        <v>1887</v>
      </c>
      <c r="C872" s="823" t="s">
        <v>1893</v>
      </c>
      <c r="D872" s="824" t="s">
        <v>2977</v>
      </c>
      <c r="E872" s="825" t="s">
        <v>1898</v>
      </c>
      <c r="F872" s="823" t="s">
        <v>1888</v>
      </c>
      <c r="G872" s="823" t="s">
        <v>2001</v>
      </c>
      <c r="H872" s="823" t="s">
        <v>625</v>
      </c>
      <c r="I872" s="823" t="s">
        <v>1549</v>
      </c>
      <c r="J872" s="823" t="s">
        <v>1547</v>
      </c>
      <c r="K872" s="823" t="s">
        <v>1550</v>
      </c>
      <c r="L872" s="826">
        <v>184.74</v>
      </c>
      <c r="M872" s="826">
        <v>369.48</v>
      </c>
      <c r="N872" s="823">
        <v>2</v>
      </c>
      <c r="O872" s="827">
        <v>2</v>
      </c>
      <c r="P872" s="826">
        <v>184.74</v>
      </c>
      <c r="Q872" s="828">
        <v>0.5</v>
      </c>
      <c r="R872" s="823">
        <v>1</v>
      </c>
      <c r="S872" s="828">
        <v>0.5</v>
      </c>
      <c r="T872" s="827">
        <v>1</v>
      </c>
      <c r="U872" s="829">
        <v>0.5</v>
      </c>
    </row>
    <row r="873" spans="1:21" ht="14.45" customHeight="1" x14ac:dyDescent="0.2">
      <c r="A873" s="822">
        <v>50</v>
      </c>
      <c r="B873" s="823" t="s">
        <v>1887</v>
      </c>
      <c r="C873" s="823" t="s">
        <v>1893</v>
      </c>
      <c r="D873" s="824" t="s">
        <v>2977</v>
      </c>
      <c r="E873" s="825" t="s">
        <v>1898</v>
      </c>
      <c r="F873" s="823" t="s">
        <v>1888</v>
      </c>
      <c r="G873" s="823" t="s">
        <v>2001</v>
      </c>
      <c r="H873" s="823" t="s">
        <v>625</v>
      </c>
      <c r="I873" s="823" t="s">
        <v>2186</v>
      </c>
      <c r="J873" s="823" t="s">
        <v>2187</v>
      </c>
      <c r="K873" s="823" t="s">
        <v>2188</v>
      </c>
      <c r="L873" s="826">
        <v>120.61</v>
      </c>
      <c r="M873" s="826">
        <v>361.83</v>
      </c>
      <c r="N873" s="823">
        <v>3</v>
      </c>
      <c r="O873" s="827">
        <v>2</v>
      </c>
      <c r="P873" s="826">
        <v>241.22</v>
      </c>
      <c r="Q873" s="828">
        <v>0.66666666666666674</v>
      </c>
      <c r="R873" s="823">
        <v>2</v>
      </c>
      <c r="S873" s="828">
        <v>0.66666666666666663</v>
      </c>
      <c r="T873" s="827">
        <v>1.5</v>
      </c>
      <c r="U873" s="829">
        <v>0.75</v>
      </c>
    </row>
    <row r="874" spans="1:21" ht="14.45" customHeight="1" x14ac:dyDescent="0.2">
      <c r="A874" s="822">
        <v>50</v>
      </c>
      <c r="B874" s="823" t="s">
        <v>1887</v>
      </c>
      <c r="C874" s="823" t="s">
        <v>1893</v>
      </c>
      <c r="D874" s="824" t="s">
        <v>2977</v>
      </c>
      <c r="E874" s="825" t="s">
        <v>1898</v>
      </c>
      <c r="F874" s="823" t="s">
        <v>1888</v>
      </c>
      <c r="G874" s="823" t="s">
        <v>2001</v>
      </c>
      <c r="H874" s="823" t="s">
        <v>329</v>
      </c>
      <c r="I874" s="823" t="s">
        <v>2278</v>
      </c>
      <c r="J874" s="823" t="s">
        <v>2187</v>
      </c>
      <c r="K874" s="823" t="s">
        <v>2275</v>
      </c>
      <c r="L874" s="826">
        <v>184.74</v>
      </c>
      <c r="M874" s="826">
        <v>369.48</v>
      </c>
      <c r="N874" s="823">
        <v>2</v>
      </c>
      <c r="O874" s="827">
        <v>2</v>
      </c>
      <c r="P874" s="826">
        <v>184.74</v>
      </c>
      <c r="Q874" s="828">
        <v>0.5</v>
      </c>
      <c r="R874" s="823">
        <v>1</v>
      </c>
      <c r="S874" s="828">
        <v>0.5</v>
      </c>
      <c r="T874" s="827">
        <v>1</v>
      </c>
      <c r="U874" s="829">
        <v>0.5</v>
      </c>
    </row>
    <row r="875" spans="1:21" ht="14.45" customHeight="1" x14ac:dyDescent="0.2">
      <c r="A875" s="822">
        <v>50</v>
      </c>
      <c r="B875" s="823" t="s">
        <v>1887</v>
      </c>
      <c r="C875" s="823" t="s">
        <v>1893</v>
      </c>
      <c r="D875" s="824" t="s">
        <v>2977</v>
      </c>
      <c r="E875" s="825" t="s">
        <v>1898</v>
      </c>
      <c r="F875" s="823" t="s">
        <v>1888</v>
      </c>
      <c r="G875" s="823" t="s">
        <v>2002</v>
      </c>
      <c r="H875" s="823" t="s">
        <v>625</v>
      </c>
      <c r="I875" s="823" t="s">
        <v>1576</v>
      </c>
      <c r="J875" s="823" t="s">
        <v>1574</v>
      </c>
      <c r="K875" s="823" t="s">
        <v>1577</v>
      </c>
      <c r="L875" s="826">
        <v>1771.84</v>
      </c>
      <c r="M875" s="826">
        <v>5315.5199999999995</v>
      </c>
      <c r="N875" s="823">
        <v>3</v>
      </c>
      <c r="O875" s="827">
        <v>3</v>
      </c>
      <c r="P875" s="826">
        <v>3543.68</v>
      </c>
      <c r="Q875" s="828">
        <v>0.66666666666666674</v>
      </c>
      <c r="R875" s="823">
        <v>2</v>
      </c>
      <c r="S875" s="828">
        <v>0.66666666666666663</v>
      </c>
      <c r="T875" s="827">
        <v>2</v>
      </c>
      <c r="U875" s="829">
        <v>0.66666666666666663</v>
      </c>
    </row>
    <row r="876" spans="1:21" ht="14.45" customHeight="1" x14ac:dyDescent="0.2">
      <c r="A876" s="822">
        <v>50</v>
      </c>
      <c r="B876" s="823" t="s">
        <v>1887</v>
      </c>
      <c r="C876" s="823" t="s">
        <v>1893</v>
      </c>
      <c r="D876" s="824" t="s">
        <v>2977</v>
      </c>
      <c r="E876" s="825" t="s">
        <v>1898</v>
      </c>
      <c r="F876" s="823" t="s">
        <v>1888</v>
      </c>
      <c r="G876" s="823" t="s">
        <v>2279</v>
      </c>
      <c r="H876" s="823" t="s">
        <v>329</v>
      </c>
      <c r="I876" s="823" t="s">
        <v>2791</v>
      </c>
      <c r="J876" s="823" t="s">
        <v>2281</v>
      </c>
      <c r="K876" s="823" t="s">
        <v>2792</v>
      </c>
      <c r="L876" s="826">
        <v>218.32</v>
      </c>
      <c r="M876" s="826">
        <v>218.32</v>
      </c>
      <c r="N876" s="823">
        <v>1</v>
      </c>
      <c r="O876" s="827">
        <v>0.5</v>
      </c>
      <c r="P876" s="826"/>
      <c r="Q876" s="828">
        <v>0</v>
      </c>
      <c r="R876" s="823"/>
      <c r="S876" s="828">
        <v>0</v>
      </c>
      <c r="T876" s="827"/>
      <c r="U876" s="829">
        <v>0</v>
      </c>
    </row>
    <row r="877" spans="1:21" ht="14.45" customHeight="1" x14ac:dyDescent="0.2">
      <c r="A877" s="822">
        <v>50</v>
      </c>
      <c r="B877" s="823" t="s">
        <v>1887</v>
      </c>
      <c r="C877" s="823" t="s">
        <v>1893</v>
      </c>
      <c r="D877" s="824" t="s">
        <v>2977</v>
      </c>
      <c r="E877" s="825" t="s">
        <v>1898</v>
      </c>
      <c r="F877" s="823" t="s">
        <v>1888</v>
      </c>
      <c r="G877" s="823" t="s">
        <v>2194</v>
      </c>
      <c r="H877" s="823" t="s">
        <v>329</v>
      </c>
      <c r="I877" s="823" t="s">
        <v>2195</v>
      </c>
      <c r="J877" s="823" t="s">
        <v>776</v>
      </c>
      <c r="K877" s="823" t="s">
        <v>777</v>
      </c>
      <c r="L877" s="826">
        <v>1704.59</v>
      </c>
      <c r="M877" s="826">
        <v>1704.59</v>
      </c>
      <c r="N877" s="823">
        <v>1</v>
      </c>
      <c r="O877" s="827">
        <v>1</v>
      </c>
      <c r="P877" s="826"/>
      <c r="Q877" s="828">
        <v>0</v>
      </c>
      <c r="R877" s="823"/>
      <c r="S877" s="828">
        <v>0</v>
      </c>
      <c r="T877" s="827"/>
      <c r="U877" s="829">
        <v>0</v>
      </c>
    </row>
    <row r="878" spans="1:21" ht="14.45" customHeight="1" x14ac:dyDescent="0.2">
      <c r="A878" s="822">
        <v>50</v>
      </c>
      <c r="B878" s="823" t="s">
        <v>1887</v>
      </c>
      <c r="C878" s="823" t="s">
        <v>1893</v>
      </c>
      <c r="D878" s="824" t="s">
        <v>2977</v>
      </c>
      <c r="E878" s="825" t="s">
        <v>1898</v>
      </c>
      <c r="F878" s="823" t="s">
        <v>1888</v>
      </c>
      <c r="G878" s="823" t="s">
        <v>1924</v>
      </c>
      <c r="H878" s="823" t="s">
        <v>625</v>
      </c>
      <c r="I878" s="823" t="s">
        <v>2200</v>
      </c>
      <c r="J878" s="823" t="s">
        <v>1088</v>
      </c>
      <c r="K878" s="823" t="s">
        <v>2201</v>
      </c>
      <c r="L878" s="826">
        <v>154.36000000000001</v>
      </c>
      <c r="M878" s="826">
        <v>154.36000000000001</v>
      </c>
      <c r="N878" s="823">
        <v>1</v>
      </c>
      <c r="O878" s="827">
        <v>1</v>
      </c>
      <c r="P878" s="826">
        <v>154.36000000000001</v>
      </c>
      <c r="Q878" s="828">
        <v>1</v>
      </c>
      <c r="R878" s="823">
        <v>1</v>
      </c>
      <c r="S878" s="828">
        <v>1</v>
      </c>
      <c r="T878" s="827">
        <v>1</v>
      </c>
      <c r="U878" s="829">
        <v>1</v>
      </c>
    </row>
    <row r="879" spans="1:21" ht="14.45" customHeight="1" x14ac:dyDescent="0.2">
      <c r="A879" s="822">
        <v>50</v>
      </c>
      <c r="B879" s="823" t="s">
        <v>1887</v>
      </c>
      <c r="C879" s="823" t="s">
        <v>1893</v>
      </c>
      <c r="D879" s="824" t="s">
        <v>2977</v>
      </c>
      <c r="E879" s="825" t="s">
        <v>1898</v>
      </c>
      <c r="F879" s="823" t="s">
        <v>1888</v>
      </c>
      <c r="G879" s="823" t="s">
        <v>1924</v>
      </c>
      <c r="H879" s="823" t="s">
        <v>625</v>
      </c>
      <c r="I879" s="823" t="s">
        <v>2941</v>
      </c>
      <c r="J879" s="823" t="s">
        <v>2942</v>
      </c>
      <c r="K879" s="823" t="s">
        <v>2943</v>
      </c>
      <c r="L879" s="826">
        <v>149.52000000000001</v>
      </c>
      <c r="M879" s="826">
        <v>149.52000000000001</v>
      </c>
      <c r="N879" s="823">
        <v>1</v>
      </c>
      <c r="O879" s="827">
        <v>1</v>
      </c>
      <c r="P879" s="826"/>
      <c r="Q879" s="828">
        <v>0</v>
      </c>
      <c r="R879" s="823"/>
      <c r="S879" s="828">
        <v>0</v>
      </c>
      <c r="T879" s="827"/>
      <c r="U879" s="829">
        <v>0</v>
      </c>
    </row>
    <row r="880" spans="1:21" ht="14.45" customHeight="1" x14ac:dyDescent="0.2">
      <c r="A880" s="822">
        <v>50</v>
      </c>
      <c r="B880" s="823" t="s">
        <v>1887</v>
      </c>
      <c r="C880" s="823" t="s">
        <v>1893</v>
      </c>
      <c r="D880" s="824" t="s">
        <v>2977</v>
      </c>
      <c r="E880" s="825" t="s">
        <v>1898</v>
      </c>
      <c r="F880" s="823" t="s">
        <v>1888</v>
      </c>
      <c r="G880" s="823" t="s">
        <v>1924</v>
      </c>
      <c r="H880" s="823" t="s">
        <v>329</v>
      </c>
      <c r="I880" s="823" t="s">
        <v>2005</v>
      </c>
      <c r="J880" s="823" t="s">
        <v>1088</v>
      </c>
      <c r="K880" s="823" t="s">
        <v>2006</v>
      </c>
      <c r="L880" s="826">
        <v>225.06</v>
      </c>
      <c r="M880" s="826">
        <v>450.12</v>
      </c>
      <c r="N880" s="823">
        <v>2</v>
      </c>
      <c r="O880" s="827">
        <v>1</v>
      </c>
      <c r="P880" s="826"/>
      <c r="Q880" s="828">
        <v>0</v>
      </c>
      <c r="R880" s="823"/>
      <c r="S880" s="828">
        <v>0</v>
      </c>
      <c r="T880" s="827"/>
      <c r="U880" s="829">
        <v>0</v>
      </c>
    </row>
    <row r="881" spans="1:21" ht="14.45" customHeight="1" x14ac:dyDescent="0.2">
      <c r="A881" s="822">
        <v>50</v>
      </c>
      <c r="B881" s="823" t="s">
        <v>1887</v>
      </c>
      <c r="C881" s="823" t="s">
        <v>1893</v>
      </c>
      <c r="D881" s="824" t="s">
        <v>2977</v>
      </c>
      <c r="E881" s="825" t="s">
        <v>1898</v>
      </c>
      <c r="F881" s="823" t="s">
        <v>1889</v>
      </c>
      <c r="G881" s="823" t="s">
        <v>2208</v>
      </c>
      <c r="H881" s="823" t="s">
        <v>329</v>
      </c>
      <c r="I881" s="823" t="s">
        <v>2944</v>
      </c>
      <c r="J881" s="823" t="s">
        <v>2727</v>
      </c>
      <c r="K881" s="823"/>
      <c r="L881" s="826">
        <v>0</v>
      </c>
      <c r="M881" s="826">
        <v>0</v>
      </c>
      <c r="N881" s="823">
        <v>1</v>
      </c>
      <c r="O881" s="827">
        <v>1</v>
      </c>
      <c r="P881" s="826"/>
      <c r="Q881" s="828"/>
      <c r="R881" s="823"/>
      <c r="S881" s="828">
        <v>0</v>
      </c>
      <c r="T881" s="827"/>
      <c r="U881" s="829">
        <v>0</v>
      </c>
    </row>
    <row r="882" spans="1:21" ht="14.45" customHeight="1" x14ac:dyDescent="0.2">
      <c r="A882" s="822">
        <v>50</v>
      </c>
      <c r="B882" s="823" t="s">
        <v>1887</v>
      </c>
      <c r="C882" s="823" t="s">
        <v>1893</v>
      </c>
      <c r="D882" s="824" t="s">
        <v>2977</v>
      </c>
      <c r="E882" s="825" t="s">
        <v>1899</v>
      </c>
      <c r="F882" s="823" t="s">
        <v>1888</v>
      </c>
      <c r="G882" s="823" t="s">
        <v>1941</v>
      </c>
      <c r="H882" s="823" t="s">
        <v>625</v>
      </c>
      <c r="I882" s="823" t="s">
        <v>1735</v>
      </c>
      <c r="J882" s="823" t="s">
        <v>1736</v>
      </c>
      <c r="K882" s="823" t="s">
        <v>1737</v>
      </c>
      <c r="L882" s="826">
        <v>11.71</v>
      </c>
      <c r="M882" s="826">
        <v>23.42</v>
      </c>
      <c r="N882" s="823">
        <v>2</v>
      </c>
      <c r="O882" s="827">
        <v>1</v>
      </c>
      <c r="P882" s="826">
        <v>23.42</v>
      </c>
      <c r="Q882" s="828">
        <v>1</v>
      </c>
      <c r="R882" s="823">
        <v>2</v>
      </c>
      <c r="S882" s="828">
        <v>1</v>
      </c>
      <c r="T882" s="827">
        <v>1</v>
      </c>
      <c r="U882" s="829">
        <v>1</v>
      </c>
    </row>
    <row r="883" spans="1:21" ht="14.45" customHeight="1" x14ac:dyDescent="0.2">
      <c r="A883" s="822">
        <v>50</v>
      </c>
      <c r="B883" s="823" t="s">
        <v>1887</v>
      </c>
      <c r="C883" s="823" t="s">
        <v>1893</v>
      </c>
      <c r="D883" s="824" t="s">
        <v>2977</v>
      </c>
      <c r="E883" s="825" t="s">
        <v>1899</v>
      </c>
      <c r="F883" s="823" t="s">
        <v>1888</v>
      </c>
      <c r="G883" s="823" t="s">
        <v>2015</v>
      </c>
      <c r="H883" s="823" t="s">
        <v>329</v>
      </c>
      <c r="I883" s="823" t="s">
        <v>2405</v>
      </c>
      <c r="J883" s="823" t="s">
        <v>2406</v>
      </c>
      <c r="K883" s="823" t="s">
        <v>2275</v>
      </c>
      <c r="L883" s="826">
        <v>103.64</v>
      </c>
      <c r="M883" s="826">
        <v>103.64</v>
      </c>
      <c r="N883" s="823">
        <v>1</v>
      </c>
      <c r="O883" s="827">
        <v>0.5</v>
      </c>
      <c r="P883" s="826">
        <v>103.64</v>
      </c>
      <c r="Q883" s="828">
        <v>1</v>
      </c>
      <c r="R883" s="823">
        <v>1</v>
      </c>
      <c r="S883" s="828">
        <v>1</v>
      </c>
      <c r="T883" s="827">
        <v>0.5</v>
      </c>
      <c r="U883" s="829">
        <v>1</v>
      </c>
    </row>
    <row r="884" spans="1:21" ht="14.45" customHeight="1" x14ac:dyDescent="0.2">
      <c r="A884" s="822">
        <v>50</v>
      </c>
      <c r="B884" s="823" t="s">
        <v>1887</v>
      </c>
      <c r="C884" s="823" t="s">
        <v>1893</v>
      </c>
      <c r="D884" s="824" t="s">
        <v>2977</v>
      </c>
      <c r="E884" s="825" t="s">
        <v>1899</v>
      </c>
      <c r="F884" s="823" t="s">
        <v>1888</v>
      </c>
      <c r="G884" s="823" t="s">
        <v>1914</v>
      </c>
      <c r="H884" s="823" t="s">
        <v>329</v>
      </c>
      <c r="I884" s="823" t="s">
        <v>2430</v>
      </c>
      <c r="J884" s="823" t="s">
        <v>1949</v>
      </c>
      <c r="K884" s="823" t="s">
        <v>2431</v>
      </c>
      <c r="L884" s="826">
        <v>105.32</v>
      </c>
      <c r="M884" s="826">
        <v>105.32</v>
      </c>
      <c r="N884" s="823">
        <v>1</v>
      </c>
      <c r="O884" s="827">
        <v>1</v>
      </c>
      <c r="P884" s="826"/>
      <c r="Q884" s="828">
        <v>0</v>
      </c>
      <c r="R884" s="823"/>
      <c r="S884" s="828">
        <v>0</v>
      </c>
      <c r="T884" s="827"/>
      <c r="U884" s="829">
        <v>0</v>
      </c>
    </row>
    <row r="885" spans="1:21" ht="14.45" customHeight="1" x14ac:dyDescent="0.2">
      <c r="A885" s="822">
        <v>50</v>
      </c>
      <c r="B885" s="823" t="s">
        <v>1887</v>
      </c>
      <c r="C885" s="823" t="s">
        <v>1893</v>
      </c>
      <c r="D885" s="824" t="s">
        <v>2977</v>
      </c>
      <c r="E885" s="825" t="s">
        <v>1899</v>
      </c>
      <c r="F885" s="823" t="s">
        <v>1888</v>
      </c>
      <c r="G885" s="823" t="s">
        <v>1914</v>
      </c>
      <c r="H885" s="823" t="s">
        <v>329</v>
      </c>
      <c r="I885" s="823" t="s">
        <v>2225</v>
      </c>
      <c r="J885" s="823" t="s">
        <v>704</v>
      </c>
      <c r="K885" s="823" t="s">
        <v>705</v>
      </c>
      <c r="L885" s="826">
        <v>117.03</v>
      </c>
      <c r="M885" s="826">
        <v>1287.33</v>
      </c>
      <c r="N885" s="823">
        <v>11</v>
      </c>
      <c r="O885" s="827">
        <v>0.5</v>
      </c>
      <c r="P885" s="826">
        <v>1287.33</v>
      </c>
      <c r="Q885" s="828">
        <v>1</v>
      </c>
      <c r="R885" s="823">
        <v>11</v>
      </c>
      <c r="S885" s="828">
        <v>1</v>
      </c>
      <c r="T885" s="827">
        <v>0.5</v>
      </c>
      <c r="U885" s="829">
        <v>1</v>
      </c>
    </row>
    <row r="886" spans="1:21" ht="14.45" customHeight="1" x14ac:dyDescent="0.2">
      <c r="A886" s="822">
        <v>50</v>
      </c>
      <c r="B886" s="823" t="s">
        <v>1887</v>
      </c>
      <c r="C886" s="823" t="s">
        <v>1893</v>
      </c>
      <c r="D886" s="824" t="s">
        <v>2977</v>
      </c>
      <c r="E886" s="825" t="s">
        <v>1899</v>
      </c>
      <c r="F886" s="823" t="s">
        <v>1888</v>
      </c>
      <c r="G886" s="823" t="s">
        <v>1914</v>
      </c>
      <c r="H886" s="823" t="s">
        <v>329</v>
      </c>
      <c r="I886" s="823" t="s">
        <v>1611</v>
      </c>
      <c r="J886" s="823" t="s">
        <v>1612</v>
      </c>
      <c r="K886" s="823" t="s">
        <v>1613</v>
      </c>
      <c r="L886" s="826">
        <v>17.559999999999999</v>
      </c>
      <c r="M886" s="826">
        <v>17.559999999999999</v>
      </c>
      <c r="N886" s="823">
        <v>1</v>
      </c>
      <c r="O886" s="827">
        <v>0.5</v>
      </c>
      <c r="P886" s="826"/>
      <c r="Q886" s="828">
        <v>0</v>
      </c>
      <c r="R886" s="823"/>
      <c r="S886" s="828">
        <v>0</v>
      </c>
      <c r="T886" s="827"/>
      <c r="U886" s="829">
        <v>0</v>
      </c>
    </row>
    <row r="887" spans="1:21" ht="14.45" customHeight="1" x14ac:dyDescent="0.2">
      <c r="A887" s="822">
        <v>50</v>
      </c>
      <c r="B887" s="823" t="s">
        <v>1887</v>
      </c>
      <c r="C887" s="823" t="s">
        <v>1893</v>
      </c>
      <c r="D887" s="824" t="s">
        <v>2977</v>
      </c>
      <c r="E887" s="825" t="s">
        <v>1899</v>
      </c>
      <c r="F887" s="823" t="s">
        <v>1888</v>
      </c>
      <c r="G887" s="823" t="s">
        <v>2227</v>
      </c>
      <c r="H887" s="823" t="s">
        <v>329</v>
      </c>
      <c r="I887" s="823" t="s">
        <v>2945</v>
      </c>
      <c r="J887" s="823" t="s">
        <v>2229</v>
      </c>
      <c r="K887" s="823" t="s">
        <v>2946</v>
      </c>
      <c r="L887" s="826">
        <v>0</v>
      </c>
      <c r="M887" s="826">
        <v>0</v>
      </c>
      <c r="N887" s="823">
        <v>1</v>
      </c>
      <c r="O887" s="827">
        <v>1</v>
      </c>
      <c r="P887" s="826">
        <v>0</v>
      </c>
      <c r="Q887" s="828"/>
      <c r="R887" s="823">
        <v>1</v>
      </c>
      <c r="S887" s="828">
        <v>1</v>
      </c>
      <c r="T887" s="827">
        <v>1</v>
      </c>
      <c r="U887" s="829">
        <v>1</v>
      </c>
    </row>
    <row r="888" spans="1:21" ht="14.45" customHeight="1" x14ac:dyDescent="0.2">
      <c r="A888" s="822">
        <v>50</v>
      </c>
      <c r="B888" s="823" t="s">
        <v>1887</v>
      </c>
      <c r="C888" s="823" t="s">
        <v>1893</v>
      </c>
      <c r="D888" s="824" t="s">
        <v>2977</v>
      </c>
      <c r="E888" s="825" t="s">
        <v>1899</v>
      </c>
      <c r="F888" s="823" t="s">
        <v>1888</v>
      </c>
      <c r="G888" s="823" t="s">
        <v>2947</v>
      </c>
      <c r="H888" s="823" t="s">
        <v>329</v>
      </c>
      <c r="I888" s="823" t="s">
        <v>2948</v>
      </c>
      <c r="J888" s="823" t="s">
        <v>2949</v>
      </c>
      <c r="K888" s="823" t="s">
        <v>2950</v>
      </c>
      <c r="L888" s="826">
        <v>132</v>
      </c>
      <c r="M888" s="826">
        <v>396</v>
      </c>
      <c r="N888" s="823">
        <v>3</v>
      </c>
      <c r="O888" s="827">
        <v>1</v>
      </c>
      <c r="P888" s="826"/>
      <c r="Q888" s="828">
        <v>0</v>
      </c>
      <c r="R888" s="823"/>
      <c r="S888" s="828">
        <v>0</v>
      </c>
      <c r="T888" s="827"/>
      <c r="U888" s="829">
        <v>0</v>
      </c>
    </row>
    <row r="889" spans="1:21" ht="14.45" customHeight="1" x14ac:dyDescent="0.2">
      <c r="A889" s="822">
        <v>50</v>
      </c>
      <c r="B889" s="823" t="s">
        <v>1887</v>
      </c>
      <c r="C889" s="823" t="s">
        <v>1893</v>
      </c>
      <c r="D889" s="824" t="s">
        <v>2977</v>
      </c>
      <c r="E889" s="825" t="s">
        <v>1899</v>
      </c>
      <c r="F889" s="823" t="s">
        <v>1888</v>
      </c>
      <c r="G889" s="823" t="s">
        <v>1952</v>
      </c>
      <c r="H889" s="823" t="s">
        <v>625</v>
      </c>
      <c r="I889" s="823" t="s">
        <v>1784</v>
      </c>
      <c r="J889" s="823" t="s">
        <v>811</v>
      </c>
      <c r="K889" s="823" t="s">
        <v>1785</v>
      </c>
      <c r="L889" s="826">
        <v>42.51</v>
      </c>
      <c r="M889" s="826">
        <v>42.51</v>
      </c>
      <c r="N889" s="823">
        <v>1</v>
      </c>
      <c r="O889" s="827">
        <v>0.5</v>
      </c>
      <c r="P889" s="826">
        <v>42.51</v>
      </c>
      <c r="Q889" s="828">
        <v>1</v>
      </c>
      <c r="R889" s="823">
        <v>1</v>
      </c>
      <c r="S889" s="828">
        <v>1</v>
      </c>
      <c r="T889" s="827">
        <v>0.5</v>
      </c>
      <c r="U889" s="829">
        <v>1</v>
      </c>
    </row>
    <row r="890" spans="1:21" ht="14.45" customHeight="1" x14ac:dyDescent="0.2">
      <c r="A890" s="822">
        <v>50</v>
      </c>
      <c r="B890" s="823" t="s">
        <v>1887</v>
      </c>
      <c r="C890" s="823" t="s">
        <v>1893</v>
      </c>
      <c r="D890" s="824" t="s">
        <v>2977</v>
      </c>
      <c r="E890" s="825" t="s">
        <v>1899</v>
      </c>
      <c r="F890" s="823" t="s">
        <v>1888</v>
      </c>
      <c r="G890" s="823" t="s">
        <v>1952</v>
      </c>
      <c r="H890" s="823" t="s">
        <v>329</v>
      </c>
      <c r="I890" s="823" t="s">
        <v>1953</v>
      </c>
      <c r="J890" s="823" t="s">
        <v>1954</v>
      </c>
      <c r="K890" s="823" t="s">
        <v>1785</v>
      </c>
      <c r="L890" s="826">
        <v>42.51</v>
      </c>
      <c r="M890" s="826">
        <v>42.51</v>
      </c>
      <c r="N890" s="823">
        <v>1</v>
      </c>
      <c r="O890" s="827">
        <v>1</v>
      </c>
      <c r="P890" s="826"/>
      <c r="Q890" s="828">
        <v>0</v>
      </c>
      <c r="R890" s="823"/>
      <c r="S890" s="828">
        <v>0</v>
      </c>
      <c r="T890" s="827"/>
      <c r="U890" s="829">
        <v>0</v>
      </c>
    </row>
    <row r="891" spans="1:21" ht="14.45" customHeight="1" x14ac:dyDescent="0.2">
      <c r="A891" s="822">
        <v>50</v>
      </c>
      <c r="B891" s="823" t="s">
        <v>1887</v>
      </c>
      <c r="C891" s="823" t="s">
        <v>1893</v>
      </c>
      <c r="D891" s="824" t="s">
        <v>2977</v>
      </c>
      <c r="E891" s="825" t="s">
        <v>1899</v>
      </c>
      <c r="F891" s="823" t="s">
        <v>1888</v>
      </c>
      <c r="G891" s="823" t="s">
        <v>2951</v>
      </c>
      <c r="H891" s="823" t="s">
        <v>329</v>
      </c>
      <c r="I891" s="823" t="s">
        <v>2952</v>
      </c>
      <c r="J891" s="823" t="s">
        <v>1045</v>
      </c>
      <c r="K891" s="823" t="s">
        <v>2953</v>
      </c>
      <c r="L891" s="826">
        <v>90.95</v>
      </c>
      <c r="M891" s="826">
        <v>181.9</v>
      </c>
      <c r="N891" s="823">
        <v>2</v>
      </c>
      <c r="O891" s="827">
        <v>1</v>
      </c>
      <c r="P891" s="826"/>
      <c r="Q891" s="828">
        <v>0</v>
      </c>
      <c r="R891" s="823"/>
      <c r="S891" s="828">
        <v>0</v>
      </c>
      <c r="T891" s="827"/>
      <c r="U891" s="829">
        <v>0</v>
      </c>
    </row>
    <row r="892" spans="1:21" ht="14.45" customHeight="1" x14ac:dyDescent="0.2">
      <c r="A892" s="822">
        <v>50</v>
      </c>
      <c r="B892" s="823" t="s">
        <v>1887</v>
      </c>
      <c r="C892" s="823" t="s">
        <v>1893</v>
      </c>
      <c r="D892" s="824" t="s">
        <v>2977</v>
      </c>
      <c r="E892" s="825" t="s">
        <v>1899</v>
      </c>
      <c r="F892" s="823" t="s">
        <v>1888</v>
      </c>
      <c r="G892" s="823" t="s">
        <v>2931</v>
      </c>
      <c r="H892" s="823" t="s">
        <v>329</v>
      </c>
      <c r="I892" s="823" t="s">
        <v>2954</v>
      </c>
      <c r="J892" s="823" t="s">
        <v>2955</v>
      </c>
      <c r="K892" s="823" t="s">
        <v>1582</v>
      </c>
      <c r="L892" s="826">
        <v>38.56</v>
      </c>
      <c r="M892" s="826">
        <v>115.68</v>
      </c>
      <c r="N892" s="823">
        <v>3</v>
      </c>
      <c r="O892" s="827">
        <v>0.5</v>
      </c>
      <c r="P892" s="826">
        <v>115.68</v>
      </c>
      <c r="Q892" s="828">
        <v>1</v>
      </c>
      <c r="R892" s="823">
        <v>3</v>
      </c>
      <c r="S892" s="828">
        <v>1</v>
      </c>
      <c r="T892" s="827">
        <v>0.5</v>
      </c>
      <c r="U892" s="829">
        <v>1</v>
      </c>
    </row>
    <row r="893" spans="1:21" ht="14.45" customHeight="1" x14ac:dyDescent="0.2">
      <c r="A893" s="822">
        <v>50</v>
      </c>
      <c r="B893" s="823" t="s">
        <v>1887</v>
      </c>
      <c r="C893" s="823" t="s">
        <v>1893</v>
      </c>
      <c r="D893" s="824" t="s">
        <v>2977</v>
      </c>
      <c r="E893" s="825" t="s">
        <v>1899</v>
      </c>
      <c r="F893" s="823" t="s">
        <v>1888</v>
      </c>
      <c r="G893" s="823" t="s">
        <v>2339</v>
      </c>
      <c r="H893" s="823" t="s">
        <v>329</v>
      </c>
      <c r="I893" s="823" t="s">
        <v>2956</v>
      </c>
      <c r="J893" s="823" t="s">
        <v>2957</v>
      </c>
      <c r="K893" s="823" t="s">
        <v>2342</v>
      </c>
      <c r="L893" s="826">
        <v>32.76</v>
      </c>
      <c r="M893" s="826">
        <v>32.76</v>
      </c>
      <c r="N893" s="823">
        <v>1</v>
      </c>
      <c r="O893" s="827">
        <v>1</v>
      </c>
      <c r="P893" s="826">
        <v>32.76</v>
      </c>
      <c r="Q893" s="828">
        <v>1</v>
      </c>
      <c r="R893" s="823">
        <v>1</v>
      </c>
      <c r="S893" s="828">
        <v>1</v>
      </c>
      <c r="T893" s="827">
        <v>1</v>
      </c>
      <c r="U893" s="829">
        <v>1</v>
      </c>
    </row>
    <row r="894" spans="1:21" ht="14.45" customHeight="1" x14ac:dyDescent="0.2">
      <c r="A894" s="822">
        <v>50</v>
      </c>
      <c r="B894" s="823" t="s">
        <v>1887</v>
      </c>
      <c r="C894" s="823" t="s">
        <v>1893</v>
      </c>
      <c r="D894" s="824" t="s">
        <v>2977</v>
      </c>
      <c r="E894" s="825" t="s">
        <v>1899</v>
      </c>
      <c r="F894" s="823" t="s">
        <v>1888</v>
      </c>
      <c r="G894" s="823" t="s">
        <v>2958</v>
      </c>
      <c r="H894" s="823" t="s">
        <v>329</v>
      </c>
      <c r="I894" s="823" t="s">
        <v>2959</v>
      </c>
      <c r="J894" s="823" t="s">
        <v>2960</v>
      </c>
      <c r="K894" s="823" t="s">
        <v>2961</v>
      </c>
      <c r="L894" s="826">
        <v>463.19</v>
      </c>
      <c r="M894" s="826">
        <v>926.38</v>
      </c>
      <c r="N894" s="823">
        <v>2</v>
      </c>
      <c r="O894" s="827">
        <v>1</v>
      </c>
      <c r="P894" s="826"/>
      <c r="Q894" s="828">
        <v>0</v>
      </c>
      <c r="R894" s="823"/>
      <c r="S894" s="828">
        <v>0</v>
      </c>
      <c r="T894" s="827"/>
      <c r="U894" s="829">
        <v>0</v>
      </c>
    </row>
    <row r="895" spans="1:21" ht="14.45" customHeight="1" x14ac:dyDescent="0.2">
      <c r="A895" s="822">
        <v>50</v>
      </c>
      <c r="B895" s="823" t="s">
        <v>1887</v>
      </c>
      <c r="C895" s="823" t="s">
        <v>1893</v>
      </c>
      <c r="D895" s="824" t="s">
        <v>2977</v>
      </c>
      <c r="E895" s="825" t="s">
        <v>1899</v>
      </c>
      <c r="F895" s="823" t="s">
        <v>1888</v>
      </c>
      <c r="G895" s="823" t="s">
        <v>1973</v>
      </c>
      <c r="H895" s="823" t="s">
        <v>329</v>
      </c>
      <c r="I895" s="823" t="s">
        <v>1974</v>
      </c>
      <c r="J895" s="823" t="s">
        <v>706</v>
      </c>
      <c r="K895" s="823" t="s">
        <v>1975</v>
      </c>
      <c r="L895" s="826">
        <v>57.64</v>
      </c>
      <c r="M895" s="826">
        <v>57.64</v>
      </c>
      <c r="N895" s="823">
        <v>1</v>
      </c>
      <c r="O895" s="827">
        <v>0.5</v>
      </c>
      <c r="P895" s="826"/>
      <c r="Q895" s="828">
        <v>0</v>
      </c>
      <c r="R895" s="823"/>
      <c r="S895" s="828">
        <v>0</v>
      </c>
      <c r="T895" s="827"/>
      <c r="U895" s="829">
        <v>0</v>
      </c>
    </row>
    <row r="896" spans="1:21" ht="14.45" customHeight="1" x14ac:dyDescent="0.2">
      <c r="A896" s="822">
        <v>50</v>
      </c>
      <c r="B896" s="823" t="s">
        <v>1887</v>
      </c>
      <c r="C896" s="823" t="s">
        <v>1893</v>
      </c>
      <c r="D896" s="824" t="s">
        <v>2977</v>
      </c>
      <c r="E896" s="825" t="s">
        <v>1899</v>
      </c>
      <c r="F896" s="823" t="s">
        <v>1888</v>
      </c>
      <c r="G896" s="823" t="s">
        <v>1921</v>
      </c>
      <c r="H896" s="823" t="s">
        <v>625</v>
      </c>
      <c r="I896" s="823" t="s">
        <v>1922</v>
      </c>
      <c r="J896" s="823" t="s">
        <v>967</v>
      </c>
      <c r="K896" s="823" t="s">
        <v>1923</v>
      </c>
      <c r="L896" s="826">
        <v>34.47</v>
      </c>
      <c r="M896" s="826">
        <v>34.47</v>
      </c>
      <c r="N896" s="823">
        <v>1</v>
      </c>
      <c r="O896" s="827">
        <v>0.5</v>
      </c>
      <c r="P896" s="826">
        <v>34.47</v>
      </c>
      <c r="Q896" s="828">
        <v>1</v>
      </c>
      <c r="R896" s="823">
        <v>1</v>
      </c>
      <c r="S896" s="828">
        <v>1</v>
      </c>
      <c r="T896" s="827">
        <v>0.5</v>
      </c>
      <c r="U896" s="829">
        <v>1</v>
      </c>
    </row>
    <row r="897" spans="1:21" ht="14.45" customHeight="1" x14ac:dyDescent="0.2">
      <c r="A897" s="822">
        <v>50</v>
      </c>
      <c r="B897" s="823" t="s">
        <v>1887</v>
      </c>
      <c r="C897" s="823" t="s">
        <v>1893</v>
      </c>
      <c r="D897" s="824" t="s">
        <v>2977</v>
      </c>
      <c r="E897" s="825" t="s">
        <v>1899</v>
      </c>
      <c r="F897" s="823" t="s">
        <v>1888</v>
      </c>
      <c r="G897" s="823" t="s">
        <v>2146</v>
      </c>
      <c r="H897" s="823" t="s">
        <v>625</v>
      </c>
      <c r="I897" s="823" t="s">
        <v>2362</v>
      </c>
      <c r="J897" s="823" t="s">
        <v>1628</v>
      </c>
      <c r="K897" s="823" t="s">
        <v>2019</v>
      </c>
      <c r="L897" s="826">
        <v>34.47</v>
      </c>
      <c r="M897" s="826">
        <v>34.47</v>
      </c>
      <c r="N897" s="823">
        <v>1</v>
      </c>
      <c r="O897" s="827">
        <v>1</v>
      </c>
      <c r="P897" s="826"/>
      <c r="Q897" s="828">
        <v>0</v>
      </c>
      <c r="R897" s="823"/>
      <c r="S897" s="828">
        <v>0</v>
      </c>
      <c r="T897" s="827"/>
      <c r="U897" s="829">
        <v>0</v>
      </c>
    </row>
    <row r="898" spans="1:21" ht="14.45" customHeight="1" x14ac:dyDescent="0.2">
      <c r="A898" s="822">
        <v>50</v>
      </c>
      <c r="B898" s="823" t="s">
        <v>1887</v>
      </c>
      <c r="C898" s="823" t="s">
        <v>1893</v>
      </c>
      <c r="D898" s="824" t="s">
        <v>2977</v>
      </c>
      <c r="E898" s="825" t="s">
        <v>1899</v>
      </c>
      <c r="F898" s="823" t="s">
        <v>1888</v>
      </c>
      <c r="G898" s="823" t="s">
        <v>2962</v>
      </c>
      <c r="H898" s="823" t="s">
        <v>329</v>
      </c>
      <c r="I898" s="823" t="s">
        <v>2963</v>
      </c>
      <c r="J898" s="823" t="s">
        <v>2964</v>
      </c>
      <c r="K898" s="823" t="s">
        <v>908</v>
      </c>
      <c r="L898" s="826">
        <v>108.88</v>
      </c>
      <c r="M898" s="826">
        <v>108.88</v>
      </c>
      <c r="N898" s="823">
        <v>1</v>
      </c>
      <c r="O898" s="827">
        <v>1</v>
      </c>
      <c r="P898" s="826"/>
      <c r="Q898" s="828">
        <v>0</v>
      </c>
      <c r="R898" s="823"/>
      <c r="S898" s="828">
        <v>0</v>
      </c>
      <c r="T898" s="827"/>
      <c r="U898" s="829">
        <v>0</v>
      </c>
    </row>
    <row r="899" spans="1:21" ht="14.45" customHeight="1" x14ac:dyDescent="0.2">
      <c r="A899" s="822">
        <v>50</v>
      </c>
      <c r="B899" s="823" t="s">
        <v>1887</v>
      </c>
      <c r="C899" s="823" t="s">
        <v>1893</v>
      </c>
      <c r="D899" s="824" t="s">
        <v>2977</v>
      </c>
      <c r="E899" s="825" t="s">
        <v>1899</v>
      </c>
      <c r="F899" s="823" t="s">
        <v>1888</v>
      </c>
      <c r="G899" s="823" t="s">
        <v>1988</v>
      </c>
      <c r="H899" s="823" t="s">
        <v>329</v>
      </c>
      <c r="I899" s="823" t="s">
        <v>2157</v>
      </c>
      <c r="J899" s="823" t="s">
        <v>1047</v>
      </c>
      <c r="K899" s="823" t="s">
        <v>2158</v>
      </c>
      <c r="L899" s="826">
        <v>210.38</v>
      </c>
      <c r="M899" s="826">
        <v>210.38</v>
      </c>
      <c r="N899" s="823">
        <v>1</v>
      </c>
      <c r="O899" s="827">
        <v>1</v>
      </c>
      <c r="P899" s="826">
        <v>210.38</v>
      </c>
      <c r="Q899" s="828">
        <v>1</v>
      </c>
      <c r="R899" s="823">
        <v>1</v>
      </c>
      <c r="S899" s="828">
        <v>1</v>
      </c>
      <c r="T899" s="827">
        <v>1</v>
      </c>
      <c r="U899" s="829">
        <v>1</v>
      </c>
    </row>
    <row r="900" spans="1:21" ht="14.45" customHeight="1" x14ac:dyDescent="0.2">
      <c r="A900" s="822">
        <v>50</v>
      </c>
      <c r="B900" s="823" t="s">
        <v>1887</v>
      </c>
      <c r="C900" s="823" t="s">
        <v>1893</v>
      </c>
      <c r="D900" s="824" t="s">
        <v>2977</v>
      </c>
      <c r="E900" s="825" t="s">
        <v>1899</v>
      </c>
      <c r="F900" s="823" t="s">
        <v>1888</v>
      </c>
      <c r="G900" s="823" t="s">
        <v>2189</v>
      </c>
      <c r="H900" s="823" t="s">
        <v>329</v>
      </c>
      <c r="I900" s="823" t="s">
        <v>2656</v>
      </c>
      <c r="J900" s="823" t="s">
        <v>2657</v>
      </c>
      <c r="K900" s="823" t="s">
        <v>2153</v>
      </c>
      <c r="L900" s="826">
        <v>0</v>
      </c>
      <c r="M900" s="826">
        <v>0</v>
      </c>
      <c r="N900" s="823">
        <v>1</v>
      </c>
      <c r="O900" s="827">
        <v>1</v>
      </c>
      <c r="P900" s="826"/>
      <c r="Q900" s="828"/>
      <c r="R900" s="823"/>
      <c r="S900" s="828">
        <v>0</v>
      </c>
      <c r="T900" s="827"/>
      <c r="U900" s="829">
        <v>0</v>
      </c>
    </row>
    <row r="901" spans="1:21" ht="14.45" customHeight="1" x14ac:dyDescent="0.2">
      <c r="A901" s="822">
        <v>50</v>
      </c>
      <c r="B901" s="823" t="s">
        <v>1887</v>
      </c>
      <c r="C901" s="823" t="s">
        <v>1893</v>
      </c>
      <c r="D901" s="824" t="s">
        <v>2977</v>
      </c>
      <c r="E901" s="825" t="s">
        <v>1899</v>
      </c>
      <c r="F901" s="823" t="s">
        <v>1888</v>
      </c>
      <c r="G901" s="823" t="s">
        <v>2002</v>
      </c>
      <c r="H901" s="823" t="s">
        <v>625</v>
      </c>
      <c r="I901" s="823" t="s">
        <v>2190</v>
      </c>
      <c r="J901" s="823" t="s">
        <v>1574</v>
      </c>
      <c r="K901" s="823" t="s">
        <v>2191</v>
      </c>
      <c r="L901" s="826">
        <v>4961.1400000000003</v>
      </c>
      <c r="M901" s="826">
        <v>4961.1400000000003</v>
      </c>
      <c r="N901" s="823">
        <v>1</v>
      </c>
      <c r="O901" s="827">
        <v>1</v>
      </c>
      <c r="P901" s="826">
        <v>4961.1400000000003</v>
      </c>
      <c r="Q901" s="828">
        <v>1</v>
      </c>
      <c r="R901" s="823">
        <v>1</v>
      </c>
      <c r="S901" s="828">
        <v>1</v>
      </c>
      <c r="T901" s="827">
        <v>1</v>
      </c>
      <c r="U901" s="829">
        <v>1</v>
      </c>
    </row>
    <row r="902" spans="1:21" ht="14.45" customHeight="1" x14ac:dyDescent="0.2">
      <c r="A902" s="822">
        <v>50</v>
      </c>
      <c r="B902" s="823" t="s">
        <v>1887</v>
      </c>
      <c r="C902" s="823" t="s">
        <v>1893</v>
      </c>
      <c r="D902" s="824" t="s">
        <v>2977</v>
      </c>
      <c r="E902" s="825" t="s">
        <v>1899</v>
      </c>
      <c r="F902" s="823" t="s">
        <v>1888</v>
      </c>
      <c r="G902" s="823" t="s">
        <v>2002</v>
      </c>
      <c r="H902" s="823" t="s">
        <v>625</v>
      </c>
      <c r="I902" s="823" t="s">
        <v>2899</v>
      </c>
      <c r="J902" s="823" t="s">
        <v>1574</v>
      </c>
      <c r="K902" s="823" t="s">
        <v>2900</v>
      </c>
      <c r="L902" s="826">
        <v>1544.99</v>
      </c>
      <c r="M902" s="826">
        <v>1544.99</v>
      </c>
      <c r="N902" s="823">
        <v>1</v>
      </c>
      <c r="O902" s="827">
        <v>0.5</v>
      </c>
      <c r="P902" s="826">
        <v>1544.99</v>
      </c>
      <c r="Q902" s="828">
        <v>1</v>
      </c>
      <c r="R902" s="823">
        <v>1</v>
      </c>
      <c r="S902" s="828">
        <v>1</v>
      </c>
      <c r="T902" s="827">
        <v>0.5</v>
      </c>
      <c r="U902" s="829">
        <v>1</v>
      </c>
    </row>
    <row r="903" spans="1:21" ht="14.45" customHeight="1" x14ac:dyDescent="0.2">
      <c r="A903" s="822">
        <v>50</v>
      </c>
      <c r="B903" s="823" t="s">
        <v>1887</v>
      </c>
      <c r="C903" s="823" t="s">
        <v>1893</v>
      </c>
      <c r="D903" s="824" t="s">
        <v>2977</v>
      </c>
      <c r="E903" s="825" t="s">
        <v>1899</v>
      </c>
      <c r="F903" s="823" t="s">
        <v>1888</v>
      </c>
      <c r="G903" s="823" t="s">
        <v>1928</v>
      </c>
      <c r="H903" s="823" t="s">
        <v>329</v>
      </c>
      <c r="I903" s="823" t="s">
        <v>2965</v>
      </c>
      <c r="J903" s="823" t="s">
        <v>1059</v>
      </c>
      <c r="K903" s="823" t="s">
        <v>2966</v>
      </c>
      <c r="L903" s="826">
        <v>50.32</v>
      </c>
      <c r="M903" s="826">
        <v>50.32</v>
      </c>
      <c r="N903" s="823">
        <v>1</v>
      </c>
      <c r="O903" s="827">
        <v>1</v>
      </c>
      <c r="P903" s="826">
        <v>50.32</v>
      </c>
      <c r="Q903" s="828">
        <v>1</v>
      </c>
      <c r="R903" s="823">
        <v>1</v>
      </c>
      <c r="S903" s="828">
        <v>1</v>
      </c>
      <c r="T903" s="827">
        <v>1</v>
      </c>
      <c r="U903" s="829">
        <v>1</v>
      </c>
    </row>
    <row r="904" spans="1:21" ht="14.45" customHeight="1" x14ac:dyDescent="0.2">
      <c r="A904" s="822">
        <v>50</v>
      </c>
      <c r="B904" s="823" t="s">
        <v>1887</v>
      </c>
      <c r="C904" s="823" t="s">
        <v>1893</v>
      </c>
      <c r="D904" s="824" t="s">
        <v>2977</v>
      </c>
      <c r="E904" s="825" t="s">
        <v>1899</v>
      </c>
      <c r="F904" s="823" t="s">
        <v>1888</v>
      </c>
      <c r="G904" s="823" t="s">
        <v>1924</v>
      </c>
      <c r="H904" s="823" t="s">
        <v>625</v>
      </c>
      <c r="I904" s="823" t="s">
        <v>2200</v>
      </c>
      <c r="J904" s="823" t="s">
        <v>1088</v>
      </c>
      <c r="K904" s="823" t="s">
        <v>2201</v>
      </c>
      <c r="L904" s="826">
        <v>154.36000000000001</v>
      </c>
      <c r="M904" s="826">
        <v>154.36000000000001</v>
      </c>
      <c r="N904" s="823">
        <v>1</v>
      </c>
      <c r="O904" s="827">
        <v>1</v>
      </c>
      <c r="P904" s="826"/>
      <c r="Q904" s="828">
        <v>0</v>
      </c>
      <c r="R904" s="823"/>
      <c r="S904" s="828">
        <v>0</v>
      </c>
      <c r="T904" s="827"/>
      <c r="U904" s="829">
        <v>0</v>
      </c>
    </row>
    <row r="905" spans="1:21" ht="14.45" customHeight="1" x14ac:dyDescent="0.2">
      <c r="A905" s="822">
        <v>50</v>
      </c>
      <c r="B905" s="823" t="s">
        <v>1887</v>
      </c>
      <c r="C905" s="823" t="s">
        <v>1893</v>
      </c>
      <c r="D905" s="824" t="s">
        <v>2977</v>
      </c>
      <c r="E905" s="825" t="s">
        <v>1899</v>
      </c>
      <c r="F905" s="823" t="s">
        <v>1888</v>
      </c>
      <c r="G905" s="823" t="s">
        <v>2206</v>
      </c>
      <c r="H905" s="823" t="s">
        <v>329</v>
      </c>
      <c r="I905" s="823" t="s">
        <v>2207</v>
      </c>
      <c r="J905" s="823" t="s">
        <v>1271</v>
      </c>
      <c r="K905" s="823" t="s">
        <v>1272</v>
      </c>
      <c r="L905" s="826">
        <v>107.27</v>
      </c>
      <c r="M905" s="826">
        <v>107.27</v>
      </c>
      <c r="N905" s="823">
        <v>1</v>
      </c>
      <c r="O905" s="827">
        <v>1</v>
      </c>
      <c r="P905" s="826">
        <v>107.27</v>
      </c>
      <c r="Q905" s="828">
        <v>1</v>
      </c>
      <c r="R905" s="823">
        <v>1</v>
      </c>
      <c r="S905" s="828">
        <v>1</v>
      </c>
      <c r="T905" s="827">
        <v>1</v>
      </c>
      <c r="U905" s="829">
        <v>1</v>
      </c>
    </row>
    <row r="906" spans="1:21" ht="14.45" customHeight="1" x14ac:dyDescent="0.2">
      <c r="A906" s="822">
        <v>50</v>
      </c>
      <c r="B906" s="823" t="s">
        <v>1887</v>
      </c>
      <c r="C906" s="823" t="s">
        <v>1893</v>
      </c>
      <c r="D906" s="824" t="s">
        <v>2977</v>
      </c>
      <c r="E906" s="825" t="s">
        <v>1899</v>
      </c>
      <c r="F906" s="823" t="s">
        <v>1890</v>
      </c>
      <c r="G906" s="823" t="s">
        <v>2208</v>
      </c>
      <c r="H906" s="823" t="s">
        <v>329</v>
      </c>
      <c r="I906" s="823" t="s">
        <v>2209</v>
      </c>
      <c r="J906" s="823" t="s">
        <v>2210</v>
      </c>
      <c r="K906" s="823" t="s">
        <v>2211</v>
      </c>
      <c r="L906" s="826">
        <v>389.82</v>
      </c>
      <c r="M906" s="826">
        <v>1559.28</v>
      </c>
      <c r="N906" s="823">
        <v>4</v>
      </c>
      <c r="O906" s="827">
        <v>4</v>
      </c>
      <c r="P906" s="826">
        <v>1559.28</v>
      </c>
      <c r="Q906" s="828">
        <v>1</v>
      </c>
      <c r="R906" s="823">
        <v>4</v>
      </c>
      <c r="S906" s="828">
        <v>1</v>
      </c>
      <c r="T906" s="827">
        <v>4</v>
      </c>
      <c r="U906" s="829">
        <v>1</v>
      </c>
    </row>
    <row r="907" spans="1:21" ht="14.45" customHeight="1" x14ac:dyDescent="0.2">
      <c r="A907" s="822">
        <v>50</v>
      </c>
      <c r="B907" s="823" t="s">
        <v>1887</v>
      </c>
      <c r="C907" s="823" t="s">
        <v>1893</v>
      </c>
      <c r="D907" s="824" t="s">
        <v>2977</v>
      </c>
      <c r="E907" s="825" t="s">
        <v>1899</v>
      </c>
      <c r="F907" s="823" t="s">
        <v>1890</v>
      </c>
      <c r="G907" s="823" t="s">
        <v>2208</v>
      </c>
      <c r="H907" s="823" t="s">
        <v>329</v>
      </c>
      <c r="I907" s="823" t="s">
        <v>2212</v>
      </c>
      <c r="J907" s="823" t="s">
        <v>2213</v>
      </c>
      <c r="K907" s="823" t="s">
        <v>2214</v>
      </c>
      <c r="L907" s="826">
        <v>389.82</v>
      </c>
      <c r="M907" s="826">
        <v>1559.28</v>
      </c>
      <c r="N907" s="823">
        <v>4</v>
      </c>
      <c r="O907" s="827">
        <v>4</v>
      </c>
      <c r="P907" s="826">
        <v>1559.28</v>
      </c>
      <c r="Q907" s="828">
        <v>1</v>
      </c>
      <c r="R907" s="823">
        <v>4</v>
      </c>
      <c r="S907" s="828">
        <v>1</v>
      </c>
      <c r="T907" s="827">
        <v>4</v>
      </c>
      <c r="U907" s="829">
        <v>1</v>
      </c>
    </row>
    <row r="908" spans="1:21" ht="14.45" customHeight="1" x14ac:dyDescent="0.2">
      <c r="A908" s="822">
        <v>50</v>
      </c>
      <c r="B908" s="823" t="s">
        <v>1887</v>
      </c>
      <c r="C908" s="823" t="s">
        <v>1893</v>
      </c>
      <c r="D908" s="824" t="s">
        <v>2977</v>
      </c>
      <c r="E908" s="825" t="s">
        <v>1899</v>
      </c>
      <c r="F908" s="823" t="s">
        <v>1890</v>
      </c>
      <c r="G908" s="823" t="s">
        <v>2208</v>
      </c>
      <c r="H908" s="823" t="s">
        <v>329</v>
      </c>
      <c r="I908" s="823" t="s">
        <v>2215</v>
      </c>
      <c r="J908" s="823" t="s">
        <v>2216</v>
      </c>
      <c r="K908" s="823" t="s">
        <v>2217</v>
      </c>
      <c r="L908" s="826">
        <v>389.82</v>
      </c>
      <c r="M908" s="826">
        <v>1169.46</v>
      </c>
      <c r="N908" s="823">
        <v>3</v>
      </c>
      <c r="O908" s="827">
        <v>3</v>
      </c>
      <c r="P908" s="826">
        <v>1169.46</v>
      </c>
      <c r="Q908" s="828">
        <v>1</v>
      </c>
      <c r="R908" s="823">
        <v>3</v>
      </c>
      <c r="S908" s="828">
        <v>1</v>
      </c>
      <c r="T908" s="827">
        <v>3</v>
      </c>
      <c r="U908" s="829">
        <v>1</v>
      </c>
    </row>
    <row r="909" spans="1:21" ht="14.45" customHeight="1" x14ac:dyDescent="0.2">
      <c r="A909" s="822">
        <v>50</v>
      </c>
      <c r="B909" s="823" t="s">
        <v>1887</v>
      </c>
      <c r="C909" s="823" t="s">
        <v>1893</v>
      </c>
      <c r="D909" s="824" t="s">
        <v>2977</v>
      </c>
      <c r="E909" s="825" t="s">
        <v>1899</v>
      </c>
      <c r="F909" s="823" t="s">
        <v>1890</v>
      </c>
      <c r="G909" s="823" t="s">
        <v>2208</v>
      </c>
      <c r="H909" s="823" t="s">
        <v>329</v>
      </c>
      <c r="I909" s="823" t="s">
        <v>2218</v>
      </c>
      <c r="J909" s="823" t="s">
        <v>2219</v>
      </c>
      <c r="K909" s="823" t="s">
        <v>2220</v>
      </c>
      <c r="L909" s="826">
        <v>39.1</v>
      </c>
      <c r="M909" s="826">
        <v>1876.8000000000004</v>
      </c>
      <c r="N909" s="823">
        <v>48</v>
      </c>
      <c r="O909" s="827">
        <v>12</v>
      </c>
      <c r="P909" s="826">
        <v>1876.8000000000004</v>
      </c>
      <c r="Q909" s="828">
        <v>1</v>
      </c>
      <c r="R909" s="823">
        <v>48</v>
      </c>
      <c r="S909" s="828">
        <v>1</v>
      </c>
      <c r="T909" s="827">
        <v>12</v>
      </c>
      <c r="U909" s="829">
        <v>1</v>
      </c>
    </row>
    <row r="910" spans="1:21" ht="14.45" customHeight="1" x14ac:dyDescent="0.2">
      <c r="A910" s="822">
        <v>50</v>
      </c>
      <c r="B910" s="823" t="s">
        <v>1887</v>
      </c>
      <c r="C910" s="823" t="s">
        <v>1893</v>
      </c>
      <c r="D910" s="824" t="s">
        <v>2977</v>
      </c>
      <c r="E910" s="825" t="s">
        <v>1899</v>
      </c>
      <c r="F910" s="823" t="s">
        <v>1890</v>
      </c>
      <c r="G910" s="823" t="s">
        <v>2208</v>
      </c>
      <c r="H910" s="823" t="s">
        <v>329</v>
      </c>
      <c r="I910" s="823" t="s">
        <v>2221</v>
      </c>
      <c r="J910" s="823" t="s">
        <v>2219</v>
      </c>
      <c r="K910" s="823" t="s">
        <v>2222</v>
      </c>
      <c r="L910" s="826">
        <v>49.02</v>
      </c>
      <c r="M910" s="826">
        <v>2156.8799999999997</v>
      </c>
      <c r="N910" s="823">
        <v>44</v>
      </c>
      <c r="O910" s="827">
        <v>11</v>
      </c>
      <c r="P910" s="826">
        <v>2156.8799999999997</v>
      </c>
      <c r="Q910" s="828">
        <v>1</v>
      </c>
      <c r="R910" s="823">
        <v>44</v>
      </c>
      <c r="S910" s="828">
        <v>1</v>
      </c>
      <c r="T910" s="827">
        <v>11</v>
      </c>
      <c r="U910" s="829">
        <v>1</v>
      </c>
    </row>
    <row r="911" spans="1:21" ht="14.45" customHeight="1" x14ac:dyDescent="0.2">
      <c r="A911" s="822">
        <v>50</v>
      </c>
      <c r="B911" s="823" t="s">
        <v>1887</v>
      </c>
      <c r="C911" s="823" t="s">
        <v>1893</v>
      </c>
      <c r="D911" s="824" t="s">
        <v>2977</v>
      </c>
      <c r="E911" s="825" t="s">
        <v>1903</v>
      </c>
      <c r="F911" s="823" t="s">
        <v>1888</v>
      </c>
      <c r="G911" s="823" t="s">
        <v>2476</v>
      </c>
      <c r="H911" s="823" t="s">
        <v>329</v>
      </c>
      <c r="I911" s="823" t="s">
        <v>2733</v>
      </c>
      <c r="J911" s="823" t="s">
        <v>2478</v>
      </c>
      <c r="K911" s="823" t="s">
        <v>2479</v>
      </c>
      <c r="L911" s="826">
        <v>94.7</v>
      </c>
      <c r="M911" s="826">
        <v>94.7</v>
      </c>
      <c r="N911" s="823">
        <v>1</v>
      </c>
      <c r="O911" s="827">
        <v>1</v>
      </c>
      <c r="P911" s="826"/>
      <c r="Q911" s="828">
        <v>0</v>
      </c>
      <c r="R911" s="823"/>
      <c r="S911" s="828">
        <v>0</v>
      </c>
      <c r="T911" s="827"/>
      <c r="U911" s="829">
        <v>0</v>
      </c>
    </row>
    <row r="912" spans="1:21" ht="14.45" customHeight="1" x14ac:dyDescent="0.2">
      <c r="A912" s="822">
        <v>50</v>
      </c>
      <c r="B912" s="823" t="s">
        <v>1887</v>
      </c>
      <c r="C912" s="823" t="s">
        <v>1893</v>
      </c>
      <c r="D912" s="824" t="s">
        <v>2977</v>
      </c>
      <c r="E912" s="825" t="s">
        <v>1903</v>
      </c>
      <c r="F912" s="823" t="s">
        <v>1888</v>
      </c>
      <c r="G912" s="823" t="s">
        <v>2967</v>
      </c>
      <c r="H912" s="823" t="s">
        <v>329</v>
      </c>
      <c r="I912" s="823" t="s">
        <v>2968</v>
      </c>
      <c r="J912" s="823" t="s">
        <v>2969</v>
      </c>
      <c r="K912" s="823" t="s">
        <v>2970</v>
      </c>
      <c r="L912" s="826">
        <v>0</v>
      </c>
      <c r="M912" s="826">
        <v>0</v>
      </c>
      <c r="N912" s="823">
        <v>2</v>
      </c>
      <c r="O912" s="827">
        <v>1</v>
      </c>
      <c r="P912" s="826"/>
      <c r="Q912" s="828"/>
      <c r="R912" s="823"/>
      <c r="S912" s="828">
        <v>0</v>
      </c>
      <c r="T912" s="827"/>
      <c r="U912" s="829">
        <v>0</v>
      </c>
    </row>
    <row r="913" spans="1:21" ht="14.45" customHeight="1" x14ac:dyDescent="0.2">
      <c r="A913" s="822">
        <v>50</v>
      </c>
      <c r="B913" s="823" t="s">
        <v>1887</v>
      </c>
      <c r="C913" s="823" t="s">
        <v>1893</v>
      </c>
      <c r="D913" s="824" t="s">
        <v>2977</v>
      </c>
      <c r="E913" s="825" t="s">
        <v>1903</v>
      </c>
      <c r="F913" s="823" t="s">
        <v>1888</v>
      </c>
      <c r="G913" s="823" t="s">
        <v>1915</v>
      </c>
      <c r="H913" s="823" t="s">
        <v>329</v>
      </c>
      <c r="I913" s="823" t="s">
        <v>1916</v>
      </c>
      <c r="J913" s="823" t="s">
        <v>1202</v>
      </c>
      <c r="K913" s="823" t="s">
        <v>1917</v>
      </c>
      <c r="L913" s="826">
        <v>73.989999999999995</v>
      </c>
      <c r="M913" s="826">
        <v>73.989999999999995</v>
      </c>
      <c r="N913" s="823">
        <v>1</v>
      </c>
      <c r="O913" s="827">
        <v>1</v>
      </c>
      <c r="P913" s="826"/>
      <c r="Q913" s="828">
        <v>0</v>
      </c>
      <c r="R913" s="823"/>
      <c r="S913" s="828">
        <v>0</v>
      </c>
      <c r="T913" s="827"/>
      <c r="U913" s="829">
        <v>0</v>
      </c>
    </row>
    <row r="914" spans="1:21" ht="14.45" customHeight="1" x14ac:dyDescent="0.2">
      <c r="A914" s="822">
        <v>50</v>
      </c>
      <c r="B914" s="823" t="s">
        <v>1887</v>
      </c>
      <c r="C914" s="823" t="s">
        <v>1893</v>
      </c>
      <c r="D914" s="824" t="s">
        <v>2977</v>
      </c>
      <c r="E914" s="825" t="s">
        <v>1903</v>
      </c>
      <c r="F914" s="823" t="s">
        <v>1888</v>
      </c>
      <c r="G914" s="823" t="s">
        <v>1921</v>
      </c>
      <c r="H914" s="823" t="s">
        <v>625</v>
      </c>
      <c r="I914" s="823" t="s">
        <v>1624</v>
      </c>
      <c r="J914" s="823" t="s">
        <v>967</v>
      </c>
      <c r="K914" s="823" t="s">
        <v>1625</v>
      </c>
      <c r="L914" s="826">
        <v>103.4</v>
      </c>
      <c r="M914" s="826">
        <v>103.4</v>
      </c>
      <c r="N914" s="823">
        <v>1</v>
      </c>
      <c r="O914" s="827">
        <v>1</v>
      </c>
      <c r="P914" s="826"/>
      <c r="Q914" s="828">
        <v>0</v>
      </c>
      <c r="R914" s="823"/>
      <c r="S914" s="828">
        <v>0</v>
      </c>
      <c r="T914" s="827"/>
      <c r="U914" s="829">
        <v>0</v>
      </c>
    </row>
    <row r="915" spans="1:21" ht="14.45" customHeight="1" x14ac:dyDescent="0.2">
      <c r="A915" s="822">
        <v>50</v>
      </c>
      <c r="B915" s="823" t="s">
        <v>1887</v>
      </c>
      <c r="C915" s="823" t="s">
        <v>1893</v>
      </c>
      <c r="D915" s="824" t="s">
        <v>2977</v>
      </c>
      <c r="E915" s="825" t="s">
        <v>1903</v>
      </c>
      <c r="F915" s="823" t="s">
        <v>1888</v>
      </c>
      <c r="G915" s="823" t="s">
        <v>2971</v>
      </c>
      <c r="H915" s="823" t="s">
        <v>329</v>
      </c>
      <c r="I915" s="823" t="s">
        <v>2972</v>
      </c>
      <c r="J915" s="823" t="s">
        <v>2973</v>
      </c>
      <c r="K915" s="823" t="s">
        <v>2974</v>
      </c>
      <c r="L915" s="826">
        <v>31.32</v>
      </c>
      <c r="M915" s="826">
        <v>125.28</v>
      </c>
      <c r="N915" s="823">
        <v>4</v>
      </c>
      <c r="O915" s="827">
        <v>2</v>
      </c>
      <c r="P915" s="826"/>
      <c r="Q915" s="828">
        <v>0</v>
      </c>
      <c r="R915" s="823"/>
      <c r="S915" s="828">
        <v>0</v>
      </c>
      <c r="T915" s="827"/>
      <c r="U915" s="829">
        <v>0</v>
      </c>
    </row>
    <row r="916" spans="1:21" ht="14.45" customHeight="1" x14ac:dyDescent="0.2">
      <c r="A916" s="822">
        <v>50</v>
      </c>
      <c r="B916" s="823" t="s">
        <v>1887</v>
      </c>
      <c r="C916" s="823" t="s">
        <v>1893</v>
      </c>
      <c r="D916" s="824" t="s">
        <v>2977</v>
      </c>
      <c r="E916" s="825" t="s">
        <v>1903</v>
      </c>
      <c r="F916" s="823" t="s">
        <v>1888</v>
      </c>
      <c r="G916" s="823" t="s">
        <v>1924</v>
      </c>
      <c r="H916" s="823" t="s">
        <v>625</v>
      </c>
      <c r="I916" s="823" t="s">
        <v>2200</v>
      </c>
      <c r="J916" s="823" t="s">
        <v>1088</v>
      </c>
      <c r="K916" s="823" t="s">
        <v>2201</v>
      </c>
      <c r="L916" s="826">
        <v>154.36000000000001</v>
      </c>
      <c r="M916" s="826">
        <v>154.36000000000001</v>
      </c>
      <c r="N916" s="823">
        <v>1</v>
      </c>
      <c r="O916" s="827">
        <v>1</v>
      </c>
      <c r="P916" s="826"/>
      <c r="Q916" s="828">
        <v>0</v>
      </c>
      <c r="R916" s="823"/>
      <c r="S916" s="828">
        <v>0</v>
      </c>
      <c r="T916" s="827"/>
      <c r="U916" s="829">
        <v>0</v>
      </c>
    </row>
    <row r="917" spans="1:21" ht="14.45" customHeight="1" x14ac:dyDescent="0.2">
      <c r="A917" s="822">
        <v>50</v>
      </c>
      <c r="B917" s="823" t="s">
        <v>1887</v>
      </c>
      <c r="C917" s="823" t="s">
        <v>1893</v>
      </c>
      <c r="D917" s="824" t="s">
        <v>2977</v>
      </c>
      <c r="E917" s="825" t="s">
        <v>1903</v>
      </c>
      <c r="F917" s="823" t="s">
        <v>1888</v>
      </c>
      <c r="G917" s="823" t="s">
        <v>2206</v>
      </c>
      <c r="H917" s="823" t="s">
        <v>329</v>
      </c>
      <c r="I917" s="823" t="s">
        <v>2975</v>
      </c>
      <c r="J917" s="823" t="s">
        <v>1271</v>
      </c>
      <c r="K917" s="823" t="s">
        <v>1272</v>
      </c>
      <c r="L917" s="826">
        <v>121.92</v>
      </c>
      <c r="M917" s="826">
        <v>365.76</v>
      </c>
      <c r="N917" s="823">
        <v>3</v>
      </c>
      <c r="O917" s="827">
        <v>1</v>
      </c>
      <c r="P917" s="826"/>
      <c r="Q917" s="828">
        <v>0</v>
      </c>
      <c r="R917" s="823"/>
      <c r="S917" s="828">
        <v>0</v>
      </c>
      <c r="T917" s="827"/>
      <c r="U917" s="829">
        <v>0</v>
      </c>
    </row>
    <row r="918" spans="1:21" ht="14.45" customHeight="1" thickBot="1" x14ac:dyDescent="0.25">
      <c r="A918" s="814">
        <v>50</v>
      </c>
      <c r="B918" s="815" t="s">
        <v>1887</v>
      </c>
      <c r="C918" s="815" t="s">
        <v>1893</v>
      </c>
      <c r="D918" s="816" t="s">
        <v>2977</v>
      </c>
      <c r="E918" s="817" t="s">
        <v>1903</v>
      </c>
      <c r="F918" s="815" t="s">
        <v>1889</v>
      </c>
      <c r="G918" s="815" t="s">
        <v>2208</v>
      </c>
      <c r="H918" s="815" t="s">
        <v>329</v>
      </c>
      <c r="I918" s="815" t="s">
        <v>2944</v>
      </c>
      <c r="J918" s="815" t="s">
        <v>2727</v>
      </c>
      <c r="K918" s="815"/>
      <c r="L918" s="818">
        <v>0</v>
      </c>
      <c r="M918" s="818">
        <v>0</v>
      </c>
      <c r="N918" s="815">
        <v>2</v>
      </c>
      <c r="O918" s="819">
        <v>2</v>
      </c>
      <c r="P918" s="818"/>
      <c r="Q918" s="820"/>
      <c r="R918" s="815"/>
      <c r="S918" s="820">
        <v>0</v>
      </c>
      <c r="T918" s="819"/>
      <c r="U918" s="821">
        <v>0</v>
      </c>
    </row>
  </sheetData>
  <autoFilter ref="A6:U6" xr:uid="{00000000-0009-0000-0000-000012000000}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 xr:uid="{23485D44-1E05-421F-A939-5FFD6030BD0D}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List28">
    <tabColor theme="0" tint="-0.249977111117893"/>
    <pageSetUpPr fitToPage="1"/>
  </sheetPr>
  <dimension ref="A1:F89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ColWidth="8.85546875" defaultRowHeight="14.45" customHeight="1" x14ac:dyDescent="0.2"/>
  <cols>
    <col min="1" max="1" width="46.7109375" style="247" customWidth="1"/>
    <col min="2" max="2" width="10" style="329" customWidth="1"/>
    <col min="3" max="3" width="5.5703125" style="332" customWidth="1"/>
    <col min="4" max="4" width="10" style="329" customWidth="1"/>
    <col min="5" max="5" width="5.5703125" style="332" customWidth="1"/>
    <col min="6" max="6" width="10" style="329" customWidth="1"/>
    <col min="7" max="7" width="8.85546875" style="247" customWidth="1"/>
    <col min="8" max="16384" width="8.85546875" style="247"/>
  </cols>
  <sheetData>
    <row r="1" spans="1:6" ht="37.9" customHeight="1" thickBot="1" x14ac:dyDescent="0.35">
      <c r="A1" s="554" t="s">
        <v>2979</v>
      </c>
      <c r="B1" s="555"/>
      <c r="C1" s="555"/>
      <c r="D1" s="555"/>
      <c r="E1" s="555"/>
      <c r="F1" s="555"/>
    </row>
    <row r="2" spans="1:6" ht="14.45" customHeight="1" thickBot="1" x14ac:dyDescent="0.25">
      <c r="A2" s="705" t="s">
        <v>328</v>
      </c>
      <c r="B2" s="67"/>
      <c r="C2" s="68"/>
      <c r="D2" s="69"/>
      <c r="E2" s="68"/>
      <c r="F2" s="69"/>
    </row>
    <row r="3" spans="1:6" ht="14.45" customHeight="1" thickBot="1" x14ac:dyDescent="0.25">
      <c r="A3" s="205"/>
      <c r="B3" s="556" t="s">
        <v>160</v>
      </c>
      <c r="C3" s="557"/>
      <c r="D3" s="558" t="s">
        <v>159</v>
      </c>
      <c r="E3" s="557"/>
      <c r="F3" s="105" t="s">
        <v>3</v>
      </c>
    </row>
    <row r="4" spans="1:6" ht="14.45" customHeight="1" thickBot="1" x14ac:dyDescent="0.25">
      <c r="A4" s="830" t="s">
        <v>209</v>
      </c>
      <c r="B4" s="745" t="s">
        <v>14</v>
      </c>
      <c r="C4" s="746" t="s">
        <v>2</v>
      </c>
      <c r="D4" s="745" t="s">
        <v>14</v>
      </c>
      <c r="E4" s="746" t="s">
        <v>2</v>
      </c>
      <c r="F4" s="747" t="s">
        <v>14</v>
      </c>
    </row>
    <row r="5" spans="1:6" ht="14.45" customHeight="1" x14ac:dyDescent="0.2">
      <c r="A5" s="836" t="s">
        <v>1907</v>
      </c>
      <c r="B5" s="225">
        <v>26562.14</v>
      </c>
      <c r="C5" s="813">
        <v>0.15518880094526671</v>
      </c>
      <c r="D5" s="225">
        <v>144598.01999999996</v>
      </c>
      <c r="E5" s="813">
        <v>0.84481119905473323</v>
      </c>
      <c r="F5" s="831">
        <v>171160.15999999997</v>
      </c>
    </row>
    <row r="6" spans="1:6" ht="14.45" customHeight="1" x14ac:dyDescent="0.2">
      <c r="A6" s="837" t="s">
        <v>1905</v>
      </c>
      <c r="B6" s="832">
        <v>9725.0500000000011</v>
      </c>
      <c r="C6" s="828">
        <v>0.47611622365646572</v>
      </c>
      <c r="D6" s="832">
        <v>10700.74</v>
      </c>
      <c r="E6" s="828">
        <v>0.52388377634353434</v>
      </c>
      <c r="F6" s="833">
        <v>20425.79</v>
      </c>
    </row>
    <row r="7" spans="1:6" ht="14.45" customHeight="1" x14ac:dyDescent="0.2">
      <c r="A7" s="837" t="s">
        <v>1912</v>
      </c>
      <c r="B7" s="832">
        <v>4748.3900000000003</v>
      </c>
      <c r="C7" s="828">
        <v>0.14430712890995975</v>
      </c>
      <c r="D7" s="832">
        <v>28156.360000000015</v>
      </c>
      <c r="E7" s="828">
        <v>0.85569287109004022</v>
      </c>
      <c r="F7" s="833">
        <v>32904.750000000015</v>
      </c>
    </row>
    <row r="8" spans="1:6" ht="14.45" customHeight="1" x14ac:dyDescent="0.2">
      <c r="A8" s="837" t="s">
        <v>1898</v>
      </c>
      <c r="B8" s="832">
        <v>1443.6499999999996</v>
      </c>
      <c r="C8" s="828">
        <v>7.3778702222585604E-2</v>
      </c>
      <c r="D8" s="832">
        <v>18123.650000000001</v>
      </c>
      <c r="E8" s="828">
        <v>0.92622129777741424</v>
      </c>
      <c r="F8" s="833">
        <v>19567.300000000003</v>
      </c>
    </row>
    <row r="9" spans="1:6" ht="14.45" customHeight="1" x14ac:dyDescent="0.2">
      <c r="A9" s="837" t="s">
        <v>1904</v>
      </c>
      <c r="B9" s="832">
        <v>1260.1499999999999</v>
      </c>
      <c r="C9" s="828">
        <v>7.9230250281202452E-2</v>
      </c>
      <c r="D9" s="832">
        <v>14644.760000000002</v>
      </c>
      <c r="E9" s="828">
        <v>0.92076974971879755</v>
      </c>
      <c r="F9" s="833">
        <v>15904.910000000002</v>
      </c>
    </row>
    <row r="10" spans="1:6" ht="14.45" customHeight="1" x14ac:dyDescent="0.2">
      <c r="A10" s="837" t="s">
        <v>1901</v>
      </c>
      <c r="B10" s="832">
        <v>972.62</v>
      </c>
      <c r="C10" s="828">
        <v>2.717611188973755E-2</v>
      </c>
      <c r="D10" s="832">
        <v>34816.9</v>
      </c>
      <c r="E10" s="828">
        <v>0.97282388811026232</v>
      </c>
      <c r="F10" s="833">
        <v>35789.520000000004</v>
      </c>
    </row>
    <row r="11" spans="1:6" ht="14.45" customHeight="1" x14ac:dyDescent="0.2">
      <c r="A11" s="837" t="s">
        <v>1902</v>
      </c>
      <c r="B11" s="832">
        <v>839.18000000000006</v>
      </c>
      <c r="C11" s="828">
        <v>5.8649956528667328E-2</v>
      </c>
      <c r="D11" s="832">
        <v>13469.099999999999</v>
      </c>
      <c r="E11" s="828">
        <v>0.94135004347133266</v>
      </c>
      <c r="F11" s="833">
        <v>14308.279999999999</v>
      </c>
    </row>
    <row r="12" spans="1:6" ht="14.45" customHeight="1" x14ac:dyDescent="0.2">
      <c r="A12" s="837" t="s">
        <v>1900</v>
      </c>
      <c r="B12" s="832">
        <v>515.89</v>
      </c>
      <c r="C12" s="828">
        <v>5.4152071705912533E-2</v>
      </c>
      <c r="D12" s="832">
        <v>9010.8000000000029</v>
      </c>
      <c r="E12" s="828">
        <v>0.94584792829408748</v>
      </c>
      <c r="F12" s="833">
        <v>9526.6900000000023</v>
      </c>
    </row>
    <row r="13" spans="1:6" ht="14.45" customHeight="1" x14ac:dyDescent="0.2">
      <c r="A13" s="837" t="s">
        <v>1911</v>
      </c>
      <c r="B13" s="832">
        <v>501.37</v>
      </c>
      <c r="C13" s="828">
        <v>0.1969052528227786</v>
      </c>
      <c r="D13" s="832">
        <v>2044.88</v>
      </c>
      <c r="E13" s="828">
        <v>0.8030947471772214</v>
      </c>
      <c r="F13" s="833">
        <v>2546.25</v>
      </c>
    </row>
    <row r="14" spans="1:6" ht="14.45" customHeight="1" x14ac:dyDescent="0.2">
      <c r="A14" s="837" t="s">
        <v>1899</v>
      </c>
      <c r="B14" s="832">
        <v>301.78999999999996</v>
      </c>
      <c r="C14" s="828">
        <v>4.2522702775057583E-2</v>
      </c>
      <c r="D14" s="832">
        <v>6795.3600000000006</v>
      </c>
      <c r="E14" s="828">
        <v>0.95747729722494246</v>
      </c>
      <c r="F14" s="833">
        <v>7097.1500000000005</v>
      </c>
    </row>
    <row r="15" spans="1:6" ht="14.45" customHeight="1" x14ac:dyDescent="0.2">
      <c r="A15" s="837" t="s">
        <v>1910</v>
      </c>
      <c r="B15" s="832">
        <v>154.36000000000001</v>
      </c>
      <c r="C15" s="828">
        <v>0.74790445273511319</v>
      </c>
      <c r="D15" s="832">
        <v>52.03</v>
      </c>
      <c r="E15" s="828">
        <v>0.25209554726488687</v>
      </c>
      <c r="F15" s="833">
        <v>206.39000000000001</v>
      </c>
    </row>
    <row r="16" spans="1:6" ht="14.45" customHeight="1" x14ac:dyDescent="0.2">
      <c r="A16" s="837" t="s">
        <v>1906</v>
      </c>
      <c r="B16" s="832">
        <v>105.33</v>
      </c>
      <c r="C16" s="828">
        <v>1</v>
      </c>
      <c r="D16" s="832">
        <v>0</v>
      </c>
      <c r="E16" s="828">
        <v>0</v>
      </c>
      <c r="F16" s="833">
        <v>105.33</v>
      </c>
    </row>
    <row r="17" spans="1:6" ht="14.45" customHeight="1" x14ac:dyDescent="0.2">
      <c r="A17" s="837" t="s">
        <v>1909</v>
      </c>
      <c r="B17" s="832">
        <v>105.33</v>
      </c>
      <c r="C17" s="828">
        <v>3.7556157740854308E-2</v>
      </c>
      <c r="D17" s="832">
        <v>2699.2700000000004</v>
      </c>
      <c r="E17" s="828">
        <v>0.9624438422591457</v>
      </c>
      <c r="F17" s="833">
        <v>2804.6000000000004</v>
      </c>
    </row>
    <row r="18" spans="1:6" ht="14.45" customHeight="1" x14ac:dyDescent="0.2">
      <c r="A18" s="837" t="s">
        <v>1913</v>
      </c>
      <c r="B18" s="832"/>
      <c r="C18" s="828">
        <v>0</v>
      </c>
      <c r="D18" s="832">
        <v>154.36000000000001</v>
      </c>
      <c r="E18" s="828">
        <v>1</v>
      </c>
      <c r="F18" s="833">
        <v>154.36000000000001</v>
      </c>
    </row>
    <row r="19" spans="1:6" ht="14.45" customHeight="1" x14ac:dyDescent="0.2">
      <c r="A19" s="837" t="s">
        <v>1903</v>
      </c>
      <c r="B19" s="832">
        <v>0</v>
      </c>
      <c r="C19" s="828">
        <v>0</v>
      </c>
      <c r="D19" s="832">
        <v>257.76</v>
      </c>
      <c r="E19" s="828">
        <v>1</v>
      </c>
      <c r="F19" s="833">
        <v>257.76</v>
      </c>
    </row>
    <row r="20" spans="1:6" ht="14.45" customHeight="1" thickBot="1" x14ac:dyDescent="0.25">
      <c r="A20" s="760" t="s">
        <v>1908</v>
      </c>
      <c r="B20" s="751"/>
      <c r="C20" s="752">
        <v>0</v>
      </c>
      <c r="D20" s="751">
        <v>6511.630000000001</v>
      </c>
      <c r="E20" s="752">
        <v>1</v>
      </c>
      <c r="F20" s="753">
        <v>6511.630000000001</v>
      </c>
    </row>
    <row r="21" spans="1:6" ht="14.45" customHeight="1" thickBot="1" x14ac:dyDescent="0.25">
      <c r="A21" s="754" t="s">
        <v>3</v>
      </c>
      <c r="B21" s="755">
        <v>47235.250000000007</v>
      </c>
      <c r="C21" s="756">
        <v>0.1392257755580372</v>
      </c>
      <c r="D21" s="755">
        <v>292035.62</v>
      </c>
      <c r="E21" s="756">
        <v>0.86077422444196294</v>
      </c>
      <c r="F21" s="757">
        <v>339270.86999999994</v>
      </c>
    </row>
    <row r="22" spans="1:6" ht="14.45" customHeight="1" thickBot="1" x14ac:dyDescent="0.25"/>
    <row r="23" spans="1:6" ht="14.45" customHeight="1" x14ac:dyDescent="0.2">
      <c r="A23" s="836" t="s">
        <v>2980</v>
      </c>
      <c r="B23" s="225">
        <v>16099.52</v>
      </c>
      <c r="C23" s="813">
        <v>0.95519526019167378</v>
      </c>
      <c r="D23" s="225">
        <v>755.17</v>
      </c>
      <c r="E23" s="813">
        <v>4.4804739808326347E-2</v>
      </c>
      <c r="F23" s="831">
        <v>16854.689999999999</v>
      </c>
    </row>
    <row r="24" spans="1:6" ht="14.45" customHeight="1" x14ac:dyDescent="0.2">
      <c r="A24" s="837" t="s">
        <v>1475</v>
      </c>
      <c r="B24" s="832">
        <v>11846.550000000001</v>
      </c>
      <c r="C24" s="828">
        <v>0.41814560363924386</v>
      </c>
      <c r="D24" s="832">
        <v>16484.610000000004</v>
      </c>
      <c r="E24" s="828">
        <v>0.5818543963607562</v>
      </c>
      <c r="F24" s="833">
        <v>28331.160000000003</v>
      </c>
    </row>
    <row r="25" spans="1:6" ht="14.45" customHeight="1" x14ac:dyDescent="0.2">
      <c r="A25" s="837" t="s">
        <v>1467</v>
      </c>
      <c r="B25" s="832">
        <v>3012.38</v>
      </c>
      <c r="C25" s="828">
        <v>0.86695427191646979</v>
      </c>
      <c r="D25" s="832">
        <v>462.29</v>
      </c>
      <c r="E25" s="828">
        <v>0.13304572808353024</v>
      </c>
      <c r="F25" s="833">
        <v>3474.67</v>
      </c>
    </row>
    <row r="26" spans="1:6" ht="14.45" customHeight="1" x14ac:dyDescent="0.2">
      <c r="A26" s="837" t="s">
        <v>1469</v>
      </c>
      <c r="B26" s="832">
        <v>1849.1699999999992</v>
      </c>
      <c r="C26" s="828">
        <v>0.29204906731356933</v>
      </c>
      <c r="D26" s="832">
        <v>4482.5399999999972</v>
      </c>
      <c r="E26" s="828">
        <v>0.70795093268643061</v>
      </c>
      <c r="F26" s="833">
        <v>6331.7099999999964</v>
      </c>
    </row>
    <row r="27" spans="1:6" ht="14.45" customHeight="1" x14ac:dyDescent="0.2">
      <c r="A27" s="837" t="s">
        <v>1470</v>
      </c>
      <c r="B27" s="832">
        <v>1482</v>
      </c>
      <c r="C27" s="828">
        <v>0.66511682180075204</v>
      </c>
      <c r="D27" s="832">
        <v>746.18000000000006</v>
      </c>
      <c r="E27" s="828">
        <v>0.33488317819924779</v>
      </c>
      <c r="F27" s="833">
        <v>2228.1800000000003</v>
      </c>
    </row>
    <row r="28" spans="1:6" ht="14.45" customHeight="1" x14ac:dyDescent="0.2">
      <c r="A28" s="837" t="s">
        <v>1463</v>
      </c>
      <c r="B28" s="832">
        <v>1401.54</v>
      </c>
      <c r="C28" s="828">
        <v>0.13636841285903326</v>
      </c>
      <c r="D28" s="832">
        <v>8876.06</v>
      </c>
      <c r="E28" s="828">
        <v>0.86363158714096688</v>
      </c>
      <c r="F28" s="833">
        <v>10277.599999999999</v>
      </c>
    </row>
    <row r="29" spans="1:6" ht="14.45" customHeight="1" x14ac:dyDescent="0.2">
      <c r="A29" s="837" t="s">
        <v>2981</v>
      </c>
      <c r="B29" s="832">
        <v>1276.4000000000001</v>
      </c>
      <c r="C29" s="828">
        <v>1</v>
      </c>
      <c r="D29" s="832"/>
      <c r="E29" s="828">
        <v>0</v>
      </c>
      <c r="F29" s="833">
        <v>1276.4000000000001</v>
      </c>
    </row>
    <row r="30" spans="1:6" ht="14.45" customHeight="1" x14ac:dyDescent="0.2">
      <c r="A30" s="837" t="s">
        <v>2982</v>
      </c>
      <c r="B30" s="832">
        <v>1012.22</v>
      </c>
      <c r="C30" s="828">
        <v>0.10745572130430542</v>
      </c>
      <c r="D30" s="832">
        <v>8407.6599999999962</v>
      </c>
      <c r="E30" s="828">
        <v>0.89254427869569464</v>
      </c>
      <c r="F30" s="833">
        <v>9419.8799999999956</v>
      </c>
    </row>
    <row r="31" spans="1:6" ht="14.45" customHeight="1" x14ac:dyDescent="0.2">
      <c r="A31" s="837" t="s">
        <v>1514</v>
      </c>
      <c r="B31" s="832">
        <v>949.06999999999994</v>
      </c>
      <c r="C31" s="828">
        <v>1</v>
      </c>
      <c r="D31" s="832"/>
      <c r="E31" s="828">
        <v>0</v>
      </c>
      <c r="F31" s="833">
        <v>949.06999999999994</v>
      </c>
    </row>
    <row r="32" spans="1:6" ht="14.45" customHeight="1" x14ac:dyDescent="0.2">
      <c r="A32" s="837" t="s">
        <v>1465</v>
      </c>
      <c r="B32" s="832">
        <v>807.68999999999994</v>
      </c>
      <c r="C32" s="828">
        <v>0.25939295452136796</v>
      </c>
      <c r="D32" s="832">
        <v>2306.08</v>
      </c>
      <c r="E32" s="828">
        <v>0.74060704547863199</v>
      </c>
      <c r="F32" s="833">
        <v>3113.77</v>
      </c>
    </row>
    <row r="33" spans="1:6" ht="14.45" customHeight="1" x14ac:dyDescent="0.2">
      <c r="A33" s="837" t="s">
        <v>2983</v>
      </c>
      <c r="B33" s="832">
        <v>787.88</v>
      </c>
      <c r="C33" s="828">
        <v>0.39998781577451065</v>
      </c>
      <c r="D33" s="832">
        <v>1181.8799999999999</v>
      </c>
      <c r="E33" s="828">
        <v>0.60001218422548941</v>
      </c>
      <c r="F33" s="833">
        <v>1969.7599999999998</v>
      </c>
    </row>
    <row r="34" spans="1:6" ht="14.45" customHeight="1" x14ac:dyDescent="0.2">
      <c r="A34" s="837" t="s">
        <v>1461</v>
      </c>
      <c r="B34" s="832">
        <v>738.96</v>
      </c>
      <c r="C34" s="828">
        <v>0.1200647312289185</v>
      </c>
      <c r="D34" s="832">
        <v>5415.7199999999993</v>
      </c>
      <c r="E34" s="828">
        <v>0.87993526877108152</v>
      </c>
      <c r="F34" s="833">
        <v>6154.6799999999994</v>
      </c>
    </row>
    <row r="35" spans="1:6" ht="14.45" customHeight="1" x14ac:dyDescent="0.2">
      <c r="A35" s="837" t="s">
        <v>1503</v>
      </c>
      <c r="B35" s="832">
        <v>678.94</v>
      </c>
      <c r="C35" s="828">
        <v>1</v>
      </c>
      <c r="D35" s="832"/>
      <c r="E35" s="828">
        <v>0</v>
      </c>
      <c r="F35" s="833">
        <v>678.94</v>
      </c>
    </row>
    <row r="36" spans="1:6" ht="14.45" customHeight="1" x14ac:dyDescent="0.2">
      <c r="A36" s="837" t="s">
        <v>1476</v>
      </c>
      <c r="B36" s="832">
        <v>667.36</v>
      </c>
      <c r="C36" s="828">
        <v>0.62500351199228299</v>
      </c>
      <c r="D36" s="832">
        <v>400.40999999999997</v>
      </c>
      <c r="E36" s="828">
        <v>0.37499648800771701</v>
      </c>
      <c r="F36" s="833">
        <v>1067.77</v>
      </c>
    </row>
    <row r="37" spans="1:6" ht="14.45" customHeight="1" x14ac:dyDescent="0.2">
      <c r="A37" s="837" t="s">
        <v>1518</v>
      </c>
      <c r="B37" s="832">
        <v>518.22</v>
      </c>
      <c r="C37" s="828">
        <v>0.40971513958397576</v>
      </c>
      <c r="D37" s="832">
        <v>746.6099999999999</v>
      </c>
      <c r="E37" s="828">
        <v>0.59028486041602424</v>
      </c>
      <c r="F37" s="833">
        <v>1264.83</v>
      </c>
    </row>
    <row r="38" spans="1:6" ht="14.45" customHeight="1" x14ac:dyDescent="0.2">
      <c r="A38" s="837" t="s">
        <v>2984</v>
      </c>
      <c r="B38" s="832">
        <v>480.66</v>
      </c>
      <c r="C38" s="828">
        <v>1</v>
      </c>
      <c r="D38" s="832"/>
      <c r="E38" s="828">
        <v>0</v>
      </c>
      <c r="F38" s="833">
        <v>480.66</v>
      </c>
    </row>
    <row r="39" spans="1:6" ht="14.45" customHeight="1" x14ac:dyDescent="0.2">
      <c r="A39" s="837" t="s">
        <v>2985</v>
      </c>
      <c r="B39" s="832">
        <v>473.71</v>
      </c>
      <c r="C39" s="828">
        <v>1</v>
      </c>
      <c r="D39" s="832"/>
      <c r="E39" s="828">
        <v>0</v>
      </c>
      <c r="F39" s="833">
        <v>473.71</v>
      </c>
    </row>
    <row r="40" spans="1:6" ht="14.45" customHeight="1" x14ac:dyDescent="0.2">
      <c r="A40" s="837" t="s">
        <v>1509</v>
      </c>
      <c r="B40" s="832">
        <v>439.14</v>
      </c>
      <c r="C40" s="828">
        <v>0.21902135151445626</v>
      </c>
      <c r="D40" s="832">
        <v>1565.8700000000001</v>
      </c>
      <c r="E40" s="828">
        <v>0.78097864848554366</v>
      </c>
      <c r="F40" s="833">
        <v>2005.0100000000002</v>
      </c>
    </row>
    <row r="41" spans="1:6" ht="14.45" customHeight="1" x14ac:dyDescent="0.2">
      <c r="A41" s="837" t="s">
        <v>2986</v>
      </c>
      <c r="B41" s="832">
        <v>401.37</v>
      </c>
      <c r="C41" s="828">
        <v>1</v>
      </c>
      <c r="D41" s="832"/>
      <c r="E41" s="828">
        <v>0</v>
      </c>
      <c r="F41" s="833">
        <v>401.37</v>
      </c>
    </row>
    <row r="42" spans="1:6" ht="14.45" customHeight="1" x14ac:dyDescent="0.2">
      <c r="A42" s="837" t="s">
        <v>2987</v>
      </c>
      <c r="B42" s="832">
        <v>334.86</v>
      </c>
      <c r="C42" s="828">
        <v>1</v>
      </c>
      <c r="D42" s="832"/>
      <c r="E42" s="828">
        <v>0</v>
      </c>
      <c r="F42" s="833">
        <v>334.86</v>
      </c>
    </row>
    <row r="43" spans="1:6" ht="14.45" customHeight="1" x14ac:dyDescent="0.2">
      <c r="A43" s="837" t="s">
        <v>1472</v>
      </c>
      <c r="B43" s="832">
        <v>241.26000000000002</v>
      </c>
      <c r="C43" s="828">
        <v>8.235029081674454E-2</v>
      </c>
      <c r="D43" s="832">
        <v>2688.4199999999983</v>
      </c>
      <c r="E43" s="828">
        <v>0.91764970918325539</v>
      </c>
      <c r="F43" s="833">
        <v>2929.6799999999985</v>
      </c>
    </row>
    <row r="44" spans="1:6" ht="14.45" customHeight="1" x14ac:dyDescent="0.2">
      <c r="A44" s="837" t="s">
        <v>2988</v>
      </c>
      <c r="B44" s="832">
        <v>233.04</v>
      </c>
      <c r="C44" s="828">
        <v>4.4110465446423504E-2</v>
      </c>
      <c r="D44" s="832">
        <v>5050.0599999999995</v>
      </c>
      <c r="E44" s="828">
        <v>0.9558895345535765</v>
      </c>
      <c r="F44" s="833">
        <v>5283.0999999999995</v>
      </c>
    </row>
    <row r="45" spans="1:6" ht="14.45" customHeight="1" x14ac:dyDescent="0.2">
      <c r="A45" s="837" t="s">
        <v>1496</v>
      </c>
      <c r="B45" s="832">
        <v>232.11</v>
      </c>
      <c r="C45" s="828">
        <v>0.15685757729346175</v>
      </c>
      <c r="D45" s="832">
        <v>1247.6399999999999</v>
      </c>
      <c r="E45" s="828">
        <v>0.84314242270653816</v>
      </c>
      <c r="F45" s="833">
        <v>1479.75</v>
      </c>
    </row>
    <row r="46" spans="1:6" ht="14.45" customHeight="1" x14ac:dyDescent="0.2">
      <c r="A46" s="837" t="s">
        <v>1473</v>
      </c>
      <c r="B46" s="832">
        <v>206.8</v>
      </c>
      <c r="C46" s="828">
        <v>8.7448885957011335E-2</v>
      </c>
      <c r="D46" s="832">
        <v>2158.0100000000002</v>
      </c>
      <c r="E46" s="828">
        <v>0.91255111404298861</v>
      </c>
      <c r="F46" s="833">
        <v>2364.8100000000004</v>
      </c>
    </row>
    <row r="47" spans="1:6" ht="14.45" customHeight="1" x14ac:dyDescent="0.2">
      <c r="A47" s="837" t="s">
        <v>2989</v>
      </c>
      <c r="B47" s="832">
        <v>176.32</v>
      </c>
      <c r="C47" s="828">
        <v>0.17999918330679079</v>
      </c>
      <c r="D47" s="832">
        <v>803.24</v>
      </c>
      <c r="E47" s="828">
        <v>0.82000081669320923</v>
      </c>
      <c r="F47" s="833">
        <v>979.56</v>
      </c>
    </row>
    <row r="48" spans="1:6" ht="14.45" customHeight="1" x14ac:dyDescent="0.2">
      <c r="A48" s="837" t="s">
        <v>1516</v>
      </c>
      <c r="B48" s="832">
        <v>154.36000000000001</v>
      </c>
      <c r="C48" s="828">
        <v>0.10031453897943798</v>
      </c>
      <c r="D48" s="832">
        <v>1384.4</v>
      </c>
      <c r="E48" s="828">
        <v>0.89968546102056191</v>
      </c>
      <c r="F48" s="833">
        <v>1538.7600000000002</v>
      </c>
    </row>
    <row r="49" spans="1:6" ht="14.45" customHeight="1" x14ac:dyDescent="0.2">
      <c r="A49" s="837" t="s">
        <v>1479</v>
      </c>
      <c r="B49" s="832">
        <v>134.44999999999999</v>
      </c>
      <c r="C49" s="828">
        <v>0.41175389703855697</v>
      </c>
      <c r="D49" s="832">
        <v>192.08</v>
      </c>
      <c r="E49" s="828">
        <v>0.58824610296144308</v>
      </c>
      <c r="F49" s="833">
        <v>326.52999999999997</v>
      </c>
    </row>
    <row r="50" spans="1:6" ht="14.45" customHeight="1" x14ac:dyDescent="0.2">
      <c r="A50" s="837" t="s">
        <v>2990</v>
      </c>
      <c r="B50" s="832">
        <v>124.49</v>
      </c>
      <c r="C50" s="828">
        <v>1</v>
      </c>
      <c r="D50" s="832"/>
      <c r="E50" s="828">
        <v>0</v>
      </c>
      <c r="F50" s="833">
        <v>124.49</v>
      </c>
    </row>
    <row r="51" spans="1:6" ht="14.45" customHeight="1" x14ac:dyDescent="0.2">
      <c r="A51" s="837" t="s">
        <v>2991</v>
      </c>
      <c r="B51" s="832">
        <v>123.2</v>
      </c>
      <c r="C51" s="828">
        <v>1</v>
      </c>
      <c r="D51" s="832"/>
      <c r="E51" s="828">
        <v>0</v>
      </c>
      <c r="F51" s="833">
        <v>123.2</v>
      </c>
    </row>
    <row r="52" spans="1:6" ht="14.45" customHeight="1" x14ac:dyDescent="0.2">
      <c r="A52" s="837" t="s">
        <v>1457</v>
      </c>
      <c r="B52" s="832">
        <v>119.9</v>
      </c>
      <c r="C52" s="828">
        <v>0.26164186269803169</v>
      </c>
      <c r="D52" s="832">
        <v>338.36</v>
      </c>
      <c r="E52" s="828">
        <v>0.73835813730196831</v>
      </c>
      <c r="F52" s="833">
        <v>458.26</v>
      </c>
    </row>
    <row r="53" spans="1:6" ht="14.45" customHeight="1" x14ac:dyDescent="0.2">
      <c r="A53" s="837" t="s">
        <v>1504</v>
      </c>
      <c r="B53" s="832">
        <v>105.39</v>
      </c>
      <c r="C53" s="828">
        <v>8.4946037221823673E-2</v>
      </c>
      <c r="D53" s="832">
        <v>1135.2800000000002</v>
      </c>
      <c r="E53" s="828">
        <v>0.9150539627781763</v>
      </c>
      <c r="F53" s="833">
        <v>1240.6700000000003</v>
      </c>
    </row>
    <row r="54" spans="1:6" ht="14.45" customHeight="1" x14ac:dyDescent="0.2">
      <c r="A54" s="837" t="s">
        <v>2992</v>
      </c>
      <c r="B54" s="832">
        <v>50.319999999999993</v>
      </c>
      <c r="C54" s="828">
        <v>1</v>
      </c>
      <c r="D54" s="832"/>
      <c r="E54" s="828">
        <v>0</v>
      </c>
      <c r="F54" s="833">
        <v>50.319999999999993</v>
      </c>
    </row>
    <row r="55" spans="1:6" ht="14.45" customHeight="1" x14ac:dyDescent="0.2">
      <c r="A55" s="837" t="s">
        <v>1459</v>
      </c>
      <c r="B55" s="832">
        <v>43.21</v>
      </c>
      <c r="C55" s="828">
        <v>0.25001446508129377</v>
      </c>
      <c r="D55" s="832">
        <v>129.62</v>
      </c>
      <c r="E55" s="828">
        <v>0.74998553491870623</v>
      </c>
      <c r="F55" s="833">
        <v>172.83</v>
      </c>
    </row>
    <row r="56" spans="1:6" ht="14.45" customHeight="1" x14ac:dyDescent="0.2">
      <c r="A56" s="837" t="s">
        <v>2993</v>
      </c>
      <c r="B56" s="832">
        <v>32.76</v>
      </c>
      <c r="C56" s="828">
        <v>8.6963446683124931E-2</v>
      </c>
      <c r="D56" s="832">
        <v>343.95000000000005</v>
      </c>
      <c r="E56" s="828">
        <v>0.91303655331687505</v>
      </c>
      <c r="F56" s="833">
        <v>376.71000000000004</v>
      </c>
    </row>
    <row r="57" spans="1:6" ht="14.45" customHeight="1" x14ac:dyDescent="0.2">
      <c r="A57" s="837" t="s">
        <v>1506</v>
      </c>
      <c r="B57" s="832">
        <v>0</v>
      </c>
      <c r="C57" s="828"/>
      <c r="D57" s="832">
        <v>0</v>
      </c>
      <c r="E57" s="828"/>
      <c r="F57" s="833">
        <v>0</v>
      </c>
    </row>
    <row r="58" spans="1:6" ht="14.45" customHeight="1" x14ac:dyDescent="0.2">
      <c r="A58" s="837" t="s">
        <v>1464</v>
      </c>
      <c r="B58" s="832"/>
      <c r="C58" s="828">
        <v>0</v>
      </c>
      <c r="D58" s="832">
        <v>3920.5400000000013</v>
      </c>
      <c r="E58" s="828">
        <v>1</v>
      </c>
      <c r="F58" s="833">
        <v>3920.5400000000013</v>
      </c>
    </row>
    <row r="59" spans="1:6" ht="14.45" customHeight="1" x14ac:dyDescent="0.2">
      <c r="A59" s="837" t="s">
        <v>2994</v>
      </c>
      <c r="B59" s="832"/>
      <c r="C59" s="828">
        <v>0</v>
      </c>
      <c r="D59" s="832">
        <v>141.25</v>
      </c>
      <c r="E59" s="828">
        <v>1</v>
      </c>
      <c r="F59" s="833">
        <v>141.25</v>
      </c>
    </row>
    <row r="60" spans="1:6" ht="14.45" customHeight="1" x14ac:dyDescent="0.2">
      <c r="A60" s="837" t="s">
        <v>2995</v>
      </c>
      <c r="B60" s="832"/>
      <c r="C60" s="828">
        <v>0</v>
      </c>
      <c r="D60" s="832">
        <v>234.32</v>
      </c>
      <c r="E60" s="828">
        <v>1</v>
      </c>
      <c r="F60" s="833">
        <v>234.32</v>
      </c>
    </row>
    <row r="61" spans="1:6" ht="14.45" customHeight="1" x14ac:dyDescent="0.2">
      <c r="A61" s="837" t="s">
        <v>1468</v>
      </c>
      <c r="B61" s="832"/>
      <c r="C61" s="828">
        <v>0</v>
      </c>
      <c r="D61" s="832">
        <v>3145.8</v>
      </c>
      <c r="E61" s="828">
        <v>1</v>
      </c>
      <c r="F61" s="833">
        <v>3145.8</v>
      </c>
    </row>
    <row r="62" spans="1:6" ht="14.45" customHeight="1" x14ac:dyDescent="0.2">
      <c r="A62" s="837" t="s">
        <v>2996</v>
      </c>
      <c r="B62" s="832"/>
      <c r="C62" s="828">
        <v>0</v>
      </c>
      <c r="D62" s="832">
        <v>300.31</v>
      </c>
      <c r="E62" s="828">
        <v>1</v>
      </c>
      <c r="F62" s="833">
        <v>300.31</v>
      </c>
    </row>
    <row r="63" spans="1:6" ht="14.45" customHeight="1" x14ac:dyDescent="0.2">
      <c r="A63" s="837" t="s">
        <v>2997</v>
      </c>
      <c r="B63" s="832"/>
      <c r="C63" s="828">
        <v>0</v>
      </c>
      <c r="D63" s="832">
        <v>1450.46</v>
      </c>
      <c r="E63" s="828">
        <v>1</v>
      </c>
      <c r="F63" s="833">
        <v>1450.46</v>
      </c>
    </row>
    <row r="64" spans="1:6" ht="14.45" customHeight="1" x14ac:dyDescent="0.2">
      <c r="A64" s="837" t="s">
        <v>2998</v>
      </c>
      <c r="B64" s="832"/>
      <c r="C64" s="828">
        <v>0</v>
      </c>
      <c r="D64" s="832">
        <v>1186.52</v>
      </c>
      <c r="E64" s="828">
        <v>1</v>
      </c>
      <c r="F64" s="833">
        <v>1186.52</v>
      </c>
    </row>
    <row r="65" spans="1:6" ht="14.45" customHeight="1" x14ac:dyDescent="0.2">
      <c r="A65" s="837" t="s">
        <v>1512</v>
      </c>
      <c r="B65" s="832"/>
      <c r="C65" s="828">
        <v>0</v>
      </c>
      <c r="D65" s="832">
        <v>117.54</v>
      </c>
      <c r="E65" s="828">
        <v>1</v>
      </c>
      <c r="F65" s="833">
        <v>117.54</v>
      </c>
    </row>
    <row r="66" spans="1:6" ht="14.45" customHeight="1" x14ac:dyDescent="0.2">
      <c r="A66" s="837" t="s">
        <v>1471</v>
      </c>
      <c r="B66" s="832"/>
      <c r="C66" s="828">
        <v>0</v>
      </c>
      <c r="D66" s="832">
        <v>673.67000000000007</v>
      </c>
      <c r="E66" s="828">
        <v>1</v>
      </c>
      <c r="F66" s="833">
        <v>673.67000000000007</v>
      </c>
    </row>
    <row r="67" spans="1:6" ht="14.45" customHeight="1" x14ac:dyDescent="0.2">
      <c r="A67" s="837" t="s">
        <v>1502</v>
      </c>
      <c r="B67" s="832"/>
      <c r="C67" s="828">
        <v>0</v>
      </c>
      <c r="D67" s="832">
        <v>1098.93</v>
      </c>
      <c r="E67" s="828">
        <v>1</v>
      </c>
      <c r="F67" s="833">
        <v>1098.93</v>
      </c>
    </row>
    <row r="68" spans="1:6" ht="14.45" customHeight="1" x14ac:dyDescent="0.2">
      <c r="A68" s="837" t="s">
        <v>2999</v>
      </c>
      <c r="B68" s="832">
        <v>0</v>
      </c>
      <c r="C68" s="828"/>
      <c r="D68" s="832"/>
      <c r="E68" s="828"/>
      <c r="F68" s="833">
        <v>0</v>
      </c>
    </row>
    <row r="69" spans="1:6" ht="14.45" customHeight="1" x14ac:dyDescent="0.2">
      <c r="A69" s="837" t="s">
        <v>3000</v>
      </c>
      <c r="B69" s="832"/>
      <c r="C69" s="828">
        <v>0</v>
      </c>
      <c r="D69" s="832">
        <v>4235.12</v>
      </c>
      <c r="E69" s="828">
        <v>1</v>
      </c>
      <c r="F69" s="833">
        <v>4235.12</v>
      </c>
    </row>
    <row r="70" spans="1:6" ht="14.45" customHeight="1" x14ac:dyDescent="0.2">
      <c r="A70" s="837" t="s">
        <v>3001</v>
      </c>
      <c r="B70" s="832"/>
      <c r="C70" s="828">
        <v>0</v>
      </c>
      <c r="D70" s="832">
        <v>749.27</v>
      </c>
      <c r="E70" s="828">
        <v>1</v>
      </c>
      <c r="F70" s="833">
        <v>749.27</v>
      </c>
    </row>
    <row r="71" spans="1:6" ht="14.45" customHeight="1" x14ac:dyDescent="0.2">
      <c r="A71" s="837" t="s">
        <v>1508</v>
      </c>
      <c r="B71" s="832"/>
      <c r="C71" s="828">
        <v>0</v>
      </c>
      <c r="D71" s="832">
        <v>132</v>
      </c>
      <c r="E71" s="828">
        <v>1</v>
      </c>
      <c r="F71" s="833">
        <v>132</v>
      </c>
    </row>
    <row r="72" spans="1:6" ht="14.45" customHeight="1" x14ac:dyDescent="0.2">
      <c r="A72" s="837" t="s">
        <v>1460</v>
      </c>
      <c r="B72" s="832"/>
      <c r="C72" s="828">
        <v>0</v>
      </c>
      <c r="D72" s="832">
        <v>52.06</v>
      </c>
      <c r="E72" s="828">
        <v>1</v>
      </c>
      <c r="F72" s="833">
        <v>52.06</v>
      </c>
    </row>
    <row r="73" spans="1:6" ht="14.45" customHeight="1" x14ac:dyDescent="0.2">
      <c r="A73" s="837" t="s">
        <v>3002</v>
      </c>
      <c r="B73" s="832"/>
      <c r="C73" s="828">
        <v>0</v>
      </c>
      <c r="D73" s="832">
        <v>77.790000000000006</v>
      </c>
      <c r="E73" s="828">
        <v>1</v>
      </c>
      <c r="F73" s="833">
        <v>77.790000000000006</v>
      </c>
    </row>
    <row r="74" spans="1:6" ht="14.45" customHeight="1" x14ac:dyDescent="0.2">
      <c r="A74" s="837" t="s">
        <v>1484</v>
      </c>
      <c r="B74" s="832"/>
      <c r="C74" s="828">
        <v>0</v>
      </c>
      <c r="D74" s="832">
        <v>957.6</v>
      </c>
      <c r="E74" s="828">
        <v>1</v>
      </c>
      <c r="F74" s="833">
        <v>957.6</v>
      </c>
    </row>
    <row r="75" spans="1:6" ht="14.45" customHeight="1" x14ac:dyDescent="0.2">
      <c r="A75" s="837" t="s">
        <v>1511</v>
      </c>
      <c r="B75" s="832"/>
      <c r="C75" s="828"/>
      <c r="D75" s="832">
        <v>0</v>
      </c>
      <c r="E75" s="828"/>
      <c r="F75" s="833">
        <v>0</v>
      </c>
    </row>
    <row r="76" spans="1:6" ht="14.45" customHeight="1" x14ac:dyDescent="0.2">
      <c r="A76" s="837" t="s">
        <v>1462</v>
      </c>
      <c r="B76" s="832"/>
      <c r="C76" s="828">
        <v>0</v>
      </c>
      <c r="D76" s="832">
        <v>37975.079999999994</v>
      </c>
      <c r="E76" s="828">
        <v>1</v>
      </c>
      <c r="F76" s="833">
        <v>37975.079999999994</v>
      </c>
    </row>
    <row r="77" spans="1:6" ht="14.45" customHeight="1" x14ac:dyDescent="0.2">
      <c r="A77" s="837" t="s">
        <v>1474</v>
      </c>
      <c r="B77" s="832"/>
      <c r="C77" s="828">
        <v>0</v>
      </c>
      <c r="D77" s="832">
        <v>176.92000000000002</v>
      </c>
      <c r="E77" s="828">
        <v>1</v>
      </c>
      <c r="F77" s="833">
        <v>176.92000000000002</v>
      </c>
    </row>
    <row r="78" spans="1:6" ht="14.45" customHeight="1" x14ac:dyDescent="0.2">
      <c r="A78" s="837" t="s">
        <v>1513</v>
      </c>
      <c r="B78" s="832"/>
      <c r="C78" s="828">
        <v>0</v>
      </c>
      <c r="D78" s="832">
        <v>159296.90999999995</v>
      </c>
      <c r="E78" s="828">
        <v>1</v>
      </c>
      <c r="F78" s="833">
        <v>159296.90999999995</v>
      </c>
    </row>
    <row r="79" spans="1:6" ht="14.45" customHeight="1" x14ac:dyDescent="0.2">
      <c r="A79" s="837" t="s">
        <v>1515</v>
      </c>
      <c r="B79" s="832"/>
      <c r="C79" s="828">
        <v>0</v>
      </c>
      <c r="D79" s="832">
        <v>1656.28</v>
      </c>
      <c r="E79" s="828">
        <v>1</v>
      </c>
      <c r="F79" s="833">
        <v>1656.28</v>
      </c>
    </row>
    <row r="80" spans="1:6" ht="14.45" customHeight="1" x14ac:dyDescent="0.2">
      <c r="A80" s="837" t="s">
        <v>3003</v>
      </c>
      <c r="B80" s="832"/>
      <c r="C80" s="828">
        <v>0</v>
      </c>
      <c r="D80" s="832">
        <v>341.53</v>
      </c>
      <c r="E80" s="828">
        <v>1</v>
      </c>
      <c r="F80" s="833">
        <v>341.53</v>
      </c>
    </row>
    <row r="81" spans="1:6" ht="14.45" customHeight="1" x14ac:dyDescent="0.2">
      <c r="A81" s="837" t="s">
        <v>3004</v>
      </c>
      <c r="B81" s="832">
        <v>0</v>
      </c>
      <c r="C81" s="828"/>
      <c r="D81" s="832"/>
      <c r="E81" s="828"/>
      <c r="F81" s="833">
        <v>0</v>
      </c>
    </row>
    <row r="82" spans="1:6" ht="14.45" customHeight="1" x14ac:dyDescent="0.2">
      <c r="A82" s="837" t="s">
        <v>3005</v>
      </c>
      <c r="B82" s="832"/>
      <c r="C82" s="828">
        <v>0</v>
      </c>
      <c r="D82" s="832">
        <v>4359.5300000000007</v>
      </c>
      <c r="E82" s="828">
        <v>1</v>
      </c>
      <c r="F82" s="833">
        <v>4359.5300000000007</v>
      </c>
    </row>
    <row r="83" spans="1:6" ht="14.45" customHeight="1" x14ac:dyDescent="0.2">
      <c r="A83" s="837" t="s">
        <v>3006</v>
      </c>
      <c r="B83" s="832"/>
      <c r="C83" s="828">
        <v>0</v>
      </c>
      <c r="D83" s="832">
        <v>140.96</v>
      </c>
      <c r="E83" s="828">
        <v>1</v>
      </c>
      <c r="F83" s="833">
        <v>140.96</v>
      </c>
    </row>
    <row r="84" spans="1:6" ht="14.45" customHeight="1" x14ac:dyDescent="0.2">
      <c r="A84" s="837" t="s">
        <v>3007</v>
      </c>
      <c r="B84" s="832"/>
      <c r="C84" s="828">
        <v>0</v>
      </c>
      <c r="D84" s="832">
        <v>212.45</v>
      </c>
      <c r="E84" s="828">
        <v>1</v>
      </c>
      <c r="F84" s="833">
        <v>212.45</v>
      </c>
    </row>
    <row r="85" spans="1:6" ht="14.45" customHeight="1" x14ac:dyDescent="0.2">
      <c r="A85" s="837" t="s">
        <v>3008</v>
      </c>
      <c r="B85" s="832"/>
      <c r="C85" s="828">
        <v>0</v>
      </c>
      <c r="D85" s="832">
        <v>621.82000000000005</v>
      </c>
      <c r="E85" s="828">
        <v>1</v>
      </c>
      <c r="F85" s="833">
        <v>621.82000000000005</v>
      </c>
    </row>
    <row r="86" spans="1:6" ht="14.45" customHeight="1" x14ac:dyDescent="0.2">
      <c r="A86" s="837" t="s">
        <v>1500</v>
      </c>
      <c r="B86" s="832"/>
      <c r="C86" s="828"/>
      <c r="D86" s="832">
        <v>0</v>
      </c>
      <c r="E86" s="828"/>
      <c r="F86" s="833">
        <v>0</v>
      </c>
    </row>
    <row r="87" spans="1:6" ht="14.45" customHeight="1" x14ac:dyDescent="0.2">
      <c r="A87" s="837" t="s">
        <v>3009</v>
      </c>
      <c r="B87" s="832"/>
      <c r="C87" s="828">
        <v>0</v>
      </c>
      <c r="D87" s="832">
        <v>640.41999999999996</v>
      </c>
      <c r="E87" s="828">
        <v>1</v>
      </c>
      <c r="F87" s="833">
        <v>640.41999999999996</v>
      </c>
    </row>
    <row r="88" spans="1:6" ht="14.45" customHeight="1" thickBot="1" x14ac:dyDescent="0.25">
      <c r="A88" s="760" t="s">
        <v>3010</v>
      </c>
      <c r="B88" s="751"/>
      <c r="C88" s="752">
        <v>0</v>
      </c>
      <c r="D88" s="751">
        <v>838.4</v>
      </c>
      <c r="E88" s="752">
        <v>1</v>
      </c>
      <c r="F88" s="753">
        <v>838.4</v>
      </c>
    </row>
    <row r="89" spans="1:6" ht="14.45" customHeight="1" thickBot="1" x14ac:dyDescent="0.25">
      <c r="A89" s="754" t="s">
        <v>3</v>
      </c>
      <c r="B89" s="755">
        <v>47235.25</v>
      </c>
      <c r="C89" s="756">
        <v>0.13922577555803714</v>
      </c>
      <c r="D89" s="755">
        <v>292035.61999999994</v>
      </c>
      <c r="E89" s="756">
        <v>0.8607742244419625</v>
      </c>
      <c r="F89" s="757">
        <v>339270.87000000005</v>
      </c>
    </row>
  </sheetData>
  <mergeCells count="3">
    <mergeCell ref="A1:F1"/>
    <mergeCell ref="B3:C3"/>
    <mergeCell ref="D3:E3"/>
  </mergeCells>
  <conditionalFormatting sqref="C5:C1048576">
    <cfRule type="cellIs" dxfId="42" priority="12" stopIfTrue="1" operator="greaterThan">
      <formula>0.2</formula>
    </cfRule>
  </conditionalFormatting>
  <conditionalFormatting sqref="F5:F20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{CB7C346C-705D-49E7-A5A2-D8A03C99CA07}</x14:id>
        </ext>
      </extLst>
    </cfRule>
  </conditionalFormatting>
  <conditionalFormatting sqref="F23:F88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{273F82FA-545F-4A9E-A8BB-B75B05CBF737}</x14:id>
        </ext>
      </extLst>
    </cfRule>
  </conditionalFormatting>
  <hyperlinks>
    <hyperlink ref="A2" location="Obsah!A1" display="Zpět na Obsah  KL 01  1.-4.měsíc" xr:uid="{EB0909D5-E2BA-4212-A157-B7B996611B0B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CB7C346C-705D-49E7-A5A2-D8A03C99CA07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F5:F20</xm:sqref>
        </x14:conditionalFormatting>
        <x14:conditionalFormatting xmlns:xm="http://schemas.microsoft.com/office/excel/2006/main">
          <x14:cfRule type="dataBar" id="{273F82FA-545F-4A9E-A8BB-B75B05CBF737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F23:F88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List31">
    <tabColor theme="0" tint="-0.249977111117893"/>
    <pageSetUpPr fitToPage="1"/>
  </sheetPr>
  <dimension ref="A1:M438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ColWidth="8.85546875" defaultRowHeight="14.45" customHeight="1" x14ac:dyDescent="0.2"/>
  <cols>
    <col min="1" max="1" width="22.28515625" style="247" customWidth="1"/>
    <col min="2" max="2" width="8.85546875" style="247" bestFit="1" customWidth="1"/>
    <col min="3" max="3" width="7" style="247" bestFit="1" customWidth="1"/>
    <col min="4" max="5" width="22.28515625" style="247" customWidth="1"/>
    <col min="6" max="6" width="6.7109375" style="329" customWidth="1"/>
    <col min="7" max="7" width="10" style="329" customWidth="1"/>
    <col min="8" max="8" width="6.7109375" style="332" customWidth="1"/>
    <col min="9" max="9" width="6.7109375" style="329" customWidth="1"/>
    <col min="10" max="10" width="10" style="329" customWidth="1"/>
    <col min="11" max="11" width="6.7109375" style="332" customWidth="1"/>
    <col min="12" max="12" width="6.7109375" style="329" customWidth="1"/>
    <col min="13" max="13" width="10" style="329" customWidth="1"/>
    <col min="14" max="16384" width="8.85546875" style="247"/>
  </cols>
  <sheetData>
    <row r="1" spans="1:13" ht="18.600000000000001" customHeight="1" thickBot="1" x14ac:dyDescent="0.35">
      <c r="A1" s="555" t="s">
        <v>3042</v>
      </c>
      <c r="B1" s="555"/>
      <c r="C1" s="555"/>
      <c r="D1" s="555"/>
      <c r="E1" s="555"/>
      <c r="F1" s="555"/>
      <c r="G1" s="555"/>
      <c r="H1" s="555"/>
      <c r="I1" s="555"/>
      <c r="J1" s="555"/>
      <c r="K1" s="555"/>
      <c r="L1" s="516"/>
      <c r="M1" s="516"/>
    </row>
    <row r="2" spans="1:13" ht="14.45" customHeight="1" thickBot="1" x14ac:dyDescent="0.25">
      <c r="A2" s="705" t="s">
        <v>328</v>
      </c>
      <c r="B2" s="328"/>
      <c r="C2" s="328"/>
      <c r="D2" s="328"/>
      <c r="E2" s="328"/>
      <c r="F2" s="336"/>
      <c r="G2" s="336"/>
      <c r="H2" s="337"/>
      <c r="I2" s="336"/>
      <c r="J2" s="336"/>
      <c r="K2" s="337"/>
      <c r="L2" s="336"/>
    </row>
    <row r="3" spans="1:13" ht="14.45" customHeight="1" thickBot="1" x14ac:dyDescent="0.25">
      <c r="E3" s="104" t="s">
        <v>158</v>
      </c>
      <c r="F3" s="47">
        <f>SUBTOTAL(9,F6:F1048576)</f>
        <v>267</v>
      </c>
      <c r="G3" s="47">
        <f>SUBTOTAL(9,G6:G1048576)</f>
        <v>47235.250000000015</v>
      </c>
      <c r="H3" s="48">
        <f>IF(M3=0,0,G3/M3)</f>
        <v>0.13922577555803717</v>
      </c>
      <c r="I3" s="47">
        <f>SUBTOTAL(9,I6:I1048576)</f>
        <v>890</v>
      </c>
      <c r="J3" s="47">
        <f>SUBTOTAL(9,J6:J1048576)</f>
        <v>292035.62</v>
      </c>
      <c r="K3" s="48">
        <f>IF(M3=0,0,J3/M3)</f>
        <v>0.86077422444196272</v>
      </c>
      <c r="L3" s="47">
        <f>SUBTOTAL(9,L6:L1048576)</f>
        <v>1157</v>
      </c>
      <c r="M3" s="49">
        <f>SUBTOTAL(9,M6:M1048576)</f>
        <v>339270.87000000005</v>
      </c>
    </row>
    <row r="4" spans="1:13" ht="14.45" customHeight="1" thickBot="1" x14ac:dyDescent="0.25">
      <c r="A4" s="45"/>
      <c r="B4" s="45"/>
      <c r="C4" s="45"/>
      <c r="D4" s="45"/>
      <c r="E4" s="46"/>
      <c r="F4" s="559" t="s">
        <v>160</v>
      </c>
      <c r="G4" s="560"/>
      <c r="H4" s="561"/>
      <c r="I4" s="562" t="s">
        <v>159</v>
      </c>
      <c r="J4" s="560"/>
      <c r="K4" s="561"/>
      <c r="L4" s="563" t="s">
        <v>3</v>
      </c>
      <c r="M4" s="564"/>
    </row>
    <row r="5" spans="1:13" ht="14.45" customHeight="1" thickBot="1" x14ac:dyDescent="0.25">
      <c r="A5" s="830" t="s">
        <v>166</v>
      </c>
      <c r="B5" s="762" t="s">
        <v>162</v>
      </c>
      <c r="C5" s="762" t="s">
        <v>89</v>
      </c>
      <c r="D5" s="762" t="s">
        <v>163</v>
      </c>
      <c r="E5" s="762" t="s">
        <v>164</v>
      </c>
      <c r="F5" s="763" t="s">
        <v>28</v>
      </c>
      <c r="G5" s="763" t="s">
        <v>14</v>
      </c>
      <c r="H5" s="746" t="s">
        <v>165</v>
      </c>
      <c r="I5" s="745" t="s">
        <v>28</v>
      </c>
      <c r="J5" s="763" t="s">
        <v>14</v>
      </c>
      <c r="K5" s="746" t="s">
        <v>165</v>
      </c>
      <c r="L5" s="745" t="s">
        <v>28</v>
      </c>
      <c r="M5" s="764" t="s">
        <v>14</v>
      </c>
    </row>
    <row r="6" spans="1:13" ht="14.45" customHeight="1" x14ac:dyDescent="0.2">
      <c r="A6" s="807" t="s">
        <v>1898</v>
      </c>
      <c r="B6" s="808" t="s">
        <v>1521</v>
      </c>
      <c r="C6" s="808" t="s">
        <v>1976</v>
      </c>
      <c r="D6" s="808" t="s">
        <v>706</v>
      </c>
      <c r="E6" s="808" t="s">
        <v>1977</v>
      </c>
      <c r="F6" s="225"/>
      <c r="G6" s="225"/>
      <c r="H6" s="813">
        <v>0</v>
      </c>
      <c r="I6" s="225">
        <v>1</v>
      </c>
      <c r="J6" s="225">
        <v>28.81</v>
      </c>
      <c r="K6" s="813">
        <v>1</v>
      </c>
      <c r="L6" s="225">
        <v>1</v>
      </c>
      <c r="M6" s="831">
        <v>28.81</v>
      </c>
    </row>
    <row r="7" spans="1:13" ht="14.45" customHeight="1" x14ac:dyDescent="0.2">
      <c r="A7" s="822" t="s">
        <v>1898</v>
      </c>
      <c r="B7" s="823" t="s">
        <v>1540</v>
      </c>
      <c r="C7" s="823" t="s">
        <v>1544</v>
      </c>
      <c r="D7" s="823" t="s">
        <v>1542</v>
      </c>
      <c r="E7" s="823" t="s">
        <v>894</v>
      </c>
      <c r="F7" s="832"/>
      <c r="G7" s="832"/>
      <c r="H7" s="828">
        <v>0</v>
      </c>
      <c r="I7" s="832">
        <v>1</v>
      </c>
      <c r="J7" s="832">
        <v>31.23</v>
      </c>
      <c r="K7" s="828">
        <v>1</v>
      </c>
      <c r="L7" s="832">
        <v>1</v>
      </c>
      <c r="M7" s="833">
        <v>31.23</v>
      </c>
    </row>
    <row r="8" spans="1:13" ht="14.45" customHeight="1" x14ac:dyDescent="0.2">
      <c r="A8" s="822" t="s">
        <v>1898</v>
      </c>
      <c r="B8" s="823" t="s">
        <v>1545</v>
      </c>
      <c r="C8" s="823" t="s">
        <v>1546</v>
      </c>
      <c r="D8" s="823" t="s">
        <v>1547</v>
      </c>
      <c r="E8" s="823" t="s">
        <v>1548</v>
      </c>
      <c r="F8" s="832"/>
      <c r="G8" s="832"/>
      <c r="H8" s="828">
        <v>0</v>
      </c>
      <c r="I8" s="832">
        <v>1</v>
      </c>
      <c r="J8" s="832">
        <v>93.75</v>
      </c>
      <c r="K8" s="828">
        <v>1</v>
      </c>
      <c r="L8" s="832">
        <v>1</v>
      </c>
      <c r="M8" s="833">
        <v>93.75</v>
      </c>
    </row>
    <row r="9" spans="1:13" ht="14.45" customHeight="1" x14ac:dyDescent="0.2">
      <c r="A9" s="822" t="s">
        <v>1898</v>
      </c>
      <c r="B9" s="823" t="s">
        <v>1545</v>
      </c>
      <c r="C9" s="823" t="s">
        <v>1549</v>
      </c>
      <c r="D9" s="823" t="s">
        <v>1547</v>
      </c>
      <c r="E9" s="823" t="s">
        <v>1550</v>
      </c>
      <c r="F9" s="832"/>
      <c r="G9" s="832"/>
      <c r="H9" s="828">
        <v>0</v>
      </c>
      <c r="I9" s="832">
        <v>2</v>
      </c>
      <c r="J9" s="832">
        <v>369.48</v>
      </c>
      <c r="K9" s="828">
        <v>1</v>
      </c>
      <c r="L9" s="832">
        <v>2</v>
      </c>
      <c r="M9" s="833">
        <v>369.48</v>
      </c>
    </row>
    <row r="10" spans="1:13" ht="14.45" customHeight="1" x14ac:dyDescent="0.2">
      <c r="A10" s="822" t="s">
        <v>1898</v>
      </c>
      <c r="B10" s="823" t="s">
        <v>1545</v>
      </c>
      <c r="C10" s="823" t="s">
        <v>2186</v>
      </c>
      <c r="D10" s="823" t="s">
        <v>2187</v>
      </c>
      <c r="E10" s="823" t="s">
        <v>2188</v>
      </c>
      <c r="F10" s="832"/>
      <c r="G10" s="832"/>
      <c r="H10" s="828">
        <v>0</v>
      </c>
      <c r="I10" s="832">
        <v>3</v>
      </c>
      <c r="J10" s="832">
        <v>361.83</v>
      </c>
      <c r="K10" s="828">
        <v>1</v>
      </c>
      <c r="L10" s="832">
        <v>3</v>
      </c>
      <c r="M10" s="833">
        <v>361.83</v>
      </c>
    </row>
    <row r="11" spans="1:13" ht="14.45" customHeight="1" x14ac:dyDescent="0.2">
      <c r="A11" s="822" t="s">
        <v>1898</v>
      </c>
      <c r="B11" s="823" t="s">
        <v>1545</v>
      </c>
      <c r="C11" s="823" t="s">
        <v>2278</v>
      </c>
      <c r="D11" s="823" t="s">
        <v>2187</v>
      </c>
      <c r="E11" s="823" t="s">
        <v>2275</v>
      </c>
      <c r="F11" s="832">
        <v>2</v>
      </c>
      <c r="G11" s="832">
        <v>369.48</v>
      </c>
      <c r="H11" s="828">
        <v>1</v>
      </c>
      <c r="I11" s="832"/>
      <c r="J11" s="832"/>
      <c r="K11" s="828">
        <v>0</v>
      </c>
      <c r="L11" s="832">
        <v>2</v>
      </c>
      <c r="M11" s="833">
        <v>369.48</v>
      </c>
    </row>
    <row r="12" spans="1:13" ht="14.45" customHeight="1" x14ac:dyDescent="0.2">
      <c r="A12" s="822" t="s">
        <v>1898</v>
      </c>
      <c r="B12" s="823" t="s">
        <v>1551</v>
      </c>
      <c r="C12" s="823" t="s">
        <v>1552</v>
      </c>
      <c r="D12" s="823" t="s">
        <v>809</v>
      </c>
      <c r="E12" s="823" t="s">
        <v>1553</v>
      </c>
      <c r="F12" s="832"/>
      <c r="G12" s="832"/>
      <c r="H12" s="828">
        <v>0</v>
      </c>
      <c r="I12" s="832">
        <v>1</v>
      </c>
      <c r="J12" s="832">
        <v>1385.62</v>
      </c>
      <c r="K12" s="828">
        <v>1</v>
      </c>
      <c r="L12" s="832">
        <v>1</v>
      </c>
      <c r="M12" s="833">
        <v>1385.62</v>
      </c>
    </row>
    <row r="13" spans="1:13" ht="14.45" customHeight="1" x14ac:dyDescent="0.2">
      <c r="A13" s="822" t="s">
        <v>1898</v>
      </c>
      <c r="B13" s="823" t="s">
        <v>1551</v>
      </c>
      <c r="C13" s="823" t="s">
        <v>1564</v>
      </c>
      <c r="D13" s="823" t="s">
        <v>803</v>
      </c>
      <c r="E13" s="823" t="s">
        <v>1565</v>
      </c>
      <c r="F13" s="832"/>
      <c r="G13" s="832"/>
      <c r="H13" s="828">
        <v>0</v>
      </c>
      <c r="I13" s="832">
        <v>1</v>
      </c>
      <c r="J13" s="832">
        <v>490.89</v>
      </c>
      <c r="K13" s="828">
        <v>1</v>
      </c>
      <c r="L13" s="832">
        <v>1</v>
      </c>
      <c r="M13" s="833">
        <v>490.89</v>
      </c>
    </row>
    <row r="14" spans="1:13" ht="14.45" customHeight="1" x14ac:dyDescent="0.2">
      <c r="A14" s="822" t="s">
        <v>1898</v>
      </c>
      <c r="B14" s="823" t="s">
        <v>1551</v>
      </c>
      <c r="C14" s="823" t="s">
        <v>1554</v>
      </c>
      <c r="D14" s="823" t="s">
        <v>809</v>
      </c>
      <c r="E14" s="823" t="s">
        <v>1555</v>
      </c>
      <c r="F14" s="832"/>
      <c r="G14" s="832"/>
      <c r="H14" s="828">
        <v>0</v>
      </c>
      <c r="I14" s="832">
        <v>3</v>
      </c>
      <c r="J14" s="832">
        <v>5542.47</v>
      </c>
      <c r="K14" s="828">
        <v>1</v>
      </c>
      <c r="L14" s="832">
        <v>3</v>
      </c>
      <c r="M14" s="833">
        <v>5542.47</v>
      </c>
    </row>
    <row r="15" spans="1:13" ht="14.45" customHeight="1" x14ac:dyDescent="0.2">
      <c r="A15" s="822" t="s">
        <v>1898</v>
      </c>
      <c r="B15" s="823" t="s">
        <v>1551</v>
      </c>
      <c r="C15" s="823" t="s">
        <v>1562</v>
      </c>
      <c r="D15" s="823" t="s">
        <v>803</v>
      </c>
      <c r="E15" s="823" t="s">
        <v>1563</v>
      </c>
      <c r="F15" s="832"/>
      <c r="G15" s="832"/>
      <c r="H15" s="828">
        <v>0</v>
      </c>
      <c r="I15" s="832">
        <v>1</v>
      </c>
      <c r="J15" s="832">
        <v>1154.68</v>
      </c>
      <c r="K15" s="828">
        <v>1</v>
      </c>
      <c r="L15" s="832">
        <v>1</v>
      </c>
      <c r="M15" s="833">
        <v>1154.68</v>
      </c>
    </row>
    <row r="16" spans="1:13" ht="14.45" customHeight="1" x14ac:dyDescent="0.2">
      <c r="A16" s="822" t="s">
        <v>1898</v>
      </c>
      <c r="B16" s="823" t="s">
        <v>1566</v>
      </c>
      <c r="C16" s="823" t="s">
        <v>1567</v>
      </c>
      <c r="D16" s="823" t="s">
        <v>1568</v>
      </c>
      <c r="E16" s="823" t="s">
        <v>1569</v>
      </c>
      <c r="F16" s="832"/>
      <c r="G16" s="832"/>
      <c r="H16" s="828">
        <v>0</v>
      </c>
      <c r="I16" s="832">
        <v>7</v>
      </c>
      <c r="J16" s="832">
        <v>654.01</v>
      </c>
      <c r="K16" s="828">
        <v>1</v>
      </c>
      <c r="L16" s="832">
        <v>7</v>
      </c>
      <c r="M16" s="833">
        <v>654.01</v>
      </c>
    </row>
    <row r="17" spans="1:13" ht="14.45" customHeight="1" x14ac:dyDescent="0.2">
      <c r="A17" s="822" t="s">
        <v>1898</v>
      </c>
      <c r="B17" s="823" t="s">
        <v>1566</v>
      </c>
      <c r="C17" s="823" t="s">
        <v>1570</v>
      </c>
      <c r="D17" s="823" t="s">
        <v>1568</v>
      </c>
      <c r="E17" s="823" t="s">
        <v>1571</v>
      </c>
      <c r="F17" s="832"/>
      <c r="G17" s="832"/>
      <c r="H17" s="828">
        <v>0</v>
      </c>
      <c r="I17" s="832">
        <v>1</v>
      </c>
      <c r="J17" s="832">
        <v>186.87</v>
      </c>
      <c r="K17" s="828">
        <v>1</v>
      </c>
      <c r="L17" s="832">
        <v>1</v>
      </c>
      <c r="M17" s="833">
        <v>186.87</v>
      </c>
    </row>
    <row r="18" spans="1:13" ht="14.45" customHeight="1" x14ac:dyDescent="0.2">
      <c r="A18" s="822" t="s">
        <v>1898</v>
      </c>
      <c r="B18" s="823" t="s">
        <v>1566</v>
      </c>
      <c r="C18" s="823" t="s">
        <v>2876</v>
      </c>
      <c r="D18" s="823" t="s">
        <v>2238</v>
      </c>
      <c r="E18" s="823" t="s">
        <v>2877</v>
      </c>
      <c r="F18" s="832">
        <v>1</v>
      </c>
      <c r="G18" s="832">
        <v>100.11</v>
      </c>
      <c r="H18" s="828">
        <v>1</v>
      </c>
      <c r="I18" s="832"/>
      <c r="J18" s="832"/>
      <c r="K18" s="828">
        <v>0</v>
      </c>
      <c r="L18" s="832">
        <v>1</v>
      </c>
      <c r="M18" s="833">
        <v>100.11</v>
      </c>
    </row>
    <row r="19" spans="1:13" ht="14.45" customHeight="1" x14ac:dyDescent="0.2">
      <c r="A19" s="822" t="s">
        <v>1898</v>
      </c>
      <c r="B19" s="823" t="s">
        <v>1578</v>
      </c>
      <c r="C19" s="823" t="s">
        <v>1581</v>
      </c>
      <c r="D19" s="823" t="s">
        <v>712</v>
      </c>
      <c r="E19" s="823" t="s">
        <v>1582</v>
      </c>
      <c r="F19" s="832"/>
      <c r="G19" s="832"/>
      <c r="H19" s="828">
        <v>0</v>
      </c>
      <c r="I19" s="832">
        <v>11</v>
      </c>
      <c r="J19" s="832">
        <v>880.11000000000013</v>
      </c>
      <c r="K19" s="828">
        <v>1</v>
      </c>
      <c r="L19" s="832">
        <v>11</v>
      </c>
      <c r="M19" s="833">
        <v>880.11000000000013</v>
      </c>
    </row>
    <row r="20" spans="1:13" ht="14.45" customHeight="1" x14ac:dyDescent="0.2">
      <c r="A20" s="822" t="s">
        <v>1898</v>
      </c>
      <c r="B20" s="823" t="s">
        <v>1588</v>
      </c>
      <c r="C20" s="823" t="s">
        <v>1784</v>
      </c>
      <c r="D20" s="823" t="s">
        <v>811</v>
      </c>
      <c r="E20" s="823" t="s">
        <v>1785</v>
      </c>
      <c r="F20" s="832"/>
      <c r="G20" s="832"/>
      <c r="H20" s="828">
        <v>0</v>
      </c>
      <c r="I20" s="832">
        <v>1</v>
      </c>
      <c r="J20" s="832">
        <v>42.51</v>
      </c>
      <c r="K20" s="828">
        <v>1</v>
      </c>
      <c r="L20" s="832">
        <v>1</v>
      </c>
      <c r="M20" s="833">
        <v>42.51</v>
      </c>
    </row>
    <row r="21" spans="1:13" ht="14.45" customHeight="1" x14ac:dyDescent="0.2">
      <c r="A21" s="822" t="s">
        <v>1898</v>
      </c>
      <c r="B21" s="823" t="s">
        <v>1588</v>
      </c>
      <c r="C21" s="823" t="s">
        <v>1953</v>
      </c>
      <c r="D21" s="823" t="s">
        <v>1954</v>
      </c>
      <c r="E21" s="823" t="s">
        <v>1785</v>
      </c>
      <c r="F21" s="832">
        <v>1</v>
      </c>
      <c r="G21" s="832">
        <v>42.51</v>
      </c>
      <c r="H21" s="828">
        <v>1</v>
      </c>
      <c r="I21" s="832"/>
      <c r="J21" s="832"/>
      <c r="K21" s="828">
        <v>0</v>
      </c>
      <c r="L21" s="832">
        <v>1</v>
      </c>
      <c r="M21" s="833">
        <v>42.51</v>
      </c>
    </row>
    <row r="22" spans="1:13" ht="14.45" customHeight="1" x14ac:dyDescent="0.2">
      <c r="A22" s="822" t="s">
        <v>1898</v>
      </c>
      <c r="B22" s="823" t="s">
        <v>1588</v>
      </c>
      <c r="C22" s="823" t="s">
        <v>2917</v>
      </c>
      <c r="D22" s="823" t="s">
        <v>2918</v>
      </c>
      <c r="E22" s="823" t="s">
        <v>1785</v>
      </c>
      <c r="F22" s="832">
        <v>1</v>
      </c>
      <c r="G22" s="832">
        <v>42.51</v>
      </c>
      <c r="H22" s="828">
        <v>1</v>
      </c>
      <c r="I22" s="832"/>
      <c r="J22" s="832"/>
      <c r="K22" s="828">
        <v>0</v>
      </c>
      <c r="L22" s="832">
        <v>1</v>
      </c>
      <c r="M22" s="833">
        <v>42.51</v>
      </c>
    </row>
    <row r="23" spans="1:13" ht="14.45" customHeight="1" x14ac:dyDescent="0.2">
      <c r="A23" s="822" t="s">
        <v>1898</v>
      </c>
      <c r="B23" s="823" t="s">
        <v>1602</v>
      </c>
      <c r="C23" s="823" t="s">
        <v>1934</v>
      </c>
      <c r="D23" s="823" t="s">
        <v>1185</v>
      </c>
      <c r="E23" s="823" t="s">
        <v>1935</v>
      </c>
      <c r="F23" s="832">
        <v>3</v>
      </c>
      <c r="G23" s="832">
        <v>31.950000000000003</v>
      </c>
      <c r="H23" s="828">
        <v>1</v>
      </c>
      <c r="I23" s="832"/>
      <c r="J23" s="832"/>
      <c r="K23" s="828">
        <v>0</v>
      </c>
      <c r="L23" s="832">
        <v>3</v>
      </c>
      <c r="M23" s="833">
        <v>31.950000000000003</v>
      </c>
    </row>
    <row r="24" spans="1:13" ht="14.45" customHeight="1" x14ac:dyDescent="0.2">
      <c r="A24" s="822" t="s">
        <v>1898</v>
      </c>
      <c r="B24" s="823" t="s">
        <v>1602</v>
      </c>
      <c r="C24" s="823" t="s">
        <v>2934</v>
      </c>
      <c r="D24" s="823" t="s">
        <v>1185</v>
      </c>
      <c r="E24" s="823" t="s">
        <v>1965</v>
      </c>
      <c r="F24" s="832">
        <v>2</v>
      </c>
      <c r="G24" s="832">
        <v>35.119999999999997</v>
      </c>
      <c r="H24" s="828">
        <v>1</v>
      </c>
      <c r="I24" s="832"/>
      <c r="J24" s="832"/>
      <c r="K24" s="828">
        <v>0</v>
      </c>
      <c r="L24" s="832">
        <v>2</v>
      </c>
      <c r="M24" s="833">
        <v>35.119999999999997</v>
      </c>
    </row>
    <row r="25" spans="1:13" ht="14.45" customHeight="1" x14ac:dyDescent="0.2">
      <c r="A25" s="822" t="s">
        <v>1898</v>
      </c>
      <c r="B25" s="823" t="s">
        <v>1602</v>
      </c>
      <c r="C25" s="823" t="s">
        <v>1603</v>
      </c>
      <c r="D25" s="823" t="s">
        <v>1185</v>
      </c>
      <c r="E25" s="823" t="s">
        <v>1604</v>
      </c>
      <c r="F25" s="832"/>
      <c r="G25" s="832"/>
      <c r="H25" s="828">
        <v>0</v>
      </c>
      <c r="I25" s="832">
        <v>1</v>
      </c>
      <c r="J25" s="832">
        <v>35.11</v>
      </c>
      <c r="K25" s="828">
        <v>1</v>
      </c>
      <c r="L25" s="832">
        <v>1</v>
      </c>
      <c r="M25" s="833">
        <v>35.11</v>
      </c>
    </row>
    <row r="26" spans="1:13" ht="14.45" customHeight="1" x14ac:dyDescent="0.2">
      <c r="A26" s="822" t="s">
        <v>1898</v>
      </c>
      <c r="B26" s="823" t="s">
        <v>1610</v>
      </c>
      <c r="C26" s="823" t="s">
        <v>1948</v>
      </c>
      <c r="D26" s="823" t="s">
        <v>1949</v>
      </c>
      <c r="E26" s="823" t="s">
        <v>1923</v>
      </c>
      <c r="F26" s="832">
        <v>1</v>
      </c>
      <c r="G26" s="832">
        <v>35.11</v>
      </c>
      <c r="H26" s="828">
        <v>1</v>
      </c>
      <c r="I26" s="832"/>
      <c r="J26" s="832"/>
      <c r="K26" s="828">
        <v>0</v>
      </c>
      <c r="L26" s="832">
        <v>1</v>
      </c>
      <c r="M26" s="833">
        <v>35.11</v>
      </c>
    </row>
    <row r="27" spans="1:13" ht="14.45" customHeight="1" x14ac:dyDescent="0.2">
      <c r="A27" s="822" t="s">
        <v>1898</v>
      </c>
      <c r="B27" s="823" t="s">
        <v>1610</v>
      </c>
      <c r="C27" s="823" t="s">
        <v>1951</v>
      </c>
      <c r="D27" s="823" t="s">
        <v>1615</v>
      </c>
      <c r="E27" s="823" t="s">
        <v>1923</v>
      </c>
      <c r="F27" s="832">
        <v>4</v>
      </c>
      <c r="G27" s="832">
        <v>140.44</v>
      </c>
      <c r="H27" s="828">
        <v>1</v>
      </c>
      <c r="I27" s="832"/>
      <c r="J27" s="832"/>
      <c r="K27" s="828">
        <v>0</v>
      </c>
      <c r="L27" s="832">
        <v>4</v>
      </c>
      <c r="M27" s="833">
        <v>140.44</v>
      </c>
    </row>
    <row r="28" spans="1:13" ht="14.45" customHeight="1" x14ac:dyDescent="0.2">
      <c r="A28" s="822" t="s">
        <v>1898</v>
      </c>
      <c r="B28" s="823" t="s">
        <v>1610</v>
      </c>
      <c r="C28" s="823" t="s">
        <v>2912</v>
      </c>
      <c r="D28" s="823" t="s">
        <v>1615</v>
      </c>
      <c r="E28" s="823" t="s">
        <v>674</v>
      </c>
      <c r="F28" s="832">
        <v>1</v>
      </c>
      <c r="G28" s="832">
        <v>70.23</v>
      </c>
      <c r="H28" s="828">
        <v>1</v>
      </c>
      <c r="I28" s="832"/>
      <c r="J28" s="832"/>
      <c r="K28" s="828">
        <v>0</v>
      </c>
      <c r="L28" s="832">
        <v>1</v>
      </c>
      <c r="M28" s="833">
        <v>70.23</v>
      </c>
    </row>
    <row r="29" spans="1:13" ht="14.45" customHeight="1" x14ac:dyDescent="0.2">
      <c r="A29" s="822" t="s">
        <v>1898</v>
      </c>
      <c r="B29" s="823" t="s">
        <v>1610</v>
      </c>
      <c r="C29" s="823" t="s">
        <v>1950</v>
      </c>
      <c r="D29" s="823" t="s">
        <v>1615</v>
      </c>
      <c r="E29" s="823" t="s">
        <v>676</v>
      </c>
      <c r="F29" s="832">
        <v>4</v>
      </c>
      <c r="G29" s="832">
        <v>70.239999999999995</v>
      </c>
      <c r="H29" s="828">
        <v>1</v>
      </c>
      <c r="I29" s="832"/>
      <c r="J29" s="832"/>
      <c r="K29" s="828">
        <v>0</v>
      </c>
      <c r="L29" s="832">
        <v>4</v>
      </c>
      <c r="M29" s="833">
        <v>70.239999999999995</v>
      </c>
    </row>
    <row r="30" spans="1:13" ht="14.45" customHeight="1" x14ac:dyDescent="0.2">
      <c r="A30" s="822" t="s">
        <v>1898</v>
      </c>
      <c r="B30" s="823" t="s">
        <v>1792</v>
      </c>
      <c r="C30" s="823" t="s">
        <v>2018</v>
      </c>
      <c r="D30" s="823" t="s">
        <v>1794</v>
      </c>
      <c r="E30" s="823" t="s">
        <v>2019</v>
      </c>
      <c r="F30" s="832"/>
      <c r="G30" s="832"/>
      <c r="H30" s="828">
        <v>0</v>
      </c>
      <c r="I30" s="832">
        <v>1</v>
      </c>
      <c r="J30" s="832">
        <v>31.09</v>
      </c>
      <c r="K30" s="828">
        <v>1</v>
      </c>
      <c r="L30" s="832">
        <v>1</v>
      </c>
      <c r="M30" s="833">
        <v>31.09</v>
      </c>
    </row>
    <row r="31" spans="1:13" ht="14.45" customHeight="1" x14ac:dyDescent="0.2">
      <c r="A31" s="822" t="s">
        <v>1898</v>
      </c>
      <c r="B31" s="823" t="s">
        <v>1623</v>
      </c>
      <c r="C31" s="823" t="s">
        <v>1922</v>
      </c>
      <c r="D31" s="823" t="s">
        <v>967</v>
      </c>
      <c r="E31" s="823" t="s">
        <v>1923</v>
      </c>
      <c r="F31" s="832"/>
      <c r="G31" s="832"/>
      <c r="H31" s="828">
        <v>0</v>
      </c>
      <c r="I31" s="832">
        <v>4</v>
      </c>
      <c r="J31" s="832">
        <v>137.88</v>
      </c>
      <c r="K31" s="828">
        <v>1</v>
      </c>
      <c r="L31" s="832">
        <v>4</v>
      </c>
      <c r="M31" s="833">
        <v>137.88</v>
      </c>
    </row>
    <row r="32" spans="1:13" ht="14.45" customHeight="1" x14ac:dyDescent="0.2">
      <c r="A32" s="822" t="s">
        <v>1898</v>
      </c>
      <c r="B32" s="823" t="s">
        <v>1626</v>
      </c>
      <c r="C32" s="823" t="s">
        <v>2362</v>
      </c>
      <c r="D32" s="823" t="s">
        <v>1628</v>
      </c>
      <c r="E32" s="823" t="s">
        <v>2019</v>
      </c>
      <c r="F32" s="832"/>
      <c r="G32" s="832"/>
      <c r="H32" s="828">
        <v>0</v>
      </c>
      <c r="I32" s="832">
        <v>1</v>
      </c>
      <c r="J32" s="832">
        <v>34.47</v>
      </c>
      <c r="K32" s="828">
        <v>1</v>
      </c>
      <c r="L32" s="832">
        <v>1</v>
      </c>
      <c r="M32" s="833">
        <v>34.47</v>
      </c>
    </row>
    <row r="33" spans="1:13" ht="14.45" customHeight="1" x14ac:dyDescent="0.2">
      <c r="A33" s="822" t="s">
        <v>1898</v>
      </c>
      <c r="B33" s="823" t="s">
        <v>1634</v>
      </c>
      <c r="C33" s="823" t="s">
        <v>1796</v>
      </c>
      <c r="D33" s="823" t="s">
        <v>1639</v>
      </c>
      <c r="E33" s="823" t="s">
        <v>1797</v>
      </c>
      <c r="F33" s="832"/>
      <c r="G33" s="832"/>
      <c r="H33" s="828">
        <v>0</v>
      </c>
      <c r="I33" s="832">
        <v>4</v>
      </c>
      <c r="J33" s="832">
        <v>882.12</v>
      </c>
      <c r="K33" s="828">
        <v>1</v>
      </c>
      <c r="L33" s="832">
        <v>4</v>
      </c>
      <c r="M33" s="833">
        <v>882.12</v>
      </c>
    </row>
    <row r="34" spans="1:13" ht="14.45" customHeight="1" x14ac:dyDescent="0.2">
      <c r="A34" s="822" t="s">
        <v>1898</v>
      </c>
      <c r="B34" s="823" t="s">
        <v>1634</v>
      </c>
      <c r="C34" s="823" t="s">
        <v>2911</v>
      </c>
      <c r="D34" s="823" t="s">
        <v>1639</v>
      </c>
      <c r="E34" s="823" t="s">
        <v>1854</v>
      </c>
      <c r="F34" s="832">
        <v>3</v>
      </c>
      <c r="G34" s="832">
        <v>241.5</v>
      </c>
      <c r="H34" s="828">
        <v>1</v>
      </c>
      <c r="I34" s="832"/>
      <c r="J34" s="832"/>
      <c r="K34" s="828">
        <v>0</v>
      </c>
      <c r="L34" s="832">
        <v>3</v>
      </c>
      <c r="M34" s="833">
        <v>241.5</v>
      </c>
    </row>
    <row r="35" spans="1:13" ht="14.45" customHeight="1" x14ac:dyDescent="0.2">
      <c r="A35" s="822" t="s">
        <v>1898</v>
      </c>
      <c r="B35" s="823" t="s">
        <v>1634</v>
      </c>
      <c r="C35" s="823" t="s">
        <v>1638</v>
      </c>
      <c r="D35" s="823" t="s">
        <v>1639</v>
      </c>
      <c r="E35" s="823" t="s">
        <v>1640</v>
      </c>
      <c r="F35" s="832">
        <v>2</v>
      </c>
      <c r="G35" s="832">
        <v>228.18</v>
      </c>
      <c r="H35" s="828">
        <v>1</v>
      </c>
      <c r="I35" s="832"/>
      <c r="J35" s="832"/>
      <c r="K35" s="828">
        <v>0</v>
      </c>
      <c r="L35" s="832">
        <v>2</v>
      </c>
      <c r="M35" s="833">
        <v>228.18</v>
      </c>
    </row>
    <row r="36" spans="1:13" ht="14.45" customHeight="1" x14ac:dyDescent="0.2">
      <c r="A36" s="822" t="s">
        <v>1898</v>
      </c>
      <c r="B36" s="823" t="s">
        <v>1664</v>
      </c>
      <c r="C36" s="823" t="s">
        <v>2200</v>
      </c>
      <c r="D36" s="823" t="s">
        <v>1088</v>
      </c>
      <c r="E36" s="823" t="s">
        <v>2201</v>
      </c>
      <c r="F36" s="832"/>
      <c r="G36" s="832"/>
      <c r="H36" s="828">
        <v>0</v>
      </c>
      <c r="I36" s="832">
        <v>1</v>
      </c>
      <c r="J36" s="832">
        <v>154.36000000000001</v>
      </c>
      <c r="K36" s="828">
        <v>1</v>
      </c>
      <c r="L36" s="832">
        <v>1</v>
      </c>
      <c r="M36" s="833">
        <v>154.36000000000001</v>
      </c>
    </row>
    <row r="37" spans="1:13" ht="14.45" customHeight="1" x14ac:dyDescent="0.2">
      <c r="A37" s="822" t="s">
        <v>1898</v>
      </c>
      <c r="B37" s="823" t="s">
        <v>1664</v>
      </c>
      <c r="C37" s="823" t="s">
        <v>2941</v>
      </c>
      <c r="D37" s="823" t="s">
        <v>2942</v>
      </c>
      <c r="E37" s="823" t="s">
        <v>2943</v>
      </c>
      <c r="F37" s="832"/>
      <c r="G37" s="832"/>
      <c r="H37" s="828">
        <v>0</v>
      </c>
      <c r="I37" s="832">
        <v>1</v>
      </c>
      <c r="J37" s="832">
        <v>149.52000000000001</v>
      </c>
      <c r="K37" s="828">
        <v>1</v>
      </c>
      <c r="L37" s="832">
        <v>1</v>
      </c>
      <c r="M37" s="833">
        <v>149.52000000000001</v>
      </c>
    </row>
    <row r="38" spans="1:13" ht="14.45" customHeight="1" x14ac:dyDescent="0.2">
      <c r="A38" s="822" t="s">
        <v>1898</v>
      </c>
      <c r="B38" s="823" t="s">
        <v>1668</v>
      </c>
      <c r="C38" s="823" t="s">
        <v>2867</v>
      </c>
      <c r="D38" s="823" t="s">
        <v>2037</v>
      </c>
      <c r="E38" s="823" t="s">
        <v>698</v>
      </c>
      <c r="F38" s="832"/>
      <c r="G38" s="832"/>
      <c r="H38" s="828">
        <v>0</v>
      </c>
      <c r="I38" s="832">
        <v>1</v>
      </c>
      <c r="J38" s="832">
        <v>96.04</v>
      </c>
      <c r="K38" s="828">
        <v>1</v>
      </c>
      <c r="L38" s="832">
        <v>1</v>
      </c>
      <c r="M38" s="833">
        <v>96.04</v>
      </c>
    </row>
    <row r="39" spans="1:13" ht="14.45" customHeight="1" x14ac:dyDescent="0.2">
      <c r="A39" s="822" t="s">
        <v>1898</v>
      </c>
      <c r="B39" s="823" t="s">
        <v>1703</v>
      </c>
      <c r="C39" s="823" t="s">
        <v>2906</v>
      </c>
      <c r="D39" s="823" t="s">
        <v>2907</v>
      </c>
      <c r="E39" s="823" t="s">
        <v>2908</v>
      </c>
      <c r="F39" s="832">
        <v>1</v>
      </c>
      <c r="G39" s="832">
        <v>36.270000000000003</v>
      </c>
      <c r="H39" s="828">
        <v>1</v>
      </c>
      <c r="I39" s="832"/>
      <c r="J39" s="832"/>
      <c r="K39" s="828">
        <v>0</v>
      </c>
      <c r="L39" s="832">
        <v>1</v>
      </c>
      <c r="M39" s="833">
        <v>36.270000000000003</v>
      </c>
    </row>
    <row r="40" spans="1:13" ht="14.45" customHeight="1" x14ac:dyDescent="0.2">
      <c r="A40" s="822" t="s">
        <v>1898</v>
      </c>
      <c r="B40" s="823" t="s">
        <v>1703</v>
      </c>
      <c r="C40" s="823" t="s">
        <v>1705</v>
      </c>
      <c r="D40" s="823" t="s">
        <v>626</v>
      </c>
      <c r="E40" s="823" t="s">
        <v>627</v>
      </c>
      <c r="F40" s="832"/>
      <c r="G40" s="832"/>
      <c r="H40" s="828">
        <v>0</v>
      </c>
      <c r="I40" s="832">
        <v>1</v>
      </c>
      <c r="J40" s="832">
        <v>65.28</v>
      </c>
      <c r="K40" s="828">
        <v>1</v>
      </c>
      <c r="L40" s="832">
        <v>1</v>
      </c>
      <c r="M40" s="833">
        <v>65.28</v>
      </c>
    </row>
    <row r="41" spans="1:13" ht="14.45" customHeight="1" x14ac:dyDescent="0.2">
      <c r="A41" s="822" t="s">
        <v>1898</v>
      </c>
      <c r="B41" s="823" t="s">
        <v>1572</v>
      </c>
      <c r="C41" s="823" t="s">
        <v>1576</v>
      </c>
      <c r="D41" s="823" t="s">
        <v>1574</v>
      </c>
      <c r="E41" s="823" t="s">
        <v>1577</v>
      </c>
      <c r="F41" s="832"/>
      <c r="G41" s="832"/>
      <c r="H41" s="828">
        <v>0</v>
      </c>
      <c r="I41" s="832">
        <v>3</v>
      </c>
      <c r="J41" s="832">
        <v>5315.5199999999995</v>
      </c>
      <c r="K41" s="828">
        <v>1</v>
      </c>
      <c r="L41" s="832">
        <v>3</v>
      </c>
      <c r="M41" s="833">
        <v>5315.5199999999995</v>
      </c>
    </row>
    <row r="42" spans="1:13" ht="14.45" customHeight="1" x14ac:dyDescent="0.2">
      <c r="A42" s="822" t="s">
        <v>1899</v>
      </c>
      <c r="B42" s="823" t="s">
        <v>1588</v>
      </c>
      <c r="C42" s="823" t="s">
        <v>1784</v>
      </c>
      <c r="D42" s="823" t="s">
        <v>811</v>
      </c>
      <c r="E42" s="823" t="s">
        <v>1785</v>
      </c>
      <c r="F42" s="832"/>
      <c r="G42" s="832"/>
      <c r="H42" s="828">
        <v>0</v>
      </c>
      <c r="I42" s="832">
        <v>1</v>
      </c>
      <c r="J42" s="832">
        <v>42.51</v>
      </c>
      <c r="K42" s="828">
        <v>1</v>
      </c>
      <c r="L42" s="832">
        <v>1</v>
      </c>
      <c r="M42" s="833">
        <v>42.51</v>
      </c>
    </row>
    <row r="43" spans="1:13" ht="14.45" customHeight="1" x14ac:dyDescent="0.2">
      <c r="A43" s="822" t="s">
        <v>1899</v>
      </c>
      <c r="B43" s="823" t="s">
        <v>1588</v>
      </c>
      <c r="C43" s="823" t="s">
        <v>1953</v>
      </c>
      <c r="D43" s="823" t="s">
        <v>1954</v>
      </c>
      <c r="E43" s="823" t="s">
        <v>1785</v>
      </c>
      <c r="F43" s="832">
        <v>1</v>
      </c>
      <c r="G43" s="832">
        <v>42.51</v>
      </c>
      <c r="H43" s="828">
        <v>1</v>
      </c>
      <c r="I43" s="832"/>
      <c r="J43" s="832"/>
      <c r="K43" s="828">
        <v>0</v>
      </c>
      <c r="L43" s="832">
        <v>1</v>
      </c>
      <c r="M43" s="833">
        <v>42.51</v>
      </c>
    </row>
    <row r="44" spans="1:13" ht="14.45" customHeight="1" x14ac:dyDescent="0.2">
      <c r="A44" s="822" t="s">
        <v>1899</v>
      </c>
      <c r="B44" s="823" t="s">
        <v>1610</v>
      </c>
      <c r="C44" s="823" t="s">
        <v>2430</v>
      </c>
      <c r="D44" s="823" t="s">
        <v>1949</v>
      </c>
      <c r="E44" s="823" t="s">
        <v>2431</v>
      </c>
      <c r="F44" s="832">
        <v>1</v>
      </c>
      <c r="G44" s="832">
        <v>105.32</v>
      </c>
      <c r="H44" s="828">
        <v>1</v>
      </c>
      <c r="I44" s="832"/>
      <c r="J44" s="832"/>
      <c r="K44" s="828">
        <v>0</v>
      </c>
      <c r="L44" s="832">
        <v>1</v>
      </c>
      <c r="M44" s="833">
        <v>105.32</v>
      </c>
    </row>
    <row r="45" spans="1:13" ht="14.45" customHeight="1" x14ac:dyDescent="0.2">
      <c r="A45" s="822" t="s">
        <v>1899</v>
      </c>
      <c r="B45" s="823" t="s">
        <v>1610</v>
      </c>
      <c r="C45" s="823" t="s">
        <v>1611</v>
      </c>
      <c r="D45" s="823" t="s">
        <v>1612</v>
      </c>
      <c r="E45" s="823" t="s">
        <v>1613</v>
      </c>
      <c r="F45" s="832">
        <v>1</v>
      </c>
      <c r="G45" s="832">
        <v>17.559999999999999</v>
      </c>
      <c r="H45" s="828">
        <v>1</v>
      </c>
      <c r="I45" s="832"/>
      <c r="J45" s="832"/>
      <c r="K45" s="828">
        <v>0</v>
      </c>
      <c r="L45" s="832">
        <v>1</v>
      </c>
      <c r="M45" s="833">
        <v>17.559999999999999</v>
      </c>
    </row>
    <row r="46" spans="1:13" ht="14.45" customHeight="1" x14ac:dyDescent="0.2">
      <c r="A46" s="822" t="s">
        <v>1899</v>
      </c>
      <c r="B46" s="823" t="s">
        <v>3011</v>
      </c>
      <c r="C46" s="823" t="s">
        <v>2956</v>
      </c>
      <c r="D46" s="823" t="s">
        <v>2957</v>
      </c>
      <c r="E46" s="823" t="s">
        <v>2342</v>
      </c>
      <c r="F46" s="832">
        <v>1</v>
      </c>
      <c r="G46" s="832">
        <v>32.76</v>
      </c>
      <c r="H46" s="828">
        <v>1</v>
      </c>
      <c r="I46" s="832"/>
      <c r="J46" s="832"/>
      <c r="K46" s="828">
        <v>0</v>
      </c>
      <c r="L46" s="832">
        <v>1</v>
      </c>
      <c r="M46" s="833">
        <v>32.76</v>
      </c>
    </row>
    <row r="47" spans="1:13" ht="14.45" customHeight="1" x14ac:dyDescent="0.2">
      <c r="A47" s="822" t="s">
        <v>1899</v>
      </c>
      <c r="B47" s="823" t="s">
        <v>1792</v>
      </c>
      <c r="C47" s="823" t="s">
        <v>2405</v>
      </c>
      <c r="D47" s="823" t="s">
        <v>2406</v>
      </c>
      <c r="E47" s="823" t="s">
        <v>2275</v>
      </c>
      <c r="F47" s="832">
        <v>1</v>
      </c>
      <c r="G47" s="832">
        <v>103.64</v>
      </c>
      <c r="H47" s="828">
        <v>1</v>
      </c>
      <c r="I47" s="832"/>
      <c r="J47" s="832"/>
      <c r="K47" s="828">
        <v>0</v>
      </c>
      <c r="L47" s="832">
        <v>1</v>
      </c>
      <c r="M47" s="833">
        <v>103.64</v>
      </c>
    </row>
    <row r="48" spans="1:13" ht="14.45" customHeight="1" x14ac:dyDescent="0.2">
      <c r="A48" s="822" t="s">
        <v>1899</v>
      </c>
      <c r="B48" s="823" t="s">
        <v>1623</v>
      </c>
      <c r="C48" s="823" t="s">
        <v>1922</v>
      </c>
      <c r="D48" s="823" t="s">
        <v>967</v>
      </c>
      <c r="E48" s="823" t="s">
        <v>1923</v>
      </c>
      <c r="F48" s="832"/>
      <c r="G48" s="832"/>
      <c r="H48" s="828">
        <v>0</v>
      </c>
      <c r="I48" s="832">
        <v>1</v>
      </c>
      <c r="J48" s="832">
        <v>34.47</v>
      </c>
      <c r="K48" s="828">
        <v>1</v>
      </c>
      <c r="L48" s="832">
        <v>1</v>
      </c>
      <c r="M48" s="833">
        <v>34.47</v>
      </c>
    </row>
    <row r="49" spans="1:13" ht="14.45" customHeight="1" x14ac:dyDescent="0.2">
      <c r="A49" s="822" t="s">
        <v>1899</v>
      </c>
      <c r="B49" s="823" t="s">
        <v>1626</v>
      </c>
      <c r="C49" s="823" t="s">
        <v>2362</v>
      </c>
      <c r="D49" s="823" t="s">
        <v>1628</v>
      </c>
      <c r="E49" s="823" t="s">
        <v>2019</v>
      </c>
      <c r="F49" s="832"/>
      <c r="G49" s="832"/>
      <c r="H49" s="828">
        <v>0</v>
      </c>
      <c r="I49" s="832">
        <v>1</v>
      </c>
      <c r="J49" s="832">
        <v>34.47</v>
      </c>
      <c r="K49" s="828">
        <v>1</v>
      </c>
      <c r="L49" s="832">
        <v>1</v>
      </c>
      <c r="M49" s="833">
        <v>34.47</v>
      </c>
    </row>
    <row r="50" spans="1:13" ht="14.45" customHeight="1" x14ac:dyDescent="0.2">
      <c r="A50" s="822" t="s">
        <v>1899</v>
      </c>
      <c r="B50" s="823" t="s">
        <v>1664</v>
      </c>
      <c r="C50" s="823" t="s">
        <v>2200</v>
      </c>
      <c r="D50" s="823" t="s">
        <v>1088</v>
      </c>
      <c r="E50" s="823" t="s">
        <v>2201</v>
      </c>
      <c r="F50" s="832"/>
      <c r="G50" s="832"/>
      <c r="H50" s="828">
        <v>0</v>
      </c>
      <c r="I50" s="832">
        <v>1</v>
      </c>
      <c r="J50" s="832">
        <v>154.36000000000001</v>
      </c>
      <c r="K50" s="828">
        <v>1</v>
      </c>
      <c r="L50" s="832">
        <v>1</v>
      </c>
      <c r="M50" s="833">
        <v>154.36000000000001</v>
      </c>
    </row>
    <row r="51" spans="1:13" ht="14.45" customHeight="1" x14ac:dyDescent="0.2">
      <c r="A51" s="822" t="s">
        <v>1899</v>
      </c>
      <c r="B51" s="823" t="s">
        <v>1734</v>
      </c>
      <c r="C51" s="823" t="s">
        <v>1735</v>
      </c>
      <c r="D51" s="823" t="s">
        <v>1736</v>
      </c>
      <c r="E51" s="823" t="s">
        <v>1737</v>
      </c>
      <c r="F51" s="832"/>
      <c r="G51" s="832"/>
      <c r="H51" s="828">
        <v>0</v>
      </c>
      <c r="I51" s="832">
        <v>2</v>
      </c>
      <c r="J51" s="832">
        <v>23.42</v>
      </c>
      <c r="K51" s="828">
        <v>1</v>
      </c>
      <c r="L51" s="832">
        <v>2</v>
      </c>
      <c r="M51" s="833">
        <v>23.42</v>
      </c>
    </row>
    <row r="52" spans="1:13" ht="14.45" customHeight="1" x14ac:dyDescent="0.2">
      <c r="A52" s="822" t="s">
        <v>1899</v>
      </c>
      <c r="B52" s="823" t="s">
        <v>1572</v>
      </c>
      <c r="C52" s="823" t="s">
        <v>2899</v>
      </c>
      <c r="D52" s="823" t="s">
        <v>1574</v>
      </c>
      <c r="E52" s="823" t="s">
        <v>2900</v>
      </c>
      <c r="F52" s="832"/>
      <c r="G52" s="832"/>
      <c r="H52" s="828">
        <v>0</v>
      </c>
      <c r="I52" s="832">
        <v>1</v>
      </c>
      <c r="J52" s="832">
        <v>1544.99</v>
      </c>
      <c r="K52" s="828">
        <v>1</v>
      </c>
      <c r="L52" s="832">
        <v>1</v>
      </c>
      <c r="M52" s="833">
        <v>1544.99</v>
      </c>
    </row>
    <row r="53" spans="1:13" ht="14.45" customHeight="1" x14ac:dyDescent="0.2">
      <c r="A53" s="822" t="s">
        <v>1899</v>
      </c>
      <c r="B53" s="823" t="s">
        <v>1572</v>
      </c>
      <c r="C53" s="823" t="s">
        <v>2190</v>
      </c>
      <c r="D53" s="823" t="s">
        <v>1574</v>
      </c>
      <c r="E53" s="823" t="s">
        <v>2191</v>
      </c>
      <c r="F53" s="832"/>
      <c r="G53" s="832"/>
      <c r="H53" s="828">
        <v>0</v>
      </c>
      <c r="I53" s="832">
        <v>1</v>
      </c>
      <c r="J53" s="832">
        <v>4961.1400000000003</v>
      </c>
      <c r="K53" s="828">
        <v>1</v>
      </c>
      <c r="L53" s="832">
        <v>1</v>
      </c>
      <c r="M53" s="833">
        <v>4961.1400000000003</v>
      </c>
    </row>
    <row r="54" spans="1:13" ht="14.45" customHeight="1" x14ac:dyDescent="0.2">
      <c r="A54" s="822" t="s">
        <v>1900</v>
      </c>
      <c r="B54" s="823" t="s">
        <v>3012</v>
      </c>
      <c r="C54" s="823" t="s">
        <v>1971</v>
      </c>
      <c r="D54" s="823" t="s">
        <v>1969</v>
      </c>
      <c r="E54" s="823" t="s">
        <v>1972</v>
      </c>
      <c r="F54" s="832">
        <v>2</v>
      </c>
      <c r="G54" s="832">
        <v>0</v>
      </c>
      <c r="H54" s="828"/>
      <c r="I54" s="832"/>
      <c r="J54" s="832"/>
      <c r="K54" s="828"/>
      <c r="L54" s="832">
        <v>2</v>
      </c>
      <c r="M54" s="833">
        <v>0</v>
      </c>
    </row>
    <row r="55" spans="1:13" ht="14.45" customHeight="1" x14ac:dyDescent="0.2">
      <c r="A55" s="822" t="s">
        <v>1900</v>
      </c>
      <c r="B55" s="823" t="s">
        <v>1521</v>
      </c>
      <c r="C55" s="823" t="s">
        <v>1976</v>
      </c>
      <c r="D55" s="823" t="s">
        <v>706</v>
      </c>
      <c r="E55" s="823" t="s">
        <v>1977</v>
      </c>
      <c r="F55" s="832"/>
      <c r="G55" s="832"/>
      <c r="H55" s="828">
        <v>0</v>
      </c>
      <c r="I55" s="832">
        <v>2</v>
      </c>
      <c r="J55" s="832">
        <v>57.62</v>
      </c>
      <c r="K55" s="828">
        <v>1</v>
      </c>
      <c r="L55" s="832">
        <v>2</v>
      </c>
      <c r="M55" s="833">
        <v>57.62</v>
      </c>
    </row>
    <row r="56" spans="1:13" ht="14.45" customHeight="1" x14ac:dyDescent="0.2">
      <c r="A56" s="822" t="s">
        <v>1900</v>
      </c>
      <c r="B56" s="823" t="s">
        <v>1545</v>
      </c>
      <c r="C56" s="823" t="s">
        <v>1549</v>
      </c>
      <c r="D56" s="823" t="s">
        <v>1547</v>
      </c>
      <c r="E56" s="823" t="s">
        <v>1550</v>
      </c>
      <c r="F56" s="832"/>
      <c r="G56" s="832"/>
      <c r="H56" s="828">
        <v>0</v>
      </c>
      <c r="I56" s="832">
        <v>1</v>
      </c>
      <c r="J56" s="832">
        <v>184.74</v>
      </c>
      <c r="K56" s="828">
        <v>1</v>
      </c>
      <c r="L56" s="832">
        <v>1</v>
      </c>
      <c r="M56" s="833">
        <v>184.74</v>
      </c>
    </row>
    <row r="57" spans="1:13" ht="14.45" customHeight="1" x14ac:dyDescent="0.2">
      <c r="A57" s="822" t="s">
        <v>1900</v>
      </c>
      <c r="B57" s="823" t="s">
        <v>1551</v>
      </c>
      <c r="C57" s="823" t="s">
        <v>1554</v>
      </c>
      <c r="D57" s="823" t="s">
        <v>809</v>
      </c>
      <c r="E57" s="823" t="s">
        <v>1555</v>
      </c>
      <c r="F57" s="832"/>
      <c r="G57" s="832"/>
      <c r="H57" s="828">
        <v>0</v>
      </c>
      <c r="I57" s="832">
        <v>1</v>
      </c>
      <c r="J57" s="832">
        <v>1847.49</v>
      </c>
      <c r="K57" s="828">
        <v>1</v>
      </c>
      <c r="L57" s="832">
        <v>1</v>
      </c>
      <c r="M57" s="833">
        <v>1847.49</v>
      </c>
    </row>
    <row r="58" spans="1:13" ht="14.45" customHeight="1" x14ac:dyDescent="0.2">
      <c r="A58" s="822" t="s">
        <v>1900</v>
      </c>
      <c r="B58" s="823" t="s">
        <v>1551</v>
      </c>
      <c r="C58" s="823" t="s">
        <v>1556</v>
      </c>
      <c r="D58" s="823" t="s">
        <v>803</v>
      </c>
      <c r="E58" s="823" t="s">
        <v>1557</v>
      </c>
      <c r="F58" s="832"/>
      <c r="G58" s="832"/>
      <c r="H58" s="828">
        <v>0</v>
      </c>
      <c r="I58" s="832">
        <v>1</v>
      </c>
      <c r="J58" s="832">
        <v>923.74</v>
      </c>
      <c r="K58" s="828">
        <v>1</v>
      </c>
      <c r="L58" s="832">
        <v>1</v>
      </c>
      <c r="M58" s="833">
        <v>923.74</v>
      </c>
    </row>
    <row r="59" spans="1:13" ht="14.45" customHeight="1" x14ac:dyDescent="0.2">
      <c r="A59" s="822" t="s">
        <v>1900</v>
      </c>
      <c r="B59" s="823" t="s">
        <v>1566</v>
      </c>
      <c r="C59" s="823" t="s">
        <v>1567</v>
      </c>
      <c r="D59" s="823" t="s">
        <v>1568</v>
      </c>
      <c r="E59" s="823" t="s">
        <v>1569</v>
      </c>
      <c r="F59" s="832"/>
      <c r="G59" s="832"/>
      <c r="H59" s="828">
        <v>0</v>
      </c>
      <c r="I59" s="832">
        <v>2</v>
      </c>
      <c r="J59" s="832">
        <v>186.86</v>
      </c>
      <c r="K59" s="828">
        <v>1</v>
      </c>
      <c r="L59" s="832">
        <v>2</v>
      </c>
      <c r="M59" s="833">
        <v>186.86</v>
      </c>
    </row>
    <row r="60" spans="1:13" ht="14.45" customHeight="1" x14ac:dyDescent="0.2">
      <c r="A60" s="822" t="s">
        <v>1900</v>
      </c>
      <c r="B60" s="823" t="s">
        <v>1578</v>
      </c>
      <c r="C60" s="823" t="s">
        <v>1581</v>
      </c>
      <c r="D60" s="823" t="s">
        <v>712</v>
      </c>
      <c r="E60" s="823" t="s">
        <v>1582</v>
      </c>
      <c r="F60" s="832"/>
      <c r="G60" s="832"/>
      <c r="H60" s="828">
        <v>0</v>
      </c>
      <c r="I60" s="832">
        <v>1</v>
      </c>
      <c r="J60" s="832">
        <v>80.010000000000005</v>
      </c>
      <c r="K60" s="828">
        <v>1</v>
      </c>
      <c r="L60" s="832">
        <v>1</v>
      </c>
      <c r="M60" s="833">
        <v>80.010000000000005</v>
      </c>
    </row>
    <row r="61" spans="1:13" ht="14.45" customHeight="1" x14ac:dyDescent="0.2">
      <c r="A61" s="822" t="s">
        <v>1900</v>
      </c>
      <c r="B61" s="823" t="s">
        <v>1588</v>
      </c>
      <c r="C61" s="823" t="s">
        <v>1784</v>
      </c>
      <c r="D61" s="823" t="s">
        <v>811</v>
      </c>
      <c r="E61" s="823" t="s">
        <v>1785</v>
      </c>
      <c r="F61" s="832"/>
      <c r="G61" s="832"/>
      <c r="H61" s="828">
        <v>0</v>
      </c>
      <c r="I61" s="832">
        <v>1</v>
      </c>
      <c r="J61" s="832">
        <v>42.51</v>
      </c>
      <c r="K61" s="828">
        <v>1</v>
      </c>
      <c r="L61" s="832">
        <v>1</v>
      </c>
      <c r="M61" s="833">
        <v>42.51</v>
      </c>
    </row>
    <row r="62" spans="1:13" ht="14.45" customHeight="1" x14ac:dyDescent="0.2">
      <c r="A62" s="822" t="s">
        <v>1900</v>
      </c>
      <c r="B62" s="823" t="s">
        <v>1588</v>
      </c>
      <c r="C62" s="823" t="s">
        <v>1953</v>
      </c>
      <c r="D62" s="823" t="s">
        <v>1954</v>
      </c>
      <c r="E62" s="823" t="s">
        <v>1785</v>
      </c>
      <c r="F62" s="832">
        <v>3</v>
      </c>
      <c r="G62" s="832">
        <v>127.53</v>
      </c>
      <c r="H62" s="828">
        <v>1</v>
      </c>
      <c r="I62" s="832"/>
      <c r="J62" s="832"/>
      <c r="K62" s="828">
        <v>0</v>
      </c>
      <c r="L62" s="832">
        <v>3</v>
      </c>
      <c r="M62" s="833">
        <v>127.53</v>
      </c>
    </row>
    <row r="63" spans="1:13" ht="14.45" customHeight="1" x14ac:dyDescent="0.2">
      <c r="A63" s="822" t="s">
        <v>1900</v>
      </c>
      <c r="B63" s="823" t="s">
        <v>1602</v>
      </c>
      <c r="C63" s="823" t="s">
        <v>1963</v>
      </c>
      <c r="D63" s="823" t="s">
        <v>1185</v>
      </c>
      <c r="E63" s="823" t="s">
        <v>1186</v>
      </c>
      <c r="F63" s="832">
        <v>2</v>
      </c>
      <c r="G63" s="832">
        <v>117.04</v>
      </c>
      <c r="H63" s="828">
        <v>1</v>
      </c>
      <c r="I63" s="832"/>
      <c r="J63" s="832"/>
      <c r="K63" s="828">
        <v>0</v>
      </c>
      <c r="L63" s="832">
        <v>2</v>
      </c>
      <c r="M63" s="833">
        <v>117.04</v>
      </c>
    </row>
    <row r="64" spans="1:13" ht="14.45" customHeight="1" x14ac:dyDescent="0.2">
      <c r="A64" s="822" t="s">
        <v>1900</v>
      </c>
      <c r="B64" s="823" t="s">
        <v>1602</v>
      </c>
      <c r="C64" s="823" t="s">
        <v>1964</v>
      </c>
      <c r="D64" s="823" t="s">
        <v>1185</v>
      </c>
      <c r="E64" s="823" t="s">
        <v>1965</v>
      </c>
      <c r="F64" s="832"/>
      <c r="G64" s="832"/>
      <c r="H64" s="828">
        <v>0</v>
      </c>
      <c r="I64" s="832">
        <v>1</v>
      </c>
      <c r="J64" s="832">
        <v>17.559999999999999</v>
      </c>
      <c r="K64" s="828">
        <v>1</v>
      </c>
      <c r="L64" s="832">
        <v>1</v>
      </c>
      <c r="M64" s="833">
        <v>17.559999999999999</v>
      </c>
    </row>
    <row r="65" spans="1:13" ht="14.45" customHeight="1" x14ac:dyDescent="0.2">
      <c r="A65" s="822" t="s">
        <v>1900</v>
      </c>
      <c r="B65" s="823" t="s">
        <v>1610</v>
      </c>
      <c r="C65" s="823" t="s">
        <v>1948</v>
      </c>
      <c r="D65" s="823" t="s">
        <v>1949</v>
      </c>
      <c r="E65" s="823" t="s">
        <v>1923</v>
      </c>
      <c r="F65" s="832">
        <v>1</v>
      </c>
      <c r="G65" s="832">
        <v>35.11</v>
      </c>
      <c r="H65" s="828">
        <v>1</v>
      </c>
      <c r="I65" s="832"/>
      <c r="J65" s="832"/>
      <c r="K65" s="828">
        <v>0</v>
      </c>
      <c r="L65" s="832">
        <v>1</v>
      </c>
      <c r="M65" s="833">
        <v>35.11</v>
      </c>
    </row>
    <row r="66" spans="1:13" ht="14.45" customHeight="1" x14ac:dyDescent="0.2">
      <c r="A66" s="822" t="s">
        <v>1900</v>
      </c>
      <c r="B66" s="823" t="s">
        <v>1610</v>
      </c>
      <c r="C66" s="823" t="s">
        <v>1951</v>
      </c>
      <c r="D66" s="823" t="s">
        <v>1615</v>
      </c>
      <c r="E66" s="823" t="s">
        <v>1923</v>
      </c>
      <c r="F66" s="832">
        <v>1</v>
      </c>
      <c r="G66" s="832">
        <v>35.11</v>
      </c>
      <c r="H66" s="828">
        <v>1</v>
      </c>
      <c r="I66" s="832"/>
      <c r="J66" s="832"/>
      <c r="K66" s="828">
        <v>0</v>
      </c>
      <c r="L66" s="832">
        <v>1</v>
      </c>
      <c r="M66" s="833">
        <v>35.11</v>
      </c>
    </row>
    <row r="67" spans="1:13" ht="14.45" customHeight="1" x14ac:dyDescent="0.2">
      <c r="A67" s="822" t="s">
        <v>1900</v>
      </c>
      <c r="B67" s="823" t="s">
        <v>1610</v>
      </c>
      <c r="C67" s="823" t="s">
        <v>1950</v>
      </c>
      <c r="D67" s="823" t="s">
        <v>1615</v>
      </c>
      <c r="E67" s="823" t="s">
        <v>676</v>
      </c>
      <c r="F67" s="832">
        <v>1</v>
      </c>
      <c r="G67" s="832">
        <v>17.559999999999999</v>
      </c>
      <c r="H67" s="828">
        <v>1</v>
      </c>
      <c r="I67" s="832"/>
      <c r="J67" s="832"/>
      <c r="K67" s="828">
        <v>0</v>
      </c>
      <c r="L67" s="832">
        <v>1</v>
      </c>
      <c r="M67" s="833">
        <v>17.559999999999999</v>
      </c>
    </row>
    <row r="68" spans="1:13" ht="14.45" customHeight="1" x14ac:dyDescent="0.2">
      <c r="A68" s="822" t="s">
        <v>1900</v>
      </c>
      <c r="B68" s="823" t="s">
        <v>1623</v>
      </c>
      <c r="C68" s="823" t="s">
        <v>1922</v>
      </c>
      <c r="D68" s="823" t="s">
        <v>967</v>
      </c>
      <c r="E68" s="823" t="s">
        <v>1923</v>
      </c>
      <c r="F68" s="832"/>
      <c r="G68" s="832"/>
      <c r="H68" s="828">
        <v>0</v>
      </c>
      <c r="I68" s="832">
        <v>2</v>
      </c>
      <c r="J68" s="832">
        <v>68.94</v>
      </c>
      <c r="K68" s="828">
        <v>1</v>
      </c>
      <c r="L68" s="832">
        <v>2</v>
      </c>
      <c r="M68" s="833">
        <v>68.94</v>
      </c>
    </row>
    <row r="69" spans="1:13" ht="14.45" customHeight="1" x14ac:dyDescent="0.2">
      <c r="A69" s="822" t="s">
        <v>1900</v>
      </c>
      <c r="B69" s="823" t="s">
        <v>1634</v>
      </c>
      <c r="C69" s="823" t="s">
        <v>1796</v>
      </c>
      <c r="D69" s="823" t="s">
        <v>1639</v>
      </c>
      <c r="E69" s="823" t="s">
        <v>1797</v>
      </c>
      <c r="F69" s="832"/>
      <c r="G69" s="832"/>
      <c r="H69" s="828">
        <v>0</v>
      </c>
      <c r="I69" s="832">
        <v>1</v>
      </c>
      <c r="J69" s="832">
        <v>220.53</v>
      </c>
      <c r="K69" s="828">
        <v>1</v>
      </c>
      <c r="L69" s="832">
        <v>1</v>
      </c>
      <c r="M69" s="833">
        <v>220.53</v>
      </c>
    </row>
    <row r="70" spans="1:13" ht="14.45" customHeight="1" x14ac:dyDescent="0.2">
      <c r="A70" s="822" t="s">
        <v>1900</v>
      </c>
      <c r="B70" s="823" t="s">
        <v>1634</v>
      </c>
      <c r="C70" s="823" t="s">
        <v>1638</v>
      </c>
      <c r="D70" s="823" t="s">
        <v>1639</v>
      </c>
      <c r="E70" s="823" t="s">
        <v>1640</v>
      </c>
      <c r="F70" s="832">
        <v>1</v>
      </c>
      <c r="G70" s="832">
        <v>143.35</v>
      </c>
      <c r="H70" s="828">
        <v>1</v>
      </c>
      <c r="I70" s="832"/>
      <c r="J70" s="832"/>
      <c r="K70" s="828">
        <v>0</v>
      </c>
      <c r="L70" s="832">
        <v>1</v>
      </c>
      <c r="M70" s="833">
        <v>143.35</v>
      </c>
    </row>
    <row r="71" spans="1:13" ht="14.45" customHeight="1" x14ac:dyDescent="0.2">
      <c r="A71" s="822" t="s">
        <v>1900</v>
      </c>
      <c r="B71" s="823" t="s">
        <v>1703</v>
      </c>
      <c r="C71" s="823" t="s">
        <v>1705</v>
      </c>
      <c r="D71" s="823" t="s">
        <v>626</v>
      </c>
      <c r="E71" s="823" t="s">
        <v>627</v>
      </c>
      <c r="F71" s="832"/>
      <c r="G71" s="832"/>
      <c r="H71" s="828">
        <v>0</v>
      </c>
      <c r="I71" s="832">
        <v>1</v>
      </c>
      <c r="J71" s="832">
        <v>65.28</v>
      </c>
      <c r="K71" s="828">
        <v>1</v>
      </c>
      <c r="L71" s="832">
        <v>1</v>
      </c>
      <c r="M71" s="833">
        <v>65.28</v>
      </c>
    </row>
    <row r="72" spans="1:13" ht="14.45" customHeight="1" x14ac:dyDescent="0.2">
      <c r="A72" s="822" t="s">
        <v>1900</v>
      </c>
      <c r="B72" s="823" t="s">
        <v>1734</v>
      </c>
      <c r="C72" s="823" t="s">
        <v>1942</v>
      </c>
      <c r="D72" s="823" t="s">
        <v>1943</v>
      </c>
      <c r="E72" s="823" t="s">
        <v>1737</v>
      </c>
      <c r="F72" s="832">
        <v>2</v>
      </c>
      <c r="G72" s="832">
        <v>23.42</v>
      </c>
      <c r="H72" s="828">
        <v>1</v>
      </c>
      <c r="I72" s="832"/>
      <c r="J72" s="832"/>
      <c r="K72" s="828">
        <v>0</v>
      </c>
      <c r="L72" s="832">
        <v>2</v>
      </c>
      <c r="M72" s="833">
        <v>23.42</v>
      </c>
    </row>
    <row r="73" spans="1:13" ht="14.45" customHeight="1" x14ac:dyDescent="0.2">
      <c r="A73" s="822" t="s">
        <v>1900</v>
      </c>
      <c r="B73" s="823" t="s">
        <v>1572</v>
      </c>
      <c r="C73" s="823" t="s">
        <v>1576</v>
      </c>
      <c r="D73" s="823" t="s">
        <v>1574</v>
      </c>
      <c r="E73" s="823" t="s">
        <v>1577</v>
      </c>
      <c r="F73" s="832"/>
      <c r="G73" s="832"/>
      <c r="H73" s="828">
        <v>0</v>
      </c>
      <c r="I73" s="832">
        <v>3</v>
      </c>
      <c r="J73" s="832">
        <v>5315.5199999999995</v>
      </c>
      <c r="K73" s="828">
        <v>1</v>
      </c>
      <c r="L73" s="832">
        <v>3</v>
      </c>
      <c r="M73" s="833">
        <v>5315.5199999999995</v>
      </c>
    </row>
    <row r="74" spans="1:13" ht="14.45" customHeight="1" x14ac:dyDescent="0.2">
      <c r="A74" s="822" t="s">
        <v>1900</v>
      </c>
      <c r="B74" s="823" t="s">
        <v>3013</v>
      </c>
      <c r="C74" s="823" t="s">
        <v>2003</v>
      </c>
      <c r="D74" s="823" t="s">
        <v>1930</v>
      </c>
      <c r="E74" s="823" t="s">
        <v>2004</v>
      </c>
      <c r="F74" s="832">
        <v>1</v>
      </c>
      <c r="G74" s="832">
        <v>16.77</v>
      </c>
      <c r="H74" s="828">
        <v>1</v>
      </c>
      <c r="I74" s="832"/>
      <c r="J74" s="832"/>
      <c r="K74" s="828">
        <v>0</v>
      </c>
      <c r="L74" s="832">
        <v>1</v>
      </c>
      <c r="M74" s="833">
        <v>16.77</v>
      </c>
    </row>
    <row r="75" spans="1:13" ht="14.45" customHeight="1" x14ac:dyDescent="0.2">
      <c r="A75" s="822" t="s">
        <v>1901</v>
      </c>
      <c r="B75" s="823" t="s">
        <v>1545</v>
      </c>
      <c r="C75" s="823" t="s">
        <v>1546</v>
      </c>
      <c r="D75" s="823" t="s">
        <v>1547</v>
      </c>
      <c r="E75" s="823" t="s">
        <v>1548</v>
      </c>
      <c r="F75" s="832"/>
      <c r="G75" s="832"/>
      <c r="H75" s="828">
        <v>0</v>
      </c>
      <c r="I75" s="832">
        <v>1</v>
      </c>
      <c r="J75" s="832">
        <v>93.75</v>
      </c>
      <c r="K75" s="828">
        <v>1</v>
      </c>
      <c r="L75" s="832">
        <v>1</v>
      </c>
      <c r="M75" s="833">
        <v>93.75</v>
      </c>
    </row>
    <row r="76" spans="1:13" ht="14.45" customHeight="1" x14ac:dyDescent="0.2">
      <c r="A76" s="822" t="s">
        <v>1901</v>
      </c>
      <c r="B76" s="823" t="s">
        <v>1545</v>
      </c>
      <c r="C76" s="823" t="s">
        <v>2186</v>
      </c>
      <c r="D76" s="823" t="s">
        <v>2187</v>
      </c>
      <c r="E76" s="823" t="s">
        <v>2188</v>
      </c>
      <c r="F76" s="832"/>
      <c r="G76" s="832"/>
      <c r="H76" s="828">
        <v>0</v>
      </c>
      <c r="I76" s="832">
        <v>3</v>
      </c>
      <c r="J76" s="832">
        <v>361.83</v>
      </c>
      <c r="K76" s="828">
        <v>1</v>
      </c>
      <c r="L76" s="832">
        <v>3</v>
      </c>
      <c r="M76" s="833">
        <v>361.83</v>
      </c>
    </row>
    <row r="77" spans="1:13" ht="14.45" customHeight="1" x14ac:dyDescent="0.2">
      <c r="A77" s="822" t="s">
        <v>1901</v>
      </c>
      <c r="B77" s="823" t="s">
        <v>1551</v>
      </c>
      <c r="C77" s="823" t="s">
        <v>1552</v>
      </c>
      <c r="D77" s="823" t="s">
        <v>809</v>
      </c>
      <c r="E77" s="823" t="s">
        <v>1553</v>
      </c>
      <c r="F77" s="832"/>
      <c r="G77" s="832"/>
      <c r="H77" s="828">
        <v>0</v>
      </c>
      <c r="I77" s="832">
        <v>1</v>
      </c>
      <c r="J77" s="832">
        <v>1385.62</v>
      </c>
      <c r="K77" s="828">
        <v>1</v>
      </c>
      <c r="L77" s="832">
        <v>1</v>
      </c>
      <c r="M77" s="833">
        <v>1385.62</v>
      </c>
    </row>
    <row r="78" spans="1:13" ht="14.45" customHeight="1" x14ac:dyDescent="0.2">
      <c r="A78" s="822" t="s">
        <v>1901</v>
      </c>
      <c r="B78" s="823" t="s">
        <v>1551</v>
      </c>
      <c r="C78" s="823" t="s">
        <v>1564</v>
      </c>
      <c r="D78" s="823" t="s">
        <v>803</v>
      </c>
      <c r="E78" s="823" t="s">
        <v>1565</v>
      </c>
      <c r="F78" s="832"/>
      <c r="G78" s="832"/>
      <c r="H78" s="828">
        <v>0</v>
      </c>
      <c r="I78" s="832">
        <v>1</v>
      </c>
      <c r="J78" s="832">
        <v>490.89</v>
      </c>
      <c r="K78" s="828">
        <v>1</v>
      </c>
      <c r="L78" s="832">
        <v>1</v>
      </c>
      <c r="M78" s="833">
        <v>490.89</v>
      </c>
    </row>
    <row r="79" spans="1:13" ht="14.45" customHeight="1" x14ac:dyDescent="0.2">
      <c r="A79" s="822" t="s">
        <v>1901</v>
      </c>
      <c r="B79" s="823" t="s">
        <v>1551</v>
      </c>
      <c r="C79" s="823" t="s">
        <v>1554</v>
      </c>
      <c r="D79" s="823" t="s">
        <v>809</v>
      </c>
      <c r="E79" s="823" t="s">
        <v>1555</v>
      </c>
      <c r="F79" s="832"/>
      <c r="G79" s="832"/>
      <c r="H79" s="828">
        <v>0</v>
      </c>
      <c r="I79" s="832">
        <v>2</v>
      </c>
      <c r="J79" s="832">
        <v>3694.98</v>
      </c>
      <c r="K79" s="828">
        <v>1</v>
      </c>
      <c r="L79" s="832">
        <v>2</v>
      </c>
      <c r="M79" s="833">
        <v>3694.98</v>
      </c>
    </row>
    <row r="80" spans="1:13" ht="14.45" customHeight="1" x14ac:dyDescent="0.2">
      <c r="A80" s="822" t="s">
        <v>1901</v>
      </c>
      <c r="B80" s="823" t="s">
        <v>1551</v>
      </c>
      <c r="C80" s="823" t="s">
        <v>1556</v>
      </c>
      <c r="D80" s="823" t="s">
        <v>803</v>
      </c>
      <c r="E80" s="823" t="s">
        <v>1557</v>
      </c>
      <c r="F80" s="832"/>
      <c r="G80" s="832"/>
      <c r="H80" s="828">
        <v>0</v>
      </c>
      <c r="I80" s="832">
        <v>1</v>
      </c>
      <c r="J80" s="832">
        <v>923.74</v>
      </c>
      <c r="K80" s="828">
        <v>1</v>
      </c>
      <c r="L80" s="832">
        <v>1</v>
      </c>
      <c r="M80" s="833">
        <v>923.74</v>
      </c>
    </row>
    <row r="81" spans="1:13" ht="14.45" customHeight="1" x14ac:dyDescent="0.2">
      <c r="A81" s="822" t="s">
        <v>1901</v>
      </c>
      <c r="B81" s="823" t="s">
        <v>1566</v>
      </c>
      <c r="C81" s="823" t="s">
        <v>1567</v>
      </c>
      <c r="D81" s="823" t="s">
        <v>1568</v>
      </c>
      <c r="E81" s="823" t="s">
        <v>1569</v>
      </c>
      <c r="F81" s="832"/>
      <c r="G81" s="832"/>
      <c r="H81" s="828">
        <v>0</v>
      </c>
      <c r="I81" s="832">
        <v>8</v>
      </c>
      <c r="J81" s="832">
        <v>747.44</v>
      </c>
      <c r="K81" s="828">
        <v>1</v>
      </c>
      <c r="L81" s="832">
        <v>8</v>
      </c>
      <c r="M81" s="833">
        <v>747.44</v>
      </c>
    </row>
    <row r="82" spans="1:13" ht="14.45" customHeight="1" x14ac:dyDescent="0.2">
      <c r="A82" s="822" t="s">
        <v>1901</v>
      </c>
      <c r="B82" s="823" t="s">
        <v>1578</v>
      </c>
      <c r="C82" s="823" t="s">
        <v>1581</v>
      </c>
      <c r="D82" s="823" t="s">
        <v>712</v>
      </c>
      <c r="E82" s="823" t="s">
        <v>1582</v>
      </c>
      <c r="F82" s="832"/>
      <c r="G82" s="832"/>
      <c r="H82" s="828">
        <v>0</v>
      </c>
      <c r="I82" s="832">
        <v>6</v>
      </c>
      <c r="J82" s="832">
        <v>480.06</v>
      </c>
      <c r="K82" s="828">
        <v>1</v>
      </c>
      <c r="L82" s="832">
        <v>6</v>
      </c>
      <c r="M82" s="833">
        <v>480.06</v>
      </c>
    </row>
    <row r="83" spans="1:13" ht="14.45" customHeight="1" x14ac:dyDescent="0.2">
      <c r="A83" s="822" t="s">
        <v>1901</v>
      </c>
      <c r="B83" s="823" t="s">
        <v>1588</v>
      </c>
      <c r="C83" s="823" t="s">
        <v>1784</v>
      </c>
      <c r="D83" s="823" t="s">
        <v>811</v>
      </c>
      <c r="E83" s="823" t="s">
        <v>1785</v>
      </c>
      <c r="F83" s="832"/>
      <c r="G83" s="832"/>
      <c r="H83" s="828">
        <v>0</v>
      </c>
      <c r="I83" s="832">
        <v>4</v>
      </c>
      <c r="J83" s="832">
        <v>170.04</v>
      </c>
      <c r="K83" s="828">
        <v>1</v>
      </c>
      <c r="L83" s="832">
        <v>4</v>
      </c>
      <c r="M83" s="833">
        <v>170.04</v>
      </c>
    </row>
    <row r="84" spans="1:13" ht="14.45" customHeight="1" x14ac:dyDescent="0.2">
      <c r="A84" s="822" t="s">
        <v>1901</v>
      </c>
      <c r="B84" s="823" t="s">
        <v>1588</v>
      </c>
      <c r="C84" s="823" t="s">
        <v>1591</v>
      </c>
      <c r="D84" s="823" t="s">
        <v>811</v>
      </c>
      <c r="E84" s="823" t="s">
        <v>1592</v>
      </c>
      <c r="F84" s="832"/>
      <c r="G84" s="832"/>
      <c r="H84" s="828">
        <v>0</v>
      </c>
      <c r="I84" s="832">
        <v>3</v>
      </c>
      <c r="J84" s="832">
        <v>255.06</v>
      </c>
      <c r="K84" s="828">
        <v>1</v>
      </c>
      <c r="L84" s="832">
        <v>3</v>
      </c>
      <c r="M84" s="833">
        <v>255.06</v>
      </c>
    </row>
    <row r="85" spans="1:13" ht="14.45" customHeight="1" x14ac:dyDescent="0.2">
      <c r="A85" s="822" t="s">
        <v>1901</v>
      </c>
      <c r="B85" s="823" t="s">
        <v>1602</v>
      </c>
      <c r="C85" s="823" t="s">
        <v>1934</v>
      </c>
      <c r="D85" s="823" t="s">
        <v>1185</v>
      </c>
      <c r="E85" s="823" t="s">
        <v>1935</v>
      </c>
      <c r="F85" s="832">
        <v>1</v>
      </c>
      <c r="G85" s="832">
        <v>10.65</v>
      </c>
      <c r="H85" s="828">
        <v>1</v>
      </c>
      <c r="I85" s="832"/>
      <c r="J85" s="832"/>
      <c r="K85" s="828">
        <v>0</v>
      </c>
      <c r="L85" s="832">
        <v>1</v>
      </c>
      <c r="M85" s="833">
        <v>10.65</v>
      </c>
    </row>
    <row r="86" spans="1:13" ht="14.45" customHeight="1" x14ac:dyDescent="0.2">
      <c r="A86" s="822" t="s">
        <v>1901</v>
      </c>
      <c r="B86" s="823" t="s">
        <v>1602</v>
      </c>
      <c r="C86" s="823" t="s">
        <v>2118</v>
      </c>
      <c r="D86" s="823" t="s">
        <v>1185</v>
      </c>
      <c r="E86" s="823" t="s">
        <v>2119</v>
      </c>
      <c r="F86" s="832">
        <v>2</v>
      </c>
      <c r="G86" s="832">
        <v>234.06</v>
      </c>
      <c r="H86" s="828">
        <v>1</v>
      </c>
      <c r="I86" s="832"/>
      <c r="J86" s="832"/>
      <c r="K86" s="828">
        <v>0</v>
      </c>
      <c r="L86" s="832">
        <v>2</v>
      </c>
      <c r="M86" s="833">
        <v>234.06</v>
      </c>
    </row>
    <row r="87" spans="1:13" ht="14.45" customHeight="1" x14ac:dyDescent="0.2">
      <c r="A87" s="822" t="s">
        <v>1901</v>
      </c>
      <c r="B87" s="823" t="s">
        <v>1602</v>
      </c>
      <c r="C87" s="823" t="s">
        <v>1963</v>
      </c>
      <c r="D87" s="823" t="s">
        <v>1185</v>
      </c>
      <c r="E87" s="823" t="s">
        <v>1186</v>
      </c>
      <c r="F87" s="832">
        <v>2</v>
      </c>
      <c r="G87" s="832">
        <v>117.04</v>
      </c>
      <c r="H87" s="828">
        <v>1</v>
      </c>
      <c r="I87" s="832"/>
      <c r="J87" s="832"/>
      <c r="K87" s="828">
        <v>0</v>
      </c>
      <c r="L87" s="832">
        <v>2</v>
      </c>
      <c r="M87" s="833">
        <v>117.04</v>
      </c>
    </row>
    <row r="88" spans="1:13" ht="14.45" customHeight="1" x14ac:dyDescent="0.2">
      <c r="A88" s="822" t="s">
        <v>1901</v>
      </c>
      <c r="B88" s="823" t="s">
        <v>1606</v>
      </c>
      <c r="C88" s="823" t="s">
        <v>1607</v>
      </c>
      <c r="D88" s="823" t="s">
        <v>1608</v>
      </c>
      <c r="E88" s="823" t="s">
        <v>1609</v>
      </c>
      <c r="F88" s="832"/>
      <c r="G88" s="832"/>
      <c r="H88" s="828">
        <v>0</v>
      </c>
      <c r="I88" s="832">
        <v>2</v>
      </c>
      <c r="J88" s="832">
        <v>458.76</v>
      </c>
      <c r="K88" s="828">
        <v>1</v>
      </c>
      <c r="L88" s="832">
        <v>2</v>
      </c>
      <c r="M88" s="833">
        <v>458.76</v>
      </c>
    </row>
    <row r="89" spans="1:13" ht="14.45" customHeight="1" x14ac:dyDescent="0.2">
      <c r="A89" s="822" t="s">
        <v>1901</v>
      </c>
      <c r="B89" s="823" t="s">
        <v>1610</v>
      </c>
      <c r="C89" s="823" t="s">
        <v>1616</v>
      </c>
      <c r="D89" s="823" t="s">
        <v>673</v>
      </c>
      <c r="E89" s="823" t="s">
        <v>676</v>
      </c>
      <c r="F89" s="832"/>
      <c r="G89" s="832"/>
      <c r="H89" s="828">
        <v>0</v>
      </c>
      <c r="I89" s="832">
        <v>11</v>
      </c>
      <c r="J89" s="832">
        <v>193.15999999999997</v>
      </c>
      <c r="K89" s="828">
        <v>1</v>
      </c>
      <c r="L89" s="832">
        <v>11</v>
      </c>
      <c r="M89" s="833">
        <v>193.15999999999997</v>
      </c>
    </row>
    <row r="90" spans="1:13" ht="14.45" customHeight="1" x14ac:dyDescent="0.2">
      <c r="A90" s="822" t="s">
        <v>1901</v>
      </c>
      <c r="B90" s="823" t="s">
        <v>1610</v>
      </c>
      <c r="C90" s="823" t="s">
        <v>1617</v>
      </c>
      <c r="D90" s="823" t="s">
        <v>673</v>
      </c>
      <c r="E90" s="823" t="s">
        <v>705</v>
      </c>
      <c r="F90" s="832"/>
      <c r="G90" s="832"/>
      <c r="H90" s="828">
        <v>0</v>
      </c>
      <c r="I90" s="832">
        <v>4</v>
      </c>
      <c r="J90" s="832">
        <v>468.12</v>
      </c>
      <c r="K90" s="828">
        <v>1</v>
      </c>
      <c r="L90" s="832">
        <v>4</v>
      </c>
      <c r="M90" s="833">
        <v>468.12</v>
      </c>
    </row>
    <row r="91" spans="1:13" ht="14.45" customHeight="1" x14ac:dyDescent="0.2">
      <c r="A91" s="822" t="s">
        <v>1901</v>
      </c>
      <c r="B91" s="823" t="s">
        <v>1792</v>
      </c>
      <c r="C91" s="823" t="s">
        <v>2016</v>
      </c>
      <c r="D91" s="823" t="s">
        <v>1794</v>
      </c>
      <c r="E91" s="823" t="s">
        <v>2017</v>
      </c>
      <c r="F91" s="832"/>
      <c r="G91" s="832"/>
      <c r="H91" s="828">
        <v>0</v>
      </c>
      <c r="I91" s="832">
        <v>1</v>
      </c>
      <c r="J91" s="832">
        <v>93.27</v>
      </c>
      <c r="K91" s="828">
        <v>1</v>
      </c>
      <c r="L91" s="832">
        <v>1</v>
      </c>
      <c r="M91" s="833">
        <v>93.27</v>
      </c>
    </row>
    <row r="92" spans="1:13" ht="14.45" customHeight="1" x14ac:dyDescent="0.2">
      <c r="A92" s="822" t="s">
        <v>1901</v>
      </c>
      <c r="B92" s="823" t="s">
        <v>1792</v>
      </c>
      <c r="C92" s="823" t="s">
        <v>1793</v>
      </c>
      <c r="D92" s="823" t="s">
        <v>1794</v>
      </c>
      <c r="E92" s="823" t="s">
        <v>1795</v>
      </c>
      <c r="F92" s="832"/>
      <c r="G92" s="832"/>
      <c r="H92" s="828">
        <v>0</v>
      </c>
      <c r="I92" s="832">
        <v>1</v>
      </c>
      <c r="J92" s="832">
        <v>186.55</v>
      </c>
      <c r="K92" s="828">
        <v>1</v>
      </c>
      <c r="L92" s="832">
        <v>1</v>
      </c>
      <c r="M92" s="833">
        <v>186.55</v>
      </c>
    </row>
    <row r="93" spans="1:13" ht="14.45" customHeight="1" x14ac:dyDescent="0.2">
      <c r="A93" s="822" t="s">
        <v>1901</v>
      </c>
      <c r="B93" s="823" t="s">
        <v>1792</v>
      </c>
      <c r="C93" s="823" t="s">
        <v>2018</v>
      </c>
      <c r="D93" s="823" t="s">
        <v>1794</v>
      </c>
      <c r="E93" s="823" t="s">
        <v>2019</v>
      </c>
      <c r="F93" s="832"/>
      <c r="G93" s="832"/>
      <c r="H93" s="828">
        <v>0</v>
      </c>
      <c r="I93" s="832">
        <v>1</v>
      </c>
      <c r="J93" s="832">
        <v>31.09</v>
      </c>
      <c r="K93" s="828">
        <v>1</v>
      </c>
      <c r="L93" s="832">
        <v>1</v>
      </c>
      <c r="M93" s="833">
        <v>31.09</v>
      </c>
    </row>
    <row r="94" spans="1:13" ht="14.45" customHeight="1" x14ac:dyDescent="0.2">
      <c r="A94" s="822" t="s">
        <v>1901</v>
      </c>
      <c r="B94" s="823" t="s">
        <v>1619</v>
      </c>
      <c r="C94" s="823" t="s">
        <v>1620</v>
      </c>
      <c r="D94" s="823" t="s">
        <v>1621</v>
      </c>
      <c r="E94" s="823" t="s">
        <v>1622</v>
      </c>
      <c r="F94" s="832"/>
      <c r="G94" s="832"/>
      <c r="H94" s="828">
        <v>0</v>
      </c>
      <c r="I94" s="832">
        <v>1</v>
      </c>
      <c r="J94" s="832">
        <v>51.83</v>
      </c>
      <c r="K94" s="828">
        <v>1</v>
      </c>
      <c r="L94" s="832">
        <v>1</v>
      </c>
      <c r="M94" s="833">
        <v>51.83</v>
      </c>
    </row>
    <row r="95" spans="1:13" ht="14.45" customHeight="1" x14ac:dyDescent="0.2">
      <c r="A95" s="822" t="s">
        <v>1901</v>
      </c>
      <c r="B95" s="823" t="s">
        <v>1619</v>
      </c>
      <c r="C95" s="823" t="s">
        <v>2125</v>
      </c>
      <c r="D95" s="823" t="s">
        <v>1621</v>
      </c>
      <c r="E95" s="823" t="s">
        <v>2126</v>
      </c>
      <c r="F95" s="832"/>
      <c r="G95" s="832"/>
      <c r="H95" s="828">
        <v>0</v>
      </c>
      <c r="I95" s="832">
        <v>1</v>
      </c>
      <c r="J95" s="832">
        <v>103.64</v>
      </c>
      <c r="K95" s="828">
        <v>1</v>
      </c>
      <c r="L95" s="832">
        <v>1</v>
      </c>
      <c r="M95" s="833">
        <v>103.64</v>
      </c>
    </row>
    <row r="96" spans="1:13" ht="14.45" customHeight="1" x14ac:dyDescent="0.2">
      <c r="A96" s="822" t="s">
        <v>1901</v>
      </c>
      <c r="B96" s="823" t="s">
        <v>3014</v>
      </c>
      <c r="C96" s="823" t="s">
        <v>2183</v>
      </c>
      <c r="D96" s="823" t="s">
        <v>2184</v>
      </c>
      <c r="E96" s="823" t="s">
        <v>2185</v>
      </c>
      <c r="F96" s="832"/>
      <c r="G96" s="832"/>
      <c r="H96" s="828">
        <v>0</v>
      </c>
      <c r="I96" s="832">
        <v>1</v>
      </c>
      <c r="J96" s="832">
        <v>152.21</v>
      </c>
      <c r="K96" s="828">
        <v>1</v>
      </c>
      <c r="L96" s="832">
        <v>1</v>
      </c>
      <c r="M96" s="833">
        <v>152.21</v>
      </c>
    </row>
    <row r="97" spans="1:13" ht="14.45" customHeight="1" x14ac:dyDescent="0.2">
      <c r="A97" s="822" t="s">
        <v>1901</v>
      </c>
      <c r="B97" s="823" t="s">
        <v>1623</v>
      </c>
      <c r="C97" s="823" t="s">
        <v>1922</v>
      </c>
      <c r="D97" s="823" t="s">
        <v>967</v>
      </c>
      <c r="E97" s="823" t="s">
        <v>1923</v>
      </c>
      <c r="F97" s="832"/>
      <c r="G97" s="832"/>
      <c r="H97" s="828">
        <v>0</v>
      </c>
      <c r="I97" s="832">
        <v>2</v>
      </c>
      <c r="J97" s="832">
        <v>68.94</v>
      </c>
      <c r="K97" s="828">
        <v>1</v>
      </c>
      <c r="L97" s="832">
        <v>2</v>
      </c>
      <c r="M97" s="833">
        <v>68.94</v>
      </c>
    </row>
    <row r="98" spans="1:13" ht="14.45" customHeight="1" x14ac:dyDescent="0.2">
      <c r="A98" s="822" t="s">
        <v>1901</v>
      </c>
      <c r="B98" s="823" t="s">
        <v>1623</v>
      </c>
      <c r="C98" s="823" t="s">
        <v>1624</v>
      </c>
      <c r="D98" s="823" t="s">
        <v>967</v>
      </c>
      <c r="E98" s="823" t="s">
        <v>1625</v>
      </c>
      <c r="F98" s="832"/>
      <c r="G98" s="832"/>
      <c r="H98" s="828">
        <v>0</v>
      </c>
      <c r="I98" s="832">
        <v>1</v>
      </c>
      <c r="J98" s="832">
        <v>103.4</v>
      </c>
      <c r="K98" s="828">
        <v>1</v>
      </c>
      <c r="L98" s="832">
        <v>1</v>
      </c>
      <c r="M98" s="833">
        <v>103.4</v>
      </c>
    </row>
    <row r="99" spans="1:13" ht="14.45" customHeight="1" x14ac:dyDescent="0.2">
      <c r="A99" s="822" t="s">
        <v>1901</v>
      </c>
      <c r="B99" s="823" t="s">
        <v>1623</v>
      </c>
      <c r="C99" s="823" t="s">
        <v>2132</v>
      </c>
      <c r="D99" s="823" t="s">
        <v>2133</v>
      </c>
      <c r="E99" s="823" t="s">
        <v>2134</v>
      </c>
      <c r="F99" s="832"/>
      <c r="G99" s="832"/>
      <c r="H99" s="828">
        <v>0</v>
      </c>
      <c r="I99" s="832">
        <v>2</v>
      </c>
      <c r="J99" s="832">
        <v>413.56</v>
      </c>
      <c r="K99" s="828">
        <v>1</v>
      </c>
      <c r="L99" s="832">
        <v>2</v>
      </c>
      <c r="M99" s="833">
        <v>413.56</v>
      </c>
    </row>
    <row r="100" spans="1:13" ht="14.45" customHeight="1" x14ac:dyDescent="0.2">
      <c r="A100" s="822" t="s">
        <v>1901</v>
      </c>
      <c r="B100" s="823" t="s">
        <v>1626</v>
      </c>
      <c r="C100" s="823" t="s">
        <v>2147</v>
      </c>
      <c r="D100" s="823" t="s">
        <v>1628</v>
      </c>
      <c r="E100" s="823" t="s">
        <v>1622</v>
      </c>
      <c r="F100" s="832"/>
      <c r="G100" s="832"/>
      <c r="H100" s="828">
        <v>0</v>
      </c>
      <c r="I100" s="832">
        <v>3</v>
      </c>
      <c r="J100" s="832">
        <v>689.28</v>
      </c>
      <c r="K100" s="828">
        <v>1</v>
      </c>
      <c r="L100" s="832">
        <v>3</v>
      </c>
      <c r="M100" s="833">
        <v>689.28</v>
      </c>
    </row>
    <row r="101" spans="1:13" ht="14.45" customHeight="1" x14ac:dyDescent="0.2">
      <c r="A101" s="822" t="s">
        <v>1901</v>
      </c>
      <c r="B101" s="823" t="s">
        <v>3015</v>
      </c>
      <c r="C101" s="823" t="s">
        <v>2108</v>
      </c>
      <c r="D101" s="823" t="s">
        <v>2109</v>
      </c>
      <c r="E101" s="823" t="s">
        <v>2110</v>
      </c>
      <c r="F101" s="832"/>
      <c r="G101" s="832"/>
      <c r="H101" s="828">
        <v>0</v>
      </c>
      <c r="I101" s="832">
        <v>1</v>
      </c>
      <c r="J101" s="832">
        <v>118.65</v>
      </c>
      <c r="K101" s="828">
        <v>1</v>
      </c>
      <c r="L101" s="832">
        <v>1</v>
      </c>
      <c r="M101" s="833">
        <v>118.65</v>
      </c>
    </row>
    <row r="102" spans="1:13" ht="14.45" customHeight="1" x14ac:dyDescent="0.2">
      <c r="A102" s="822" t="s">
        <v>1901</v>
      </c>
      <c r="B102" s="823" t="s">
        <v>3015</v>
      </c>
      <c r="C102" s="823" t="s">
        <v>2111</v>
      </c>
      <c r="D102" s="823" t="s">
        <v>2112</v>
      </c>
      <c r="E102" s="823" t="s">
        <v>2113</v>
      </c>
      <c r="F102" s="832"/>
      <c r="G102" s="832"/>
      <c r="H102" s="828">
        <v>0</v>
      </c>
      <c r="I102" s="832">
        <v>2</v>
      </c>
      <c r="J102" s="832">
        <v>474.62</v>
      </c>
      <c r="K102" s="828">
        <v>1</v>
      </c>
      <c r="L102" s="832">
        <v>2</v>
      </c>
      <c r="M102" s="833">
        <v>474.62</v>
      </c>
    </row>
    <row r="103" spans="1:13" ht="14.45" customHeight="1" x14ac:dyDescent="0.2">
      <c r="A103" s="822" t="s">
        <v>1901</v>
      </c>
      <c r="B103" s="823" t="s">
        <v>3016</v>
      </c>
      <c r="C103" s="823" t="s">
        <v>2175</v>
      </c>
      <c r="D103" s="823" t="s">
        <v>2176</v>
      </c>
      <c r="E103" s="823" t="s">
        <v>2177</v>
      </c>
      <c r="F103" s="832"/>
      <c r="G103" s="832"/>
      <c r="H103" s="828">
        <v>0</v>
      </c>
      <c r="I103" s="832">
        <v>1</v>
      </c>
      <c r="J103" s="832">
        <v>345.69</v>
      </c>
      <c r="K103" s="828">
        <v>1</v>
      </c>
      <c r="L103" s="832">
        <v>1</v>
      </c>
      <c r="M103" s="833">
        <v>345.69</v>
      </c>
    </row>
    <row r="104" spans="1:13" ht="14.45" customHeight="1" x14ac:dyDescent="0.2">
      <c r="A104" s="822" t="s">
        <v>1901</v>
      </c>
      <c r="B104" s="823" t="s">
        <v>3017</v>
      </c>
      <c r="C104" s="823" t="s">
        <v>2171</v>
      </c>
      <c r="D104" s="823" t="s">
        <v>2172</v>
      </c>
      <c r="E104" s="823" t="s">
        <v>2173</v>
      </c>
      <c r="F104" s="832"/>
      <c r="G104" s="832"/>
      <c r="H104" s="828">
        <v>0</v>
      </c>
      <c r="I104" s="832">
        <v>4</v>
      </c>
      <c r="J104" s="832">
        <v>527.44000000000005</v>
      </c>
      <c r="K104" s="828">
        <v>1</v>
      </c>
      <c r="L104" s="832">
        <v>4</v>
      </c>
      <c r="M104" s="833">
        <v>527.44000000000005</v>
      </c>
    </row>
    <row r="105" spans="1:13" ht="14.45" customHeight="1" x14ac:dyDescent="0.2">
      <c r="A105" s="822" t="s">
        <v>1901</v>
      </c>
      <c r="B105" s="823" t="s">
        <v>1634</v>
      </c>
      <c r="C105" s="823" t="s">
        <v>1796</v>
      </c>
      <c r="D105" s="823" t="s">
        <v>1639</v>
      </c>
      <c r="E105" s="823" t="s">
        <v>1797</v>
      </c>
      <c r="F105" s="832"/>
      <c r="G105" s="832"/>
      <c r="H105" s="828">
        <v>0</v>
      </c>
      <c r="I105" s="832">
        <v>7</v>
      </c>
      <c r="J105" s="832">
        <v>1543.71</v>
      </c>
      <c r="K105" s="828">
        <v>1</v>
      </c>
      <c r="L105" s="832">
        <v>7</v>
      </c>
      <c r="M105" s="833">
        <v>1543.71</v>
      </c>
    </row>
    <row r="106" spans="1:13" ht="14.45" customHeight="1" x14ac:dyDescent="0.2">
      <c r="A106" s="822" t="s">
        <v>1901</v>
      </c>
      <c r="B106" s="823" t="s">
        <v>1634</v>
      </c>
      <c r="C106" s="823" t="s">
        <v>1635</v>
      </c>
      <c r="D106" s="823" t="s">
        <v>1636</v>
      </c>
      <c r="E106" s="823" t="s">
        <v>1637</v>
      </c>
      <c r="F106" s="832"/>
      <c r="G106" s="832"/>
      <c r="H106" s="828">
        <v>0</v>
      </c>
      <c r="I106" s="832">
        <v>3</v>
      </c>
      <c r="J106" s="832">
        <v>724.46999999999991</v>
      </c>
      <c r="K106" s="828">
        <v>1</v>
      </c>
      <c r="L106" s="832">
        <v>3</v>
      </c>
      <c r="M106" s="833">
        <v>724.46999999999991</v>
      </c>
    </row>
    <row r="107" spans="1:13" ht="14.45" customHeight="1" x14ac:dyDescent="0.2">
      <c r="A107" s="822" t="s">
        <v>1901</v>
      </c>
      <c r="B107" s="823" t="s">
        <v>1651</v>
      </c>
      <c r="C107" s="823" t="s">
        <v>2203</v>
      </c>
      <c r="D107" s="823" t="s">
        <v>786</v>
      </c>
      <c r="E107" s="823" t="s">
        <v>788</v>
      </c>
      <c r="F107" s="832">
        <v>1</v>
      </c>
      <c r="G107" s="832">
        <v>63.14</v>
      </c>
      <c r="H107" s="828">
        <v>1</v>
      </c>
      <c r="I107" s="832"/>
      <c r="J107" s="832"/>
      <c r="K107" s="828">
        <v>0</v>
      </c>
      <c r="L107" s="832">
        <v>1</v>
      </c>
      <c r="M107" s="833">
        <v>63.14</v>
      </c>
    </row>
    <row r="108" spans="1:13" ht="14.45" customHeight="1" x14ac:dyDescent="0.2">
      <c r="A108" s="822" t="s">
        <v>1901</v>
      </c>
      <c r="B108" s="823" t="s">
        <v>1651</v>
      </c>
      <c r="C108" s="823" t="s">
        <v>2204</v>
      </c>
      <c r="D108" s="823" t="s">
        <v>786</v>
      </c>
      <c r="E108" s="823" t="s">
        <v>1659</v>
      </c>
      <c r="F108" s="832">
        <v>1</v>
      </c>
      <c r="G108" s="832">
        <v>49.08</v>
      </c>
      <c r="H108" s="828">
        <v>1</v>
      </c>
      <c r="I108" s="832"/>
      <c r="J108" s="832"/>
      <c r="K108" s="828">
        <v>0</v>
      </c>
      <c r="L108" s="832">
        <v>1</v>
      </c>
      <c r="M108" s="833">
        <v>49.08</v>
      </c>
    </row>
    <row r="109" spans="1:13" ht="14.45" customHeight="1" x14ac:dyDescent="0.2">
      <c r="A109" s="822" t="s">
        <v>1901</v>
      </c>
      <c r="B109" s="823" t="s">
        <v>1651</v>
      </c>
      <c r="C109" s="823" t="s">
        <v>2205</v>
      </c>
      <c r="D109" s="823" t="s">
        <v>786</v>
      </c>
      <c r="E109" s="823" t="s">
        <v>789</v>
      </c>
      <c r="F109" s="832">
        <v>2</v>
      </c>
      <c r="G109" s="832">
        <v>168.36</v>
      </c>
      <c r="H109" s="828">
        <v>1</v>
      </c>
      <c r="I109" s="832"/>
      <c r="J109" s="832"/>
      <c r="K109" s="828">
        <v>0</v>
      </c>
      <c r="L109" s="832">
        <v>2</v>
      </c>
      <c r="M109" s="833">
        <v>168.36</v>
      </c>
    </row>
    <row r="110" spans="1:13" ht="14.45" customHeight="1" x14ac:dyDescent="0.2">
      <c r="A110" s="822" t="s">
        <v>1901</v>
      </c>
      <c r="B110" s="823" t="s">
        <v>1664</v>
      </c>
      <c r="C110" s="823" t="s">
        <v>2200</v>
      </c>
      <c r="D110" s="823" t="s">
        <v>1088</v>
      </c>
      <c r="E110" s="823" t="s">
        <v>2201</v>
      </c>
      <c r="F110" s="832"/>
      <c r="G110" s="832"/>
      <c r="H110" s="828">
        <v>0</v>
      </c>
      <c r="I110" s="832">
        <v>1</v>
      </c>
      <c r="J110" s="832">
        <v>154.36000000000001</v>
      </c>
      <c r="K110" s="828">
        <v>1</v>
      </c>
      <c r="L110" s="832">
        <v>1</v>
      </c>
      <c r="M110" s="833">
        <v>154.36000000000001</v>
      </c>
    </row>
    <row r="111" spans="1:13" ht="14.45" customHeight="1" x14ac:dyDescent="0.2">
      <c r="A111" s="822" t="s">
        <v>1901</v>
      </c>
      <c r="B111" s="823" t="s">
        <v>1668</v>
      </c>
      <c r="C111" s="823" t="s">
        <v>2039</v>
      </c>
      <c r="D111" s="823" t="s">
        <v>2040</v>
      </c>
      <c r="E111" s="823" t="s">
        <v>2038</v>
      </c>
      <c r="F111" s="832">
        <v>1</v>
      </c>
      <c r="G111" s="832">
        <v>134.44999999999999</v>
      </c>
      <c r="H111" s="828">
        <v>1</v>
      </c>
      <c r="I111" s="832"/>
      <c r="J111" s="832"/>
      <c r="K111" s="828">
        <v>0</v>
      </c>
      <c r="L111" s="832">
        <v>1</v>
      </c>
      <c r="M111" s="833">
        <v>134.44999999999999</v>
      </c>
    </row>
    <row r="112" spans="1:13" ht="14.45" customHeight="1" x14ac:dyDescent="0.2">
      <c r="A112" s="822" t="s">
        <v>1901</v>
      </c>
      <c r="B112" s="823" t="s">
        <v>3018</v>
      </c>
      <c r="C112" s="823" t="s">
        <v>2115</v>
      </c>
      <c r="D112" s="823" t="s">
        <v>2116</v>
      </c>
      <c r="E112" s="823" t="s">
        <v>2117</v>
      </c>
      <c r="F112" s="832"/>
      <c r="G112" s="832"/>
      <c r="H112" s="828">
        <v>0</v>
      </c>
      <c r="I112" s="832">
        <v>1</v>
      </c>
      <c r="J112" s="832">
        <v>140.96</v>
      </c>
      <c r="K112" s="828">
        <v>1</v>
      </c>
      <c r="L112" s="832">
        <v>1</v>
      </c>
      <c r="M112" s="833">
        <v>140.96</v>
      </c>
    </row>
    <row r="113" spans="1:13" ht="14.45" customHeight="1" x14ac:dyDescent="0.2">
      <c r="A113" s="822" t="s">
        <v>1901</v>
      </c>
      <c r="B113" s="823" t="s">
        <v>1703</v>
      </c>
      <c r="C113" s="823" t="s">
        <v>2011</v>
      </c>
      <c r="D113" s="823" t="s">
        <v>2012</v>
      </c>
      <c r="E113" s="823" t="s">
        <v>627</v>
      </c>
      <c r="F113" s="832">
        <v>3</v>
      </c>
      <c r="G113" s="832">
        <v>195.84</v>
      </c>
      <c r="H113" s="828">
        <v>1</v>
      </c>
      <c r="I113" s="832"/>
      <c r="J113" s="832"/>
      <c r="K113" s="828">
        <v>0</v>
      </c>
      <c r="L113" s="832">
        <v>3</v>
      </c>
      <c r="M113" s="833">
        <v>195.84</v>
      </c>
    </row>
    <row r="114" spans="1:13" ht="14.45" customHeight="1" x14ac:dyDescent="0.2">
      <c r="A114" s="822" t="s">
        <v>1901</v>
      </c>
      <c r="B114" s="823" t="s">
        <v>1703</v>
      </c>
      <c r="C114" s="823" t="s">
        <v>1705</v>
      </c>
      <c r="D114" s="823" t="s">
        <v>626</v>
      </c>
      <c r="E114" s="823" t="s">
        <v>627</v>
      </c>
      <c r="F114" s="832"/>
      <c r="G114" s="832"/>
      <c r="H114" s="828">
        <v>0</v>
      </c>
      <c r="I114" s="832">
        <v>3</v>
      </c>
      <c r="J114" s="832">
        <v>195.84</v>
      </c>
      <c r="K114" s="828">
        <v>1</v>
      </c>
      <c r="L114" s="832">
        <v>3</v>
      </c>
      <c r="M114" s="833">
        <v>195.84</v>
      </c>
    </row>
    <row r="115" spans="1:13" ht="14.45" customHeight="1" x14ac:dyDescent="0.2">
      <c r="A115" s="822" t="s">
        <v>1901</v>
      </c>
      <c r="B115" s="823" t="s">
        <v>1734</v>
      </c>
      <c r="C115" s="823" t="s">
        <v>2013</v>
      </c>
      <c r="D115" s="823" t="s">
        <v>1736</v>
      </c>
      <c r="E115" s="823" t="s">
        <v>2014</v>
      </c>
      <c r="F115" s="832"/>
      <c r="G115" s="832"/>
      <c r="H115" s="828">
        <v>0</v>
      </c>
      <c r="I115" s="832">
        <v>15</v>
      </c>
      <c r="J115" s="832">
        <v>702.15000000000009</v>
      </c>
      <c r="K115" s="828">
        <v>1</v>
      </c>
      <c r="L115" s="832">
        <v>15</v>
      </c>
      <c r="M115" s="833">
        <v>702.15000000000009</v>
      </c>
    </row>
    <row r="116" spans="1:13" ht="14.45" customHeight="1" x14ac:dyDescent="0.2">
      <c r="A116" s="822" t="s">
        <v>1901</v>
      </c>
      <c r="B116" s="823" t="s">
        <v>1734</v>
      </c>
      <c r="C116" s="823" t="s">
        <v>1735</v>
      </c>
      <c r="D116" s="823" t="s">
        <v>1736</v>
      </c>
      <c r="E116" s="823" t="s">
        <v>1737</v>
      </c>
      <c r="F116" s="832"/>
      <c r="G116" s="832"/>
      <c r="H116" s="828">
        <v>0</v>
      </c>
      <c r="I116" s="832">
        <v>14</v>
      </c>
      <c r="J116" s="832">
        <v>163.94000000000003</v>
      </c>
      <c r="K116" s="828">
        <v>1</v>
      </c>
      <c r="L116" s="832">
        <v>14</v>
      </c>
      <c r="M116" s="833">
        <v>163.94000000000003</v>
      </c>
    </row>
    <row r="117" spans="1:13" ht="14.45" customHeight="1" x14ac:dyDescent="0.2">
      <c r="A117" s="822" t="s">
        <v>1901</v>
      </c>
      <c r="B117" s="823" t="s">
        <v>1744</v>
      </c>
      <c r="C117" s="823" t="s">
        <v>1745</v>
      </c>
      <c r="D117" s="823" t="s">
        <v>1066</v>
      </c>
      <c r="E117" s="823" t="s">
        <v>1746</v>
      </c>
      <c r="F117" s="832"/>
      <c r="G117" s="832"/>
      <c r="H117" s="828"/>
      <c r="I117" s="832">
        <v>1</v>
      </c>
      <c r="J117" s="832">
        <v>0</v>
      </c>
      <c r="K117" s="828"/>
      <c r="L117" s="832">
        <v>1</v>
      </c>
      <c r="M117" s="833">
        <v>0</v>
      </c>
    </row>
    <row r="118" spans="1:13" ht="14.45" customHeight="1" x14ac:dyDescent="0.2">
      <c r="A118" s="822" t="s">
        <v>1901</v>
      </c>
      <c r="B118" s="823" t="s">
        <v>3019</v>
      </c>
      <c r="C118" s="823" t="s">
        <v>2051</v>
      </c>
      <c r="D118" s="823" t="s">
        <v>2052</v>
      </c>
      <c r="E118" s="823" t="s">
        <v>2053</v>
      </c>
      <c r="F118" s="832"/>
      <c r="G118" s="832"/>
      <c r="H118" s="828">
        <v>0</v>
      </c>
      <c r="I118" s="832">
        <v>1</v>
      </c>
      <c r="J118" s="832">
        <v>176.32</v>
      </c>
      <c r="K118" s="828">
        <v>1</v>
      </c>
      <c r="L118" s="832">
        <v>1</v>
      </c>
      <c r="M118" s="833">
        <v>176.32</v>
      </c>
    </row>
    <row r="119" spans="1:13" ht="14.45" customHeight="1" x14ac:dyDescent="0.2">
      <c r="A119" s="822" t="s">
        <v>1901</v>
      </c>
      <c r="B119" s="823" t="s">
        <v>1572</v>
      </c>
      <c r="C119" s="823" t="s">
        <v>2190</v>
      </c>
      <c r="D119" s="823" t="s">
        <v>1574</v>
      </c>
      <c r="E119" s="823" t="s">
        <v>2191</v>
      </c>
      <c r="F119" s="832"/>
      <c r="G119" s="832"/>
      <c r="H119" s="828">
        <v>0</v>
      </c>
      <c r="I119" s="832">
        <v>2</v>
      </c>
      <c r="J119" s="832">
        <v>9922.2800000000007</v>
      </c>
      <c r="K119" s="828">
        <v>1</v>
      </c>
      <c r="L119" s="832">
        <v>2</v>
      </c>
      <c r="M119" s="833">
        <v>9922.2800000000007</v>
      </c>
    </row>
    <row r="120" spans="1:13" ht="14.45" customHeight="1" x14ac:dyDescent="0.2">
      <c r="A120" s="822" t="s">
        <v>1901</v>
      </c>
      <c r="B120" s="823" t="s">
        <v>1572</v>
      </c>
      <c r="C120" s="823" t="s">
        <v>1573</v>
      </c>
      <c r="D120" s="823" t="s">
        <v>1574</v>
      </c>
      <c r="E120" s="823" t="s">
        <v>1575</v>
      </c>
      <c r="F120" s="832"/>
      <c r="G120" s="832"/>
      <c r="H120" s="828">
        <v>0</v>
      </c>
      <c r="I120" s="832">
        <v>3</v>
      </c>
      <c r="J120" s="832">
        <v>8009.25</v>
      </c>
      <c r="K120" s="828">
        <v>1</v>
      </c>
      <c r="L120" s="832">
        <v>3</v>
      </c>
      <c r="M120" s="833">
        <v>8009.25</v>
      </c>
    </row>
    <row r="121" spans="1:13" ht="14.45" customHeight="1" x14ac:dyDescent="0.2">
      <c r="A121" s="822" t="s">
        <v>1902</v>
      </c>
      <c r="B121" s="823" t="s">
        <v>1521</v>
      </c>
      <c r="C121" s="823" t="s">
        <v>2265</v>
      </c>
      <c r="D121" s="823" t="s">
        <v>2266</v>
      </c>
      <c r="E121" s="823" t="s">
        <v>2267</v>
      </c>
      <c r="F121" s="832">
        <v>1</v>
      </c>
      <c r="G121" s="832">
        <v>29.33</v>
      </c>
      <c r="H121" s="828">
        <v>1</v>
      </c>
      <c r="I121" s="832"/>
      <c r="J121" s="832"/>
      <c r="K121" s="828">
        <v>0</v>
      </c>
      <c r="L121" s="832">
        <v>1</v>
      </c>
      <c r="M121" s="833">
        <v>29.33</v>
      </c>
    </row>
    <row r="122" spans="1:13" ht="14.45" customHeight="1" x14ac:dyDescent="0.2">
      <c r="A122" s="822" t="s">
        <v>1902</v>
      </c>
      <c r="B122" s="823" t="s">
        <v>1531</v>
      </c>
      <c r="C122" s="823" t="s">
        <v>2880</v>
      </c>
      <c r="D122" s="823" t="s">
        <v>2881</v>
      </c>
      <c r="E122" s="823" t="s">
        <v>2303</v>
      </c>
      <c r="F122" s="832">
        <v>1</v>
      </c>
      <c r="G122" s="832">
        <v>43.21</v>
      </c>
      <c r="H122" s="828">
        <v>1</v>
      </c>
      <c r="I122" s="832"/>
      <c r="J122" s="832"/>
      <c r="K122" s="828">
        <v>0</v>
      </c>
      <c r="L122" s="832">
        <v>1</v>
      </c>
      <c r="M122" s="833">
        <v>43.21</v>
      </c>
    </row>
    <row r="123" spans="1:13" ht="14.45" customHeight="1" x14ac:dyDescent="0.2">
      <c r="A123" s="822" t="s">
        <v>1902</v>
      </c>
      <c r="B123" s="823" t="s">
        <v>1531</v>
      </c>
      <c r="C123" s="823" t="s">
        <v>1536</v>
      </c>
      <c r="D123" s="823" t="s">
        <v>1533</v>
      </c>
      <c r="E123" s="823" t="s">
        <v>1537</v>
      </c>
      <c r="F123" s="832"/>
      <c r="G123" s="832"/>
      <c r="H123" s="828">
        <v>0</v>
      </c>
      <c r="I123" s="832">
        <v>1</v>
      </c>
      <c r="J123" s="832">
        <v>43.21</v>
      </c>
      <c r="K123" s="828">
        <v>1</v>
      </c>
      <c r="L123" s="832">
        <v>1</v>
      </c>
      <c r="M123" s="833">
        <v>43.21</v>
      </c>
    </row>
    <row r="124" spans="1:13" ht="14.45" customHeight="1" x14ac:dyDescent="0.2">
      <c r="A124" s="822" t="s">
        <v>1902</v>
      </c>
      <c r="B124" s="823" t="s">
        <v>1540</v>
      </c>
      <c r="C124" s="823" t="s">
        <v>1541</v>
      </c>
      <c r="D124" s="823" t="s">
        <v>1542</v>
      </c>
      <c r="E124" s="823" t="s">
        <v>1543</v>
      </c>
      <c r="F124" s="832"/>
      <c r="G124" s="832"/>
      <c r="H124" s="828">
        <v>0</v>
      </c>
      <c r="I124" s="832">
        <v>1</v>
      </c>
      <c r="J124" s="832">
        <v>20.83</v>
      </c>
      <c r="K124" s="828">
        <v>1</v>
      </c>
      <c r="L124" s="832">
        <v>1</v>
      </c>
      <c r="M124" s="833">
        <v>20.83</v>
      </c>
    </row>
    <row r="125" spans="1:13" ht="14.45" customHeight="1" x14ac:dyDescent="0.2">
      <c r="A125" s="822" t="s">
        <v>1902</v>
      </c>
      <c r="B125" s="823" t="s">
        <v>1545</v>
      </c>
      <c r="C125" s="823" t="s">
        <v>1546</v>
      </c>
      <c r="D125" s="823" t="s">
        <v>1547</v>
      </c>
      <c r="E125" s="823" t="s">
        <v>1548</v>
      </c>
      <c r="F125" s="832"/>
      <c r="G125" s="832"/>
      <c r="H125" s="828">
        <v>0</v>
      </c>
      <c r="I125" s="832">
        <v>1</v>
      </c>
      <c r="J125" s="832">
        <v>93.75</v>
      </c>
      <c r="K125" s="828">
        <v>1</v>
      </c>
      <c r="L125" s="832">
        <v>1</v>
      </c>
      <c r="M125" s="833">
        <v>93.75</v>
      </c>
    </row>
    <row r="126" spans="1:13" ht="14.45" customHeight="1" x14ac:dyDescent="0.2">
      <c r="A126" s="822" t="s">
        <v>1902</v>
      </c>
      <c r="B126" s="823" t="s">
        <v>1545</v>
      </c>
      <c r="C126" s="823" t="s">
        <v>1549</v>
      </c>
      <c r="D126" s="823" t="s">
        <v>1547</v>
      </c>
      <c r="E126" s="823" t="s">
        <v>1550</v>
      </c>
      <c r="F126" s="832"/>
      <c r="G126" s="832"/>
      <c r="H126" s="828">
        <v>0</v>
      </c>
      <c r="I126" s="832">
        <v>1</v>
      </c>
      <c r="J126" s="832">
        <v>184.74</v>
      </c>
      <c r="K126" s="828">
        <v>1</v>
      </c>
      <c r="L126" s="832">
        <v>1</v>
      </c>
      <c r="M126" s="833">
        <v>184.74</v>
      </c>
    </row>
    <row r="127" spans="1:13" ht="14.45" customHeight="1" x14ac:dyDescent="0.2">
      <c r="A127" s="822" t="s">
        <v>1902</v>
      </c>
      <c r="B127" s="823" t="s">
        <v>1545</v>
      </c>
      <c r="C127" s="823" t="s">
        <v>2186</v>
      </c>
      <c r="D127" s="823" t="s">
        <v>2187</v>
      </c>
      <c r="E127" s="823" t="s">
        <v>2188</v>
      </c>
      <c r="F127" s="832"/>
      <c r="G127" s="832"/>
      <c r="H127" s="828">
        <v>0</v>
      </c>
      <c r="I127" s="832">
        <v>1</v>
      </c>
      <c r="J127" s="832">
        <v>120.61</v>
      </c>
      <c r="K127" s="828">
        <v>1</v>
      </c>
      <c r="L127" s="832">
        <v>1</v>
      </c>
      <c r="M127" s="833">
        <v>120.61</v>
      </c>
    </row>
    <row r="128" spans="1:13" ht="14.45" customHeight="1" x14ac:dyDescent="0.2">
      <c r="A128" s="822" t="s">
        <v>1902</v>
      </c>
      <c r="B128" s="823" t="s">
        <v>1551</v>
      </c>
      <c r="C128" s="823" t="s">
        <v>1552</v>
      </c>
      <c r="D128" s="823" t="s">
        <v>809</v>
      </c>
      <c r="E128" s="823" t="s">
        <v>1553</v>
      </c>
      <c r="F128" s="832"/>
      <c r="G128" s="832"/>
      <c r="H128" s="828">
        <v>0</v>
      </c>
      <c r="I128" s="832">
        <v>1</v>
      </c>
      <c r="J128" s="832">
        <v>1385.62</v>
      </c>
      <c r="K128" s="828">
        <v>1</v>
      </c>
      <c r="L128" s="832">
        <v>1</v>
      </c>
      <c r="M128" s="833">
        <v>1385.62</v>
      </c>
    </row>
    <row r="129" spans="1:13" ht="14.45" customHeight="1" x14ac:dyDescent="0.2">
      <c r="A129" s="822" t="s">
        <v>1902</v>
      </c>
      <c r="B129" s="823" t="s">
        <v>1551</v>
      </c>
      <c r="C129" s="823" t="s">
        <v>1562</v>
      </c>
      <c r="D129" s="823" t="s">
        <v>803</v>
      </c>
      <c r="E129" s="823" t="s">
        <v>1563</v>
      </c>
      <c r="F129" s="832"/>
      <c r="G129" s="832"/>
      <c r="H129" s="828">
        <v>0</v>
      </c>
      <c r="I129" s="832">
        <v>1</v>
      </c>
      <c r="J129" s="832">
        <v>1154.68</v>
      </c>
      <c r="K129" s="828">
        <v>1</v>
      </c>
      <c r="L129" s="832">
        <v>1</v>
      </c>
      <c r="M129" s="833">
        <v>1154.68</v>
      </c>
    </row>
    <row r="130" spans="1:13" ht="14.45" customHeight="1" x14ac:dyDescent="0.2">
      <c r="A130" s="822" t="s">
        <v>1902</v>
      </c>
      <c r="B130" s="823" t="s">
        <v>1551</v>
      </c>
      <c r="C130" s="823" t="s">
        <v>1556</v>
      </c>
      <c r="D130" s="823" t="s">
        <v>803</v>
      </c>
      <c r="E130" s="823" t="s">
        <v>1557</v>
      </c>
      <c r="F130" s="832"/>
      <c r="G130" s="832"/>
      <c r="H130" s="828">
        <v>0</v>
      </c>
      <c r="I130" s="832">
        <v>1</v>
      </c>
      <c r="J130" s="832">
        <v>923.74</v>
      </c>
      <c r="K130" s="828">
        <v>1</v>
      </c>
      <c r="L130" s="832">
        <v>1</v>
      </c>
      <c r="M130" s="833">
        <v>923.74</v>
      </c>
    </row>
    <row r="131" spans="1:13" ht="14.45" customHeight="1" x14ac:dyDescent="0.2">
      <c r="A131" s="822" t="s">
        <v>1902</v>
      </c>
      <c r="B131" s="823" t="s">
        <v>1566</v>
      </c>
      <c r="C131" s="823" t="s">
        <v>1567</v>
      </c>
      <c r="D131" s="823" t="s">
        <v>1568</v>
      </c>
      <c r="E131" s="823" t="s">
        <v>1569</v>
      </c>
      <c r="F131" s="832"/>
      <c r="G131" s="832"/>
      <c r="H131" s="828">
        <v>0</v>
      </c>
      <c r="I131" s="832">
        <v>8</v>
      </c>
      <c r="J131" s="832">
        <v>747.44</v>
      </c>
      <c r="K131" s="828">
        <v>1</v>
      </c>
      <c r="L131" s="832">
        <v>8</v>
      </c>
      <c r="M131" s="833">
        <v>747.44</v>
      </c>
    </row>
    <row r="132" spans="1:13" ht="14.45" customHeight="1" x14ac:dyDescent="0.2">
      <c r="A132" s="822" t="s">
        <v>1902</v>
      </c>
      <c r="B132" s="823" t="s">
        <v>1566</v>
      </c>
      <c r="C132" s="823" t="s">
        <v>1570</v>
      </c>
      <c r="D132" s="823" t="s">
        <v>1568</v>
      </c>
      <c r="E132" s="823" t="s">
        <v>1571</v>
      </c>
      <c r="F132" s="832"/>
      <c r="G132" s="832"/>
      <c r="H132" s="828">
        <v>0</v>
      </c>
      <c r="I132" s="832">
        <v>2</v>
      </c>
      <c r="J132" s="832">
        <v>373.74</v>
      </c>
      <c r="K132" s="828">
        <v>1</v>
      </c>
      <c r="L132" s="832">
        <v>2</v>
      </c>
      <c r="M132" s="833">
        <v>373.74</v>
      </c>
    </row>
    <row r="133" spans="1:13" ht="14.45" customHeight="1" x14ac:dyDescent="0.2">
      <c r="A133" s="822" t="s">
        <v>1902</v>
      </c>
      <c r="B133" s="823" t="s">
        <v>1566</v>
      </c>
      <c r="C133" s="823" t="s">
        <v>2876</v>
      </c>
      <c r="D133" s="823" t="s">
        <v>2238</v>
      </c>
      <c r="E133" s="823" t="s">
        <v>2877</v>
      </c>
      <c r="F133" s="832">
        <v>1</v>
      </c>
      <c r="G133" s="832">
        <v>100.11</v>
      </c>
      <c r="H133" s="828">
        <v>1</v>
      </c>
      <c r="I133" s="832"/>
      <c r="J133" s="832"/>
      <c r="K133" s="828">
        <v>0</v>
      </c>
      <c r="L133" s="832">
        <v>1</v>
      </c>
      <c r="M133" s="833">
        <v>100.11</v>
      </c>
    </row>
    <row r="134" spans="1:13" ht="14.45" customHeight="1" x14ac:dyDescent="0.2">
      <c r="A134" s="822" t="s">
        <v>1902</v>
      </c>
      <c r="B134" s="823" t="s">
        <v>1578</v>
      </c>
      <c r="C134" s="823" t="s">
        <v>1581</v>
      </c>
      <c r="D134" s="823" t="s">
        <v>712</v>
      </c>
      <c r="E134" s="823" t="s">
        <v>1582</v>
      </c>
      <c r="F134" s="832"/>
      <c r="G134" s="832"/>
      <c r="H134" s="828">
        <v>0</v>
      </c>
      <c r="I134" s="832">
        <v>4</v>
      </c>
      <c r="J134" s="832">
        <v>320.04000000000002</v>
      </c>
      <c r="K134" s="828">
        <v>1</v>
      </c>
      <c r="L134" s="832">
        <v>4</v>
      </c>
      <c r="M134" s="833">
        <v>320.04000000000002</v>
      </c>
    </row>
    <row r="135" spans="1:13" ht="14.45" customHeight="1" x14ac:dyDescent="0.2">
      <c r="A135" s="822" t="s">
        <v>1902</v>
      </c>
      <c r="B135" s="823" t="s">
        <v>3020</v>
      </c>
      <c r="C135" s="823" t="s">
        <v>2870</v>
      </c>
      <c r="D135" s="823" t="s">
        <v>2871</v>
      </c>
      <c r="E135" s="823" t="s">
        <v>2548</v>
      </c>
      <c r="F135" s="832"/>
      <c r="G135" s="832"/>
      <c r="H135" s="828">
        <v>0</v>
      </c>
      <c r="I135" s="832">
        <v>1</v>
      </c>
      <c r="J135" s="832">
        <v>300.31</v>
      </c>
      <c r="K135" s="828">
        <v>1</v>
      </c>
      <c r="L135" s="832">
        <v>1</v>
      </c>
      <c r="M135" s="833">
        <v>300.31</v>
      </c>
    </row>
    <row r="136" spans="1:13" ht="14.45" customHeight="1" x14ac:dyDescent="0.2">
      <c r="A136" s="822" t="s">
        <v>1902</v>
      </c>
      <c r="B136" s="823" t="s">
        <v>1588</v>
      </c>
      <c r="C136" s="823" t="s">
        <v>1784</v>
      </c>
      <c r="D136" s="823" t="s">
        <v>811</v>
      </c>
      <c r="E136" s="823" t="s">
        <v>1785</v>
      </c>
      <c r="F136" s="832"/>
      <c r="G136" s="832"/>
      <c r="H136" s="828">
        <v>0</v>
      </c>
      <c r="I136" s="832">
        <v>3</v>
      </c>
      <c r="J136" s="832">
        <v>127.53</v>
      </c>
      <c r="K136" s="828">
        <v>1</v>
      </c>
      <c r="L136" s="832">
        <v>3</v>
      </c>
      <c r="M136" s="833">
        <v>127.53</v>
      </c>
    </row>
    <row r="137" spans="1:13" ht="14.45" customHeight="1" x14ac:dyDescent="0.2">
      <c r="A137" s="822" t="s">
        <v>1902</v>
      </c>
      <c r="B137" s="823" t="s">
        <v>1602</v>
      </c>
      <c r="C137" s="823" t="s">
        <v>2758</v>
      </c>
      <c r="D137" s="823" t="s">
        <v>1185</v>
      </c>
      <c r="E137" s="823" t="s">
        <v>1604</v>
      </c>
      <c r="F137" s="832">
        <v>1</v>
      </c>
      <c r="G137" s="832">
        <v>35.11</v>
      </c>
      <c r="H137" s="828">
        <v>1</v>
      </c>
      <c r="I137" s="832"/>
      <c r="J137" s="832"/>
      <c r="K137" s="828">
        <v>0</v>
      </c>
      <c r="L137" s="832">
        <v>1</v>
      </c>
      <c r="M137" s="833">
        <v>35.11</v>
      </c>
    </row>
    <row r="138" spans="1:13" ht="14.45" customHeight="1" x14ac:dyDescent="0.2">
      <c r="A138" s="822" t="s">
        <v>1902</v>
      </c>
      <c r="B138" s="823" t="s">
        <v>1610</v>
      </c>
      <c r="C138" s="823" t="s">
        <v>1948</v>
      </c>
      <c r="D138" s="823" t="s">
        <v>1949</v>
      </c>
      <c r="E138" s="823" t="s">
        <v>1923</v>
      </c>
      <c r="F138" s="832">
        <v>1</v>
      </c>
      <c r="G138" s="832">
        <v>35.11</v>
      </c>
      <c r="H138" s="828">
        <v>1</v>
      </c>
      <c r="I138" s="832"/>
      <c r="J138" s="832"/>
      <c r="K138" s="828">
        <v>0</v>
      </c>
      <c r="L138" s="832">
        <v>1</v>
      </c>
      <c r="M138" s="833">
        <v>35.11</v>
      </c>
    </row>
    <row r="139" spans="1:13" ht="14.45" customHeight="1" x14ac:dyDescent="0.2">
      <c r="A139" s="822" t="s">
        <v>1902</v>
      </c>
      <c r="B139" s="823" t="s">
        <v>1610</v>
      </c>
      <c r="C139" s="823" t="s">
        <v>1616</v>
      </c>
      <c r="D139" s="823" t="s">
        <v>673</v>
      </c>
      <c r="E139" s="823" t="s">
        <v>676</v>
      </c>
      <c r="F139" s="832"/>
      <c r="G139" s="832"/>
      <c r="H139" s="828">
        <v>0</v>
      </c>
      <c r="I139" s="832">
        <v>11</v>
      </c>
      <c r="J139" s="832">
        <v>193.15999999999997</v>
      </c>
      <c r="K139" s="828">
        <v>1</v>
      </c>
      <c r="L139" s="832">
        <v>11</v>
      </c>
      <c r="M139" s="833">
        <v>193.15999999999997</v>
      </c>
    </row>
    <row r="140" spans="1:13" ht="14.45" customHeight="1" x14ac:dyDescent="0.2">
      <c r="A140" s="822" t="s">
        <v>1902</v>
      </c>
      <c r="B140" s="823" t="s">
        <v>1610</v>
      </c>
      <c r="C140" s="823" t="s">
        <v>2226</v>
      </c>
      <c r="D140" s="823" t="s">
        <v>673</v>
      </c>
      <c r="E140" s="823" t="s">
        <v>1923</v>
      </c>
      <c r="F140" s="832"/>
      <c r="G140" s="832"/>
      <c r="H140" s="828">
        <v>0</v>
      </c>
      <c r="I140" s="832">
        <v>3</v>
      </c>
      <c r="J140" s="832">
        <v>105.33</v>
      </c>
      <c r="K140" s="828">
        <v>1</v>
      </c>
      <c r="L140" s="832">
        <v>3</v>
      </c>
      <c r="M140" s="833">
        <v>105.33</v>
      </c>
    </row>
    <row r="141" spans="1:13" ht="14.45" customHeight="1" x14ac:dyDescent="0.2">
      <c r="A141" s="822" t="s">
        <v>1902</v>
      </c>
      <c r="B141" s="823" t="s">
        <v>1792</v>
      </c>
      <c r="C141" s="823" t="s">
        <v>2018</v>
      </c>
      <c r="D141" s="823" t="s">
        <v>1794</v>
      </c>
      <c r="E141" s="823" t="s">
        <v>2019</v>
      </c>
      <c r="F141" s="832"/>
      <c r="G141" s="832"/>
      <c r="H141" s="828">
        <v>0</v>
      </c>
      <c r="I141" s="832">
        <v>1</v>
      </c>
      <c r="J141" s="832">
        <v>31.09</v>
      </c>
      <c r="K141" s="828">
        <v>1</v>
      </c>
      <c r="L141" s="832">
        <v>1</v>
      </c>
      <c r="M141" s="833">
        <v>31.09</v>
      </c>
    </row>
    <row r="142" spans="1:13" ht="14.45" customHeight="1" x14ac:dyDescent="0.2">
      <c r="A142" s="822" t="s">
        <v>1902</v>
      </c>
      <c r="B142" s="823" t="s">
        <v>1792</v>
      </c>
      <c r="C142" s="823" t="s">
        <v>2865</v>
      </c>
      <c r="D142" s="823" t="s">
        <v>2866</v>
      </c>
      <c r="E142" s="823" t="s">
        <v>2019</v>
      </c>
      <c r="F142" s="832">
        <v>1</v>
      </c>
      <c r="G142" s="832">
        <v>31.09</v>
      </c>
      <c r="H142" s="828">
        <v>1</v>
      </c>
      <c r="I142" s="832"/>
      <c r="J142" s="832"/>
      <c r="K142" s="828">
        <v>0</v>
      </c>
      <c r="L142" s="832">
        <v>1</v>
      </c>
      <c r="M142" s="833">
        <v>31.09</v>
      </c>
    </row>
    <row r="143" spans="1:13" ht="14.45" customHeight="1" x14ac:dyDescent="0.2">
      <c r="A143" s="822" t="s">
        <v>1902</v>
      </c>
      <c r="B143" s="823" t="s">
        <v>1623</v>
      </c>
      <c r="C143" s="823" t="s">
        <v>1922</v>
      </c>
      <c r="D143" s="823" t="s">
        <v>967</v>
      </c>
      <c r="E143" s="823" t="s">
        <v>1923</v>
      </c>
      <c r="F143" s="832"/>
      <c r="G143" s="832"/>
      <c r="H143" s="828">
        <v>0</v>
      </c>
      <c r="I143" s="832">
        <v>4</v>
      </c>
      <c r="J143" s="832">
        <v>137.88</v>
      </c>
      <c r="K143" s="828">
        <v>1</v>
      </c>
      <c r="L143" s="832">
        <v>4</v>
      </c>
      <c r="M143" s="833">
        <v>137.88</v>
      </c>
    </row>
    <row r="144" spans="1:13" ht="14.45" customHeight="1" x14ac:dyDescent="0.2">
      <c r="A144" s="822" t="s">
        <v>1902</v>
      </c>
      <c r="B144" s="823" t="s">
        <v>1623</v>
      </c>
      <c r="C144" s="823" t="s">
        <v>1624</v>
      </c>
      <c r="D144" s="823" t="s">
        <v>967</v>
      </c>
      <c r="E144" s="823" t="s">
        <v>1625</v>
      </c>
      <c r="F144" s="832"/>
      <c r="G144" s="832"/>
      <c r="H144" s="828">
        <v>0</v>
      </c>
      <c r="I144" s="832">
        <v>1</v>
      </c>
      <c r="J144" s="832">
        <v>103.4</v>
      </c>
      <c r="K144" s="828">
        <v>1</v>
      </c>
      <c r="L144" s="832">
        <v>1</v>
      </c>
      <c r="M144" s="833">
        <v>103.4</v>
      </c>
    </row>
    <row r="145" spans="1:13" ht="14.45" customHeight="1" x14ac:dyDescent="0.2">
      <c r="A145" s="822" t="s">
        <v>1902</v>
      </c>
      <c r="B145" s="823" t="s">
        <v>1626</v>
      </c>
      <c r="C145" s="823" t="s">
        <v>2565</v>
      </c>
      <c r="D145" s="823" t="s">
        <v>1628</v>
      </c>
      <c r="E145" s="823" t="s">
        <v>2566</v>
      </c>
      <c r="F145" s="832"/>
      <c r="G145" s="832"/>
      <c r="H145" s="828">
        <v>0</v>
      </c>
      <c r="I145" s="832">
        <v>1</v>
      </c>
      <c r="J145" s="832">
        <v>68.930000000000007</v>
      </c>
      <c r="K145" s="828">
        <v>1</v>
      </c>
      <c r="L145" s="832">
        <v>1</v>
      </c>
      <c r="M145" s="833">
        <v>68.930000000000007</v>
      </c>
    </row>
    <row r="146" spans="1:13" ht="14.45" customHeight="1" x14ac:dyDescent="0.2">
      <c r="A146" s="822" t="s">
        <v>1902</v>
      </c>
      <c r="B146" s="823" t="s">
        <v>1626</v>
      </c>
      <c r="C146" s="823" t="s">
        <v>2272</v>
      </c>
      <c r="D146" s="823" t="s">
        <v>1628</v>
      </c>
      <c r="E146" s="823" t="s">
        <v>2273</v>
      </c>
      <c r="F146" s="832"/>
      <c r="G146" s="832"/>
      <c r="H146" s="828">
        <v>0</v>
      </c>
      <c r="I146" s="832">
        <v>1</v>
      </c>
      <c r="J146" s="832">
        <v>7.47</v>
      </c>
      <c r="K146" s="828">
        <v>1</v>
      </c>
      <c r="L146" s="832">
        <v>1</v>
      </c>
      <c r="M146" s="833">
        <v>7.47</v>
      </c>
    </row>
    <row r="147" spans="1:13" ht="14.45" customHeight="1" x14ac:dyDescent="0.2">
      <c r="A147" s="822" t="s">
        <v>1902</v>
      </c>
      <c r="B147" s="823" t="s">
        <v>1630</v>
      </c>
      <c r="C147" s="823" t="s">
        <v>2894</v>
      </c>
      <c r="D147" s="823" t="s">
        <v>1632</v>
      </c>
      <c r="E147" s="823" t="s">
        <v>2895</v>
      </c>
      <c r="F147" s="832"/>
      <c r="G147" s="832"/>
      <c r="H147" s="828">
        <v>0</v>
      </c>
      <c r="I147" s="832">
        <v>1</v>
      </c>
      <c r="J147" s="832">
        <v>64.33</v>
      </c>
      <c r="K147" s="828">
        <v>1</v>
      </c>
      <c r="L147" s="832">
        <v>1</v>
      </c>
      <c r="M147" s="833">
        <v>64.33</v>
      </c>
    </row>
    <row r="148" spans="1:13" ht="14.45" customHeight="1" x14ac:dyDescent="0.2">
      <c r="A148" s="822" t="s">
        <v>1902</v>
      </c>
      <c r="B148" s="823" t="s">
        <v>3021</v>
      </c>
      <c r="C148" s="823" t="s">
        <v>2785</v>
      </c>
      <c r="D148" s="823" t="s">
        <v>2270</v>
      </c>
      <c r="E148" s="823" t="s">
        <v>2786</v>
      </c>
      <c r="F148" s="832"/>
      <c r="G148" s="832"/>
      <c r="H148" s="828">
        <v>0</v>
      </c>
      <c r="I148" s="832">
        <v>1</v>
      </c>
      <c r="J148" s="832">
        <v>117.46</v>
      </c>
      <c r="K148" s="828">
        <v>1</v>
      </c>
      <c r="L148" s="832">
        <v>1</v>
      </c>
      <c r="M148" s="833">
        <v>117.46</v>
      </c>
    </row>
    <row r="149" spans="1:13" ht="14.45" customHeight="1" x14ac:dyDescent="0.2">
      <c r="A149" s="822" t="s">
        <v>1902</v>
      </c>
      <c r="B149" s="823" t="s">
        <v>3021</v>
      </c>
      <c r="C149" s="823" t="s">
        <v>2885</v>
      </c>
      <c r="D149" s="823" t="s">
        <v>2270</v>
      </c>
      <c r="E149" s="823" t="s">
        <v>2886</v>
      </c>
      <c r="F149" s="832"/>
      <c r="G149" s="832"/>
      <c r="H149" s="828">
        <v>0</v>
      </c>
      <c r="I149" s="832">
        <v>1</v>
      </c>
      <c r="J149" s="832">
        <v>234.91</v>
      </c>
      <c r="K149" s="828">
        <v>1</v>
      </c>
      <c r="L149" s="832">
        <v>1</v>
      </c>
      <c r="M149" s="833">
        <v>234.91</v>
      </c>
    </row>
    <row r="150" spans="1:13" ht="14.45" customHeight="1" x14ac:dyDescent="0.2">
      <c r="A150" s="822" t="s">
        <v>1902</v>
      </c>
      <c r="B150" s="823" t="s">
        <v>3015</v>
      </c>
      <c r="C150" s="823" t="s">
        <v>2253</v>
      </c>
      <c r="D150" s="823" t="s">
        <v>2109</v>
      </c>
      <c r="E150" s="823" t="s">
        <v>2254</v>
      </c>
      <c r="F150" s="832"/>
      <c r="G150" s="832"/>
      <c r="H150" s="828">
        <v>0</v>
      </c>
      <c r="I150" s="832">
        <v>1</v>
      </c>
      <c r="J150" s="832">
        <v>39.549999999999997</v>
      </c>
      <c r="K150" s="828">
        <v>1</v>
      </c>
      <c r="L150" s="832">
        <v>1</v>
      </c>
      <c r="M150" s="833">
        <v>39.549999999999997</v>
      </c>
    </row>
    <row r="151" spans="1:13" ht="14.45" customHeight="1" x14ac:dyDescent="0.2">
      <c r="A151" s="822" t="s">
        <v>1902</v>
      </c>
      <c r="B151" s="823" t="s">
        <v>3022</v>
      </c>
      <c r="C151" s="823" t="s">
        <v>2890</v>
      </c>
      <c r="D151" s="823" t="s">
        <v>2891</v>
      </c>
      <c r="E151" s="823" t="s">
        <v>1640</v>
      </c>
      <c r="F151" s="832">
        <v>1</v>
      </c>
      <c r="G151" s="832">
        <v>39.549999999999997</v>
      </c>
      <c r="H151" s="828">
        <v>1</v>
      </c>
      <c r="I151" s="832"/>
      <c r="J151" s="832"/>
      <c r="K151" s="828">
        <v>0</v>
      </c>
      <c r="L151" s="832">
        <v>1</v>
      </c>
      <c r="M151" s="833">
        <v>39.549999999999997</v>
      </c>
    </row>
    <row r="152" spans="1:13" ht="14.45" customHeight="1" x14ac:dyDescent="0.2">
      <c r="A152" s="822" t="s">
        <v>1902</v>
      </c>
      <c r="B152" s="823" t="s">
        <v>3016</v>
      </c>
      <c r="C152" s="823" t="s">
        <v>2892</v>
      </c>
      <c r="D152" s="823" t="s">
        <v>2176</v>
      </c>
      <c r="E152" s="823" t="s">
        <v>2893</v>
      </c>
      <c r="F152" s="832"/>
      <c r="G152" s="832"/>
      <c r="H152" s="828">
        <v>0</v>
      </c>
      <c r="I152" s="832">
        <v>1</v>
      </c>
      <c r="J152" s="832">
        <v>103.72</v>
      </c>
      <c r="K152" s="828">
        <v>1</v>
      </c>
      <c r="L152" s="832">
        <v>1</v>
      </c>
      <c r="M152" s="833">
        <v>103.72</v>
      </c>
    </row>
    <row r="153" spans="1:13" ht="14.45" customHeight="1" x14ac:dyDescent="0.2">
      <c r="A153" s="822" t="s">
        <v>1902</v>
      </c>
      <c r="B153" s="823" t="s">
        <v>1634</v>
      </c>
      <c r="C153" s="823" t="s">
        <v>1796</v>
      </c>
      <c r="D153" s="823" t="s">
        <v>1639</v>
      </c>
      <c r="E153" s="823" t="s">
        <v>1797</v>
      </c>
      <c r="F153" s="832"/>
      <c r="G153" s="832"/>
      <c r="H153" s="828">
        <v>0</v>
      </c>
      <c r="I153" s="832">
        <v>9</v>
      </c>
      <c r="J153" s="832">
        <v>1894.75</v>
      </c>
      <c r="K153" s="828">
        <v>1</v>
      </c>
      <c r="L153" s="832">
        <v>9</v>
      </c>
      <c r="M153" s="833">
        <v>1894.75</v>
      </c>
    </row>
    <row r="154" spans="1:13" ht="14.45" customHeight="1" x14ac:dyDescent="0.2">
      <c r="A154" s="822" t="s">
        <v>1902</v>
      </c>
      <c r="B154" s="823" t="s">
        <v>1634</v>
      </c>
      <c r="C154" s="823" t="s">
        <v>1638</v>
      </c>
      <c r="D154" s="823" t="s">
        <v>1639</v>
      </c>
      <c r="E154" s="823" t="s">
        <v>1640</v>
      </c>
      <c r="F154" s="832">
        <v>4</v>
      </c>
      <c r="G154" s="832">
        <v>397.84000000000003</v>
      </c>
      <c r="H154" s="828">
        <v>1</v>
      </c>
      <c r="I154" s="832"/>
      <c r="J154" s="832"/>
      <c r="K154" s="828">
        <v>0</v>
      </c>
      <c r="L154" s="832">
        <v>4</v>
      </c>
      <c r="M154" s="833">
        <v>397.84000000000003</v>
      </c>
    </row>
    <row r="155" spans="1:13" ht="14.45" customHeight="1" x14ac:dyDescent="0.2">
      <c r="A155" s="822" t="s">
        <v>1902</v>
      </c>
      <c r="B155" s="823" t="s">
        <v>1641</v>
      </c>
      <c r="C155" s="823" t="s">
        <v>1642</v>
      </c>
      <c r="D155" s="823" t="s">
        <v>800</v>
      </c>
      <c r="E155" s="823" t="s">
        <v>1643</v>
      </c>
      <c r="F155" s="832"/>
      <c r="G155" s="832"/>
      <c r="H155" s="828">
        <v>0</v>
      </c>
      <c r="I155" s="832">
        <v>1</v>
      </c>
      <c r="J155" s="832">
        <v>100.1</v>
      </c>
      <c r="K155" s="828">
        <v>1</v>
      </c>
      <c r="L155" s="832">
        <v>1</v>
      </c>
      <c r="M155" s="833">
        <v>100.1</v>
      </c>
    </row>
    <row r="156" spans="1:13" ht="14.45" customHeight="1" x14ac:dyDescent="0.2">
      <c r="A156" s="822" t="s">
        <v>1902</v>
      </c>
      <c r="B156" s="823" t="s">
        <v>1651</v>
      </c>
      <c r="C156" s="823" t="s">
        <v>2703</v>
      </c>
      <c r="D156" s="823" t="s">
        <v>786</v>
      </c>
      <c r="E156" s="823" t="s">
        <v>2704</v>
      </c>
      <c r="F156" s="832">
        <v>1</v>
      </c>
      <c r="G156" s="832">
        <v>94.28</v>
      </c>
      <c r="H156" s="828">
        <v>1</v>
      </c>
      <c r="I156" s="832"/>
      <c r="J156" s="832"/>
      <c r="K156" s="828">
        <v>0</v>
      </c>
      <c r="L156" s="832">
        <v>1</v>
      </c>
      <c r="M156" s="833">
        <v>94.28</v>
      </c>
    </row>
    <row r="157" spans="1:13" ht="14.45" customHeight="1" x14ac:dyDescent="0.2">
      <c r="A157" s="822" t="s">
        <v>1902</v>
      </c>
      <c r="B157" s="823" t="s">
        <v>1651</v>
      </c>
      <c r="C157" s="823" t="s">
        <v>1655</v>
      </c>
      <c r="D157" s="823" t="s">
        <v>786</v>
      </c>
      <c r="E157" s="823" t="s">
        <v>789</v>
      </c>
      <c r="F157" s="832"/>
      <c r="G157" s="832"/>
      <c r="H157" s="828">
        <v>0</v>
      </c>
      <c r="I157" s="832">
        <v>1</v>
      </c>
      <c r="J157" s="832">
        <v>84.18</v>
      </c>
      <c r="K157" s="828">
        <v>1</v>
      </c>
      <c r="L157" s="832">
        <v>1</v>
      </c>
      <c r="M157" s="833">
        <v>84.18</v>
      </c>
    </row>
    <row r="158" spans="1:13" ht="14.45" customHeight="1" x14ac:dyDescent="0.2">
      <c r="A158" s="822" t="s">
        <v>1902</v>
      </c>
      <c r="B158" s="823" t="s">
        <v>1651</v>
      </c>
      <c r="C158" s="823" t="s">
        <v>1656</v>
      </c>
      <c r="D158" s="823" t="s">
        <v>786</v>
      </c>
      <c r="E158" s="823" t="s">
        <v>788</v>
      </c>
      <c r="F158" s="832"/>
      <c r="G158" s="832"/>
      <c r="H158" s="828">
        <v>0</v>
      </c>
      <c r="I158" s="832">
        <v>1</v>
      </c>
      <c r="J158" s="832">
        <v>63.14</v>
      </c>
      <c r="K158" s="828">
        <v>1</v>
      </c>
      <c r="L158" s="832">
        <v>1</v>
      </c>
      <c r="M158" s="833">
        <v>63.14</v>
      </c>
    </row>
    <row r="159" spans="1:13" ht="14.45" customHeight="1" x14ac:dyDescent="0.2">
      <c r="A159" s="822" t="s">
        <v>1902</v>
      </c>
      <c r="B159" s="823" t="s">
        <v>1668</v>
      </c>
      <c r="C159" s="823" t="s">
        <v>2867</v>
      </c>
      <c r="D159" s="823" t="s">
        <v>2037</v>
      </c>
      <c r="E159" s="823" t="s">
        <v>698</v>
      </c>
      <c r="F159" s="832"/>
      <c r="G159" s="832"/>
      <c r="H159" s="828">
        <v>0</v>
      </c>
      <c r="I159" s="832">
        <v>1</v>
      </c>
      <c r="J159" s="832">
        <v>96.04</v>
      </c>
      <c r="K159" s="828">
        <v>1</v>
      </c>
      <c r="L159" s="832">
        <v>1</v>
      </c>
      <c r="M159" s="833">
        <v>96.04</v>
      </c>
    </row>
    <row r="160" spans="1:13" ht="14.45" customHeight="1" x14ac:dyDescent="0.2">
      <c r="A160" s="822" t="s">
        <v>1902</v>
      </c>
      <c r="B160" s="823" t="s">
        <v>1734</v>
      </c>
      <c r="C160" s="823" t="s">
        <v>1735</v>
      </c>
      <c r="D160" s="823" t="s">
        <v>1736</v>
      </c>
      <c r="E160" s="823" t="s">
        <v>1737</v>
      </c>
      <c r="F160" s="832"/>
      <c r="G160" s="832"/>
      <c r="H160" s="828">
        <v>0</v>
      </c>
      <c r="I160" s="832">
        <v>2</v>
      </c>
      <c r="J160" s="832">
        <v>23.42</v>
      </c>
      <c r="K160" s="828">
        <v>1</v>
      </c>
      <c r="L160" s="832">
        <v>2</v>
      </c>
      <c r="M160" s="833">
        <v>23.42</v>
      </c>
    </row>
    <row r="161" spans="1:13" ht="14.45" customHeight="1" x14ac:dyDescent="0.2">
      <c r="A161" s="822" t="s">
        <v>1902</v>
      </c>
      <c r="B161" s="823" t="s">
        <v>1744</v>
      </c>
      <c r="C161" s="823" t="s">
        <v>1848</v>
      </c>
      <c r="D161" s="823" t="s">
        <v>1066</v>
      </c>
      <c r="E161" s="823" t="s">
        <v>1849</v>
      </c>
      <c r="F161" s="832"/>
      <c r="G161" s="832"/>
      <c r="H161" s="828"/>
      <c r="I161" s="832">
        <v>1</v>
      </c>
      <c r="J161" s="832">
        <v>0</v>
      </c>
      <c r="K161" s="828"/>
      <c r="L161" s="832">
        <v>1</v>
      </c>
      <c r="M161" s="833">
        <v>0</v>
      </c>
    </row>
    <row r="162" spans="1:13" ht="14.45" customHeight="1" x14ac:dyDescent="0.2">
      <c r="A162" s="822" t="s">
        <v>1902</v>
      </c>
      <c r="B162" s="823" t="s">
        <v>1852</v>
      </c>
      <c r="C162" s="823" t="s">
        <v>1853</v>
      </c>
      <c r="D162" s="823" t="s">
        <v>1171</v>
      </c>
      <c r="E162" s="823" t="s">
        <v>1854</v>
      </c>
      <c r="F162" s="832"/>
      <c r="G162" s="832"/>
      <c r="H162" s="828">
        <v>0</v>
      </c>
      <c r="I162" s="832">
        <v>1</v>
      </c>
      <c r="J162" s="832">
        <v>132</v>
      </c>
      <c r="K162" s="828">
        <v>1</v>
      </c>
      <c r="L162" s="832">
        <v>1</v>
      </c>
      <c r="M162" s="833">
        <v>132</v>
      </c>
    </row>
    <row r="163" spans="1:13" ht="14.45" customHeight="1" x14ac:dyDescent="0.2">
      <c r="A163" s="822" t="s">
        <v>1902</v>
      </c>
      <c r="B163" s="823" t="s">
        <v>1572</v>
      </c>
      <c r="C163" s="823" t="s">
        <v>2899</v>
      </c>
      <c r="D163" s="823" t="s">
        <v>1574</v>
      </c>
      <c r="E163" s="823" t="s">
        <v>2900</v>
      </c>
      <c r="F163" s="832"/>
      <c r="G163" s="832"/>
      <c r="H163" s="828">
        <v>0</v>
      </c>
      <c r="I163" s="832">
        <v>1</v>
      </c>
      <c r="J163" s="832">
        <v>1544.99</v>
      </c>
      <c r="K163" s="828">
        <v>1</v>
      </c>
      <c r="L163" s="832">
        <v>1</v>
      </c>
      <c r="M163" s="833">
        <v>1544.99</v>
      </c>
    </row>
    <row r="164" spans="1:13" ht="14.45" customHeight="1" x14ac:dyDescent="0.2">
      <c r="A164" s="822" t="s">
        <v>1902</v>
      </c>
      <c r="B164" s="823" t="s">
        <v>1572</v>
      </c>
      <c r="C164" s="823" t="s">
        <v>1576</v>
      </c>
      <c r="D164" s="823" t="s">
        <v>1574</v>
      </c>
      <c r="E164" s="823" t="s">
        <v>1577</v>
      </c>
      <c r="F164" s="832"/>
      <c r="G164" s="832"/>
      <c r="H164" s="828">
        <v>0</v>
      </c>
      <c r="I164" s="832">
        <v>1</v>
      </c>
      <c r="J164" s="832">
        <v>1771.84</v>
      </c>
      <c r="K164" s="828">
        <v>1</v>
      </c>
      <c r="L164" s="832">
        <v>1</v>
      </c>
      <c r="M164" s="833">
        <v>1771.84</v>
      </c>
    </row>
    <row r="165" spans="1:13" ht="14.45" customHeight="1" x14ac:dyDescent="0.2">
      <c r="A165" s="822" t="s">
        <v>1902</v>
      </c>
      <c r="B165" s="823" t="s">
        <v>3023</v>
      </c>
      <c r="C165" s="823" t="s">
        <v>2901</v>
      </c>
      <c r="D165" s="823" t="s">
        <v>2902</v>
      </c>
      <c r="E165" s="823" t="s">
        <v>2903</v>
      </c>
      <c r="F165" s="832"/>
      <c r="G165" s="832"/>
      <c r="H165" s="828">
        <v>0</v>
      </c>
      <c r="I165" s="832">
        <v>1</v>
      </c>
      <c r="J165" s="832">
        <v>755.17</v>
      </c>
      <c r="K165" s="828">
        <v>1</v>
      </c>
      <c r="L165" s="832">
        <v>1</v>
      </c>
      <c r="M165" s="833">
        <v>755.17</v>
      </c>
    </row>
    <row r="166" spans="1:13" ht="14.45" customHeight="1" x14ac:dyDescent="0.2">
      <c r="A166" s="822" t="s">
        <v>1902</v>
      </c>
      <c r="B166" s="823" t="s">
        <v>3013</v>
      </c>
      <c r="C166" s="823" t="s">
        <v>2904</v>
      </c>
      <c r="D166" s="823" t="s">
        <v>1930</v>
      </c>
      <c r="E166" s="823" t="s">
        <v>2905</v>
      </c>
      <c r="F166" s="832">
        <v>1</v>
      </c>
      <c r="G166" s="832">
        <v>33.549999999999997</v>
      </c>
      <c r="H166" s="828">
        <v>1</v>
      </c>
      <c r="I166" s="832"/>
      <c r="J166" s="832"/>
      <c r="K166" s="828">
        <v>0</v>
      </c>
      <c r="L166" s="832">
        <v>1</v>
      </c>
      <c r="M166" s="833">
        <v>33.549999999999997</v>
      </c>
    </row>
    <row r="167" spans="1:13" ht="14.45" customHeight="1" x14ac:dyDescent="0.2">
      <c r="A167" s="822" t="s">
        <v>1903</v>
      </c>
      <c r="B167" s="823" t="s">
        <v>1623</v>
      </c>
      <c r="C167" s="823" t="s">
        <v>1624</v>
      </c>
      <c r="D167" s="823" t="s">
        <v>967</v>
      </c>
      <c r="E167" s="823" t="s">
        <v>1625</v>
      </c>
      <c r="F167" s="832"/>
      <c r="G167" s="832"/>
      <c r="H167" s="828">
        <v>0</v>
      </c>
      <c r="I167" s="832">
        <v>1</v>
      </c>
      <c r="J167" s="832">
        <v>103.4</v>
      </c>
      <c r="K167" s="828">
        <v>1</v>
      </c>
      <c r="L167" s="832">
        <v>1</v>
      </c>
      <c r="M167" s="833">
        <v>103.4</v>
      </c>
    </row>
    <row r="168" spans="1:13" ht="14.45" customHeight="1" x14ac:dyDescent="0.2">
      <c r="A168" s="822" t="s">
        <v>1903</v>
      </c>
      <c r="B168" s="823" t="s">
        <v>3024</v>
      </c>
      <c r="C168" s="823" t="s">
        <v>2968</v>
      </c>
      <c r="D168" s="823" t="s">
        <v>2969</v>
      </c>
      <c r="E168" s="823" t="s">
        <v>2970</v>
      </c>
      <c r="F168" s="832">
        <v>2</v>
      </c>
      <c r="G168" s="832">
        <v>0</v>
      </c>
      <c r="H168" s="828"/>
      <c r="I168" s="832"/>
      <c r="J168" s="832"/>
      <c r="K168" s="828"/>
      <c r="L168" s="832">
        <v>2</v>
      </c>
      <c r="M168" s="833">
        <v>0</v>
      </c>
    </row>
    <row r="169" spans="1:13" ht="14.45" customHeight="1" x14ac:dyDescent="0.2">
      <c r="A169" s="822" t="s">
        <v>1903</v>
      </c>
      <c r="B169" s="823" t="s">
        <v>1664</v>
      </c>
      <c r="C169" s="823" t="s">
        <v>2200</v>
      </c>
      <c r="D169" s="823" t="s">
        <v>1088</v>
      </c>
      <c r="E169" s="823" t="s">
        <v>2201</v>
      </c>
      <c r="F169" s="832"/>
      <c r="G169" s="832"/>
      <c r="H169" s="828">
        <v>0</v>
      </c>
      <c r="I169" s="832">
        <v>1</v>
      </c>
      <c r="J169" s="832">
        <v>154.36000000000001</v>
      </c>
      <c r="K169" s="828">
        <v>1</v>
      </c>
      <c r="L169" s="832">
        <v>1</v>
      </c>
      <c r="M169" s="833">
        <v>154.36000000000001</v>
      </c>
    </row>
    <row r="170" spans="1:13" ht="14.45" customHeight="1" x14ac:dyDescent="0.2">
      <c r="A170" s="822" t="s">
        <v>1904</v>
      </c>
      <c r="B170" s="823" t="s">
        <v>1521</v>
      </c>
      <c r="C170" s="823" t="s">
        <v>2265</v>
      </c>
      <c r="D170" s="823" t="s">
        <v>2266</v>
      </c>
      <c r="E170" s="823" t="s">
        <v>2267</v>
      </c>
      <c r="F170" s="832">
        <v>1</v>
      </c>
      <c r="G170" s="832">
        <v>61.76</v>
      </c>
      <c r="H170" s="828">
        <v>1</v>
      </c>
      <c r="I170" s="832"/>
      <c r="J170" s="832"/>
      <c r="K170" s="828">
        <v>0</v>
      </c>
      <c r="L170" s="832">
        <v>1</v>
      </c>
      <c r="M170" s="833">
        <v>61.76</v>
      </c>
    </row>
    <row r="171" spans="1:13" ht="14.45" customHeight="1" x14ac:dyDescent="0.2">
      <c r="A171" s="822" t="s">
        <v>1904</v>
      </c>
      <c r="B171" s="823" t="s">
        <v>3025</v>
      </c>
      <c r="C171" s="823" t="s">
        <v>2246</v>
      </c>
      <c r="D171" s="823" t="s">
        <v>2247</v>
      </c>
      <c r="E171" s="823" t="s">
        <v>2248</v>
      </c>
      <c r="F171" s="832"/>
      <c r="G171" s="832"/>
      <c r="H171" s="828">
        <v>0</v>
      </c>
      <c r="I171" s="832">
        <v>1</v>
      </c>
      <c r="J171" s="832">
        <v>115.27</v>
      </c>
      <c r="K171" s="828">
        <v>1</v>
      </c>
      <c r="L171" s="832">
        <v>1</v>
      </c>
      <c r="M171" s="833">
        <v>115.27</v>
      </c>
    </row>
    <row r="172" spans="1:13" ht="14.45" customHeight="1" x14ac:dyDescent="0.2">
      <c r="A172" s="822" t="s">
        <v>1904</v>
      </c>
      <c r="B172" s="823" t="s">
        <v>1531</v>
      </c>
      <c r="C172" s="823" t="s">
        <v>1532</v>
      </c>
      <c r="D172" s="823" t="s">
        <v>1533</v>
      </c>
      <c r="E172" s="823" t="s">
        <v>1534</v>
      </c>
      <c r="F172" s="832"/>
      <c r="G172" s="832"/>
      <c r="H172" s="828">
        <v>0</v>
      </c>
      <c r="I172" s="832">
        <v>1</v>
      </c>
      <c r="J172" s="832">
        <v>86.41</v>
      </c>
      <c r="K172" s="828">
        <v>1</v>
      </c>
      <c r="L172" s="832">
        <v>1</v>
      </c>
      <c r="M172" s="833">
        <v>86.41</v>
      </c>
    </row>
    <row r="173" spans="1:13" ht="14.45" customHeight="1" x14ac:dyDescent="0.2">
      <c r="A173" s="822" t="s">
        <v>1904</v>
      </c>
      <c r="B173" s="823" t="s">
        <v>1545</v>
      </c>
      <c r="C173" s="823" t="s">
        <v>2186</v>
      </c>
      <c r="D173" s="823" t="s">
        <v>2187</v>
      </c>
      <c r="E173" s="823" t="s">
        <v>2188</v>
      </c>
      <c r="F173" s="832"/>
      <c r="G173" s="832"/>
      <c r="H173" s="828">
        <v>0</v>
      </c>
      <c r="I173" s="832">
        <v>2</v>
      </c>
      <c r="J173" s="832">
        <v>241.22</v>
      </c>
      <c r="K173" s="828">
        <v>1</v>
      </c>
      <c r="L173" s="832">
        <v>2</v>
      </c>
      <c r="M173" s="833">
        <v>241.22</v>
      </c>
    </row>
    <row r="174" spans="1:13" ht="14.45" customHeight="1" x14ac:dyDescent="0.2">
      <c r="A174" s="822" t="s">
        <v>1904</v>
      </c>
      <c r="B174" s="823" t="s">
        <v>1545</v>
      </c>
      <c r="C174" s="823" t="s">
        <v>2278</v>
      </c>
      <c r="D174" s="823" t="s">
        <v>2187</v>
      </c>
      <c r="E174" s="823" t="s">
        <v>2275</v>
      </c>
      <c r="F174" s="832">
        <v>1</v>
      </c>
      <c r="G174" s="832">
        <v>184.74</v>
      </c>
      <c r="H174" s="828">
        <v>1</v>
      </c>
      <c r="I174" s="832"/>
      <c r="J174" s="832"/>
      <c r="K174" s="828">
        <v>0</v>
      </c>
      <c r="L174" s="832">
        <v>1</v>
      </c>
      <c r="M174" s="833">
        <v>184.74</v>
      </c>
    </row>
    <row r="175" spans="1:13" ht="14.45" customHeight="1" x14ac:dyDescent="0.2">
      <c r="A175" s="822" t="s">
        <v>1904</v>
      </c>
      <c r="B175" s="823" t="s">
        <v>1551</v>
      </c>
      <c r="C175" s="823" t="s">
        <v>1552</v>
      </c>
      <c r="D175" s="823" t="s">
        <v>809</v>
      </c>
      <c r="E175" s="823" t="s">
        <v>1553</v>
      </c>
      <c r="F175" s="832"/>
      <c r="G175" s="832"/>
      <c r="H175" s="828">
        <v>0</v>
      </c>
      <c r="I175" s="832">
        <v>1</v>
      </c>
      <c r="J175" s="832">
        <v>1385.62</v>
      </c>
      <c r="K175" s="828">
        <v>1</v>
      </c>
      <c r="L175" s="832">
        <v>1</v>
      </c>
      <c r="M175" s="833">
        <v>1385.62</v>
      </c>
    </row>
    <row r="176" spans="1:13" ht="14.45" customHeight="1" x14ac:dyDescent="0.2">
      <c r="A176" s="822" t="s">
        <v>1904</v>
      </c>
      <c r="B176" s="823" t="s">
        <v>1551</v>
      </c>
      <c r="C176" s="823" t="s">
        <v>2257</v>
      </c>
      <c r="D176" s="823" t="s">
        <v>809</v>
      </c>
      <c r="E176" s="823" t="s">
        <v>2258</v>
      </c>
      <c r="F176" s="832"/>
      <c r="G176" s="832"/>
      <c r="H176" s="828">
        <v>0</v>
      </c>
      <c r="I176" s="832">
        <v>2</v>
      </c>
      <c r="J176" s="832">
        <v>4618.72</v>
      </c>
      <c r="K176" s="828">
        <v>1</v>
      </c>
      <c r="L176" s="832">
        <v>2</v>
      </c>
      <c r="M176" s="833">
        <v>4618.72</v>
      </c>
    </row>
    <row r="177" spans="1:13" ht="14.45" customHeight="1" x14ac:dyDescent="0.2">
      <c r="A177" s="822" t="s">
        <v>1904</v>
      </c>
      <c r="B177" s="823" t="s">
        <v>1566</v>
      </c>
      <c r="C177" s="823" t="s">
        <v>2237</v>
      </c>
      <c r="D177" s="823" t="s">
        <v>2238</v>
      </c>
      <c r="E177" s="823" t="s">
        <v>2239</v>
      </c>
      <c r="F177" s="832">
        <v>1</v>
      </c>
      <c r="G177" s="832">
        <v>300.33</v>
      </c>
      <c r="H177" s="828">
        <v>1</v>
      </c>
      <c r="I177" s="832"/>
      <c r="J177" s="832"/>
      <c r="K177" s="828">
        <v>0</v>
      </c>
      <c r="L177" s="832">
        <v>1</v>
      </c>
      <c r="M177" s="833">
        <v>300.33</v>
      </c>
    </row>
    <row r="178" spans="1:13" ht="14.45" customHeight="1" x14ac:dyDescent="0.2">
      <c r="A178" s="822" t="s">
        <v>1904</v>
      </c>
      <c r="B178" s="823" t="s">
        <v>1566</v>
      </c>
      <c r="C178" s="823" t="s">
        <v>1570</v>
      </c>
      <c r="D178" s="823" t="s">
        <v>1568</v>
      </c>
      <c r="E178" s="823" t="s">
        <v>1571</v>
      </c>
      <c r="F178" s="832"/>
      <c r="G178" s="832"/>
      <c r="H178" s="828">
        <v>0</v>
      </c>
      <c r="I178" s="832">
        <v>2</v>
      </c>
      <c r="J178" s="832">
        <v>373.74</v>
      </c>
      <c r="K178" s="828">
        <v>1</v>
      </c>
      <c r="L178" s="832">
        <v>2</v>
      </c>
      <c r="M178" s="833">
        <v>373.74</v>
      </c>
    </row>
    <row r="179" spans="1:13" ht="14.45" customHeight="1" x14ac:dyDescent="0.2">
      <c r="A179" s="822" t="s">
        <v>1904</v>
      </c>
      <c r="B179" s="823" t="s">
        <v>1578</v>
      </c>
      <c r="C179" s="823" t="s">
        <v>1581</v>
      </c>
      <c r="D179" s="823" t="s">
        <v>712</v>
      </c>
      <c r="E179" s="823" t="s">
        <v>1582</v>
      </c>
      <c r="F179" s="832"/>
      <c r="G179" s="832"/>
      <c r="H179" s="828">
        <v>0</v>
      </c>
      <c r="I179" s="832">
        <v>6</v>
      </c>
      <c r="J179" s="832">
        <v>480.06000000000006</v>
      </c>
      <c r="K179" s="828">
        <v>1</v>
      </c>
      <c r="L179" s="832">
        <v>6</v>
      </c>
      <c r="M179" s="833">
        <v>480.06000000000006</v>
      </c>
    </row>
    <row r="180" spans="1:13" ht="14.45" customHeight="1" x14ac:dyDescent="0.2">
      <c r="A180" s="822" t="s">
        <v>1904</v>
      </c>
      <c r="B180" s="823" t="s">
        <v>1588</v>
      </c>
      <c r="C180" s="823" t="s">
        <v>1953</v>
      </c>
      <c r="D180" s="823" t="s">
        <v>1954</v>
      </c>
      <c r="E180" s="823" t="s">
        <v>1785</v>
      </c>
      <c r="F180" s="832">
        <v>5</v>
      </c>
      <c r="G180" s="832">
        <v>212.55</v>
      </c>
      <c r="H180" s="828">
        <v>1</v>
      </c>
      <c r="I180" s="832"/>
      <c r="J180" s="832"/>
      <c r="K180" s="828">
        <v>0</v>
      </c>
      <c r="L180" s="832">
        <v>5</v>
      </c>
      <c r="M180" s="833">
        <v>212.55</v>
      </c>
    </row>
    <row r="181" spans="1:13" ht="14.45" customHeight="1" x14ac:dyDescent="0.2">
      <c r="A181" s="822" t="s">
        <v>1904</v>
      </c>
      <c r="B181" s="823" t="s">
        <v>1602</v>
      </c>
      <c r="C181" s="823" t="s">
        <v>2256</v>
      </c>
      <c r="D181" s="823" t="s">
        <v>1185</v>
      </c>
      <c r="E181" s="823" t="s">
        <v>1187</v>
      </c>
      <c r="F181" s="832">
        <v>1</v>
      </c>
      <c r="G181" s="832">
        <v>38.04</v>
      </c>
      <c r="H181" s="828">
        <v>1</v>
      </c>
      <c r="I181" s="832"/>
      <c r="J181" s="832"/>
      <c r="K181" s="828">
        <v>0</v>
      </c>
      <c r="L181" s="832">
        <v>1</v>
      </c>
      <c r="M181" s="833">
        <v>38.04</v>
      </c>
    </row>
    <row r="182" spans="1:13" ht="14.45" customHeight="1" x14ac:dyDescent="0.2">
      <c r="A182" s="822" t="s">
        <v>1904</v>
      </c>
      <c r="B182" s="823" t="s">
        <v>1602</v>
      </c>
      <c r="C182" s="823" t="s">
        <v>2118</v>
      </c>
      <c r="D182" s="823" t="s">
        <v>1185</v>
      </c>
      <c r="E182" s="823" t="s">
        <v>2119</v>
      </c>
      <c r="F182" s="832">
        <v>1</v>
      </c>
      <c r="G182" s="832">
        <v>117.03</v>
      </c>
      <c r="H182" s="828">
        <v>1</v>
      </c>
      <c r="I182" s="832"/>
      <c r="J182" s="832"/>
      <c r="K182" s="828">
        <v>0</v>
      </c>
      <c r="L182" s="832">
        <v>1</v>
      </c>
      <c r="M182" s="833">
        <v>117.03</v>
      </c>
    </row>
    <row r="183" spans="1:13" ht="14.45" customHeight="1" x14ac:dyDescent="0.2">
      <c r="A183" s="822" t="s">
        <v>1904</v>
      </c>
      <c r="B183" s="823" t="s">
        <v>1610</v>
      </c>
      <c r="C183" s="823" t="s">
        <v>1948</v>
      </c>
      <c r="D183" s="823" t="s">
        <v>1949</v>
      </c>
      <c r="E183" s="823" t="s">
        <v>1923</v>
      </c>
      <c r="F183" s="832">
        <v>1</v>
      </c>
      <c r="G183" s="832">
        <v>35.11</v>
      </c>
      <c r="H183" s="828">
        <v>1</v>
      </c>
      <c r="I183" s="832"/>
      <c r="J183" s="832"/>
      <c r="K183" s="828">
        <v>0</v>
      </c>
      <c r="L183" s="832">
        <v>1</v>
      </c>
      <c r="M183" s="833">
        <v>35.11</v>
      </c>
    </row>
    <row r="184" spans="1:13" ht="14.45" customHeight="1" x14ac:dyDescent="0.2">
      <c r="A184" s="822" t="s">
        <v>1904</v>
      </c>
      <c r="B184" s="823" t="s">
        <v>1610</v>
      </c>
      <c r="C184" s="823" t="s">
        <v>1616</v>
      </c>
      <c r="D184" s="823" t="s">
        <v>673</v>
      </c>
      <c r="E184" s="823" t="s">
        <v>676</v>
      </c>
      <c r="F184" s="832"/>
      <c r="G184" s="832"/>
      <c r="H184" s="828">
        <v>0</v>
      </c>
      <c r="I184" s="832">
        <v>1</v>
      </c>
      <c r="J184" s="832">
        <v>17.559999999999999</v>
      </c>
      <c r="K184" s="828">
        <v>1</v>
      </c>
      <c r="L184" s="832">
        <v>1</v>
      </c>
      <c r="M184" s="833">
        <v>17.559999999999999</v>
      </c>
    </row>
    <row r="185" spans="1:13" ht="14.45" customHeight="1" x14ac:dyDescent="0.2">
      <c r="A185" s="822" t="s">
        <v>1904</v>
      </c>
      <c r="B185" s="823" t="s">
        <v>1610</v>
      </c>
      <c r="C185" s="823" t="s">
        <v>2226</v>
      </c>
      <c r="D185" s="823" t="s">
        <v>673</v>
      </c>
      <c r="E185" s="823" t="s">
        <v>1923</v>
      </c>
      <c r="F185" s="832"/>
      <c r="G185" s="832"/>
      <c r="H185" s="828">
        <v>0</v>
      </c>
      <c r="I185" s="832">
        <v>1</v>
      </c>
      <c r="J185" s="832">
        <v>35.11</v>
      </c>
      <c r="K185" s="828">
        <v>1</v>
      </c>
      <c r="L185" s="832">
        <v>1</v>
      </c>
      <c r="M185" s="833">
        <v>35.11</v>
      </c>
    </row>
    <row r="186" spans="1:13" ht="14.45" customHeight="1" x14ac:dyDescent="0.2">
      <c r="A186" s="822" t="s">
        <v>1904</v>
      </c>
      <c r="B186" s="823" t="s">
        <v>1792</v>
      </c>
      <c r="C186" s="823" t="s">
        <v>2016</v>
      </c>
      <c r="D186" s="823" t="s">
        <v>1794</v>
      </c>
      <c r="E186" s="823" t="s">
        <v>2017</v>
      </c>
      <c r="F186" s="832"/>
      <c r="G186" s="832"/>
      <c r="H186" s="828">
        <v>0</v>
      </c>
      <c r="I186" s="832">
        <v>1</v>
      </c>
      <c r="J186" s="832">
        <v>93.27</v>
      </c>
      <c r="K186" s="828">
        <v>1</v>
      </c>
      <c r="L186" s="832">
        <v>1</v>
      </c>
      <c r="M186" s="833">
        <v>93.27</v>
      </c>
    </row>
    <row r="187" spans="1:13" ht="14.45" customHeight="1" x14ac:dyDescent="0.2">
      <c r="A187" s="822" t="s">
        <v>1904</v>
      </c>
      <c r="B187" s="823" t="s">
        <v>1623</v>
      </c>
      <c r="C187" s="823" t="s">
        <v>1624</v>
      </c>
      <c r="D187" s="823" t="s">
        <v>967</v>
      </c>
      <c r="E187" s="823" t="s">
        <v>1625</v>
      </c>
      <c r="F187" s="832"/>
      <c r="G187" s="832"/>
      <c r="H187" s="828">
        <v>0</v>
      </c>
      <c r="I187" s="832">
        <v>1</v>
      </c>
      <c r="J187" s="832">
        <v>103.4</v>
      </c>
      <c r="K187" s="828">
        <v>1</v>
      </c>
      <c r="L187" s="832">
        <v>1</v>
      </c>
      <c r="M187" s="833">
        <v>103.4</v>
      </c>
    </row>
    <row r="188" spans="1:13" ht="14.45" customHeight="1" x14ac:dyDescent="0.2">
      <c r="A188" s="822" t="s">
        <v>1904</v>
      </c>
      <c r="B188" s="823" t="s">
        <v>1626</v>
      </c>
      <c r="C188" s="823" t="s">
        <v>2272</v>
      </c>
      <c r="D188" s="823" t="s">
        <v>1628</v>
      </c>
      <c r="E188" s="823" t="s">
        <v>2273</v>
      </c>
      <c r="F188" s="832"/>
      <c r="G188" s="832"/>
      <c r="H188" s="828">
        <v>0</v>
      </c>
      <c r="I188" s="832">
        <v>1</v>
      </c>
      <c r="J188" s="832">
        <v>7.47</v>
      </c>
      <c r="K188" s="828">
        <v>1</v>
      </c>
      <c r="L188" s="832">
        <v>1</v>
      </c>
      <c r="M188" s="833">
        <v>7.47</v>
      </c>
    </row>
    <row r="189" spans="1:13" ht="14.45" customHeight="1" x14ac:dyDescent="0.2">
      <c r="A189" s="822" t="s">
        <v>1904</v>
      </c>
      <c r="B189" s="823" t="s">
        <v>1626</v>
      </c>
      <c r="C189" s="823" t="s">
        <v>2274</v>
      </c>
      <c r="D189" s="823" t="s">
        <v>1628</v>
      </c>
      <c r="E189" s="823" t="s">
        <v>2275</v>
      </c>
      <c r="F189" s="832"/>
      <c r="G189" s="832"/>
      <c r="H189" s="828">
        <v>0</v>
      </c>
      <c r="I189" s="832">
        <v>2</v>
      </c>
      <c r="J189" s="832">
        <v>229.76</v>
      </c>
      <c r="K189" s="828">
        <v>1</v>
      </c>
      <c r="L189" s="832">
        <v>2</v>
      </c>
      <c r="M189" s="833">
        <v>229.76</v>
      </c>
    </row>
    <row r="190" spans="1:13" ht="14.45" customHeight="1" x14ac:dyDescent="0.2">
      <c r="A190" s="822" t="s">
        <v>1904</v>
      </c>
      <c r="B190" s="823" t="s">
        <v>3021</v>
      </c>
      <c r="C190" s="823" t="s">
        <v>2269</v>
      </c>
      <c r="D190" s="823" t="s">
        <v>2270</v>
      </c>
      <c r="E190" s="823" t="s">
        <v>2271</v>
      </c>
      <c r="F190" s="832"/>
      <c r="G190" s="832"/>
      <c r="H190" s="828">
        <v>0</v>
      </c>
      <c r="I190" s="832">
        <v>1</v>
      </c>
      <c r="J190" s="832">
        <v>704.73</v>
      </c>
      <c r="K190" s="828">
        <v>1</v>
      </c>
      <c r="L190" s="832">
        <v>1</v>
      </c>
      <c r="M190" s="833">
        <v>704.73</v>
      </c>
    </row>
    <row r="191" spans="1:13" ht="14.45" customHeight="1" x14ac:dyDescent="0.2">
      <c r="A191" s="822" t="s">
        <v>1904</v>
      </c>
      <c r="B191" s="823" t="s">
        <v>3015</v>
      </c>
      <c r="C191" s="823" t="s">
        <v>2253</v>
      </c>
      <c r="D191" s="823" t="s">
        <v>2109</v>
      </c>
      <c r="E191" s="823" t="s">
        <v>2254</v>
      </c>
      <c r="F191" s="832"/>
      <c r="G191" s="832"/>
      <c r="H191" s="828">
        <v>0</v>
      </c>
      <c r="I191" s="832">
        <v>1</v>
      </c>
      <c r="J191" s="832">
        <v>39.549999999999997</v>
      </c>
      <c r="K191" s="828">
        <v>1</v>
      </c>
      <c r="L191" s="832">
        <v>1</v>
      </c>
      <c r="M191" s="833">
        <v>39.549999999999997</v>
      </c>
    </row>
    <row r="192" spans="1:13" ht="14.45" customHeight="1" x14ac:dyDescent="0.2">
      <c r="A192" s="822" t="s">
        <v>1904</v>
      </c>
      <c r="B192" s="823" t="s">
        <v>1634</v>
      </c>
      <c r="C192" s="823" t="s">
        <v>1796</v>
      </c>
      <c r="D192" s="823" t="s">
        <v>1639</v>
      </c>
      <c r="E192" s="823" t="s">
        <v>1797</v>
      </c>
      <c r="F192" s="832"/>
      <c r="G192" s="832"/>
      <c r="H192" s="828">
        <v>0</v>
      </c>
      <c r="I192" s="832">
        <v>5</v>
      </c>
      <c r="J192" s="832">
        <v>1102.6500000000001</v>
      </c>
      <c r="K192" s="828">
        <v>1</v>
      </c>
      <c r="L192" s="832">
        <v>5</v>
      </c>
      <c r="M192" s="833">
        <v>1102.6500000000001</v>
      </c>
    </row>
    <row r="193" spans="1:13" ht="14.45" customHeight="1" x14ac:dyDescent="0.2">
      <c r="A193" s="822" t="s">
        <v>1904</v>
      </c>
      <c r="B193" s="823" t="s">
        <v>1634</v>
      </c>
      <c r="C193" s="823" t="s">
        <v>2223</v>
      </c>
      <c r="D193" s="823" t="s">
        <v>1639</v>
      </c>
      <c r="E193" s="823" t="s">
        <v>2224</v>
      </c>
      <c r="F193" s="832">
        <v>1</v>
      </c>
      <c r="G193" s="832">
        <v>310.58999999999997</v>
      </c>
      <c r="H193" s="828">
        <v>1</v>
      </c>
      <c r="I193" s="832"/>
      <c r="J193" s="832"/>
      <c r="K193" s="828">
        <v>0</v>
      </c>
      <c r="L193" s="832">
        <v>1</v>
      </c>
      <c r="M193" s="833">
        <v>310.58999999999997</v>
      </c>
    </row>
    <row r="194" spans="1:13" ht="14.45" customHeight="1" x14ac:dyDescent="0.2">
      <c r="A194" s="822" t="s">
        <v>1904</v>
      </c>
      <c r="B194" s="823" t="s">
        <v>1651</v>
      </c>
      <c r="C194" s="823" t="s">
        <v>2285</v>
      </c>
      <c r="D194" s="823" t="s">
        <v>1653</v>
      </c>
      <c r="E194" s="823" t="s">
        <v>2286</v>
      </c>
      <c r="F194" s="832"/>
      <c r="G194" s="832"/>
      <c r="H194" s="828">
        <v>0</v>
      </c>
      <c r="I194" s="832">
        <v>1</v>
      </c>
      <c r="J194" s="832">
        <v>49.08</v>
      </c>
      <c r="K194" s="828">
        <v>1</v>
      </c>
      <c r="L194" s="832">
        <v>1</v>
      </c>
      <c r="M194" s="833">
        <v>49.08</v>
      </c>
    </row>
    <row r="195" spans="1:13" ht="14.45" customHeight="1" x14ac:dyDescent="0.2">
      <c r="A195" s="822" t="s">
        <v>1904</v>
      </c>
      <c r="B195" s="823" t="s">
        <v>1572</v>
      </c>
      <c r="C195" s="823" t="s">
        <v>2190</v>
      </c>
      <c r="D195" s="823" t="s">
        <v>1574</v>
      </c>
      <c r="E195" s="823" t="s">
        <v>2191</v>
      </c>
      <c r="F195" s="832"/>
      <c r="G195" s="832"/>
      <c r="H195" s="828">
        <v>0</v>
      </c>
      <c r="I195" s="832">
        <v>1</v>
      </c>
      <c r="J195" s="832">
        <v>4961.1400000000003</v>
      </c>
      <c r="K195" s="828">
        <v>1</v>
      </c>
      <c r="L195" s="832">
        <v>1</v>
      </c>
      <c r="M195" s="833">
        <v>4961.1400000000003</v>
      </c>
    </row>
    <row r="196" spans="1:13" ht="14.45" customHeight="1" x14ac:dyDescent="0.2">
      <c r="A196" s="822" t="s">
        <v>1905</v>
      </c>
      <c r="B196" s="823" t="s">
        <v>1521</v>
      </c>
      <c r="C196" s="823" t="s">
        <v>1522</v>
      </c>
      <c r="D196" s="823" t="s">
        <v>706</v>
      </c>
      <c r="E196" s="823" t="s">
        <v>1523</v>
      </c>
      <c r="F196" s="832"/>
      <c r="G196" s="832"/>
      <c r="H196" s="828">
        <v>0</v>
      </c>
      <c r="I196" s="832">
        <v>1</v>
      </c>
      <c r="J196" s="832">
        <v>102.93</v>
      </c>
      <c r="K196" s="828">
        <v>1</v>
      </c>
      <c r="L196" s="832">
        <v>1</v>
      </c>
      <c r="M196" s="833">
        <v>102.93</v>
      </c>
    </row>
    <row r="197" spans="1:13" ht="14.45" customHeight="1" x14ac:dyDescent="0.2">
      <c r="A197" s="822" t="s">
        <v>1905</v>
      </c>
      <c r="B197" s="823" t="s">
        <v>1521</v>
      </c>
      <c r="C197" s="823" t="s">
        <v>1976</v>
      </c>
      <c r="D197" s="823" t="s">
        <v>706</v>
      </c>
      <c r="E197" s="823" t="s">
        <v>1977</v>
      </c>
      <c r="F197" s="832"/>
      <c r="G197" s="832"/>
      <c r="H197" s="828">
        <v>0</v>
      </c>
      <c r="I197" s="832">
        <v>2</v>
      </c>
      <c r="J197" s="832">
        <v>57.62</v>
      </c>
      <c r="K197" s="828">
        <v>1</v>
      </c>
      <c r="L197" s="832">
        <v>2</v>
      </c>
      <c r="M197" s="833">
        <v>57.62</v>
      </c>
    </row>
    <row r="198" spans="1:13" ht="14.45" customHeight="1" x14ac:dyDescent="0.2">
      <c r="A198" s="822" t="s">
        <v>1905</v>
      </c>
      <c r="B198" s="823" t="s">
        <v>1531</v>
      </c>
      <c r="C198" s="823" t="s">
        <v>2337</v>
      </c>
      <c r="D198" s="823" t="s">
        <v>1533</v>
      </c>
      <c r="E198" s="823" t="s">
        <v>2338</v>
      </c>
      <c r="F198" s="832">
        <v>1</v>
      </c>
      <c r="G198" s="832">
        <v>0</v>
      </c>
      <c r="H198" s="828"/>
      <c r="I198" s="832"/>
      <c r="J198" s="832"/>
      <c r="K198" s="828"/>
      <c r="L198" s="832">
        <v>1</v>
      </c>
      <c r="M198" s="833">
        <v>0</v>
      </c>
    </row>
    <row r="199" spans="1:13" ht="14.45" customHeight="1" x14ac:dyDescent="0.2">
      <c r="A199" s="822" t="s">
        <v>1905</v>
      </c>
      <c r="B199" s="823" t="s">
        <v>1545</v>
      </c>
      <c r="C199" s="823" t="s">
        <v>1549</v>
      </c>
      <c r="D199" s="823" t="s">
        <v>1547</v>
      </c>
      <c r="E199" s="823" t="s">
        <v>1550</v>
      </c>
      <c r="F199" s="832"/>
      <c r="G199" s="832"/>
      <c r="H199" s="828">
        <v>0</v>
      </c>
      <c r="I199" s="832">
        <v>4</v>
      </c>
      <c r="J199" s="832">
        <v>738.96</v>
      </c>
      <c r="K199" s="828">
        <v>1</v>
      </c>
      <c r="L199" s="832">
        <v>4</v>
      </c>
      <c r="M199" s="833">
        <v>738.96</v>
      </c>
    </row>
    <row r="200" spans="1:13" ht="14.45" customHeight="1" x14ac:dyDescent="0.2">
      <c r="A200" s="822" t="s">
        <v>1905</v>
      </c>
      <c r="B200" s="823" t="s">
        <v>1551</v>
      </c>
      <c r="C200" s="823" t="s">
        <v>1552</v>
      </c>
      <c r="D200" s="823" t="s">
        <v>809</v>
      </c>
      <c r="E200" s="823" t="s">
        <v>1553</v>
      </c>
      <c r="F200" s="832"/>
      <c r="G200" s="832"/>
      <c r="H200" s="828">
        <v>0</v>
      </c>
      <c r="I200" s="832">
        <v>1</v>
      </c>
      <c r="J200" s="832">
        <v>1385.62</v>
      </c>
      <c r="K200" s="828">
        <v>1</v>
      </c>
      <c r="L200" s="832">
        <v>1</v>
      </c>
      <c r="M200" s="833">
        <v>1385.62</v>
      </c>
    </row>
    <row r="201" spans="1:13" ht="14.45" customHeight="1" x14ac:dyDescent="0.2">
      <c r="A201" s="822" t="s">
        <v>1905</v>
      </c>
      <c r="B201" s="823" t="s">
        <v>1551</v>
      </c>
      <c r="C201" s="823" t="s">
        <v>1560</v>
      </c>
      <c r="D201" s="823" t="s">
        <v>803</v>
      </c>
      <c r="E201" s="823" t="s">
        <v>1561</v>
      </c>
      <c r="F201" s="832"/>
      <c r="G201" s="832"/>
      <c r="H201" s="828">
        <v>0</v>
      </c>
      <c r="I201" s="832">
        <v>1</v>
      </c>
      <c r="J201" s="832">
        <v>736.33</v>
      </c>
      <c r="K201" s="828">
        <v>1</v>
      </c>
      <c r="L201" s="832">
        <v>1</v>
      </c>
      <c r="M201" s="833">
        <v>736.33</v>
      </c>
    </row>
    <row r="202" spans="1:13" ht="14.45" customHeight="1" x14ac:dyDescent="0.2">
      <c r="A202" s="822" t="s">
        <v>1905</v>
      </c>
      <c r="B202" s="823" t="s">
        <v>1551</v>
      </c>
      <c r="C202" s="823" t="s">
        <v>1554</v>
      </c>
      <c r="D202" s="823" t="s">
        <v>809</v>
      </c>
      <c r="E202" s="823" t="s">
        <v>1555</v>
      </c>
      <c r="F202" s="832"/>
      <c r="G202" s="832"/>
      <c r="H202" s="828">
        <v>0</v>
      </c>
      <c r="I202" s="832">
        <v>2</v>
      </c>
      <c r="J202" s="832">
        <v>3694.98</v>
      </c>
      <c r="K202" s="828">
        <v>1</v>
      </c>
      <c r="L202" s="832">
        <v>2</v>
      </c>
      <c r="M202" s="833">
        <v>3694.98</v>
      </c>
    </row>
    <row r="203" spans="1:13" ht="14.45" customHeight="1" x14ac:dyDescent="0.2">
      <c r="A203" s="822" t="s">
        <v>1905</v>
      </c>
      <c r="B203" s="823" t="s">
        <v>1551</v>
      </c>
      <c r="C203" s="823" t="s">
        <v>1556</v>
      </c>
      <c r="D203" s="823" t="s">
        <v>803</v>
      </c>
      <c r="E203" s="823" t="s">
        <v>1557</v>
      </c>
      <c r="F203" s="832"/>
      <c r="G203" s="832"/>
      <c r="H203" s="828">
        <v>0</v>
      </c>
      <c r="I203" s="832">
        <v>1</v>
      </c>
      <c r="J203" s="832">
        <v>923.74</v>
      </c>
      <c r="K203" s="828">
        <v>1</v>
      </c>
      <c r="L203" s="832">
        <v>1</v>
      </c>
      <c r="M203" s="833">
        <v>923.74</v>
      </c>
    </row>
    <row r="204" spans="1:13" ht="14.45" customHeight="1" x14ac:dyDescent="0.2">
      <c r="A204" s="822" t="s">
        <v>1905</v>
      </c>
      <c r="B204" s="823" t="s">
        <v>1566</v>
      </c>
      <c r="C204" s="823" t="s">
        <v>1567</v>
      </c>
      <c r="D204" s="823" t="s">
        <v>1568</v>
      </c>
      <c r="E204" s="823" t="s">
        <v>1569</v>
      </c>
      <c r="F204" s="832"/>
      <c r="G204" s="832"/>
      <c r="H204" s="828">
        <v>0</v>
      </c>
      <c r="I204" s="832">
        <v>8</v>
      </c>
      <c r="J204" s="832">
        <v>747.44</v>
      </c>
      <c r="K204" s="828">
        <v>1</v>
      </c>
      <c r="L204" s="832">
        <v>8</v>
      </c>
      <c r="M204" s="833">
        <v>747.44</v>
      </c>
    </row>
    <row r="205" spans="1:13" ht="14.45" customHeight="1" x14ac:dyDescent="0.2">
      <c r="A205" s="822" t="s">
        <v>1905</v>
      </c>
      <c r="B205" s="823" t="s">
        <v>1578</v>
      </c>
      <c r="C205" s="823" t="s">
        <v>1581</v>
      </c>
      <c r="D205" s="823" t="s">
        <v>712</v>
      </c>
      <c r="E205" s="823" t="s">
        <v>1582</v>
      </c>
      <c r="F205" s="832"/>
      <c r="G205" s="832"/>
      <c r="H205" s="828">
        <v>0</v>
      </c>
      <c r="I205" s="832">
        <v>6</v>
      </c>
      <c r="J205" s="832">
        <v>480.06000000000006</v>
      </c>
      <c r="K205" s="828">
        <v>1</v>
      </c>
      <c r="L205" s="832">
        <v>6</v>
      </c>
      <c r="M205" s="833">
        <v>480.06000000000006</v>
      </c>
    </row>
    <row r="206" spans="1:13" ht="14.45" customHeight="1" x14ac:dyDescent="0.2">
      <c r="A206" s="822" t="s">
        <v>1905</v>
      </c>
      <c r="B206" s="823" t="s">
        <v>1588</v>
      </c>
      <c r="C206" s="823" t="s">
        <v>1953</v>
      </c>
      <c r="D206" s="823" t="s">
        <v>1954</v>
      </c>
      <c r="E206" s="823" t="s">
        <v>1785</v>
      </c>
      <c r="F206" s="832">
        <v>2</v>
      </c>
      <c r="G206" s="832">
        <v>85.02</v>
      </c>
      <c r="H206" s="828">
        <v>1</v>
      </c>
      <c r="I206" s="832"/>
      <c r="J206" s="832"/>
      <c r="K206" s="828">
        <v>0</v>
      </c>
      <c r="L206" s="832">
        <v>2</v>
      </c>
      <c r="M206" s="833">
        <v>85.02</v>
      </c>
    </row>
    <row r="207" spans="1:13" ht="14.45" customHeight="1" x14ac:dyDescent="0.2">
      <c r="A207" s="822" t="s">
        <v>1905</v>
      </c>
      <c r="B207" s="823" t="s">
        <v>1610</v>
      </c>
      <c r="C207" s="823" t="s">
        <v>1948</v>
      </c>
      <c r="D207" s="823" t="s">
        <v>1949</v>
      </c>
      <c r="E207" s="823" t="s">
        <v>1923</v>
      </c>
      <c r="F207" s="832">
        <v>2</v>
      </c>
      <c r="G207" s="832">
        <v>70.22</v>
      </c>
      <c r="H207" s="828">
        <v>1</v>
      </c>
      <c r="I207" s="832"/>
      <c r="J207" s="832"/>
      <c r="K207" s="828">
        <v>0</v>
      </c>
      <c r="L207" s="832">
        <v>2</v>
      </c>
      <c r="M207" s="833">
        <v>70.22</v>
      </c>
    </row>
    <row r="208" spans="1:13" ht="14.45" customHeight="1" x14ac:dyDescent="0.2">
      <c r="A208" s="822" t="s">
        <v>1905</v>
      </c>
      <c r="B208" s="823" t="s">
        <v>1610</v>
      </c>
      <c r="C208" s="823" t="s">
        <v>2296</v>
      </c>
      <c r="D208" s="823" t="s">
        <v>673</v>
      </c>
      <c r="E208" s="823" t="s">
        <v>676</v>
      </c>
      <c r="F208" s="832">
        <v>1</v>
      </c>
      <c r="G208" s="832">
        <v>17.559999999999999</v>
      </c>
      <c r="H208" s="828">
        <v>1</v>
      </c>
      <c r="I208" s="832"/>
      <c r="J208" s="832"/>
      <c r="K208" s="828">
        <v>0</v>
      </c>
      <c r="L208" s="832">
        <v>1</v>
      </c>
      <c r="M208" s="833">
        <v>17.559999999999999</v>
      </c>
    </row>
    <row r="209" spans="1:13" ht="14.45" customHeight="1" x14ac:dyDescent="0.2">
      <c r="A209" s="822" t="s">
        <v>1905</v>
      </c>
      <c r="B209" s="823" t="s">
        <v>1610</v>
      </c>
      <c r="C209" s="823" t="s">
        <v>1950</v>
      </c>
      <c r="D209" s="823" t="s">
        <v>1615</v>
      </c>
      <c r="E209" s="823" t="s">
        <v>676</v>
      </c>
      <c r="F209" s="832">
        <v>1</v>
      </c>
      <c r="G209" s="832">
        <v>17.559999999999999</v>
      </c>
      <c r="H209" s="828">
        <v>1</v>
      </c>
      <c r="I209" s="832"/>
      <c r="J209" s="832"/>
      <c r="K209" s="828">
        <v>0</v>
      </c>
      <c r="L209" s="832">
        <v>1</v>
      </c>
      <c r="M209" s="833">
        <v>17.559999999999999</v>
      </c>
    </row>
    <row r="210" spans="1:13" ht="14.45" customHeight="1" x14ac:dyDescent="0.2">
      <c r="A210" s="822" t="s">
        <v>1905</v>
      </c>
      <c r="B210" s="823" t="s">
        <v>1610</v>
      </c>
      <c r="C210" s="823" t="s">
        <v>2297</v>
      </c>
      <c r="D210" s="823" t="s">
        <v>1615</v>
      </c>
      <c r="E210" s="823" t="s">
        <v>1923</v>
      </c>
      <c r="F210" s="832">
        <v>1</v>
      </c>
      <c r="G210" s="832">
        <v>35.11</v>
      </c>
      <c r="H210" s="828">
        <v>1</v>
      </c>
      <c r="I210" s="832"/>
      <c r="J210" s="832"/>
      <c r="K210" s="828">
        <v>0</v>
      </c>
      <c r="L210" s="832">
        <v>1</v>
      </c>
      <c r="M210" s="833">
        <v>35.11</v>
      </c>
    </row>
    <row r="211" spans="1:13" ht="14.45" customHeight="1" x14ac:dyDescent="0.2">
      <c r="A211" s="822" t="s">
        <v>1905</v>
      </c>
      <c r="B211" s="823" t="s">
        <v>1623</v>
      </c>
      <c r="C211" s="823" t="s">
        <v>1922</v>
      </c>
      <c r="D211" s="823" t="s">
        <v>967</v>
      </c>
      <c r="E211" s="823" t="s">
        <v>1923</v>
      </c>
      <c r="F211" s="832"/>
      <c r="G211" s="832"/>
      <c r="H211" s="828">
        <v>0</v>
      </c>
      <c r="I211" s="832">
        <v>7</v>
      </c>
      <c r="J211" s="832">
        <v>241.29</v>
      </c>
      <c r="K211" s="828">
        <v>1</v>
      </c>
      <c r="L211" s="832">
        <v>7</v>
      </c>
      <c r="M211" s="833">
        <v>241.29</v>
      </c>
    </row>
    <row r="212" spans="1:13" ht="14.45" customHeight="1" x14ac:dyDescent="0.2">
      <c r="A212" s="822" t="s">
        <v>1905</v>
      </c>
      <c r="B212" s="823" t="s">
        <v>1626</v>
      </c>
      <c r="C212" s="823" t="s">
        <v>1627</v>
      </c>
      <c r="D212" s="823" t="s">
        <v>1628</v>
      </c>
      <c r="E212" s="823" t="s">
        <v>1629</v>
      </c>
      <c r="F212" s="832"/>
      <c r="G212" s="832"/>
      <c r="H212" s="828">
        <v>0</v>
      </c>
      <c r="I212" s="832">
        <v>1</v>
      </c>
      <c r="J212" s="832">
        <v>11.48</v>
      </c>
      <c r="K212" s="828">
        <v>1</v>
      </c>
      <c r="L212" s="832">
        <v>1</v>
      </c>
      <c r="M212" s="833">
        <v>11.48</v>
      </c>
    </row>
    <row r="213" spans="1:13" ht="14.45" customHeight="1" x14ac:dyDescent="0.2">
      <c r="A213" s="822" t="s">
        <v>1905</v>
      </c>
      <c r="B213" s="823" t="s">
        <v>1626</v>
      </c>
      <c r="C213" s="823" t="s">
        <v>2362</v>
      </c>
      <c r="D213" s="823" t="s">
        <v>1628</v>
      </c>
      <c r="E213" s="823" t="s">
        <v>2019</v>
      </c>
      <c r="F213" s="832"/>
      <c r="G213" s="832"/>
      <c r="H213" s="828">
        <v>0</v>
      </c>
      <c r="I213" s="832">
        <v>1</v>
      </c>
      <c r="J213" s="832">
        <v>34.47</v>
      </c>
      <c r="K213" s="828">
        <v>1</v>
      </c>
      <c r="L213" s="832">
        <v>1</v>
      </c>
      <c r="M213" s="833">
        <v>34.47</v>
      </c>
    </row>
    <row r="214" spans="1:13" ht="14.45" customHeight="1" x14ac:dyDescent="0.2">
      <c r="A214" s="822" t="s">
        <v>1905</v>
      </c>
      <c r="B214" s="823" t="s">
        <v>1626</v>
      </c>
      <c r="C214" s="823" t="s">
        <v>2363</v>
      </c>
      <c r="D214" s="823" t="s">
        <v>2364</v>
      </c>
      <c r="E214" s="823" t="s">
        <v>2017</v>
      </c>
      <c r="F214" s="832">
        <v>2</v>
      </c>
      <c r="G214" s="832">
        <v>206.8</v>
      </c>
      <c r="H214" s="828">
        <v>1</v>
      </c>
      <c r="I214" s="832"/>
      <c r="J214" s="832"/>
      <c r="K214" s="828">
        <v>0</v>
      </c>
      <c r="L214" s="832">
        <v>2</v>
      </c>
      <c r="M214" s="833">
        <v>206.8</v>
      </c>
    </row>
    <row r="215" spans="1:13" ht="14.45" customHeight="1" x14ac:dyDescent="0.2">
      <c r="A215" s="822" t="s">
        <v>1905</v>
      </c>
      <c r="B215" s="823" t="s">
        <v>3021</v>
      </c>
      <c r="C215" s="823" t="s">
        <v>2352</v>
      </c>
      <c r="D215" s="823" t="s">
        <v>2270</v>
      </c>
      <c r="E215" s="823" t="s">
        <v>2353</v>
      </c>
      <c r="F215" s="832"/>
      <c r="G215" s="832"/>
      <c r="H215" s="828">
        <v>0</v>
      </c>
      <c r="I215" s="832">
        <v>1</v>
      </c>
      <c r="J215" s="832">
        <v>545.82000000000005</v>
      </c>
      <c r="K215" s="828">
        <v>1</v>
      </c>
      <c r="L215" s="832">
        <v>1</v>
      </c>
      <c r="M215" s="833">
        <v>545.82000000000005</v>
      </c>
    </row>
    <row r="216" spans="1:13" ht="14.45" customHeight="1" x14ac:dyDescent="0.2">
      <c r="A216" s="822" t="s">
        <v>1905</v>
      </c>
      <c r="B216" s="823" t="s">
        <v>3021</v>
      </c>
      <c r="C216" s="823" t="s">
        <v>2354</v>
      </c>
      <c r="D216" s="823" t="s">
        <v>2355</v>
      </c>
      <c r="E216" s="823" t="s">
        <v>2356</v>
      </c>
      <c r="F216" s="832"/>
      <c r="G216" s="832"/>
      <c r="H216" s="828">
        <v>0</v>
      </c>
      <c r="I216" s="832">
        <v>1</v>
      </c>
      <c r="J216" s="832">
        <v>181.94</v>
      </c>
      <c r="K216" s="828">
        <v>1</v>
      </c>
      <c r="L216" s="832">
        <v>1</v>
      </c>
      <c r="M216" s="833">
        <v>181.94</v>
      </c>
    </row>
    <row r="217" spans="1:13" ht="14.45" customHeight="1" x14ac:dyDescent="0.2">
      <c r="A217" s="822" t="s">
        <v>1905</v>
      </c>
      <c r="B217" s="823" t="s">
        <v>3017</v>
      </c>
      <c r="C217" s="823" t="s">
        <v>2171</v>
      </c>
      <c r="D217" s="823" t="s">
        <v>2172</v>
      </c>
      <c r="E217" s="823" t="s">
        <v>2173</v>
      </c>
      <c r="F217" s="832"/>
      <c r="G217" s="832"/>
      <c r="H217" s="828">
        <v>0</v>
      </c>
      <c r="I217" s="832">
        <v>1</v>
      </c>
      <c r="J217" s="832">
        <v>131.86000000000001</v>
      </c>
      <c r="K217" s="828">
        <v>1</v>
      </c>
      <c r="L217" s="832">
        <v>1</v>
      </c>
      <c r="M217" s="833">
        <v>131.86000000000001</v>
      </c>
    </row>
    <row r="218" spans="1:13" ht="14.45" customHeight="1" x14ac:dyDescent="0.2">
      <c r="A218" s="822" t="s">
        <v>1905</v>
      </c>
      <c r="B218" s="823" t="s">
        <v>1634</v>
      </c>
      <c r="C218" s="823" t="s">
        <v>1796</v>
      </c>
      <c r="D218" s="823" t="s">
        <v>1639</v>
      </c>
      <c r="E218" s="823" t="s">
        <v>1797</v>
      </c>
      <c r="F218" s="832"/>
      <c r="G218" s="832"/>
      <c r="H218" s="828">
        <v>0</v>
      </c>
      <c r="I218" s="832">
        <v>2</v>
      </c>
      <c r="J218" s="832">
        <v>351.03999999999996</v>
      </c>
      <c r="K218" s="828">
        <v>1</v>
      </c>
      <c r="L218" s="832">
        <v>2</v>
      </c>
      <c r="M218" s="833">
        <v>351.03999999999996</v>
      </c>
    </row>
    <row r="219" spans="1:13" ht="14.45" customHeight="1" x14ac:dyDescent="0.2">
      <c r="A219" s="822" t="s">
        <v>1905</v>
      </c>
      <c r="B219" s="823" t="s">
        <v>1634</v>
      </c>
      <c r="C219" s="823" t="s">
        <v>2291</v>
      </c>
      <c r="D219" s="823" t="s">
        <v>1636</v>
      </c>
      <c r="E219" s="823" t="s">
        <v>2292</v>
      </c>
      <c r="F219" s="832"/>
      <c r="G219" s="832"/>
      <c r="H219" s="828">
        <v>0</v>
      </c>
      <c r="I219" s="832">
        <v>1</v>
      </c>
      <c r="J219" s="832">
        <v>55.14</v>
      </c>
      <c r="K219" s="828">
        <v>1</v>
      </c>
      <c r="L219" s="832">
        <v>1</v>
      </c>
      <c r="M219" s="833">
        <v>55.14</v>
      </c>
    </row>
    <row r="220" spans="1:13" ht="14.45" customHeight="1" x14ac:dyDescent="0.2">
      <c r="A220" s="822" t="s">
        <v>1905</v>
      </c>
      <c r="B220" s="823" t="s">
        <v>1634</v>
      </c>
      <c r="C220" s="823" t="s">
        <v>1638</v>
      </c>
      <c r="D220" s="823" t="s">
        <v>1639</v>
      </c>
      <c r="E220" s="823" t="s">
        <v>1640</v>
      </c>
      <c r="F220" s="832">
        <v>2</v>
      </c>
      <c r="G220" s="832">
        <v>286.7</v>
      </c>
      <c r="H220" s="828">
        <v>1</v>
      </c>
      <c r="I220" s="832"/>
      <c r="J220" s="832"/>
      <c r="K220" s="828">
        <v>0</v>
      </c>
      <c r="L220" s="832">
        <v>2</v>
      </c>
      <c r="M220" s="833">
        <v>286.7</v>
      </c>
    </row>
    <row r="221" spans="1:13" ht="14.45" customHeight="1" x14ac:dyDescent="0.2">
      <c r="A221" s="822" t="s">
        <v>1905</v>
      </c>
      <c r="B221" s="823" t="s">
        <v>1634</v>
      </c>
      <c r="C221" s="823" t="s">
        <v>2293</v>
      </c>
      <c r="D221" s="823" t="s">
        <v>2294</v>
      </c>
      <c r="E221" s="823" t="s">
        <v>1640</v>
      </c>
      <c r="F221" s="832">
        <v>1</v>
      </c>
      <c r="G221" s="832">
        <v>143.35</v>
      </c>
      <c r="H221" s="828">
        <v>1</v>
      </c>
      <c r="I221" s="832"/>
      <c r="J221" s="832"/>
      <c r="K221" s="828">
        <v>0</v>
      </c>
      <c r="L221" s="832">
        <v>1</v>
      </c>
      <c r="M221" s="833">
        <v>143.35</v>
      </c>
    </row>
    <row r="222" spans="1:13" ht="14.45" customHeight="1" x14ac:dyDescent="0.2">
      <c r="A222" s="822" t="s">
        <v>1905</v>
      </c>
      <c r="B222" s="823" t="s">
        <v>3026</v>
      </c>
      <c r="C222" s="823" t="s">
        <v>2313</v>
      </c>
      <c r="D222" s="823" t="s">
        <v>2314</v>
      </c>
      <c r="E222" s="823" t="s">
        <v>2315</v>
      </c>
      <c r="F222" s="832">
        <v>1</v>
      </c>
      <c r="G222" s="832">
        <v>124.49</v>
      </c>
      <c r="H222" s="828">
        <v>1</v>
      </c>
      <c r="I222" s="832"/>
      <c r="J222" s="832"/>
      <c r="K222" s="828">
        <v>0</v>
      </c>
      <c r="L222" s="832">
        <v>1</v>
      </c>
      <c r="M222" s="833">
        <v>124.49</v>
      </c>
    </row>
    <row r="223" spans="1:13" ht="14.45" customHeight="1" x14ac:dyDescent="0.2">
      <c r="A223" s="822" t="s">
        <v>1905</v>
      </c>
      <c r="B223" s="823" t="s">
        <v>1651</v>
      </c>
      <c r="C223" s="823" t="s">
        <v>1652</v>
      </c>
      <c r="D223" s="823" t="s">
        <v>1653</v>
      </c>
      <c r="E223" s="823" t="s">
        <v>1654</v>
      </c>
      <c r="F223" s="832"/>
      <c r="G223" s="832"/>
      <c r="H223" s="828">
        <v>0</v>
      </c>
      <c r="I223" s="832">
        <v>1</v>
      </c>
      <c r="J223" s="832">
        <v>84.18</v>
      </c>
      <c r="K223" s="828">
        <v>1</v>
      </c>
      <c r="L223" s="832">
        <v>1</v>
      </c>
      <c r="M223" s="833">
        <v>84.18</v>
      </c>
    </row>
    <row r="224" spans="1:13" ht="14.45" customHeight="1" x14ac:dyDescent="0.2">
      <c r="A224" s="822" t="s">
        <v>1905</v>
      </c>
      <c r="B224" s="823" t="s">
        <v>1703</v>
      </c>
      <c r="C224" s="823" t="s">
        <v>1705</v>
      </c>
      <c r="D224" s="823" t="s">
        <v>626</v>
      </c>
      <c r="E224" s="823" t="s">
        <v>627</v>
      </c>
      <c r="F224" s="832"/>
      <c r="G224" s="832"/>
      <c r="H224" s="828">
        <v>0</v>
      </c>
      <c r="I224" s="832">
        <v>3</v>
      </c>
      <c r="J224" s="832">
        <v>195.84</v>
      </c>
      <c r="K224" s="828">
        <v>1</v>
      </c>
      <c r="L224" s="832">
        <v>3</v>
      </c>
      <c r="M224" s="833">
        <v>195.84</v>
      </c>
    </row>
    <row r="225" spans="1:13" ht="14.45" customHeight="1" x14ac:dyDescent="0.2">
      <c r="A225" s="822" t="s">
        <v>1905</v>
      </c>
      <c r="B225" s="823" t="s">
        <v>1710</v>
      </c>
      <c r="C225" s="823" t="s">
        <v>1711</v>
      </c>
      <c r="D225" s="823" t="s">
        <v>946</v>
      </c>
      <c r="E225" s="823" t="s">
        <v>947</v>
      </c>
      <c r="F225" s="832"/>
      <c r="G225" s="832"/>
      <c r="H225" s="828"/>
      <c r="I225" s="832">
        <v>4</v>
      </c>
      <c r="J225" s="832">
        <v>0</v>
      </c>
      <c r="K225" s="828"/>
      <c r="L225" s="832">
        <v>4</v>
      </c>
      <c r="M225" s="833">
        <v>0</v>
      </c>
    </row>
    <row r="226" spans="1:13" ht="14.45" customHeight="1" x14ac:dyDescent="0.2">
      <c r="A226" s="822" t="s">
        <v>1905</v>
      </c>
      <c r="B226" s="823" t="s">
        <v>1727</v>
      </c>
      <c r="C226" s="823" t="s">
        <v>2317</v>
      </c>
      <c r="D226" s="823" t="s">
        <v>2318</v>
      </c>
      <c r="E226" s="823" t="s">
        <v>1733</v>
      </c>
      <c r="F226" s="832">
        <v>2</v>
      </c>
      <c r="G226" s="832">
        <v>678.94</v>
      </c>
      <c r="H226" s="828">
        <v>1</v>
      </c>
      <c r="I226" s="832"/>
      <c r="J226" s="832"/>
      <c r="K226" s="828">
        <v>0</v>
      </c>
      <c r="L226" s="832">
        <v>2</v>
      </c>
      <c r="M226" s="833">
        <v>678.94</v>
      </c>
    </row>
    <row r="227" spans="1:13" ht="14.45" customHeight="1" x14ac:dyDescent="0.2">
      <c r="A227" s="822" t="s">
        <v>1905</v>
      </c>
      <c r="B227" s="823" t="s">
        <v>3027</v>
      </c>
      <c r="C227" s="823" t="s">
        <v>2308</v>
      </c>
      <c r="D227" s="823" t="s">
        <v>2309</v>
      </c>
      <c r="E227" s="823" t="s">
        <v>2310</v>
      </c>
      <c r="F227" s="832">
        <v>1</v>
      </c>
      <c r="G227" s="832">
        <v>123.2</v>
      </c>
      <c r="H227" s="828">
        <v>1</v>
      </c>
      <c r="I227" s="832"/>
      <c r="J227" s="832"/>
      <c r="K227" s="828">
        <v>0</v>
      </c>
      <c r="L227" s="832">
        <v>1</v>
      </c>
      <c r="M227" s="833">
        <v>123.2</v>
      </c>
    </row>
    <row r="228" spans="1:13" ht="14.45" customHeight="1" x14ac:dyDescent="0.2">
      <c r="A228" s="822" t="s">
        <v>1905</v>
      </c>
      <c r="B228" s="823" t="s">
        <v>3023</v>
      </c>
      <c r="C228" s="823" t="s">
        <v>2383</v>
      </c>
      <c r="D228" s="823" t="s">
        <v>2384</v>
      </c>
      <c r="E228" s="823" t="s">
        <v>2385</v>
      </c>
      <c r="F228" s="832">
        <v>2</v>
      </c>
      <c r="G228" s="832">
        <v>7936.1</v>
      </c>
      <c r="H228" s="828">
        <v>1</v>
      </c>
      <c r="I228" s="832"/>
      <c r="J228" s="832"/>
      <c r="K228" s="828">
        <v>0</v>
      </c>
      <c r="L228" s="832">
        <v>2</v>
      </c>
      <c r="M228" s="833">
        <v>7936.1</v>
      </c>
    </row>
    <row r="229" spans="1:13" ht="14.45" customHeight="1" x14ac:dyDescent="0.2">
      <c r="A229" s="822" t="s">
        <v>1906</v>
      </c>
      <c r="B229" s="823" t="s">
        <v>1610</v>
      </c>
      <c r="C229" s="823" t="s">
        <v>1948</v>
      </c>
      <c r="D229" s="823" t="s">
        <v>1949</v>
      </c>
      <c r="E229" s="823" t="s">
        <v>1923</v>
      </c>
      <c r="F229" s="832">
        <v>3</v>
      </c>
      <c r="G229" s="832">
        <v>105.33</v>
      </c>
      <c r="H229" s="828">
        <v>1</v>
      </c>
      <c r="I229" s="832"/>
      <c r="J229" s="832"/>
      <c r="K229" s="828">
        <v>0</v>
      </c>
      <c r="L229" s="832">
        <v>3</v>
      </c>
      <c r="M229" s="833">
        <v>105.33</v>
      </c>
    </row>
    <row r="230" spans="1:13" ht="14.45" customHeight="1" x14ac:dyDescent="0.2">
      <c r="A230" s="822" t="s">
        <v>1906</v>
      </c>
      <c r="B230" s="823" t="s">
        <v>1744</v>
      </c>
      <c r="C230" s="823" t="s">
        <v>1745</v>
      </c>
      <c r="D230" s="823" t="s">
        <v>1066</v>
      </c>
      <c r="E230" s="823" t="s">
        <v>1746</v>
      </c>
      <c r="F230" s="832"/>
      <c r="G230" s="832"/>
      <c r="H230" s="828"/>
      <c r="I230" s="832">
        <v>2</v>
      </c>
      <c r="J230" s="832">
        <v>0</v>
      </c>
      <c r="K230" s="828"/>
      <c r="L230" s="832">
        <v>2</v>
      </c>
      <c r="M230" s="833">
        <v>0</v>
      </c>
    </row>
    <row r="231" spans="1:13" ht="14.45" customHeight="1" x14ac:dyDescent="0.2">
      <c r="A231" s="822" t="s">
        <v>1907</v>
      </c>
      <c r="B231" s="823" t="s">
        <v>1521</v>
      </c>
      <c r="C231" s="823" t="s">
        <v>1522</v>
      </c>
      <c r="D231" s="823" t="s">
        <v>706</v>
      </c>
      <c r="E231" s="823" t="s">
        <v>1523</v>
      </c>
      <c r="F231" s="832"/>
      <c r="G231" s="832"/>
      <c r="H231" s="828">
        <v>0</v>
      </c>
      <c r="I231" s="832">
        <v>1</v>
      </c>
      <c r="J231" s="832">
        <v>48.89</v>
      </c>
      <c r="K231" s="828">
        <v>1</v>
      </c>
      <c r="L231" s="832">
        <v>1</v>
      </c>
      <c r="M231" s="833">
        <v>48.89</v>
      </c>
    </row>
    <row r="232" spans="1:13" ht="14.45" customHeight="1" x14ac:dyDescent="0.2">
      <c r="A232" s="822" t="s">
        <v>1907</v>
      </c>
      <c r="B232" s="823" t="s">
        <v>1521</v>
      </c>
      <c r="C232" s="823" t="s">
        <v>1976</v>
      </c>
      <c r="D232" s="823" t="s">
        <v>706</v>
      </c>
      <c r="E232" s="823" t="s">
        <v>1977</v>
      </c>
      <c r="F232" s="832"/>
      <c r="G232" s="832"/>
      <c r="H232" s="828">
        <v>0</v>
      </c>
      <c r="I232" s="832">
        <v>1</v>
      </c>
      <c r="J232" s="832">
        <v>13.68</v>
      </c>
      <c r="K232" s="828">
        <v>1</v>
      </c>
      <c r="L232" s="832">
        <v>1</v>
      </c>
      <c r="M232" s="833">
        <v>13.68</v>
      </c>
    </row>
    <row r="233" spans="1:13" ht="14.45" customHeight="1" x14ac:dyDescent="0.2">
      <c r="A233" s="822" t="s">
        <v>1907</v>
      </c>
      <c r="B233" s="823" t="s">
        <v>3025</v>
      </c>
      <c r="C233" s="823" t="s">
        <v>2246</v>
      </c>
      <c r="D233" s="823" t="s">
        <v>2247</v>
      </c>
      <c r="E233" s="823" t="s">
        <v>2248</v>
      </c>
      <c r="F233" s="832"/>
      <c r="G233" s="832"/>
      <c r="H233" s="828">
        <v>0</v>
      </c>
      <c r="I233" s="832">
        <v>2</v>
      </c>
      <c r="J233" s="832">
        <v>230.54</v>
      </c>
      <c r="K233" s="828">
        <v>1</v>
      </c>
      <c r="L233" s="832">
        <v>2</v>
      </c>
      <c r="M233" s="833">
        <v>230.54</v>
      </c>
    </row>
    <row r="234" spans="1:13" ht="14.45" customHeight="1" x14ac:dyDescent="0.2">
      <c r="A234" s="822" t="s">
        <v>1907</v>
      </c>
      <c r="B234" s="823" t="s">
        <v>1545</v>
      </c>
      <c r="C234" s="823" t="s">
        <v>1549</v>
      </c>
      <c r="D234" s="823" t="s">
        <v>1547</v>
      </c>
      <c r="E234" s="823" t="s">
        <v>1550</v>
      </c>
      <c r="F234" s="832"/>
      <c r="G234" s="832"/>
      <c r="H234" s="828">
        <v>0</v>
      </c>
      <c r="I234" s="832">
        <v>3</v>
      </c>
      <c r="J234" s="832">
        <v>554.22</v>
      </c>
      <c r="K234" s="828">
        <v>1</v>
      </c>
      <c r="L234" s="832">
        <v>3</v>
      </c>
      <c r="M234" s="833">
        <v>554.22</v>
      </c>
    </row>
    <row r="235" spans="1:13" ht="14.45" customHeight="1" x14ac:dyDescent="0.2">
      <c r="A235" s="822" t="s">
        <v>1907</v>
      </c>
      <c r="B235" s="823" t="s">
        <v>1545</v>
      </c>
      <c r="C235" s="823" t="s">
        <v>2186</v>
      </c>
      <c r="D235" s="823" t="s">
        <v>2187</v>
      </c>
      <c r="E235" s="823" t="s">
        <v>2188</v>
      </c>
      <c r="F235" s="832"/>
      <c r="G235" s="832"/>
      <c r="H235" s="828">
        <v>0</v>
      </c>
      <c r="I235" s="832">
        <v>4</v>
      </c>
      <c r="J235" s="832">
        <v>482.44</v>
      </c>
      <c r="K235" s="828">
        <v>1</v>
      </c>
      <c r="L235" s="832">
        <v>4</v>
      </c>
      <c r="M235" s="833">
        <v>482.44</v>
      </c>
    </row>
    <row r="236" spans="1:13" ht="14.45" customHeight="1" x14ac:dyDescent="0.2">
      <c r="A236" s="822" t="s">
        <v>1907</v>
      </c>
      <c r="B236" s="823" t="s">
        <v>1551</v>
      </c>
      <c r="C236" s="823" t="s">
        <v>1554</v>
      </c>
      <c r="D236" s="823" t="s">
        <v>809</v>
      </c>
      <c r="E236" s="823" t="s">
        <v>1555</v>
      </c>
      <c r="F236" s="832"/>
      <c r="G236" s="832"/>
      <c r="H236" s="828">
        <v>0</v>
      </c>
      <c r="I236" s="832">
        <v>1</v>
      </c>
      <c r="J236" s="832">
        <v>1847.49</v>
      </c>
      <c r="K236" s="828">
        <v>1</v>
      </c>
      <c r="L236" s="832">
        <v>1</v>
      </c>
      <c r="M236" s="833">
        <v>1847.49</v>
      </c>
    </row>
    <row r="237" spans="1:13" ht="14.45" customHeight="1" x14ac:dyDescent="0.2">
      <c r="A237" s="822" t="s">
        <v>1907</v>
      </c>
      <c r="B237" s="823" t="s">
        <v>1566</v>
      </c>
      <c r="C237" s="823" t="s">
        <v>1567</v>
      </c>
      <c r="D237" s="823" t="s">
        <v>1568</v>
      </c>
      <c r="E237" s="823" t="s">
        <v>1569</v>
      </c>
      <c r="F237" s="832"/>
      <c r="G237" s="832"/>
      <c r="H237" s="828">
        <v>0</v>
      </c>
      <c r="I237" s="832">
        <v>4</v>
      </c>
      <c r="J237" s="832">
        <v>373.72</v>
      </c>
      <c r="K237" s="828">
        <v>1</v>
      </c>
      <c r="L237" s="832">
        <v>4</v>
      </c>
      <c r="M237" s="833">
        <v>373.72</v>
      </c>
    </row>
    <row r="238" spans="1:13" ht="14.45" customHeight="1" x14ac:dyDescent="0.2">
      <c r="A238" s="822" t="s">
        <v>1907</v>
      </c>
      <c r="B238" s="823" t="s">
        <v>1566</v>
      </c>
      <c r="C238" s="823" t="s">
        <v>1570</v>
      </c>
      <c r="D238" s="823" t="s">
        <v>1568</v>
      </c>
      <c r="E238" s="823" t="s">
        <v>1571</v>
      </c>
      <c r="F238" s="832"/>
      <c r="G238" s="832"/>
      <c r="H238" s="828">
        <v>0</v>
      </c>
      <c r="I238" s="832">
        <v>14</v>
      </c>
      <c r="J238" s="832">
        <v>2616.1800000000003</v>
      </c>
      <c r="K238" s="828">
        <v>1</v>
      </c>
      <c r="L238" s="832">
        <v>14</v>
      </c>
      <c r="M238" s="833">
        <v>2616.1800000000003</v>
      </c>
    </row>
    <row r="239" spans="1:13" ht="14.45" customHeight="1" x14ac:dyDescent="0.2">
      <c r="A239" s="822" t="s">
        <v>1907</v>
      </c>
      <c r="B239" s="823" t="s">
        <v>1578</v>
      </c>
      <c r="C239" s="823" t="s">
        <v>1581</v>
      </c>
      <c r="D239" s="823" t="s">
        <v>712</v>
      </c>
      <c r="E239" s="823" t="s">
        <v>1582</v>
      </c>
      <c r="F239" s="832"/>
      <c r="G239" s="832"/>
      <c r="H239" s="828">
        <v>0</v>
      </c>
      <c r="I239" s="832">
        <v>1</v>
      </c>
      <c r="J239" s="832">
        <v>80.010000000000005</v>
      </c>
      <c r="K239" s="828">
        <v>1</v>
      </c>
      <c r="L239" s="832">
        <v>1</v>
      </c>
      <c r="M239" s="833">
        <v>80.010000000000005</v>
      </c>
    </row>
    <row r="240" spans="1:13" ht="14.45" customHeight="1" x14ac:dyDescent="0.2">
      <c r="A240" s="822" t="s">
        <v>1907</v>
      </c>
      <c r="B240" s="823" t="s">
        <v>1578</v>
      </c>
      <c r="C240" s="823" t="s">
        <v>1583</v>
      </c>
      <c r="D240" s="823" t="s">
        <v>712</v>
      </c>
      <c r="E240" s="823" t="s">
        <v>1584</v>
      </c>
      <c r="F240" s="832"/>
      <c r="G240" s="832"/>
      <c r="H240" s="828">
        <v>0</v>
      </c>
      <c r="I240" s="832">
        <v>2</v>
      </c>
      <c r="J240" s="832">
        <v>320.06</v>
      </c>
      <c r="K240" s="828">
        <v>1</v>
      </c>
      <c r="L240" s="832">
        <v>2</v>
      </c>
      <c r="M240" s="833">
        <v>320.06</v>
      </c>
    </row>
    <row r="241" spans="1:13" ht="14.45" customHeight="1" x14ac:dyDescent="0.2">
      <c r="A241" s="822" t="s">
        <v>1907</v>
      </c>
      <c r="B241" s="823" t="s">
        <v>3028</v>
      </c>
      <c r="C241" s="823" t="s">
        <v>2642</v>
      </c>
      <c r="D241" s="823" t="s">
        <v>2643</v>
      </c>
      <c r="E241" s="823" t="s">
        <v>2644</v>
      </c>
      <c r="F241" s="832"/>
      <c r="G241" s="832"/>
      <c r="H241" s="828">
        <v>0</v>
      </c>
      <c r="I241" s="832">
        <v>9</v>
      </c>
      <c r="J241" s="832">
        <v>1181.8799999999999</v>
      </c>
      <c r="K241" s="828">
        <v>1</v>
      </c>
      <c r="L241" s="832">
        <v>9</v>
      </c>
      <c r="M241" s="833">
        <v>1181.8799999999999</v>
      </c>
    </row>
    <row r="242" spans="1:13" ht="14.45" customHeight="1" x14ac:dyDescent="0.2">
      <c r="A242" s="822" t="s">
        <v>1907</v>
      </c>
      <c r="B242" s="823" t="s">
        <v>3028</v>
      </c>
      <c r="C242" s="823" t="s">
        <v>2640</v>
      </c>
      <c r="D242" s="823" t="s">
        <v>2180</v>
      </c>
      <c r="E242" s="823" t="s">
        <v>2641</v>
      </c>
      <c r="F242" s="832">
        <v>2</v>
      </c>
      <c r="G242" s="832">
        <v>787.88</v>
      </c>
      <c r="H242" s="828">
        <v>1</v>
      </c>
      <c r="I242" s="832"/>
      <c r="J242" s="832"/>
      <c r="K242" s="828">
        <v>0</v>
      </c>
      <c r="L242" s="832">
        <v>2</v>
      </c>
      <c r="M242" s="833">
        <v>787.88</v>
      </c>
    </row>
    <row r="243" spans="1:13" ht="14.45" customHeight="1" x14ac:dyDescent="0.2">
      <c r="A243" s="822" t="s">
        <v>1907</v>
      </c>
      <c r="B243" s="823" t="s">
        <v>3029</v>
      </c>
      <c r="C243" s="823" t="s">
        <v>2529</v>
      </c>
      <c r="D243" s="823" t="s">
        <v>2530</v>
      </c>
      <c r="E243" s="823" t="s">
        <v>2531</v>
      </c>
      <c r="F243" s="832"/>
      <c r="G243" s="832"/>
      <c r="H243" s="828">
        <v>0</v>
      </c>
      <c r="I243" s="832">
        <v>1</v>
      </c>
      <c r="J243" s="832">
        <v>234.32</v>
      </c>
      <c r="K243" s="828">
        <v>1</v>
      </c>
      <c r="L243" s="832">
        <v>1</v>
      </c>
      <c r="M243" s="833">
        <v>234.32</v>
      </c>
    </row>
    <row r="244" spans="1:13" ht="14.45" customHeight="1" x14ac:dyDescent="0.2">
      <c r="A244" s="822" t="s">
        <v>1907</v>
      </c>
      <c r="B244" s="823" t="s">
        <v>1588</v>
      </c>
      <c r="C244" s="823" t="s">
        <v>1784</v>
      </c>
      <c r="D244" s="823" t="s">
        <v>811</v>
      </c>
      <c r="E244" s="823" t="s">
        <v>1785</v>
      </c>
      <c r="F244" s="832"/>
      <c r="G244" s="832"/>
      <c r="H244" s="828">
        <v>0</v>
      </c>
      <c r="I244" s="832">
        <v>4</v>
      </c>
      <c r="J244" s="832">
        <v>170.04</v>
      </c>
      <c r="K244" s="828">
        <v>1</v>
      </c>
      <c r="L244" s="832">
        <v>4</v>
      </c>
      <c r="M244" s="833">
        <v>170.04</v>
      </c>
    </row>
    <row r="245" spans="1:13" ht="14.45" customHeight="1" x14ac:dyDescent="0.2">
      <c r="A245" s="822" t="s">
        <v>1907</v>
      </c>
      <c r="B245" s="823" t="s">
        <v>1588</v>
      </c>
      <c r="C245" s="823" t="s">
        <v>1591</v>
      </c>
      <c r="D245" s="823" t="s">
        <v>811</v>
      </c>
      <c r="E245" s="823" t="s">
        <v>1592</v>
      </c>
      <c r="F245" s="832"/>
      <c r="G245" s="832"/>
      <c r="H245" s="828">
        <v>0</v>
      </c>
      <c r="I245" s="832">
        <v>8</v>
      </c>
      <c r="J245" s="832">
        <v>680.16</v>
      </c>
      <c r="K245" s="828">
        <v>1</v>
      </c>
      <c r="L245" s="832">
        <v>8</v>
      </c>
      <c r="M245" s="833">
        <v>680.16</v>
      </c>
    </row>
    <row r="246" spans="1:13" ht="14.45" customHeight="1" x14ac:dyDescent="0.2">
      <c r="A246" s="822" t="s">
        <v>1907</v>
      </c>
      <c r="B246" s="823" t="s">
        <v>1588</v>
      </c>
      <c r="C246" s="823" t="s">
        <v>1953</v>
      </c>
      <c r="D246" s="823" t="s">
        <v>1954</v>
      </c>
      <c r="E246" s="823" t="s">
        <v>1785</v>
      </c>
      <c r="F246" s="832">
        <v>4</v>
      </c>
      <c r="G246" s="832">
        <v>170.04</v>
      </c>
      <c r="H246" s="828">
        <v>1</v>
      </c>
      <c r="I246" s="832"/>
      <c r="J246" s="832"/>
      <c r="K246" s="828">
        <v>0</v>
      </c>
      <c r="L246" s="832">
        <v>4</v>
      </c>
      <c r="M246" s="833">
        <v>170.04</v>
      </c>
    </row>
    <row r="247" spans="1:13" ht="14.45" customHeight="1" x14ac:dyDescent="0.2">
      <c r="A247" s="822" t="s">
        <v>1907</v>
      </c>
      <c r="B247" s="823" t="s">
        <v>1593</v>
      </c>
      <c r="C247" s="823" t="s">
        <v>2465</v>
      </c>
      <c r="D247" s="823" t="s">
        <v>1595</v>
      </c>
      <c r="E247" s="823" t="s">
        <v>2466</v>
      </c>
      <c r="F247" s="832">
        <v>3</v>
      </c>
      <c r="G247" s="832">
        <v>189.32999999999998</v>
      </c>
      <c r="H247" s="828">
        <v>1</v>
      </c>
      <c r="I247" s="832"/>
      <c r="J247" s="832"/>
      <c r="K247" s="828">
        <v>0</v>
      </c>
      <c r="L247" s="832">
        <v>3</v>
      </c>
      <c r="M247" s="833">
        <v>189.32999999999998</v>
      </c>
    </row>
    <row r="248" spans="1:13" ht="14.45" customHeight="1" x14ac:dyDescent="0.2">
      <c r="A248" s="822" t="s">
        <v>1907</v>
      </c>
      <c r="B248" s="823" t="s">
        <v>1593</v>
      </c>
      <c r="C248" s="823" t="s">
        <v>1594</v>
      </c>
      <c r="D248" s="823" t="s">
        <v>1595</v>
      </c>
      <c r="E248" s="823" t="s">
        <v>1596</v>
      </c>
      <c r="F248" s="832">
        <v>6</v>
      </c>
      <c r="G248" s="832">
        <v>128.64000000000001</v>
      </c>
      <c r="H248" s="828">
        <v>1</v>
      </c>
      <c r="I248" s="832"/>
      <c r="J248" s="832"/>
      <c r="K248" s="828">
        <v>0</v>
      </c>
      <c r="L248" s="832">
        <v>6</v>
      </c>
      <c r="M248" s="833">
        <v>128.64000000000001</v>
      </c>
    </row>
    <row r="249" spans="1:13" ht="14.45" customHeight="1" x14ac:dyDescent="0.2">
      <c r="A249" s="822" t="s">
        <v>1907</v>
      </c>
      <c r="B249" s="823" t="s">
        <v>1602</v>
      </c>
      <c r="C249" s="823" t="s">
        <v>2256</v>
      </c>
      <c r="D249" s="823" t="s">
        <v>1185</v>
      </c>
      <c r="E249" s="823" t="s">
        <v>1187</v>
      </c>
      <c r="F249" s="832">
        <v>2</v>
      </c>
      <c r="G249" s="832">
        <v>76.08</v>
      </c>
      <c r="H249" s="828">
        <v>1</v>
      </c>
      <c r="I249" s="832"/>
      <c r="J249" s="832"/>
      <c r="K249" s="828">
        <v>0</v>
      </c>
      <c r="L249" s="832">
        <v>2</v>
      </c>
      <c r="M249" s="833">
        <v>76.08</v>
      </c>
    </row>
    <row r="250" spans="1:13" ht="14.45" customHeight="1" x14ac:dyDescent="0.2">
      <c r="A250" s="822" t="s">
        <v>1907</v>
      </c>
      <c r="B250" s="823" t="s">
        <v>1602</v>
      </c>
      <c r="C250" s="823" t="s">
        <v>2516</v>
      </c>
      <c r="D250" s="823" t="s">
        <v>2517</v>
      </c>
      <c r="E250" s="823" t="s">
        <v>2518</v>
      </c>
      <c r="F250" s="832">
        <v>4</v>
      </c>
      <c r="G250" s="832">
        <v>936.28</v>
      </c>
      <c r="H250" s="828">
        <v>1</v>
      </c>
      <c r="I250" s="832"/>
      <c r="J250" s="832"/>
      <c r="K250" s="828">
        <v>0</v>
      </c>
      <c r="L250" s="832">
        <v>4</v>
      </c>
      <c r="M250" s="833">
        <v>936.28</v>
      </c>
    </row>
    <row r="251" spans="1:13" ht="14.45" customHeight="1" x14ac:dyDescent="0.2">
      <c r="A251" s="822" t="s">
        <v>1907</v>
      </c>
      <c r="B251" s="823" t="s">
        <v>1602</v>
      </c>
      <c r="C251" s="823" t="s">
        <v>1963</v>
      </c>
      <c r="D251" s="823" t="s">
        <v>1185</v>
      </c>
      <c r="E251" s="823" t="s">
        <v>1186</v>
      </c>
      <c r="F251" s="832">
        <v>3</v>
      </c>
      <c r="G251" s="832">
        <v>175.56</v>
      </c>
      <c r="H251" s="828">
        <v>1</v>
      </c>
      <c r="I251" s="832"/>
      <c r="J251" s="832"/>
      <c r="K251" s="828">
        <v>0</v>
      </c>
      <c r="L251" s="832">
        <v>3</v>
      </c>
      <c r="M251" s="833">
        <v>175.56</v>
      </c>
    </row>
    <row r="252" spans="1:13" ht="14.45" customHeight="1" x14ac:dyDescent="0.2">
      <c r="A252" s="822" t="s">
        <v>1907</v>
      </c>
      <c r="B252" s="823" t="s">
        <v>1602</v>
      </c>
      <c r="C252" s="823" t="s">
        <v>2519</v>
      </c>
      <c r="D252" s="823" t="s">
        <v>1185</v>
      </c>
      <c r="E252" s="823" t="s">
        <v>2518</v>
      </c>
      <c r="F252" s="832">
        <v>1</v>
      </c>
      <c r="G252" s="832">
        <v>234.07</v>
      </c>
      <c r="H252" s="828">
        <v>1</v>
      </c>
      <c r="I252" s="832"/>
      <c r="J252" s="832"/>
      <c r="K252" s="828">
        <v>0</v>
      </c>
      <c r="L252" s="832">
        <v>1</v>
      </c>
      <c r="M252" s="833">
        <v>234.07</v>
      </c>
    </row>
    <row r="253" spans="1:13" ht="14.45" customHeight="1" x14ac:dyDescent="0.2">
      <c r="A253" s="822" t="s">
        <v>1907</v>
      </c>
      <c r="B253" s="823" t="s">
        <v>1602</v>
      </c>
      <c r="C253" s="823" t="s">
        <v>2520</v>
      </c>
      <c r="D253" s="823" t="s">
        <v>2517</v>
      </c>
      <c r="E253" s="823" t="s">
        <v>2518</v>
      </c>
      <c r="F253" s="832"/>
      <c r="G253" s="832"/>
      <c r="H253" s="828">
        <v>0</v>
      </c>
      <c r="I253" s="832">
        <v>1</v>
      </c>
      <c r="J253" s="832">
        <v>234.07</v>
      </c>
      <c r="K253" s="828">
        <v>1</v>
      </c>
      <c r="L253" s="832">
        <v>1</v>
      </c>
      <c r="M253" s="833">
        <v>234.07</v>
      </c>
    </row>
    <row r="254" spans="1:13" ht="14.45" customHeight="1" x14ac:dyDescent="0.2">
      <c r="A254" s="822" t="s">
        <v>1907</v>
      </c>
      <c r="B254" s="823" t="s">
        <v>1602</v>
      </c>
      <c r="C254" s="823" t="s">
        <v>2521</v>
      </c>
      <c r="D254" s="823" t="s">
        <v>1185</v>
      </c>
      <c r="E254" s="823" t="s">
        <v>2119</v>
      </c>
      <c r="F254" s="832"/>
      <c r="G254" s="832"/>
      <c r="H254" s="828">
        <v>0</v>
      </c>
      <c r="I254" s="832">
        <v>1</v>
      </c>
      <c r="J254" s="832">
        <v>117.03</v>
      </c>
      <c r="K254" s="828">
        <v>1</v>
      </c>
      <c r="L254" s="832">
        <v>1</v>
      </c>
      <c r="M254" s="833">
        <v>117.03</v>
      </c>
    </row>
    <row r="255" spans="1:13" ht="14.45" customHeight="1" x14ac:dyDescent="0.2">
      <c r="A255" s="822" t="s">
        <v>1907</v>
      </c>
      <c r="B255" s="823" t="s">
        <v>1602</v>
      </c>
      <c r="C255" s="823" t="s">
        <v>1789</v>
      </c>
      <c r="D255" s="823" t="s">
        <v>1185</v>
      </c>
      <c r="E255" s="823" t="s">
        <v>1186</v>
      </c>
      <c r="F255" s="832"/>
      <c r="G255" s="832"/>
      <c r="H255" s="828">
        <v>0</v>
      </c>
      <c r="I255" s="832">
        <v>1</v>
      </c>
      <c r="J255" s="832">
        <v>58.52</v>
      </c>
      <c r="K255" s="828">
        <v>1</v>
      </c>
      <c r="L255" s="832">
        <v>1</v>
      </c>
      <c r="M255" s="833">
        <v>58.52</v>
      </c>
    </row>
    <row r="256" spans="1:13" ht="14.45" customHeight="1" x14ac:dyDescent="0.2">
      <c r="A256" s="822" t="s">
        <v>1907</v>
      </c>
      <c r="B256" s="823" t="s">
        <v>1606</v>
      </c>
      <c r="C256" s="823" t="s">
        <v>2428</v>
      </c>
      <c r="D256" s="823" t="s">
        <v>1608</v>
      </c>
      <c r="E256" s="823" t="s">
        <v>2429</v>
      </c>
      <c r="F256" s="832"/>
      <c r="G256" s="832"/>
      <c r="H256" s="828">
        <v>0</v>
      </c>
      <c r="I256" s="832">
        <v>6</v>
      </c>
      <c r="J256" s="832">
        <v>393.24</v>
      </c>
      <c r="K256" s="828">
        <v>1</v>
      </c>
      <c r="L256" s="832">
        <v>6</v>
      </c>
      <c r="M256" s="833">
        <v>393.24</v>
      </c>
    </row>
    <row r="257" spans="1:13" ht="14.45" customHeight="1" x14ac:dyDescent="0.2">
      <c r="A257" s="822" t="s">
        <v>1907</v>
      </c>
      <c r="B257" s="823" t="s">
        <v>1606</v>
      </c>
      <c r="C257" s="823" t="s">
        <v>1607</v>
      </c>
      <c r="D257" s="823" t="s">
        <v>1608</v>
      </c>
      <c r="E257" s="823" t="s">
        <v>1609</v>
      </c>
      <c r="F257" s="832"/>
      <c r="G257" s="832"/>
      <c r="H257" s="828">
        <v>0</v>
      </c>
      <c r="I257" s="832">
        <v>7</v>
      </c>
      <c r="J257" s="832">
        <v>1605.66</v>
      </c>
      <c r="K257" s="828">
        <v>1</v>
      </c>
      <c r="L257" s="832">
        <v>7</v>
      </c>
      <c r="M257" s="833">
        <v>1605.66</v>
      </c>
    </row>
    <row r="258" spans="1:13" ht="14.45" customHeight="1" x14ac:dyDescent="0.2">
      <c r="A258" s="822" t="s">
        <v>1907</v>
      </c>
      <c r="B258" s="823" t="s">
        <v>1610</v>
      </c>
      <c r="C258" s="823" t="s">
        <v>2434</v>
      </c>
      <c r="D258" s="823" t="s">
        <v>673</v>
      </c>
      <c r="E258" s="823" t="s">
        <v>2153</v>
      </c>
      <c r="F258" s="832">
        <v>1</v>
      </c>
      <c r="G258" s="832">
        <v>234.07</v>
      </c>
      <c r="H258" s="828">
        <v>1</v>
      </c>
      <c r="I258" s="832"/>
      <c r="J258" s="832"/>
      <c r="K258" s="828">
        <v>0</v>
      </c>
      <c r="L258" s="832">
        <v>1</v>
      </c>
      <c r="M258" s="833">
        <v>234.07</v>
      </c>
    </row>
    <row r="259" spans="1:13" ht="14.45" customHeight="1" x14ac:dyDescent="0.2">
      <c r="A259" s="822" t="s">
        <v>1907</v>
      </c>
      <c r="B259" s="823" t="s">
        <v>1610</v>
      </c>
      <c r="C259" s="823" t="s">
        <v>2430</v>
      </c>
      <c r="D259" s="823" t="s">
        <v>1949</v>
      </c>
      <c r="E259" s="823" t="s">
        <v>2431</v>
      </c>
      <c r="F259" s="832">
        <v>2</v>
      </c>
      <c r="G259" s="832">
        <v>210.64</v>
      </c>
      <c r="H259" s="828">
        <v>1</v>
      </c>
      <c r="I259" s="832"/>
      <c r="J259" s="832"/>
      <c r="K259" s="828">
        <v>0</v>
      </c>
      <c r="L259" s="832">
        <v>2</v>
      </c>
      <c r="M259" s="833">
        <v>210.64</v>
      </c>
    </row>
    <row r="260" spans="1:13" ht="14.45" customHeight="1" x14ac:dyDescent="0.2">
      <c r="A260" s="822" t="s">
        <v>1907</v>
      </c>
      <c r="B260" s="823" t="s">
        <v>1610</v>
      </c>
      <c r="C260" s="823" t="s">
        <v>2432</v>
      </c>
      <c r="D260" s="823" t="s">
        <v>1949</v>
      </c>
      <c r="E260" s="823" t="s">
        <v>1766</v>
      </c>
      <c r="F260" s="832">
        <v>2</v>
      </c>
      <c r="G260" s="832">
        <v>210.66</v>
      </c>
      <c r="H260" s="828">
        <v>1</v>
      </c>
      <c r="I260" s="832"/>
      <c r="J260" s="832"/>
      <c r="K260" s="828">
        <v>0</v>
      </c>
      <c r="L260" s="832">
        <v>2</v>
      </c>
      <c r="M260" s="833">
        <v>210.66</v>
      </c>
    </row>
    <row r="261" spans="1:13" ht="14.45" customHeight="1" x14ac:dyDescent="0.2">
      <c r="A261" s="822" t="s">
        <v>1907</v>
      </c>
      <c r="B261" s="823" t="s">
        <v>1610</v>
      </c>
      <c r="C261" s="823" t="s">
        <v>1948</v>
      </c>
      <c r="D261" s="823" t="s">
        <v>1949</v>
      </c>
      <c r="E261" s="823" t="s">
        <v>1923</v>
      </c>
      <c r="F261" s="832">
        <v>4</v>
      </c>
      <c r="G261" s="832">
        <v>140.44</v>
      </c>
      <c r="H261" s="828">
        <v>1</v>
      </c>
      <c r="I261" s="832"/>
      <c r="J261" s="832"/>
      <c r="K261" s="828">
        <v>0</v>
      </c>
      <c r="L261" s="832">
        <v>4</v>
      </c>
      <c r="M261" s="833">
        <v>140.44</v>
      </c>
    </row>
    <row r="262" spans="1:13" ht="14.45" customHeight="1" x14ac:dyDescent="0.2">
      <c r="A262" s="822" t="s">
        <v>1907</v>
      </c>
      <c r="B262" s="823" t="s">
        <v>1610</v>
      </c>
      <c r="C262" s="823" t="s">
        <v>2433</v>
      </c>
      <c r="D262" s="823" t="s">
        <v>1949</v>
      </c>
      <c r="E262" s="823" t="s">
        <v>674</v>
      </c>
      <c r="F262" s="832">
        <v>2</v>
      </c>
      <c r="G262" s="832">
        <v>140.46</v>
      </c>
      <c r="H262" s="828">
        <v>1</v>
      </c>
      <c r="I262" s="832"/>
      <c r="J262" s="832"/>
      <c r="K262" s="828">
        <v>0</v>
      </c>
      <c r="L262" s="832">
        <v>2</v>
      </c>
      <c r="M262" s="833">
        <v>140.46</v>
      </c>
    </row>
    <row r="263" spans="1:13" ht="14.45" customHeight="1" x14ac:dyDescent="0.2">
      <c r="A263" s="822" t="s">
        <v>1907</v>
      </c>
      <c r="B263" s="823" t="s">
        <v>1610</v>
      </c>
      <c r="C263" s="823" t="s">
        <v>2435</v>
      </c>
      <c r="D263" s="823" t="s">
        <v>673</v>
      </c>
      <c r="E263" s="823" t="s">
        <v>674</v>
      </c>
      <c r="F263" s="832"/>
      <c r="G263" s="832"/>
      <c r="H263" s="828">
        <v>0</v>
      </c>
      <c r="I263" s="832">
        <v>2</v>
      </c>
      <c r="J263" s="832">
        <v>140.46</v>
      </c>
      <c r="K263" s="828">
        <v>1</v>
      </c>
      <c r="L263" s="832">
        <v>2</v>
      </c>
      <c r="M263" s="833">
        <v>140.46</v>
      </c>
    </row>
    <row r="264" spans="1:13" ht="14.45" customHeight="1" x14ac:dyDescent="0.2">
      <c r="A264" s="822" t="s">
        <v>1907</v>
      </c>
      <c r="B264" s="823" t="s">
        <v>1610</v>
      </c>
      <c r="C264" s="823" t="s">
        <v>2437</v>
      </c>
      <c r="D264" s="823" t="s">
        <v>673</v>
      </c>
      <c r="E264" s="823" t="s">
        <v>2153</v>
      </c>
      <c r="F264" s="832"/>
      <c r="G264" s="832"/>
      <c r="H264" s="828">
        <v>0</v>
      </c>
      <c r="I264" s="832">
        <v>4</v>
      </c>
      <c r="J264" s="832">
        <v>936.28</v>
      </c>
      <c r="K264" s="828">
        <v>1</v>
      </c>
      <c r="L264" s="832">
        <v>4</v>
      </c>
      <c r="M264" s="833">
        <v>936.28</v>
      </c>
    </row>
    <row r="265" spans="1:13" ht="14.45" customHeight="1" x14ac:dyDescent="0.2">
      <c r="A265" s="822" t="s">
        <v>1907</v>
      </c>
      <c r="B265" s="823" t="s">
        <v>1610</v>
      </c>
      <c r="C265" s="823" t="s">
        <v>1616</v>
      </c>
      <c r="D265" s="823" t="s">
        <v>673</v>
      </c>
      <c r="E265" s="823" t="s">
        <v>676</v>
      </c>
      <c r="F265" s="832"/>
      <c r="G265" s="832"/>
      <c r="H265" s="828">
        <v>0</v>
      </c>
      <c r="I265" s="832">
        <v>2</v>
      </c>
      <c r="J265" s="832">
        <v>35.119999999999997</v>
      </c>
      <c r="K265" s="828">
        <v>1</v>
      </c>
      <c r="L265" s="832">
        <v>2</v>
      </c>
      <c r="M265" s="833">
        <v>35.119999999999997</v>
      </c>
    </row>
    <row r="266" spans="1:13" ht="14.45" customHeight="1" x14ac:dyDescent="0.2">
      <c r="A266" s="822" t="s">
        <v>1907</v>
      </c>
      <c r="B266" s="823" t="s">
        <v>1610</v>
      </c>
      <c r="C266" s="823" t="s">
        <v>1617</v>
      </c>
      <c r="D266" s="823" t="s">
        <v>673</v>
      </c>
      <c r="E266" s="823" t="s">
        <v>705</v>
      </c>
      <c r="F266" s="832"/>
      <c r="G266" s="832"/>
      <c r="H266" s="828">
        <v>0</v>
      </c>
      <c r="I266" s="832">
        <v>14</v>
      </c>
      <c r="J266" s="832">
        <v>1638.4199999999998</v>
      </c>
      <c r="K266" s="828">
        <v>1</v>
      </c>
      <c r="L266" s="832">
        <v>14</v>
      </c>
      <c r="M266" s="833">
        <v>1638.4199999999998</v>
      </c>
    </row>
    <row r="267" spans="1:13" ht="14.45" customHeight="1" x14ac:dyDescent="0.2">
      <c r="A267" s="822" t="s">
        <v>1907</v>
      </c>
      <c r="B267" s="823" t="s">
        <v>1610</v>
      </c>
      <c r="C267" s="823" t="s">
        <v>1618</v>
      </c>
      <c r="D267" s="823" t="s">
        <v>673</v>
      </c>
      <c r="E267" s="823" t="s">
        <v>674</v>
      </c>
      <c r="F267" s="832"/>
      <c r="G267" s="832"/>
      <c r="H267" s="828">
        <v>0</v>
      </c>
      <c r="I267" s="832">
        <v>3</v>
      </c>
      <c r="J267" s="832">
        <v>210.69</v>
      </c>
      <c r="K267" s="828">
        <v>1</v>
      </c>
      <c r="L267" s="832">
        <v>3</v>
      </c>
      <c r="M267" s="833">
        <v>210.69</v>
      </c>
    </row>
    <row r="268" spans="1:13" ht="14.45" customHeight="1" x14ac:dyDescent="0.2">
      <c r="A268" s="822" t="s">
        <v>1907</v>
      </c>
      <c r="B268" s="823" t="s">
        <v>1610</v>
      </c>
      <c r="C268" s="823" t="s">
        <v>2226</v>
      </c>
      <c r="D268" s="823" t="s">
        <v>673</v>
      </c>
      <c r="E268" s="823" t="s">
        <v>1923</v>
      </c>
      <c r="F268" s="832"/>
      <c r="G268" s="832"/>
      <c r="H268" s="828">
        <v>0</v>
      </c>
      <c r="I268" s="832">
        <v>4</v>
      </c>
      <c r="J268" s="832">
        <v>140.44</v>
      </c>
      <c r="K268" s="828">
        <v>1</v>
      </c>
      <c r="L268" s="832">
        <v>4</v>
      </c>
      <c r="M268" s="833">
        <v>140.44</v>
      </c>
    </row>
    <row r="269" spans="1:13" ht="14.45" customHeight="1" x14ac:dyDescent="0.2">
      <c r="A269" s="822" t="s">
        <v>1907</v>
      </c>
      <c r="B269" s="823" t="s">
        <v>3011</v>
      </c>
      <c r="C269" s="823" t="s">
        <v>2535</v>
      </c>
      <c r="D269" s="823" t="s">
        <v>2341</v>
      </c>
      <c r="E269" s="823" t="s">
        <v>2536</v>
      </c>
      <c r="F269" s="832"/>
      <c r="G269" s="832"/>
      <c r="H269" s="828">
        <v>0</v>
      </c>
      <c r="I269" s="832">
        <v>1</v>
      </c>
      <c r="J269" s="832">
        <v>114.65</v>
      </c>
      <c r="K269" s="828">
        <v>1</v>
      </c>
      <c r="L269" s="832">
        <v>1</v>
      </c>
      <c r="M269" s="833">
        <v>114.65</v>
      </c>
    </row>
    <row r="270" spans="1:13" ht="14.45" customHeight="1" x14ac:dyDescent="0.2">
      <c r="A270" s="822" t="s">
        <v>1907</v>
      </c>
      <c r="B270" s="823" t="s">
        <v>1792</v>
      </c>
      <c r="C270" s="823" t="s">
        <v>2405</v>
      </c>
      <c r="D270" s="823" t="s">
        <v>2406</v>
      </c>
      <c r="E270" s="823" t="s">
        <v>2275</v>
      </c>
      <c r="F270" s="832">
        <v>1</v>
      </c>
      <c r="G270" s="832">
        <v>103.64</v>
      </c>
      <c r="H270" s="828">
        <v>1</v>
      </c>
      <c r="I270" s="832"/>
      <c r="J270" s="832"/>
      <c r="K270" s="828">
        <v>0</v>
      </c>
      <c r="L270" s="832">
        <v>1</v>
      </c>
      <c r="M270" s="833">
        <v>103.64</v>
      </c>
    </row>
    <row r="271" spans="1:13" ht="14.45" customHeight="1" x14ac:dyDescent="0.2">
      <c r="A271" s="822" t="s">
        <v>1907</v>
      </c>
      <c r="B271" s="823" t="s">
        <v>1792</v>
      </c>
      <c r="C271" s="823" t="s">
        <v>2407</v>
      </c>
      <c r="D271" s="823" t="s">
        <v>2408</v>
      </c>
      <c r="E271" s="823" t="s">
        <v>1550</v>
      </c>
      <c r="F271" s="832">
        <v>1</v>
      </c>
      <c r="G271" s="832">
        <v>103.64</v>
      </c>
      <c r="H271" s="828">
        <v>1</v>
      </c>
      <c r="I271" s="832"/>
      <c r="J271" s="832"/>
      <c r="K271" s="828">
        <v>0</v>
      </c>
      <c r="L271" s="832">
        <v>1</v>
      </c>
      <c r="M271" s="833">
        <v>103.64</v>
      </c>
    </row>
    <row r="272" spans="1:13" ht="14.45" customHeight="1" x14ac:dyDescent="0.2">
      <c r="A272" s="822" t="s">
        <v>1907</v>
      </c>
      <c r="B272" s="823" t="s">
        <v>1792</v>
      </c>
      <c r="C272" s="823" t="s">
        <v>2409</v>
      </c>
      <c r="D272" s="823" t="s">
        <v>2406</v>
      </c>
      <c r="E272" s="823" t="s">
        <v>1622</v>
      </c>
      <c r="F272" s="832">
        <v>3</v>
      </c>
      <c r="G272" s="832">
        <v>621.81000000000006</v>
      </c>
      <c r="H272" s="828">
        <v>1</v>
      </c>
      <c r="I272" s="832"/>
      <c r="J272" s="832"/>
      <c r="K272" s="828">
        <v>0</v>
      </c>
      <c r="L272" s="832">
        <v>3</v>
      </c>
      <c r="M272" s="833">
        <v>621.81000000000006</v>
      </c>
    </row>
    <row r="273" spans="1:13" ht="14.45" customHeight="1" x14ac:dyDescent="0.2">
      <c r="A273" s="822" t="s">
        <v>1907</v>
      </c>
      <c r="B273" s="823" t="s">
        <v>1619</v>
      </c>
      <c r="C273" s="823" t="s">
        <v>2125</v>
      </c>
      <c r="D273" s="823" t="s">
        <v>1621</v>
      </c>
      <c r="E273" s="823" t="s">
        <v>2126</v>
      </c>
      <c r="F273" s="832"/>
      <c r="G273" s="832"/>
      <c r="H273" s="828">
        <v>0</v>
      </c>
      <c r="I273" s="832">
        <v>4</v>
      </c>
      <c r="J273" s="832">
        <v>414.56</v>
      </c>
      <c r="K273" s="828">
        <v>1</v>
      </c>
      <c r="L273" s="832">
        <v>4</v>
      </c>
      <c r="M273" s="833">
        <v>414.56</v>
      </c>
    </row>
    <row r="274" spans="1:13" ht="14.45" customHeight="1" x14ac:dyDescent="0.2">
      <c r="A274" s="822" t="s">
        <v>1907</v>
      </c>
      <c r="B274" s="823" t="s">
        <v>3030</v>
      </c>
      <c r="C274" s="823" t="s">
        <v>2498</v>
      </c>
      <c r="D274" s="823" t="s">
        <v>2499</v>
      </c>
      <c r="E274" s="823" t="s">
        <v>2500</v>
      </c>
      <c r="F274" s="832"/>
      <c r="G274" s="832"/>
      <c r="H274" s="828">
        <v>0</v>
      </c>
      <c r="I274" s="832">
        <v>2</v>
      </c>
      <c r="J274" s="832">
        <v>207.28</v>
      </c>
      <c r="K274" s="828">
        <v>1</v>
      </c>
      <c r="L274" s="832">
        <v>2</v>
      </c>
      <c r="M274" s="833">
        <v>207.28</v>
      </c>
    </row>
    <row r="275" spans="1:13" ht="14.45" customHeight="1" x14ac:dyDescent="0.2">
      <c r="A275" s="822" t="s">
        <v>1907</v>
      </c>
      <c r="B275" s="823" t="s">
        <v>3030</v>
      </c>
      <c r="C275" s="823" t="s">
        <v>2501</v>
      </c>
      <c r="D275" s="823" t="s">
        <v>2499</v>
      </c>
      <c r="E275" s="823" t="s">
        <v>2502</v>
      </c>
      <c r="F275" s="832"/>
      <c r="G275" s="832"/>
      <c r="H275" s="828">
        <v>0</v>
      </c>
      <c r="I275" s="832">
        <v>1</v>
      </c>
      <c r="J275" s="832">
        <v>207.27</v>
      </c>
      <c r="K275" s="828">
        <v>1</v>
      </c>
      <c r="L275" s="832">
        <v>1</v>
      </c>
      <c r="M275" s="833">
        <v>207.27</v>
      </c>
    </row>
    <row r="276" spans="1:13" ht="14.45" customHeight="1" x14ac:dyDescent="0.2">
      <c r="A276" s="822" t="s">
        <v>1907</v>
      </c>
      <c r="B276" s="823" t="s">
        <v>3014</v>
      </c>
      <c r="C276" s="823" t="s">
        <v>2649</v>
      </c>
      <c r="D276" s="823" t="s">
        <v>2650</v>
      </c>
      <c r="E276" s="823" t="s">
        <v>2651</v>
      </c>
      <c r="F276" s="832"/>
      <c r="G276" s="832"/>
      <c r="H276" s="828">
        <v>0</v>
      </c>
      <c r="I276" s="832">
        <v>2</v>
      </c>
      <c r="J276" s="832">
        <v>437.46</v>
      </c>
      <c r="K276" s="828">
        <v>1</v>
      </c>
      <c r="L276" s="832">
        <v>2</v>
      </c>
      <c r="M276" s="833">
        <v>437.46</v>
      </c>
    </row>
    <row r="277" spans="1:13" ht="14.45" customHeight="1" x14ac:dyDescent="0.2">
      <c r="A277" s="822" t="s">
        <v>1907</v>
      </c>
      <c r="B277" s="823" t="s">
        <v>3014</v>
      </c>
      <c r="C277" s="823" t="s">
        <v>2652</v>
      </c>
      <c r="D277" s="823" t="s">
        <v>2650</v>
      </c>
      <c r="E277" s="823" t="s">
        <v>2653</v>
      </c>
      <c r="F277" s="832"/>
      <c r="G277" s="832"/>
      <c r="H277" s="828">
        <v>0</v>
      </c>
      <c r="I277" s="832">
        <v>5</v>
      </c>
      <c r="J277" s="832">
        <v>3645.45</v>
      </c>
      <c r="K277" s="828">
        <v>1</v>
      </c>
      <c r="L277" s="832">
        <v>5</v>
      </c>
      <c r="M277" s="833">
        <v>3645.45</v>
      </c>
    </row>
    <row r="278" spans="1:13" ht="14.45" customHeight="1" x14ac:dyDescent="0.2">
      <c r="A278" s="822" t="s">
        <v>1907</v>
      </c>
      <c r="B278" s="823" t="s">
        <v>1623</v>
      </c>
      <c r="C278" s="823" t="s">
        <v>1624</v>
      </c>
      <c r="D278" s="823" t="s">
        <v>967</v>
      </c>
      <c r="E278" s="823" t="s">
        <v>1625</v>
      </c>
      <c r="F278" s="832"/>
      <c r="G278" s="832"/>
      <c r="H278" s="828">
        <v>0</v>
      </c>
      <c r="I278" s="832">
        <v>3</v>
      </c>
      <c r="J278" s="832">
        <v>310.20000000000005</v>
      </c>
      <c r="K278" s="828">
        <v>1</v>
      </c>
      <c r="L278" s="832">
        <v>3</v>
      </c>
      <c r="M278" s="833">
        <v>310.20000000000005</v>
      </c>
    </row>
    <row r="279" spans="1:13" ht="14.45" customHeight="1" x14ac:dyDescent="0.2">
      <c r="A279" s="822" t="s">
        <v>1907</v>
      </c>
      <c r="B279" s="823" t="s">
        <v>1623</v>
      </c>
      <c r="C279" s="823" t="s">
        <v>2544</v>
      </c>
      <c r="D279" s="823" t="s">
        <v>2545</v>
      </c>
      <c r="E279" s="823" t="s">
        <v>2546</v>
      </c>
      <c r="F279" s="832">
        <v>2</v>
      </c>
      <c r="G279" s="832">
        <v>137.86000000000001</v>
      </c>
      <c r="H279" s="828">
        <v>1</v>
      </c>
      <c r="I279" s="832"/>
      <c r="J279" s="832"/>
      <c r="K279" s="828">
        <v>0</v>
      </c>
      <c r="L279" s="832">
        <v>2</v>
      </c>
      <c r="M279" s="833">
        <v>137.86000000000001</v>
      </c>
    </row>
    <row r="280" spans="1:13" ht="14.45" customHeight="1" x14ac:dyDescent="0.2">
      <c r="A280" s="822" t="s">
        <v>1907</v>
      </c>
      <c r="B280" s="823" t="s">
        <v>1623</v>
      </c>
      <c r="C280" s="823" t="s">
        <v>2547</v>
      </c>
      <c r="D280" s="823" t="s">
        <v>2136</v>
      </c>
      <c r="E280" s="823" t="s">
        <v>2548</v>
      </c>
      <c r="F280" s="832">
        <v>1</v>
      </c>
      <c r="G280" s="832">
        <v>103.4</v>
      </c>
      <c r="H280" s="828">
        <v>1</v>
      </c>
      <c r="I280" s="832"/>
      <c r="J280" s="832"/>
      <c r="K280" s="828">
        <v>0</v>
      </c>
      <c r="L280" s="832">
        <v>1</v>
      </c>
      <c r="M280" s="833">
        <v>103.4</v>
      </c>
    </row>
    <row r="281" spans="1:13" ht="14.45" customHeight="1" x14ac:dyDescent="0.2">
      <c r="A281" s="822" t="s">
        <v>1907</v>
      </c>
      <c r="B281" s="823" t="s">
        <v>1626</v>
      </c>
      <c r="C281" s="823" t="s">
        <v>2565</v>
      </c>
      <c r="D281" s="823" t="s">
        <v>1628</v>
      </c>
      <c r="E281" s="823" t="s">
        <v>2566</v>
      </c>
      <c r="F281" s="832"/>
      <c r="G281" s="832"/>
      <c r="H281" s="828">
        <v>0</v>
      </c>
      <c r="I281" s="832">
        <v>2</v>
      </c>
      <c r="J281" s="832">
        <v>137.86000000000001</v>
      </c>
      <c r="K281" s="828">
        <v>1</v>
      </c>
      <c r="L281" s="832">
        <v>2</v>
      </c>
      <c r="M281" s="833">
        <v>137.86000000000001</v>
      </c>
    </row>
    <row r="282" spans="1:13" ht="14.45" customHeight="1" x14ac:dyDescent="0.2">
      <c r="A282" s="822" t="s">
        <v>1907</v>
      </c>
      <c r="B282" s="823" t="s">
        <v>1626</v>
      </c>
      <c r="C282" s="823" t="s">
        <v>2147</v>
      </c>
      <c r="D282" s="823" t="s">
        <v>1628</v>
      </c>
      <c r="E282" s="823" t="s">
        <v>1622</v>
      </c>
      <c r="F282" s="832"/>
      <c r="G282" s="832"/>
      <c r="H282" s="828">
        <v>0</v>
      </c>
      <c r="I282" s="832">
        <v>1</v>
      </c>
      <c r="J282" s="832">
        <v>229.76</v>
      </c>
      <c r="K282" s="828">
        <v>1</v>
      </c>
      <c r="L282" s="832">
        <v>1</v>
      </c>
      <c r="M282" s="833">
        <v>229.76</v>
      </c>
    </row>
    <row r="283" spans="1:13" ht="14.45" customHeight="1" x14ac:dyDescent="0.2">
      <c r="A283" s="822" t="s">
        <v>1907</v>
      </c>
      <c r="B283" s="823" t="s">
        <v>1626</v>
      </c>
      <c r="C283" s="823" t="s">
        <v>2272</v>
      </c>
      <c r="D283" s="823" t="s">
        <v>1628</v>
      </c>
      <c r="E283" s="823" t="s">
        <v>2273</v>
      </c>
      <c r="F283" s="832"/>
      <c r="G283" s="832"/>
      <c r="H283" s="828">
        <v>0</v>
      </c>
      <c r="I283" s="832">
        <v>7</v>
      </c>
      <c r="J283" s="832">
        <v>52.29</v>
      </c>
      <c r="K283" s="828">
        <v>1</v>
      </c>
      <c r="L283" s="832">
        <v>7</v>
      </c>
      <c r="M283" s="833">
        <v>52.29</v>
      </c>
    </row>
    <row r="284" spans="1:13" ht="14.45" customHeight="1" x14ac:dyDescent="0.2">
      <c r="A284" s="822" t="s">
        <v>1907</v>
      </c>
      <c r="B284" s="823" t="s">
        <v>1626</v>
      </c>
      <c r="C284" s="823" t="s">
        <v>1627</v>
      </c>
      <c r="D284" s="823" t="s">
        <v>1628</v>
      </c>
      <c r="E284" s="823" t="s">
        <v>1629</v>
      </c>
      <c r="F284" s="832"/>
      <c r="G284" s="832"/>
      <c r="H284" s="828">
        <v>0</v>
      </c>
      <c r="I284" s="832">
        <v>8</v>
      </c>
      <c r="J284" s="832">
        <v>91.84</v>
      </c>
      <c r="K284" s="828">
        <v>1</v>
      </c>
      <c r="L284" s="832">
        <v>8</v>
      </c>
      <c r="M284" s="833">
        <v>91.84</v>
      </c>
    </row>
    <row r="285" spans="1:13" ht="14.45" customHeight="1" x14ac:dyDescent="0.2">
      <c r="A285" s="822" t="s">
        <v>1907</v>
      </c>
      <c r="B285" s="823" t="s">
        <v>1626</v>
      </c>
      <c r="C285" s="823" t="s">
        <v>2362</v>
      </c>
      <c r="D285" s="823" t="s">
        <v>1628</v>
      </c>
      <c r="E285" s="823" t="s">
        <v>2019</v>
      </c>
      <c r="F285" s="832"/>
      <c r="G285" s="832"/>
      <c r="H285" s="828">
        <v>0</v>
      </c>
      <c r="I285" s="832">
        <v>1</v>
      </c>
      <c r="J285" s="832">
        <v>34.47</v>
      </c>
      <c r="K285" s="828">
        <v>1</v>
      </c>
      <c r="L285" s="832">
        <v>1</v>
      </c>
      <c r="M285" s="833">
        <v>34.47</v>
      </c>
    </row>
    <row r="286" spans="1:13" ht="14.45" customHeight="1" x14ac:dyDescent="0.2">
      <c r="A286" s="822" t="s">
        <v>1907</v>
      </c>
      <c r="B286" s="823" t="s">
        <v>1626</v>
      </c>
      <c r="C286" s="823" t="s">
        <v>2274</v>
      </c>
      <c r="D286" s="823" t="s">
        <v>1628</v>
      </c>
      <c r="E286" s="823" t="s">
        <v>2275</v>
      </c>
      <c r="F286" s="832"/>
      <c r="G286" s="832"/>
      <c r="H286" s="828">
        <v>0</v>
      </c>
      <c r="I286" s="832">
        <v>3</v>
      </c>
      <c r="J286" s="832">
        <v>344.64</v>
      </c>
      <c r="K286" s="828">
        <v>1</v>
      </c>
      <c r="L286" s="832">
        <v>3</v>
      </c>
      <c r="M286" s="833">
        <v>344.64</v>
      </c>
    </row>
    <row r="287" spans="1:13" ht="14.45" customHeight="1" x14ac:dyDescent="0.2">
      <c r="A287" s="822" t="s">
        <v>1907</v>
      </c>
      <c r="B287" s="823" t="s">
        <v>3031</v>
      </c>
      <c r="C287" s="823" t="s">
        <v>2572</v>
      </c>
      <c r="D287" s="823" t="s">
        <v>2573</v>
      </c>
      <c r="E287" s="823" t="s">
        <v>2574</v>
      </c>
      <c r="F287" s="832"/>
      <c r="G287" s="832"/>
      <c r="H287" s="828">
        <v>0</v>
      </c>
      <c r="I287" s="832">
        <v>1</v>
      </c>
      <c r="J287" s="832">
        <v>341.53</v>
      </c>
      <c r="K287" s="828">
        <v>1</v>
      </c>
      <c r="L287" s="832">
        <v>1</v>
      </c>
      <c r="M287" s="833">
        <v>341.53</v>
      </c>
    </row>
    <row r="288" spans="1:13" ht="14.45" customHeight="1" x14ac:dyDescent="0.2">
      <c r="A288" s="822" t="s">
        <v>1907</v>
      </c>
      <c r="B288" s="823" t="s">
        <v>3021</v>
      </c>
      <c r="C288" s="823" t="s">
        <v>2549</v>
      </c>
      <c r="D288" s="823" t="s">
        <v>2270</v>
      </c>
      <c r="E288" s="823" t="s">
        <v>2550</v>
      </c>
      <c r="F288" s="832"/>
      <c r="G288" s="832"/>
      <c r="H288" s="828">
        <v>0</v>
      </c>
      <c r="I288" s="832">
        <v>3</v>
      </c>
      <c r="J288" s="832">
        <v>2457.21</v>
      </c>
      <c r="K288" s="828">
        <v>1</v>
      </c>
      <c r="L288" s="832">
        <v>3</v>
      </c>
      <c r="M288" s="833">
        <v>2457.21</v>
      </c>
    </row>
    <row r="289" spans="1:13" ht="14.45" customHeight="1" x14ac:dyDescent="0.2">
      <c r="A289" s="822" t="s">
        <v>1907</v>
      </c>
      <c r="B289" s="823" t="s">
        <v>3032</v>
      </c>
      <c r="C289" s="823" t="s">
        <v>2568</v>
      </c>
      <c r="D289" s="823" t="s">
        <v>2569</v>
      </c>
      <c r="E289" s="823" t="s">
        <v>2570</v>
      </c>
      <c r="F289" s="832">
        <v>1</v>
      </c>
      <c r="G289" s="832">
        <v>480.66</v>
      </c>
      <c r="H289" s="828">
        <v>1</v>
      </c>
      <c r="I289" s="832"/>
      <c r="J289" s="832"/>
      <c r="K289" s="828">
        <v>0</v>
      </c>
      <c r="L289" s="832">
        <v>1</v>
      </c>
      <c r="M289" s="833">
        <v>480.66</v>
      </c>
    </row>
    <row r="290" spans="1:13" ht="14.45" customHeight="1" x14ac:dyDescent="0.2">
      <c r="A290" s="822" t="s">
        <v>1907</v>
      </c>
      <c r="B290" s="823" t="s">
        <v>3015</v>
      </c>
      <c r="C290" s="823" t="s">
        <v>2108</v>
      </c>
      <c r="D290" s="823" t="s">
        <v>2109</v>
      </c>
      <c r="E290" s="823" t="s">
        <v>2110</v>
      </c>
      <c r="F290" s="832"/>
      <c r="G290" s="832"/>
      <c r="H290" s="828">
        <v>0</v>
      </c>
      <c r="I290" s="832">
        <v>4</v>
      </c>
      <c r="J290" s="832">
        <v>474.6</v>
      </c>
      <c r="K290" s="828">
        <v>1</v>
      </c>
      <c r="L290" s="832">
        <v>4</v>
      </c>
      <c r="M290" s="833">
        <v>474.6</v>
      </c>
    </row>
    <row r="291" spans="1:13" ht="14.45" customHeight="1" x14ac:dyDescent="0.2">
      <c r="A291" s="822" t="s">
        <v>1907</v>
      </c>
      <c r="B291" s="823" t="s">
        <v>3022</v>
      </c>
      <c r="C291" s="823" t="s">
        <v>2621</v>
      </c>
      <c r="D291" s="823" t="s">
        <v>2622</v>
      </c>
      <c r="E291" s="823" t="s">
        <v>2623</v>
      </c>
      <c r="F291" s="832">
        <v>1</v>
      </c>
      <c r="G291" s="832">
        <v>221.48</v>
      </c>
      <c r="H291" s="828">
        <v>1</v>
      </c>
      <c r="I291" s="832"/>
      <c r="J291" s="832"/>
      <c r="K291" s="828">
        <v>0</v>
      </c>
      <c r="L291" s="832">
        <v>1</v>
      </c>
      <c r="M291" s="833">
        <v>221.48</v>
      </c>
    </row>
    <row r="292" spans="1:13" ht="14.45" customHeight="1" x14ac:dyDescent="0.2">
      <c r="A292" s="822" t="s">
        <v>1907</v>
      </c>
      <c r="B292" s="823" t="s">
        <v>3033</v>
      </c>
      <c r="C292" s="823" t="s">
        <v>2511</v>
      </c>
      <c r="D292" s="823" t="s">
        <v>2512</v>
      </c>
      <c r="E292" s="823" t="s">
        <v>2513</v>
      </c>
      <c r="F292" s="832"/>
      <c r="G292" s="832"/>
      <c r="H292" s="828">
        <v>0</v>
      </c>
      <c r="I292" s="832">
        <v>1</v>
      </c>
      <c r="J292" s="832">
        <v>77.790000000000006</v>
      </c>
      <c r="K292" s="828">
        <v>1</v>
      </c>
      <c r="L292" s="832">
        <v>1</v>
      </c>
      <c r="M292" s="833">
        <v>77.790000000000006</v>
      </c>
    </row>
    <row r="293" spans="1:13" ht="14.45" customHeight="1" x14ac:dyDescent="0.2">
      <c r="A293" s="822" t="s">
        <v>1907</v>
      </c>
      <c r="B293" s="823" t="s">
        <v>3016</v>
      </c>
      <c r="C293" s="823" t="s">
        <v>2629</v>
      </c>
      <c r="D293" s="823" t="s">
        <v>2630</v>
      </c>
      <c r="E293" s="823" t="s">
        <v>2631</v>
      </c>
      <c r="F293" s="832">
        <v>8</v>
      </c>
      <c r="G293" s="832">
        <v>479.04</v>
      </c>
      <c r="H293" s="828">
        <v>1</v>
      </c>
      <c r="I293" s="832"/>
      <c r="J293" s="832"/>
      <c r="K293" s="828">
        <v>0</v>
      </c>
      <c r="L293" s="832">
        <v>8</v>
      </c>
      <c r="M293" s="833">
        <v>479.04</v>
      </c>
    </row>
    <row r="294" spans="1:13" ht="14.45" customHeight="1" x14ac:dyDescent="0.2">
      <c r="A294" s="822" t="s">
        <v>1907</v>
      </c>
      <c r="B294" s="823" t="s">
        <v>3016</v>
      </c>
      <c r="C294" s="823" t="s">
        <v>2175</v>
      </c>
      <c r="D294" s="823" t="s">
        <v>2176</v>
      </c>
      <c r="E294" s="823" t="s">
        <v>2177</v>
      </c>
      <c r="F294" s="832"/>
      <c r="G294" s="832"/>
      <c r="H294" s="828">
        <v>0</v>
      </c>
      <c r="I294" s="832">
        <v>15</v>
      </c>
      <c r="J294" s="832">
        <v>5185.3499999999995</v>
      </c>
      <c r="K294" s="828">
        <v>1</v>
      </c>
      <c r="L294" s="832">
        <v>15</v>
      </c>
      <c r="M294" s="833">
        <v>5185.3499999999995</v>
      </c>
    </row>
    <row r="295" spans="1:13" ht="14.45" customHeight="1" x14ac:dyDescent="0.2">
      <c r="A295" s="822" t="s">
        <v>1907</v>
      </c>
      <c r="B295" s="823" t="s">
        <v>3016</v>
      </c>
      <c r="C295" s="823" t="s">
        <v>2632</v>
      </c>
      <c r="D295" s="823" t="s">
        <v>2176</v>
      </c>
      <c r="E295" s="823" t="s">
        <v>2633</v>
      </c>
      <c r="F295" s="832"/>
      <c r="G295" s="832"/>
      <c r="H295" s="828">
        <v>0</v>
      </c>
      <c r="I295" s="832">
        <v>24</v>
      </c>
      <c r="J295" s="832">
        <v>2081.52</v>
      </c>
      <c r="K295" s="828">
        <v>1</v>
      </c>
      <c r="L295" s="832">
        <v>24</v>
      </c>
      <c r="M295" s="833">
        <v>2081.52</v>
      </c>
    </row>
    <row r="296" spans="1:13" ht="14.45" customHeight="1" x14ac:dyDescent="0.2">
      <c r="A296" s="822" t="s">
        <v>1907</v>
      </c>
      <c r="B296" s="823" t="s">
        <v>1634</v>
      </c>
      <c r="C296" s="823" t="s">
        <v>1796</v>
      </c>
      <c r="D296" s="823" t="s">
        <v>1639</v>
      </c>
      <c r="E296" s="823" t="s">
        <v>1797</v>
      </c>
      <c r="F296" s="832"/>
      <c r="G296" s="832"/>
      <c r="H296" s="828">
        <v>0</v>
      </c>
      <c r="I296" s="832">
        <v>32</v>
      </c>
      <c r="J296" s="832">
        <v>6066.74</v>
      </c>
      <c r="K296" s="828">
        <v>1</v>
      </c>
      <c r="L296" s="832">
        <v>32</v>
      </c>
      <c r="M296" s="833">
        <v>6066.74</v>
      </c>
    </row>
    <row r="297" spans="1:13" ht="14.45" customHeight="1" x14ac:dyDescent="0.2">
      <c r="A297" s="822" t="s">
        <v>1907</v>
      </c>
      <c r="B297" s="823" t="s">
        <v>1634</v>
      </c>
      <c r="C297" s="823" t="s">
        <v>1635</v>
      </c>
      <c r="D297" s="823" t="s">
        <v>1636</v>
      </c>
      <c r="E297" s="823" t="s">
        <v>1637</v>
      </c>
      <c r="F297" s="832"/>
      <c r="G297" s="832"/>
      <c r="H297" s="828">
        <v>0</v>
      </c>
      <c r="I297" s="832">
        <v>1</v>
      </c>
      <c r="J297" s="832">
        <v>165.41</v>
      </c>
      <c r="K297" s="828">
        <v>1</v>
      </c>
      <c r="L297" s="832">
        <v>1</v>
      </c>
      <c r="M297" s="833">
        <v>165.41</v>
      </c>
    </row>
    <row r="298" spans="1:13" ht="14.45" customHeight="1" x14ac:dyDescent="0.2">
      <c r="A298" s="822" t="s">
        <v>1907</v>
      </c>
      <c r="B298" s="823" t="s">
        <v>1634</v>
      </c>
      <c r="C298" s="823" t="s">
        <v>2414</v>
      </c>
      <c r="D298" s="823" t="s">
        <v>1639</v>
      </c>
      <c r="E298" s="823" t="s">
        <v>2153</v>
      </c>
      <c r="F298" s="832">
        <v>15</v>
      </c>
      <c r="G298" s="832">
        <v>1949.1000000000001</v>
      </c>
      <c r="H298" s="828">
        <v>1</v>
      </c>
      <c r="I298" s="832"/>
      <c r="J298" s="832"/>
      <c r="K298" s="828">
        <v>0</v>
      </c>
      <c r="L298" s="832">
        <v>15</v>
      </c>
      <c r="M298" s="833">
        <v>1949.1000000000001</v>
      </c>
    </row>
    <row r="299" spans="1:13" ht="14.45" customHeight="1" x14ac:dyDescent="0.2">
      <c r="A299" s="822" t="s">
        <v>1907</v>
      </c>
      <c r="B299" s="823" t="s">
        <v>1634</v>
      </c>
      <c r="C299" s="823" t="s">
        <v>2223</v>
      </c>
      <c r="D299" s="823" t="s">
        <v>1639</v>
      </c>
      <c r="E299" s="823" t="s">
        <v>2224</v>
      </c>
      <c r="F299" s="832">
        <v>8</v>
      </c>
      <c r="G299" s="832">
        <v>2357.9199999999996</v>
      </c>
      <c r="H299" s="828">
        <v>1</v>
      </c>
      <c r="I299" s="832"/>
      <c r="J299" s="832"/>
      <c r="K299" s="828">
        <v>0</v>
      </c>
      <c r="L299" s="832">
        <v>8</v>
      </c>
      <c r="M299" s="833">
        <v>2357.9199999999996</v>
      </c>
    </row>
    <row r="300" spans="1:13" ht="14.45" customHeight="1" x14ac:dyDescent="0.2">
      <c r="A300" s="822" t="s">
        <v>1907</v>
      </c>
      <c r="B300" s="823" t="s">
        <v>1634</v>
      </c>
      <c r="C300" s="823" t="s">
        <v>1638</v>
      </c>
      <c r="D300" s="823" t="s">
        <v>1639</v>
      </c>
      <c r="E300" s="823" t="s">
        <v>1640</v>
      </c>
      <c r="F300" s="832">
        <v>1</v>
      </c>
      <c r="G300" s="832">
        <v>143.35</v>
      </c>
      <c r="H300" s="828">
        <v>1</v>
      </c>
      <c r="I300" s="832"/>
      <c r="J300" s="832"/>
      <c r="K300" s="828">
        <v>0</v>
      </c>
      <c r="L300" s="832">
        <v>1</v>
      </c>
      <c r="M300" s="833">
        <v>143.35</v>
      </c>
    </row>
    <row r="301" spans="1:13" ht="14.45" customHeight="1" x14ac:dyDescent="0.2">
      <c r="A301" s="822" t="s">
        <v>1907</v>
      </c>
      <c r="B301" s="823" t="s">
        <v>1634</v>
      </c>
      <c r="C301" s="823" t="s">
        <v>2415</v>
      </c>
      <c r="D301" s="823" t="s">
        <v>1639</v>
      </c>
      <c r="E301" s="823" t="s">
        <v>2416</v>
      </c>
      <c r="F301" s="832">
        <v>9</v>
      </c>
      <c r="G301" s="832">
        <v>4105.4799999999996</v>
      </c>
      <c r="H301" s="828">
        <v>1</v>
      </c>
      <c r="I301" s="832"/>
      <c r="J301" s="832"/>
      <c r="K301" s="828">
        <v>0</v>
      </c>
      <c r="L301" s="832">
        <v>9</v>
      </c>
      <c r="M301" s="833">
        <v>4105.4799999999996</v>
      </c>
    </row>
    <row r="302" spans="1:13" ht="14.45" customHeight="1" x14ac:dyDescent="0.2">
      <c r="A302" s="822" t="s">
        <v>1907</v>
      </c>
      <c r="B302" s="823" t="s">
        <v>1634</v>
      </c>
      <c r="C302" s="823" t="s">
        <v>2419</v>
      </c>
      <c r="D302" s="823" t="s">
        <v>2418</v>
      </c>
      <c r="E302" s="823" t="s">
        <v>2153</v>
      </c>
      <c r="F302" s="832">
        <v>1</v>
      </c>
      <c r="G302" s="832">
        <v>155.30000000000001</v>
      </c>
      <c r="H302" s="828">
        <v>1</v>
      </c>
      <c r="I302" s="832"/>
      <c r="J302" s="832"/>
      <c r="K302" s="828">
        <v>0</v>
      </c>
      <c r="L302" s="832">
        <v>1</v>
      </c>
      <c r="M302" s="833">
        <v>155.30000000000001</v>
      </c>
    </row>
    <row r="303" spans="1:13" ht="14.45" customHeight="1" x14ac:dyDescent="0.2">
      <c r="A303" s="822" t="s">
        <v>1907</v>
      </c>
      <c r="B303" s="823" t="s">
        <v>1634</v>
      </c>
      <c r="C303" s="823" t="s">
        <v>2417</v>
      </c>
      <c r="D303" s="823" t="s">
        <v>2418</v>
      </c>
      <c r="E303" s="823" t="s">
        <v>2224</v>
      </c>
      <c r="F303" s="832">
        <v>1</v>
      </c>
      <c r="G303" s="832">
        <v>310.58999999999997</v>
      </c>
      <c r="H303" s="828">
        <v>1</v>
      </c>
      <c r="I303" s="832"/>
      <c r="J303" s="832"/>
      <c r="K303" s="828">
        <v>0</v>
      </c>
      <c r="L303" s="832">
        <v>1</v>
      </c>
      <c r="M303" s="833">
        <v>310.58999999999997</v>
      </c>
    </row>
    <row r="304" spans="1:13" ht="14.45" customHeight="1" x14ac:dyDescent="0.2">
      <c r="A304" s="822" t="s">
        <v>1907</v>
      </c>
      <c r="B304" s="823" t="s">
        <v>3034</v>
      </c>
      <c r="C304" s="823" t="s">
        <v>2421</v>
      </c>
      <c r="D304" s="823" t="s">
        <v>2422</v>
      </c>
      <c r="E304" s="823" t="s">
        <v>2423</v>
      </c>
      <c r="F304" s="832">
        <v>1</v>
      </c>
      <c r="G304" s="832">
        <v>233.04</v>
      </c>
      <c r="H304" s="828">
        <v>1</v>
      </c>
      <c r="I304" s="832"/>
      <c r="J304" s="832"/>
      <c r="K304" s="828">
        <v>0</v>
      </c>
      <c r="L304" s="832">
        <v>1</v>
      </c>
      <c r="M304" s="833">
        <v>233.04</v>
      </c>
    </row>
    <row r="305" spans="1:13" ht="14.45" customHeight="1" x14ac:dyDescent="0.2">
      <c r="A305" s="822" t="s">
        <v>1907</v>
      </c>
      <c r="B305" s="823" t="s">
        <v>3034</v>
      </c>
      <c r="C305" s="823" t="s">
        <v>2425</v>
      </c>
      <c r="D305" s="823" t="s">
        <v>2422</v>
      </c>
      <c r="E305" s="823" t="s">
        <v>2426</v>
      </c>
      <c r="F305" s="832"/>
      <c r="G305" s="832"/>
      <c r="H305" s="828">
        <v>0</v>
      </c>
      <c r="I305" s="832">
        <v>44</v>
      </c>
      <c r="J305" s="832">
        <v>3418.3599999999997</v>
      </c>
      <c r="K305" s="828">
        <v>1</v>
      </c>
      <c r="L305" s="832">
        <v>44</v>
      </c>
      <c r="M305" s="833">
        <v>3418.3599999999997</v>
      </c>
    </row>
    <row r="306" spans="1:13" ht="14.45" customHeight="1" x14ac:dyDescent="0.2">
      <c r="A306" s="822" t="s">
        <v>1907</v>
      </c>
      <c r="B306" s="823" t="s">
        <v>3034</v>
      </c>
      <c r="C306" s="823" t="s">
        <v>2424</v>
      </c>
      <c r="D306" s="823" t="s">
        <v>2422</v>
      </c>
      <c r="E306" s="823" t="s">
        <v>2284</v>
      </c>
      <c r="F306" s="832"/>
      <c r="G306" s="832"/>
      <c r="H306" s="828">
        <v>0</v>
      </c>
      <c r="I306" s="832">
        <v>15</v>
      </c>
      <c r="J306" s="832">
        <v>1631.7</v>
      </c>
      <c r="K306" s="828">
        <v>1</v>
      </c>
      <c r="L306" s="832">
        <v>15</v>
      </c>
      <c r="M306" s="833">
        <v>1631.7</v>
      </c>
    </row>
    <row r="307" spans="1:13" ht="14.45" customHeight="1" x14ac:dyDescent="0.2">
      <c r="A307" s="822" t="s">
        <v>1907</v>
      </c>
      <c r="B307" s="823" t="s">
        <v>1641</v>
      </c>
      <c r="C307" s="823" t="s">
        <v>2618</v>
      </c>
      <c r="D307" s="823" t="s">
        <v>2619</v>
      </c>
      <c r="E307" s="823" t="s">
        <v>2620</v>
      </c>
      <c r="F307" s="832">
        <v>2</v>
      </c>
      <c r="G307" s="832">
        <v>667.36</v>
      </c>
      <c r="H307" s="828">
        <v>1</v>
      </c>
      <c r="I307" s="832"/>
      <c r="J307" s="832"/>
      <c r="K307" s="828">
        <v>0</v>
      </c>
      <c r="L307" s="832">
        <v>2</v>
      </c>
      <c r="M307" s="833">
        <v>667.36</v>
      </c>
    </row>
    <row r="308" spans="1:13" ht="14.45" customHeight="1" x14ac:dyDescent="0.2">
      <c r="A308" s="822" t="s">
        <v>1907</v>
      </c>
      <c r="B308" s="823" t="s">
        <v>1651</v>
      </c>
      <c r="C308" s="823" t="s">
        <v>2703</v>
      </c>
      <c r="D308" s="823" t="s">
        <v>786</v>
      </c>
      <c r="E308" s="823" t="s">
        <v>2704</v>
      </c>
      <c r="F308" s="832">
        <v>1</v>
      </c>
      <c r="G308" s="832">
        <v>94.28</v>
      </c>
      <c r="H308" s="828">
        <v>1</v>
      </c>
      <c r="I308" s="832"/>
      <c r="J308" s="832"/>
      <c r="K308" s="828">
        <v>0</v>
      </c>
      <c r="L308" s="832">
        <v>1</v>
      </c>
      <c r="M308" s="833">
        <v>94.28</v>
      </c>
    </row>
    <row r="309" spans="1:13" ht="14.45" customHeight="1" x14ac:dyDescent="0.2">
      <c r="A309" s="822" t="s">
        <v>1907</v>
      </c>
      <c r="B309" s="823" t="s">
        <v>1651</v>
      </c>
      <c r="C309" s="823" t="s">
        <v>2204</v>
      </c>
      <c r="D309" s="823" t="s">
        <v>786</v>
      </c>
      <c r="E309" s="823" t="s">
        <v>1659</v>
      </c>
      <c r="F309" s="832">
        <v>1</v>
      </c>
      <c r="G309" s="832">
        <v>49.08</v>
      </c>
      <c r="H309" s="828">
        <v>1</v>
      </c>
      <c r="I309" s="832"/>
      <c r="J309" s="832"/>
      <c r="K309" s="828">
        <v>0</v>
      </c>
      <c r="L309" s="832">
        <v>1</v>
      </c>
      <c r="M309" s="833">
        <v>49.08</v>
      </c>
    </row>
    <row r="310" spans="1:13" ht="14.45" customHeight="1" x14ac:dyDescent="0.2">
      <c r="A310" s="822" t="s">
        <v>1907</v>
      </c>
      <c r="B310" s="823" t="s">
        <v>1651</v>
      </c>
      <c r="C310" s="823" t="s">
        <v>2705</v>
      </c>
      <c r="D310" s="823" t="s">
        <v>1653</v>
      </c>
      <c r="E310" s="823" t="s">
        <v>2706</v>
      </c>
      <c r="F310" s="832"/>
      <c r="G310" s="832"/>
      <c r="H310" s="828">
        <v>0</v>
      </c>
      <c r="I310" s="832">
        <v>2</v>
      </c>
      <c r="J310" s="832">
        <v>252.54</v>
      </c>
      <c r="K310" s="828">
        <v>1</v>
      </c>
      <c r="L310" s="832">
        <v>2</v>
      </c>
      <c r="M310" s="833">
        <v>252.54</v>
      </c>
    </row>
    <row r="311" spans="1:13" ht="14.45" customHeight="1" x14ac:dyDescent="0.2">
      <c r="A311" s="822" t="s">
        <v>1907</v>
      </c>
      <c r="B311" s="823" t="s">
        <v>1651</v>
      </c>
      <c r="C311" s="823" t="s">
        <v>2285</v>
      </c>
      <c r="D311" s="823" t="s">
        <v>1653</v>
      </c>
      <c r="E311" s="823" t="s">
        <v>2286</v>
      </c>
      <c r="F311" s="832"/>
      <c r="G311" s="832"/>
      <c r="H311" s="828">
        <v>0</v>
      </c>
      <c r="I311" s="832">
        <v>1</v>
      </c>
      <c r="J311" s="832">
        <v>49.08</v>
      </c>
      <c r="K311" s="828">
        <v>1</v>
      </c>
      <c r="L311" s="832">
        <v>1</v>
      </c>
      <c r="M311" s="833">
        <v>49.08</v>
      </c>
    </row>
    <row r="312" spans="1:13" ht="14.45" customHeight="1" x14ac:dyDescent="0.2">
      <c r="A312" s="822" t="s">
        <v>1907</v>
      </c>
      <c r="B312" s="823" t="s">
        <v>1651</v>
      </c>
      <c r="C312" s="823" t="s">
        <v>1657</v>
      </c>
      <c r="D312" s="823" t="s">
        <v>786</v>
      </c>
      <c r="E312" s="823" t="s">
        <v>787</v>
      </c>
      <c r="F312" s="832"/>
      <c r="G312" s="832"/>
      <c r="H312" s="828">
        <v>0</v>
      </c>
      <c r="I312" s="832">
        <v>1</v>
      </c>
      <c r="J312" s="832">
        <v>115.33</v>
      </c>
      <c r="K312" s="828">
        <v>1</v>
      </c>
      <c r="L312" s="832">
        <v>1</v>
      </c>
      <c r="M312" s="833">
        <v>115.33</v>
      </c>
    </row>
    <row r="313" spans="1:13" ht="14.45" customHeight="1" x14ac:dyDescent="0.2">
      <c r="A313" s="822" t="s">
        <v>1907</v>
      </c>
      <c r="B313" s="823" t="s">
        <v>1664</v>
      </c>
      <c r="C313" s="823" t="s">
        <v>2200</v>
      </c>
      <c r="D313" s="823" t="s">
        <v>1088</v>
      </c>
      <c r="E313" s="823" t="s">
        <v>2201</v>
      </c>
      <c r="F313" s="832"/>
      <c r="G313" s="832"/>
      <c r="H313" s="828">
        <v>0</v>
      </c>
      <c r="I313" s="832">
        <v>1</v>
      </c>
      <c r="J313" s="832">
        <v>154.36000000000001</v>
      </c>
      <c r="K313" s="828">
        <v>1</v>
      </c>
      <c r="L313" s="832">
        <v>1</v>
      </c>
      <c r="M313" s="833">
        <v>154.36000000000001</v>
      </c>
    </row>
    <row r="314" spans="1:13" ht="14.45" customHeight="1" x14ac:dyDescent="0.2">
      <c r="A314" s="822" t="s">
        <v>1907</v>
      </c>
      <c r="B314" s="823" t="s">
        <v>1804</v>
      </c>
      <c r="C314" s="823" t="s">
        <v>1805</v>
      </c>
      <c r="D314" s="823" t="s">
        <v>1806</v>
      </c>
      <c r="E314" s="823" t="s">
        <v>1807</v>
      </c>
      <c r="F314" s="832"/>
      <c r="G314" s="832"/>
      <c r="H314" s="828">
        <v>0</v>
      </c>
      <c r="I314" s="832">
        <v>8</v>
      </c>
      <c r="J314" s="832">
        <v>957.6</v>
      </c>
      <c r="K314" s="828">
        <v>1</v>
      </c>
      <c r="L314" s="832">
        <v>8</v>
      </c>
      <c r="M314" s="833">
        <v>957.6</v>
      </c>
    </row>
    <row r="315" spans="1:13" ht="14.45" customHeight="1" x14ac:dyDescent="0.2">
      <c r="A315" s="822" t="s">
        <v>1907</v>
      </c>
      <c r="B315" s="823" t="s">
        <v>1703</v>
      </c>
      <c r="C315" s="823" t="s">
        <v>1704</v>
      </c>
      <c r="D315" s="823" t="s">
        <v>626</v>
      </c>
      <c r="E315" s="823" t="s">
        <v>628</v>
      </c>
      <c r="F315" s="832"/>
      <c r="G315" s="832"/>
      <c r="H315" s="828">
        <v>0</v>
      </c>
      <c r="I315" s="832">
        <v>4</v>
      </c>
      <c r="J315" s="832">
        <v>290.2</v>
      </c>
      <c r="K315" s="828">
        <v>1</v>
      </c>
      <c r="L315" s="832">
        <v>4</v>
      </c>
      <c r="M315" s="833">
        <v>290.2</v>
      </c>
    </row>
    <row r="316" spans="1:13" ht="14.45" customHeight="1" x14ac:dyDescent="0.2">
      <c r="A316" s="822" t="s">
        <v>1907</v>
      </c>
      <c r="B316" s="823" t="s">
        <v>1703</v>
      </c>
      <c r="C316" s="823" t="s">
        <v>1705</v>
      </c>
      <c r="D316" s="823" t="s">
        <v>626</v>
      </c>
      <c r="E316" s="823" t="s">
        <v>627</v>
      </c>
      <c r="F316" s="832"/>
      <c r="G316" s="832"/>
      <c r="H316" s="828">
        <v>0</v>
      </c>
      <c r="I316" s="832">
        <v>6</v>
      </c>
      <c r="J316" s="832">
        <v>391.68</v>
      </c>
      <c r="K316" s="828">
        <v>1</v>
      </c>
      <c r="L316" s="832">
        <v>6</v>
      </c>
      <c r="M316" s="833">
        <v>391.68</v>
      </c>
    </row>
    <row r="317" spans="1:13" ht="14.45" customHeight="1" x14ac:dyDescent="0.2">
      <c r="A317" s="822" t="s">
        <v>1907</v>
      </c>
      <c r="B317" s="823" t="s">
        <v>1703</v>
      </c>
      <c r="C317" s="823" t="s">
        <v>2402</v>
      </c>
      <c r="D317" s="823" t="s">
        <v>626</v>
      </c>
      <c r="E317" s="823" t="s">
        <v>2264</v>
      </c>
      <c r="F317" s="832"/>
      <c r="G317" s="832"/>
      <c r="H317" s="828">
        <v>0</v>
      </c>
      <c r="I317" s="832">
        <v>2</v>
      </c>
      <c r="J317" s="832">
        <v>43.52</v>
      </c>
      <c r="K317" s="828">
        <v>1</v>
      </c>
      <c r="L317" s="832">
        <v>2</v>
      </c>
      <c r="M317" s="833">
        <v>43.52</v>
      </c>
    </row>
    <row r="318" spans="1:13" ht="14.45" customHeight="1" x14ac:dyDescent="0.2">
      <c r="A318" s="822" t="s">
        <v>1907</v>
      </c>
      <c r="B318" s="823" t="s">
        <v>1710</v>
      </c>
      <c r="C318" s="823" t="s">
        <v>1711</v>
      </c>
      <c r="D318" s="823" t="s">
        <v>946</v>
      </c>
      <c r="E318" s="823" t="s">
        <v>947</v>
      </c>
      <c r="F318" s="832"/>
      <c r="G318" s="832"/>
      <c r="H318" s="828"/>
      <c r="I318" s="832">
        <v>14</v>
      </c>
      <c r="J318" s="832">
        <v>0</v>
      </c>
      <c r="K318" s="828"/>
      <c r="L318" s="832">
        <v>14</v>
      </c>
      <c r="M318" s="833">
        <v>0</v>
      </c>
    </row>
    <row r="319" spans="1:13" ht="14.45" customHeight="1" x14ac:dyDescent="0.2">
      <c r="A319" s="822" t="s">
        <v>1907</v>
      </c>
      <c r="B319" s="823" t="s">
        <v>1720</v>
      </c>
      <c r="C319" s="823" t="s">
        <v>1839</v>
      </c>
      <c r="D319" s="823" t="s">
        <v>1725</v>
      </c>
      <c r="E319" s="823" t="s">
        <v>1840</v>
      </c>
      <c r="F319" s="832"/>
      <c r="G319" s="832"/>
      <c r="H319" s="828">
        <v>0</v>
      </c>
      <c r="I319" s="832">
        <v>2</v>
      </c>
      <c r="J319" s="832">
        <v>732.62</v>
      </c>
      <c r="K319" s="828">
        <v>1</v>
      </c>
      <c r="L319" s="832">
        <v>2</v>
      </c>
      <c r="M319" s="833">
        <v>732.62</v>
      </c>
    </row>
    <row r="320" spans="1:13" ht="14.45" customHeight="1" x14ac:dyDescent="0.2">
      <c r="A320" s="822" t="s">
        <v>1907</v>
      </c>
      <c r="B320" s="823" t="s">
        <v>1734</v>
      </c>
      <c r="C320" s="823" t="s">
        <v>2403</v>
      </c>
      <c r="D320" s="823" t="s">
        <v>2404</v>
      </c>
      <c r="E320" s="823" t="s">
        <v>1737</v>
      </c>
      <c r="F320" s="832">
        <v>2</v>
      </c>
      <c r="G320" s="832">
        <v>23.42</v>
      </c>
      <c r="H320" s="828">
        <v>1</v>
      </c>
      <c r="I320" s="832"/>
      <c r="J320" s="832"/>
      <c r="K320" s="828">
        <v>0</v>
      </c>
      <c r="L320" s="832">
        <v>2</v>
      </c>
      <c r="M320" s="833">
        <v>23.42</v>
      </c>
    </row>
    <row r="321" spans="1:13" ht="14.45" customHeight="1" x14ac:dyDescent="0.2">
      <c r="A321" s="822" t="s">
        <v>1907</v>
      </c>
      <c r="B321" s="823" t="s">
        <v>1734</v>
      </c>
      <c r="C321" s="823" t="s">
        <v>1843</v>
      </c>
      <c r="D321" s="823" t="s">
        <v>1736</v>
      </c>
      <c r="E321" s="823" t="s">
        <v>1844</v>
      </c>
      <c r="F321" s="832"/>
      <c r="G321" s="832"/>
      <c r="H321" s="828">
        <v>0</v>
      </c>
      <c r="I321" s="832">
        <v>4</v>
      </c>
      <c r="J321" s="832">
        <v>93.6</v>
      </c>
      <c r="K321" s="828">
        <v>1</v>
      </c>
      <c r="L321" s="832">
        <v>4</v>
      </c>
      <c r="M321" s="833">
        <v>93.6</v>
      </c>
    </row>
    <row r="322" spans="1:13" ht="14.45" customHeight="1" x14ac:dyDescent="0.2">
      <c r="A322" s="822" t="s">
        <v>1907</v>
      </c>
      <c r="B322" s="823" t="s">
        <v>1734</v>
      </c>
      <c r="C322" s="823" t="s">
        <v>2013</v>
      </c>
      <c r="D322" s="823" t="s">
        <v>1736</v>
      </c>
      <c r="E322" s="823" t="s">
        <v>2014</v>
      </c>
      <c r="F322" s="832"/>
      <c r="G322" s="832"/>
      <c r="H322" s="828">
        <v>0</v>
      </c>
      <c r="I322" s="832">
        <v>2</v>
      </c>
      <c r="J322" s="832">
        <v>93.62</v>
      </c>
      <c r="K322" s="828">
        <v>1</v>
      </c>
      <c r="L322" s="832">
        <v>2</v>
      </c>
      <c r="M322" s="833">
        <v>93.62</v>
      </c>
    </row>
    <row r="323" spans="1:13" ht="14.45" customHeight="1" x14ac:dyDescent="0.2">
      <c r="A323" s="822" t="s">
        <v>1907</v>
      </c>
      <c r="B323" s="823" t="s">
        <v>1734</v>
      </c>
      <c r="C323" s="823" t="s">
        <v>1942</v>
      </c>
      <c r="D323" s="823" t="s">
        <v>1943</v>
      </c>
      <c r="E323" s="823" t="s">
        <v>1737</v>
      </c>
      <c r="F323" s="832">
        <v>5</v>
      </c>
      <c r="G323" s="832">
        <v>58.550000000000004</v>
      </c>
      <c r="H323" s="828">
        <v>1</v>
      </c>
      <c r="I323" s="832"/>
      <c r="J323" s="832"/>
      <c r="K323" s="828">
        <v>0</v>
      </c>
      <c r="L323" s="832">
        <v>5</v>
      </c>
      <c r="M323" s="833">
        <v>58.550000000000004</v>
      </c>
    </row>
    <row r="324" spans="1:13" ht="14.45" customHeight="1" x14ac:dyDescent="0.2">
      <c r="A324" s="822" t="s">
        <v>1907</v>
      </c>
      <c r="B324" s="823" t="s">
        <v>1734</v>
      </c>
      <c r="C324" s="823" t="s">
        <v>1735</v>
      </c>
      <c r="D324" s="823" t="s">
        <v>1736</v>
      </c>
      <c r="E324" s="823" t="s">
        <v>1737</v>
      </c>
      <c r="F324" s="832"/>
      <c r="G324" s="832"/>
      <c r="H324" s="828">
        <v>0</v>
      </c>
      <c r="I324" s="832">
        <v>3</v>
      </c>
      <c r="J324" s="832">
        <v>35.130000000000003</v>
      </c>
      <c r="K324" s="828">
        <v>1</v>
      </c>
      <c r="L324" s="832">
        <v>3</v>
      </c>
      <c r="M324" s="833">
        <v>35.130000000000003</v>
      </c>
    </row>
    <row r="325" spans="1:13" ht="14.45" customHeight="1" x14ac:dyDescent="0.2">
      <c r="A325" s="822" t="s">
        <v>1907</v>
      </c>
      <c r="B325" s="823" t="s">
        <v>1744</v>
      </c>
      <c r="C325" s="823" t="s">
        <v>2654</v>
      </c>
      <c r="D325" s="823" t="s">
        <v>2655</v>
      </c>
      <c r="E325" s="823" t="s">
        <v>1849</v>
      </c>
      <c r="F325" s="832">
        <v>7</v>
      </c>
      <c r="G325" s="832">
        <v>0</v>
      </c>
      <c r="H325" s="828"/>
      <c r="I325" s="832"/>
      <c r="J325" s="832"/>
      <c r="K325" s="828"/>
      <c r="L325" s="832">
        <v>7</v>
      </c>
      <c r="M325" s="833">
        <v>0</v>
      </c>
    </row>
    <row r="326" spans="1:13" ht="14.45" customHeight="1" x14ac:dyDescent="0.2">
      <c r="A326" s="822" t="s">
        <v>1907</v>
      </c>
      <c r="B326" s="823" t="s">
        <v>1744</v>
      </c>
      <c r="C326" s="823" t="s">
        <v>1745</v>
      </c>
      <c r="D326" s="823" t="s">
        <v>1066</v>
      </c>
      <c r="E326" s="823" t="s">
        <v>1746</v>
      </c>
      <c r="F326" s="832"/>
      <c r="G326" s="832"/>
      <c r="H326" s="828"/>
      <c r="I326" s="832">
        <v>8</v>
      </c>
      <c r="J326" s="832">
        <v>0</v>
      </c>
      <c r="K326" s="828"/>
      <c r="L326" s="832">
        <v>8</v>
      </c>
      <c r="M326" s="833">
        <v>0</v>
      </c>
    </row>
    <row r="327" spans="1:13" ht="14.45" customHeight="1" x14ac:dyDescent="0.2">
      <c r="A327" s="822" t="s">
        <v>1907</v>
      </c>
      <c r="B327" s="823" t="s">
        <v>1747</v>
      </c>
      <c r="C327" s="823" t="s">
        <v>2584</v>
      </c>
      <c r="D327" s="823" t="s">
        <v>1749</v>
      </c>
      <c r="E327" s="823" t="s">
        <v>1249</v>
      </c>
      <c r="F327" s="832">
        <v>1</v>
      </c>
      <c r="G327" s="832">
        <v>439.14</v>
      </c>
      <c r="H327" s="828">
        <v>1</v>
      </c>
      <c r="I327" s="832"/>
      <c r="J327" s="832"/>
      <c r="K327" s="828">
        <v>0</v>
      </c>
      <c r="L327" s="832">
        <v>1</v>
      </c>
      <c r="M327" s="833">
        <v>439.14</v>
      </c>
    </row>
    <row r="328" spans="1:13" ht="14.45" customHeight="1" x14ac:dyDescent="0.2">
      <c r="A328" s="822" t="s">
        <v>1907</v>
      </c>
      <c r="B328" s="823" t="s">
        <v>1747</v>
      </c>
      <c r="C328" s="823" t="s">
        <v>1748</v>
      </c>
      <c r="D328" s="823" t="s">
        <v>1749</v>
      </c>
      <c r="E328" s="823" t="s">
        <v>1750</v>
      </c>
      <c r="F328" s="832"/>
      <c r="G328" s="832"/>
      <c r="H328" s="828">
        <v>0</v>
      </c>
      <c r="I328" s="832">
        <v>2</v>
      </c>
      <c r="J328" s="832">
        <v>245.92</v>
      </c>
      <c r="K328" s="828">
        <v>1</v>
      </c>
      <c r="L328" s="832">
        <v>2</v>
      </c>
      <c r="M328" s="833">
        <v>245.92</v>
      </c>
    </row>
    <row r="329" spans="1:13" ht="14.45" customHeight="1" x14ac:dyDescent="0.2">
      <c r="A329" s="822" t="s">
        <v>1907</v>
      </c>
      <c r="B329" s="823" t="s">
        <v>3035</v>
      </c>
      <c r="C329" s="823" t="s">
        <v>2525</v>
      </c>
      <c r="D329" s="823" t="s">
        <v>2526</v>
      </c>
      <c r="E329" s="823" t="s">
        <v>2527</v>
      </c>
      <c r="F329" s="832"/>
      <c r="G329" s="832"/>
      <c r="H329" s="828">
        <v>0</v>
      </c>
      <c r="I329" s="832">
        <v>1</v>
      </c>
      <c r="J329" s="832">
        <v>141.25</v>
      </c>
      <c r="K329" s="828">
        <v>1</v>
      </c>
      <c r="L329" s="832">
        <v>1</v>
      </c>
      <c r="M329" s="833">
        <v>141.25</v>
      </c>
    </row>
    <row r="330" spans="1:13" ht="14.45" customHeight="1" x14ac:dyDescent="0.2">
      <c r="A330" s="822" t="s">
        <v>1907</v>
      </c>
      <c r="B330" s="823" t="s">
        <v>3036</v>
      </c>
      <c r="C330" s="823" t="s">
        <v>2663</v>
      </c>
      <c r="D330" s="823" t="s">
        <v>984</v>
      </c>
      <c r="E330" s="823" t="s">
        <v>2664</v>
      </c>
      <c r="F330" s="832">
        <v>1</v>
      </c>
      <c r="G330" s="832">
        <v>473.71</v>
      </c>
      <c r="H330" s="828">
        <v>1</v>
      </c>
      <c r="I330" s="832"/>
      <c r="J330" s="832"/>
      <c r="K330" s="828">
        <v>0</v>
      </c>
      <c r="L330" s="832">
        <v>1</v>
      </c>
      <c r="M330" s="833">
        <v>473.71</v>
      </c>
    </row>
    <row r="331" spans="1:13" ht="14.45" customHeight="1" x14ac:dyDescent="0.2">
      <c r="A331" s="822" t="s">
        <v>1907</v>
      </c>
      <c r="B331" s="823" t="s">
        <v>3019</v>
      </c>
      <c r="C331" s="823" t="s">
        <v>2446</v>
      </c>
      <c r="D331" s="823" t="s">
        <v>2447</v>
      </c>
      <c r="E331" s="823" t="s">
        <v>2431</v>
      </c>
      <c r="F331" s="832">
        <v>1</v>
      </c>
      <c r="G331" s="832">
        <v>176.32</v>
      </c>
      <c r="H331" s="828">
        <v>1</v>
      </c>
      <c r="I331" s="832"/>
      <c r="J331" s="832"/>
      <c r="K331" s="828">
        <v>0</v>
      </c>
      <c r="L331" s="832">
        <v>1</v>
      </c>
      <c r="M331" s="833">
        <v>176.32</v>
      </c>
    </row>
    <row r="332" spans="1:13" ht="14.45" customHeight="1" x14ac:dyDescent="0.2">
      <c r="A332" s="822" t="s">
        <v>1907</v>
      </c>
      <c r="B332" s="823" t="s">
        <v>3019</v>
      </c>
      <c r="C332" s="823" t="s">
        <v>2051</v>
      </c>
      <c r="D332" s="823" t="s">
        <v>2052</v>
      </c>
      <c r="E332" s="823" t="s">
        <v>2053</v>
      </c>
      <c r="F332" s="832"/>
      <c r="G332" s="832"/>
      <c r="H332" s="828">
        <v>0</v>
      </c>
      <c r="I332" s="832">
        <v>3</v>
      </c>
      <c r="J332" s="832">
        <v>528.96</v>
      </c>
      <c r="K332" s="828">
        <v>1</v>
      </c>
      <c r="L332" s="832">
        <v>3</v>
      </c>
      <c r="M332" s="833">
        <v>528.96</v>
      </c>
    </row>
    <row r="333" spans="1:13" ht="14.45" customHeight="1" x14ac:dyDescent="0.2">
      <c r="A333" s="822" t="s">
        <v>1907</v>
      </c>
      <c r="B333" s="823" t="s">
        <v>3019</v>
      </c>
      <c r="C333" s="823" t="s">
        <v>2448</v>
      </c>
      <c r="D333" s="823" t="s">
        <v>2052</v>
      </c>
      <c r="E333" s="823" t="s">
        <v>2449</v>
      </c>
      <c r="F333" s="832"/>
      <c r="G333" s="832"/>
      <c r="H333" s="828">
        <v>0</v>
      </c>
      <c r="I333" s="832">
        <v>1</v>
      </c>
      <c r="J333" s="832">
        <v>97.96</v>
      </c>
      <c r="K333" s="828">
        <v>1</v>
      </c>
      <c r="L333" s="832">
        <v>1</v>
      </c>
      <c r="M333" s="833">
        <v>97.96</v>
      </c>
    </row>
    <row r="334" spans="1:13" ht="14.45" customHeight="1" x14ac:dyDescent="0.2">
      <c r="A334" s="822" t="s">
        <v>1907</v>
      </c>
      <c r="B334" s="823" t="s">
        <v>1572</v>
      </c>
      <c r="C334" s="823" t="s">
        <v>1576</v>
      </c>
      <c r="D334" s="823" t="s">
        <v>1574</v>
      </c>
      <c r="E334" s="823" t="s">
        <v>1577</v>
      </c>
      <c r="F334" s="832"/>
      <c r="G334" s="832"/>
      <c r="H334" s="828">
        <v>0</v>
      </c>
      <c r="I334" s="832">
        <v>47</v>
      </c>
      <c r="J334" s="832">
        <v>83276.479999999981</v>
      </c>
      <c r="K334" s="828">
        <v>1</v>
      </c>
      <c r="L334" s="832">
        <v>47</v>
      </c>
      <c r="M334" s="833">
        <v>83276.479999999981</v>
      </c>
    </row>
    <row r="335" spans="1:13" ht="14.45" customHeight="1" x14ac:dyDescent="0.2">
      <c r="A335" s="822" t="s">
        <v>1907</v>
      </c>
      <c r="B335" s="823" t="s">
        <v>1572</v>
      </c>
      <c r="C335" s="823" t="s">
        <v>2190</v>
      </c>
      <c r="D335" s="823" t="s">
        <v>1574</v>
      </c>
      <c r="E335" s="823" t="s">
        <v>2191</v>
      </c>
      <c r="F335" s="832"/>
      <c r="G335" s="832"/>
      <c r="H335" s="828">
        <v>0</v>
      </c>
      <c r="I335" s="832">
        <v>1</v>
      </c>
      <c r="J335" s="832">
        <v>4961.1400000000003</v>
      </c>
      <c r="K335" s="828">
        <v>1</v>
      </c>
      <c r="L335" s="832">
        <v>1</v>
      </c>
      <c r="M335" s="833">
        <v>4961.1400000000003</v>
      </c>
    </row>
    <row r="336" spans="1:13" ht="14.45" customHeight="1" x14ac:dyDescent="0.2">
      <c r="A336" s="822" t="s">
        <v>1907</v>
      </c>
      <c r="B336" s="823" t="s">
        <v>1572</v>
      </c>
      <c r="C336" s="823" t="s">
        <v>1573</v>
      </c>
      <c r="D336" s="823" t="s">
        <v>1574</v>
      </c>
      <c r="E336" s="823" t="s">
        <v>1575</v>
      </c>
      <c r="F336" s="832"/>
      <c r="G336" s="832"/>
      <c r="H336" s="828">
        <v>0</v>
      </c>
      <c r="I336" s="832">
        <v>3</v>
      </c>
      <c r="J336" s="832">
        <v>8009.25</v>
      </c>
      <c r="K336" s="828">
        <v>1</v>
      </c>
      <c r="L336" s="832">
        <v>3</v>
      </c>
      <c r="M336" s="833">
        <v>8009.25</v>
      </c>
    </row>
    <row r="337" spans="1:13" ht="14.45" customHeight="1" x14ac:dyDescent="0.2">
      <c r="A337" s="822" t="s">
        <v>1907</v>
      </c>
      <c r="B337" s="823" t="s">
        <v>1524</v>
      </c>
      <c r="C337" s="823" t="s">
        <v>2675</v>
      </c>
      <c r="D337" s="823" t="s">
        <v>875</v>
      </c>
      <c r="E337" s="823" t="s">
        <v>2676</v>
      </c>
      <c r="F337" s="832"/>
      <c r="G337" s="832"/>
      <c r="H337" s="828">
        <v>0</v>
      </c>
      <c r="I337" s="832">
        <v>4</v>
      </c>
      <c r="J337" s="832">
        <v>1656.28</v>
      </c>
      <c r="K337" s="828">
        <v>1</v>
      </c>
      <c r="L337" s="832">
        <v>4</v>
      </c>
      <c r="M337" s="833">
        <v>1656.28</v>
      </c>
    </row>
    <row r="338" spans="1:13" ht="14.45" customHeight="1" x14ac:dyDescent="0.2">
      <c r="A338" s="822" t="s">
        <v>1907</v>
      </c>
      <c r="B338" s="823" t="s">
        <v>3023</v>
      </c>
      <c r="C338" s="823" t="s">
        <v>2687</v>
      </c>
      <c r="D338" s="823" t="s">
        <v>2384</v>
      </c>
      <c r="E338" s="823" t="s">
        <v>2688</v>
      </c>
      <c r="F338" s="832">
        <v>1</v>
      </c>
      <c r="G338" s="832">
        <v>4195.37</v>
      </c>
      <c r="H338" s="828">
        <v>1</v>
      </c>
      <c r="I338" s="832"/>
      <c r="J338" s="832"/>
      <c r="K338" s="828">
        <v>0</v>
      </c>
      <c r="L338" s="832">
        <v>1</v>
      </c>
      <c r="M338" s="833">
        <v>4195.37</v>
      </c>
    </row>
    <row r="339" spans="1:13" ht="14.45" customHeight="1" x14ac:dyDescent="0.2">
      <c r="A339" s="822" t="s">
        <v>1907</v>
      </c>
      <c r="B339" s="823" t="s">
        <v>3023</v>
      </c>
      <c r="C339" s="823" t="s">
        <v>2689</v>
      </c>
      <c r="D339" s="823" t="s">
        <v>2384</v>
      </c>
      <c r="E339" s="823" t="s">
        <v>2385</v>
      </c>
      <c r="F339" s="832">
        <v>1</v>
      </c>
      <c r="G339" s="832">
        <v>3968.05</v>
      </c>
      <c r="H339" s="828">
        <v>1</v>
      </c>
      <c r="I339" s="832"/>
      <c r="J339" s="832"/>
      <c r="K339" s="828">
        <v>0</v>
      </c>
      <c r="L339" s="832">
        <v>1</v>
      </c>
      <c r="M339" s="833">
        <v>3968.05</v>
      </c>
    </row>
    <row r="340" spans="1:13" ht="14.45" customHeight="1" x14ac:dyDescent="0.2">
      <c r="A340" s="822" t="s">
        <v>1907</v>
      </c>
      <c r="B340" s="823" t="s">
        <v>3037</v>
      </c>
      <c r="C340" s="823" t="s">
        <v>2712</v>
      </c>
      <c r="D340" s="823" t="s">
        <v>2713</v>
      </c>
      <c r="E340" s="823" t="s">
        <v>2714</v>
      </c>
      <c r="F340" s="832">
        <v>1</v>
      </c>
      <c r="G340" s="832">
        <v>1276.4000000000001</v>
      </c>
      <c r="H340" s="828">
        <v>1</v>
      </c>
      <c r="I340" s="832"/>
      <c r="J340" s="832"/>
      <c r="K340" s="828">
        <v>0</v>
      </c>
      <c r="L340" s="832">
        <v>1</v>
      </c>
      <c r="M340" s="833">
        <v>1276.4000000000001</v>
      </c>
    </row>
    <row r="341" spans="1:13" ht="14.45" customHeight="1" x14ac:dyDescent="0.2">
      <c r="A341" s="822" t="s">
        <v>1908</v>
      </c>
      <c r="B341" s="823" t="s">
        <v>3025</v>
      </c>
      <c r="C341" s="823" t="s">
        <v>2246</v>
      </c>
      <c r="D341" s="823" t="s">
        <v>2247</v>
      </c>
      <c r="E341" s="823" t="s">
        <v>2248</v>
      </c>
      <c r="F341" s="832"/>
      <c r="G341" s="832"/>
      <c r="H341" s="828">
        <v>0</v>
      </c>
      <c r="I341" s="832">
        <v>2</v>
      </c>
      <c r="J341" s="832">
        <v>230.54</v>
      </c>
      <c r="K341" s="828">
        <v>1</v>
      </c>
      <c r="L341" s="832">
        <v>2</v>
      </c>
      <c r="M341" s="833">
        <v>230.54</v>
      </c>
    </row>
    <row r="342" spans="1:13" ht="14.45" customHeight="1" x14ac:dyDescent="0.2">
      <c r="A342" s="822" t="s">
        <v>1908</v>
      </c>
      <c r="B342" s="823" t="s">
        <v>1747</v>
      </c>
      <c r="C342" s="823" t="s">
        <v>2736</v>
      </c>
      <c r="D342" s="823" t="s">
        <v>2737</v>
      </c>
      <c r="E342" s="823" t="s">
        <v>1249</v>
      </c>
      <c r="F342" s="832"/>
      <c r="G342" s="832"/>
      <c r="H342" s="828">
        <v>0</v>
      </c>
      <c r="I342" s="832">
        <v>1</v>
      </c>
      <c r="J342" s="832">
        <v>439.98</v>
      </c>
      <c r="K342" s="828">
        <v>1</v>
      </c>
      <c r="L342" s="832">
        <v>1</v>
      </c>
      <c r="M342" s="833">
        <v>439.98</v>
      </c>
    </row>
    <row r="343" spans="1:13" ht="14.45" customHeight="1" x14ac:dyDescent="0.2">
      <c r="A343" s="822" t="s">
        <v>1908</v>
      </c>
      <c r="B343" s="823" t="s">
        <v>1747</v>
      </c>
      <c r="C343" s="823" t="s">
        <v>2738</v>
      </c>
      <c r="D343" s="823" t="s">
        <v>2737</v>
      </c>
      <c r="E343" s="823" t="s">
        <v>2739</v>
      </c>
      <c r="F343" s="832"/>
      <c r="G343" s="832"/>
      <c r="H343" s="828">
        <v>0</v>
      </c>
      <c r="I343" s="832">
        <v>1</v>
      </c>
      <c r="J343" s="832">
        <v>879.97</v>
      </c>
      <c r="K343" s="828">
        <v>1</v>
      </c>
      <c r="L343" s="832">
        <v>1</v>
      </c>
      <c r="M343" s="833">
        <v>879.97</v>
      </c>
    </row>
    <row r="344" spans="1:13" ht="14.45" customHeight="1" x14ac:dyDescent="0.2">
      <c r="A344" s="822" t="s">
        <v>1908</v>
      </c>
      <c r="B344" s="823" t="s">
        <v>1572</v>
      </c>
      <c r="C344" s="823" t="s">
        <v>2190</v>
      </c>
      <c r="D344" s="823" t="s">
        <v>1574</v>
      </c>
      <c r="E344" s="823" t="s">
        <v>2191</v>
      </c>
      <c r="F344" s="832"/>
      <c r="G344" s="832"/>
      <c r="H344" s="828">
        <v>0</v>
      </c>
      <c r="I344" s="832">
        <v>1</v>
      </c>
      <c r="J344" s="832">
        <v>4961.1400000000003</v>
      </c>
      <c r="K344" s="828">
        <v>1</v>
      </c>
      <c r="L344" s="832">
        <v>1</v>
      </c>
      <c r="M344" s="833">
        <v>4961.1400000000003</v>
      </c>
    </row>
    <row r="345" spans="1:13" ht="14.45" customHeight="1" x14ac:dyDescent="0.2">
      <c r="A345" s="822" t="s">
        <v>1909</v>
      </c>
      <c r="B345" s="823" t="s">
        <v>3038</v>
      </c>
      <c r="C345" s="823" t="s">
        <v>2760</v>
      </c>
      <c r="D345" s="823" t="s">
        <v>2761</v>
      </c>
      <c r="E345" s="823" t="s">
        <v>2762</v>
      </c>
      <c r="F345" s="832"/>
      <c r="G345" s="832"/>
      <c r="H345" s="828">
        <v>0</v>
      </c>
      <c r="I345" s="832">
        <v>1</v>
      </c>
      <c r="J345" s="832">
        <v>320.20999999999998</v>
      </c>
      <c r="K345" s="828">
        <v>1</v>
      </c>
      <c r="L345" s="832">
        <v>1</v>
      </c>
      <c r="M345" s="833">
        <v>320.20999999999998</v>
      </c>
    </row>
    <row r="346" spans="1:13" ht="14.45" customHeight="1" x14ac:dyDescent="0.2">
      <c r="A346" s="822" t="s">
        <v>1909</v>
      </c>
      <c r="B346" s="823" t="s">
        <v>1588</v>
      </c>
      <c r="C346" s="823" t="s">
        <v>1784</v>
      </c>
      <c r="D346" s="823" t="s">
        <v>811</v>
      </c>
      <c r="E346" s="823" t="s">
        <v>1785</v>
      </c>
      <c r="F346" s="832"/>
      <c r="G346" s="832"/>
      <c r="H346" s="828">
        <v>0</v>
      </c>
      <c r="I346" s="832">
        <v>1</v>
      </c>
      <c r="J346" s="832">
        <v>42.51</v>
      </c>
      <c r="K346" s="828">
        <v>1</v>
      </c>
      <c r="L346" s="832">
        <v>1</v>
      </c>
      <c r="M346" s="833">
        <v>42.51</v>
      </c>
    </row>
    <row r="347" spans="1:13" ht="14.45" customHeight="1" x14ac:dyDescent="0.2">
      <c r="A347" s="822" t="s">
        <v>1909</v>
      </c>
      <c r="B347" s="823" t="s">
        <v>1602</v>
      </c>
      <c r="C347" s="823" t="s">
        <v>2758</v>
      </c>
      <c r="D347" s="823" t="s">
        <v>1185</v>
      </c>
      <c r="E347" s="823" t="s">
        <v>1604</v>
      </c>
      <c r="F347" s="832">
        <v>1</v>
      </c>
      <c r="G347" s="832">
        <v>35.11</v>
      </c>
      <c r="H347" s="828">
        <v>1</v>
      </c>
      <c r="I347" s="832"/>
      <c r="J347" s="832"/>
      <c r="K347" s="828">
        <v>0</v>
      </c>
      <c r="L347" s="832">
        <v>1</v>
      </c>
      <c r="M347" s="833">
        <v>35.11</v>
      </c>
    </row>
    <row r="348" spans="1:13" ht="14.45" customHeight="1" x14ac:dyDescent="0.2">
      <c r="A348" s="822" t="s">
        <v>1909</v>
      </c>
      <c r="B348" s="823" t="s">
        <v>1610</v>
      </c>
      <c r="C348" s="823" t="s">
        <v>1948</v>
      </c>
      <c r="D348" s="823" t="s">
        <v>1949</v>
      </c>
      <c r="E348" s="823" t="s">
        <v>1923</v>
      </c>
      <c r="F348" s="832">
        <v>2</v>
      </c>
      <c r="G348" s="832">
        <v>70.22</v>
      </c>
      <c r="H348" s="828">
        <v>1</v>
      </c>
      <c r="I348" s="832"/>
      <c r="J348" s="832"/>
      <c r="K348" s="828">
        <v>0</v>
      </c>
      <c r="L348" s="832">
        <v>2</v>
      </c>
      <c r="M348" s="833">
        <v>70.22</v>
      </c>
    </row>
    <row r="349" spans="1:13" ht="14.45" customHeight="1" x14ac:dyDescent="0.2">
      <c r="A349" s="822" t="s">
        <v>1909</v>
      </c>
      <c r="B349" s="823" t="s">
        <v>1610</v>
      </c>
      <c r="C349" s="823" t="s">
        <v>1616</v>
      </c>
      <c r="D349" s="823" t="s">
        <v>673</v>
      </c>
      <c r="E349" s="823" t="s">
        <v>676</v>
      </c>
      <c r="F349" s="832"/>
      <c r="G349" s="832"/>
      <c r="H349" s="828">
        <v>0</v>
      </c>
      <c r="I349" s="832">
        <v>2</v>
      </c>
      <c r="J349" s="832">
        <v>35.119999999999997</v>
      </c>
      <c r="K349" s="828">
        <v>1</v>
      </c>
      <c r="L349" s="832">
        <v>2</v>
      </c>
      <c r="M349" s="833">
        <v>35.119999999999997</v>
      </c>
    </row>
    <row r="350" spans="1:13" ht="14.45" customHeight="1" x14ac:dyDescent="0.2">
      <c r="A350" s="822" t="s">
        <v>1909</v>
      </c>
      <c r="B350" s="823" t="s">
        <v>1610</v>
      </c>
      <c r="C350" s="823" t="s">
        <v>2226</v>
      </c>
      <c r="D350" s="823" t="s">
        <v>673</v>
      </c>
      <c r="E350" s="823" t="s">
        <v>1923</v>
      </c>
      <c r="F350" s="832"/>
      <c r="G350" s="832"/>
      <c r="H350" s="828">
        <v>0</v>
      </c>
      <c r="I350" s="832">
        <v>2</v>
      </c>
      <c r="J350" s="832">
        <v>70.22</v>
      </c>
      <c r="K350" s="828">
        <v>1</v>
      </c>
      <c r="L350" s="832">
        <v>2</v>
      </c>
      <c r="M350" s="833">
        <v>70.22</v>
      </c>
    </row>
    <row r="351" spans="1:13" ht="14.45" customHeight="1" x14ac:dyDescent="0.2">
      <c r="A351" s="822" t="s">
        <v>1909</v>
      </c>
      <c r="B351" s="823" t="s">
        <v>1792</v>
      </c>
      <c r="C351" s="823" t="s">
        <v>2018</v>
      </c>
      <c r="D351" s="823" t="s">
        <v>1794</v>
      </c>
      <c r="E351" s="823" t="s">
        <v>2019</v>
      </c>
      <c r="F351" s="832"/>
      <c r="G351" s="832"/>
      <c r="H351" s="828">
        <v>0</v>
      </c>
      <c r="I351" s="832">
        <v>1</v>
      </c>
      <c r="J351" s="832">
        <v>31.09</v>
      </c>
      <c r="K351" s="828">
        <v>1</v>
      </c>
      <c r="L351" s="832">
        <v>1</v>
      </c>
      <c r="M351" s="833">
        <v>31.09</v>
      </c>
    </row>
    <row r="352" spans="1:13" ht="14.45" customHeight="1" x14ac:dyDescent="0.2">
      <c r="A352" s="822" t="s">
        <v>1909</v>
      </c>
      <c r="B352" s="823" t="s">
        <v>1623</v>
      </c>
      <c r="C352" s="823" t="s">
        <v>1922</v>
      </c>
      <c r="D352" s="823" t="s">
        <v>967</v>
      </c>
      <c r="E352" s="823" t="s">
        <v>1923</v>
      </c>
      <c r="F352" s="832"/>
      <c r="G352" s="832"/>
      <c r="H352" s="828">
        <v>0</v>
      </c>
      <c r="I352" s="832">
        <v>2</v>
      </c>
      <c r="J352" s="832">
        <v>68.94</v>
      </c>
      <c r="K352" s="828">
        <v>1</v>
      </c>
      <c r="L352" s="832">
        <v>2</v>
      </c>
      <c r="M352" s="833">
        <v>68.94</v>
      </c>
    </row>
    <row r="353" spans="1:13" ht="14.45" customHeight="1" x14ac:dyDescent="0.2">
      <c r="A353" s="822" t="s">
        <v>1909</v>
      </c>
      <c r="B353" s="823" t="s">
        <v>3015</v>
      </c>
      <c r="C353" s="823" t="s">
        <v>2253</v>
      </c>
      <c r="D353" s="823" t="s">
        <v>2109</v>
      </c>
      <c r="E353" s="823" t="s">
        <v>2254</v>
      </c>
      <c r="F353" s="832"/>
      <c r="G353" s="832"/>
      <c r="H353" s="828">
        <v>0</v>
      </c>
      <c r="I353" s="832">
        <v>1</v>
      </c>
      <c r="J353" s="832">
        <v>39.549999999999997</v>
      </c>
      <c r="K353" s="828">
        <v>1</v>
      </c>
      <c r="L353" s="832">
        <v>1</v>
      </c>
      <c r="M353" s="833">
        <v>39.549999999999997</v>
      </c>
    </row>
    <row r="354" spans="1:13" ht="14.45" customHeight="1" x14ac:dyDescent="0.2">
      <c r="A354" s="822" t="s">
        <v>1909</v>
      </c>
      <c r="B354" s="823" t="s">
        <v>1634</v>
      </c>
      <c r="C354" s="823" t="s">
        <v>1796</v>
      </c>
      <c r="D354" s="823" t="s">
        <v>1639</v>
      </c>
      <c r="E354" s="823" t="s">
        <v>1797</v>
      </c>
      <c r="F354" s="832"/>
      <c r="G354" s="832"/>
      <c r="H354" s="828">
        <v>0</v>
      </c>
      <c r="I354" s="832">
        <v>2</v>
      </c>
      <c r="J354" s="832">
        <v>261.02</v>
      </c>
      <c r="K354" s="828">
        <v>1</v>
      </c>
      <c r="L354" s="832">
        <v>2</v>
      </c>
      <c r="M354" s="833">
        <v>261.02</v>
      </c>
    </row>
    <row r="355" spans="1:13" ht="14.45" customHeight="1" x14ac:dyDescent="0.2">
      <c r="A355" s="822" t="s">
        <v>1909</v>
      </c>
      <c r="B355" s="823" t="s">
        <v>1744</v>
      </c>
      <c r="C355" s="823" t="s">
        <v>2772</v>
      </c>
      <c r="D355" s="823" t="s">
        <v>2773</v>
      </c>
      <c r="E355" s="823" t="s">
        <v>1849</v>
      </c>
      <c r="F355" s="832">
        <v>3</v>
      </c>
      <c r="G355" s="832">
        <v>0</v>
      </c>
      <c r="H355" s="828"/>
      <c r="I355" s="832"/>
      <c r="J355" s="832"/>
      <c r="K355" s="828"/>
      <c r="L355" s="832">
        <v>3</v>
      </c>
      <c r="M355" s="833">
        <v>0</v>
      </c>
    </row>
    <row r="356" spans="1:13" ht="14.45" customHeight="1" x14ac:dyDescent="0.2">
      <c r="A356" s="822" t="s">
        <v>1909</v>
      </c>
      <c r="B356" s="823" t="s">
        <v>1755</v>
      </c>
      <c r="C356" s="823" t="s">
        <v>1756</v>
      </c>
      <c r="D356" s="823" t="s">
        <v>927</v>
      </c>
      <c r="E356" s="823" t="s">
        <v>1757</v>
      </c>
      <c r="F356" s="832"/>
      <c r="G356" s="832"/>
      <c r="H356" s="828"/>
      <c r="I356" s="832">
        <v>1</v>
      </c>
      <c r="J356" s="832">
        <v>0</v>
      </c>
      <c r="K356" s="828"/>
      <c r="L356" s="832">
        <v>1</v>
      </c>
      <c r="M356" s="833">
        <v>0</v>
      </c>
    </row>
    <row r="357" spans="1:13" ht="14.45" customHeight="1" x14ac:dyDescent="0.2">
      <c r="A357" s="822" t="s">
        <v>1909</v>
      </c>
      <c r="B357" s="823" t="s">
        <v>1762</v>
      </c>
      <c r="C357" s="823" t="s">
        <v>2752</v>
      </c>
      <c r="D357" s="823" t="s">
        <v>1061</v>
      </c>
      <c r="E357" s="823" t="s">
        <v>674</v>
      </c>
      <c r="F357" s="832"/>
      <c r="G357" s="832"/>
      <c r="H357" s="828">
        <v>0</v>
      </c>
      <c r="I357" s="832">
        <v>1</v>
      </c>
      <c r="J357" s="832">
        <v>58.77</v>
      </c>
      <c r="K357" s="828">
        <v>1</v>
      </c>
      <c r="L357" s="832">
        <v>1</v>
      </c>
      <c r="M357" s="833">
        <v>58.77</v>
      </c>
    </row>
    <row r="358" spans="1:13" ht="14.45" customHeight="1" x14ac:dyDescent="0.2">
      <c r="A358" s="822" t="s">
        <v>1909</v>
      </c>
      <c r="B358" s="823" t="s">
        <v>1572</v>
      </c>
      <c r="C358" s="823" t="s">
        <v>1576</v>
      </c>
      <c r="D358" s="823" t="s">
        <v>1574</v>
      </c>
      <c r="E358" s="823" t="s">
        <v>1577</v>
      </c>
      <c r="F358" s="832"/>
      <c r="G358" s="832"/>
      <c r="H358" s="828">
        <v>0</v>
      </c>
      <c r="I358" s="832">
        <v>1</v>
      </c>
      <c r="J358" s="832">
        <v>1771.84</v>
      </c>
      <c r="K358" s="828">
        <v>1</v>
      </c>
      <c r="L358" s="832">
        <v>1</v>
      </c>
      <c r="M358" s="833">
        <v>1771.84</v>
      </c>
    </row>
    <row r="359" spans="1:13" ht="14.45" customHeight="1" x14ac:dyDescent="0.2">
      <c r="A359" s="822" t="s">
        <v>1910</v>
      </c>
      <c r="B359" s="823" t="s">
        <v>1610</v>
      </c>
      <c r="C359" s="823" t="s">
        <v>1616</v>
      </c>
      <c r="D359" s="823" t="s">
        <v>673</v>
      </c>
      <c r="E359" s="823" t="s">
        <v>676</v>
      </c>
      <c r="F359" s="832"/>
      <c r="G359" s="832"/>
      <c r="H359" s="828">
        <v>0</v>
      </c>
      <c r="I359" s="832">
        <v>1</v>
      </c>
      <c r="J359" s="832">
        <v>17.559999999999999</v>
      </c>
      <c r="K359" s="828">
        <v>1</v>
      </c>
      <c r="L359" s="832">
        <v>1</v>
      </c>
      <c r="M359" s="833">
        <v>17.559999999999999</v>
      </c>
    </row>
    <row r="360" spans="1:13" ht="14.45" customHeight="1" x14ac:dyDescent="0.2">
      <c r="A360" s="822" t="s">
        <v>1910</v>
      </c>
      <c r="B360" s="823" t="s">
        <v>1623</v>
      </c>
      <c r="C360" s="823" t="s">
        <v>1922</v>
      </c>
      <c r="D360" s="823" t="s">
        <v>967</v>
      </c>
      <c r="E360" s="823" t="s">
        <v>1923</v>
      </c>
      <c r="F360" s="832"/>
      <c r="G360" s="832"/>
      <c r="H360" s="828">
        <v>0</v>
      </c>
      <c r="I360" s="832">
        <v>1</v>
      </c>
      <c r="J360" s="832">
        <v>34.47</v>
      </c>
      <c r="K360" s="828">
        <v>1</v>
      </c>
      <c r="L360" s="832">
        <v>1</v>
      </c>
      <c r="M360" s="833">
        <v>34.47</v>
      </c>
    </row>
    <row r="361" spans="1:13" ht="14.45" customHeight="1" x14ac:dyDescent="0.2">
      <c r="A361" s="822" t="s">
        <v>1910</v>
      </c>
      <c r="B361" s="823" t="s">
        <v>1664</v>
      </c>
      <c r="C361" s="823" t="s">
        <v>1925</v>
      </c>
      <c r="D361" s="823" t="s">
        <v>1926</v>
      </c>
      <c r="E361" s="823" t="s">
        <v>1927</v>
      </c>
      <c r="F361" s="832">
        <v>1</v>
      </c>
      <c r="G361" s="832">
        <v>154.36000000000001</v>
      </c>
      <c r="H361" s="828">
        <v>1</v>
      </c>
      <c r="I361" s="832"/>
      <c r="J361" s="832"/>
      <c r="K361" s="828">
        <v>0</v>
      </c>
      <c r="L361" s="832">
        <v>1</v>
      </c>
      <c r="M361" s="833">
        <v>154.36000000000001</v>
      </c>
    </row>
    <row r="362" spans="1:13" ht="14.45" customHeight="1" x14ac:dyDescent="0.2">
      <c r="A362" s="822" t="s">
        <v>1911</v>
      </c>
      <c r="B362" s="823" t="s">
        <v>1521</v>
      </c>
      <c r="C362" s="823" t="s">
        <v>1976</v>
      </c>
      <c r="D362" s="823" t="s">
        <v>706</v>
      </c>
      <c r="E362" s="823" t="s">
        <v>1977</v>
      </c>
      <c r="F362" s="832"/>
      <c r="G362" s="832"/>
      <c r="H362" s="828">
        <v>0</v>
      </c>
      <c r="I362" s="832">
        <v>1</v>
      </c>
      <c r="J362" s="832">
        <v>28.81</v>
      </c>
      <c r="K362" s="828">
        <v>1</v>
      </c>
      <c r="L362" s="832">
        <v>1</v>
      </c>
      <c r="M362" s="833">
        <v>28.81</v>
      </c>
    </row>
    <row r="363" spans="1:13" ht="14.45" customHeight="1" x14ac:dyDescent="0.2">
      <c r="A363" s="822" t="s">
        <v>1911</v>
      </c>
      <c r="B363" s="823" t="s">
        <v>1521</v>
      </c>
      <c r="C363" s="823" t="s">
        <v>2781</v>
      </c>
      <c r="D363" s="823" t="s">
        <v>2782</v>
      </c>
      <c r="E363" s="823" t="s">
        <v>2783</v>
      </c>
      <c r="F363" s="832">
        <v>1</v>
      </c>
      <c r="G363" s="832">
        <v>28.81</v>
      </c>
      <c r="H363" s="828">
        <v>1</v>
      </c>
      <c r="I363" s="832"/>
      <c r="J363" s="832"/>
      <c r="K363" s="828">
        <v>0</v>
      </c>
      <c r="L363" s="832">
        <v>1</v>
      </c>
      <c r="M363" s="833">
        <v>28.81</v>
      </c>
    </row>
    <row r="364" spans="1:13" ht="14.45" customHeight="1" x14ac:dyDescent="0.2">
      <c r="A364" s="822" t="s">
        <v>1911</v>
      </c>
      <c r="B364" s="823" t="s">
        <v>1545</v>
      </c>
      <c r="C364" s="823" t="s">
        <v>1549</v>
      </c>
      <c r="D364" s="823" t="s">
        <v>1547</v>
      </c>
      <c r="E364" s="823" t="s">
        <v>1550</v>
      </c>
      <c r="F364" s="832"/>
      <c r="G364" s="832"/>
      <c r="H364" s="828">
        <v>0</v>
      </c>
      <c r="I364" s="832">
        <v>3</v>
      </c>
      <c r="J364" s="832">
        <v>554.22</v>
      </c>
      <c r="K364" s="828">
        <v>1</v>
      </c>
      <c r="L364" s="832">
        <v>3</v>
      </c>
      <c r="M364" s="833">
        <v>554.22</v>
      </c>
    </row>
    <row r="365" spans="1:13" ht="14.45" customHeight="1" x14ac:dyDescent="0.2">
      <c r="A365" s="822" t="s">
        <v>1911</v>
      </c>
      <c r="B365" s="823" t="s">
        <v>1566</v>
      </c>
      <c r="C365" s="823" t="s">
        <v>1567</v>
      </c>
      <c r="D365" s="823" t="s">
        <v>1568</v>
      </c>
      <c r="E365" s="823" t="s">
        <v>1569</v>
      </c>
      <c r="F365" s="832"/>
      <c r="G365" s="832"/>
      <c r="H365" s="828">
        <v>0</v>
      </c>
      <c r="I365" s="832">
        <v>1</v>
      </c>
      <c r="J365" s="832">
        <v>93.43</v>
      </c>
      <c r="K365" s="828">
        <v>1</v>
      </c>
      <c r="L365" s="832">
        <v>1</v>
      </c>
      <c r="M365" s="833">
        <v>93.43</v>
      </c>
    </row>
    <row r="366" spans="1:13" ht="14.45" customHeight="1" x14ac:dyDescent="0.2">
      <c r="A366" s="822" t="s">
        <v>1911</v>
      </c>
      <c r="B366" s="823" t="s">
        <v>1566</v>
      </c>
      <c r="C366" s="823" t="s">
        <v>1570</v>
      </c>
      <c r="D366" s="823" t="s">
        <v>1568</v>
      </c>
      <c r="E366" s="823" t="s">
        <v>1571</v>
      </c>
      <c r="F366" s="832"/>
      <c r="G366" s="832"/>
      <c r="H366" s="828">
        <v>0</v>
      </c>
      <c r="I366" s="832">
        <v>1</v>
      </c>
      <c r="J366" s="832">
        <v>186.87</v>
      </c>
      <c r="K366" s="828">
        <v>1</v>
      </c>
      <c r="L366" s="832">
        <v>1</v>
      </c>
      <c r="M366" s="833">
        <v>186.87</v>
      </c>
    </row>
    <row r="367" spans="1:13" ht="14.45" customHeight="1" x14ac:dyDescent="0.2">
      <c r="A367" s="822" t="s">
        <v>1911</v>
      </c>
      <c r="B367" s="823" t="s">
        <v>1578</v>
      </c>
      <c r="C367" s="823" t="s">
        <v>1581</v>
      </c>
      <c r="D367" s="823" t="s">
        <v>712</v>
      </c>
      <c r="E367" s="823" t="s">
        <v>1582</v>
      </c>
      <c r="F367" s="832"/>
      <c r="G367" s="832"/>
      <c r="H367" s="828">
        <v>0</v>
      </c>
      <c r="I367" s="832">
        <v>3</v>
      </c>
      <c r="J367" s="832">
        <v>240.03000000000003</v>
      </c>
      <c r="K367" s="828">
        <v>1</v>
      </c>
      <c r="L367" s="832">
        <v>3</v>
      </c>
      <c r="M367" s="833">
        <v>240.03000000000003</v>
      </c>
    </row>
    <row r="368" spans="1:13" ht="14.45" customHeight="1" x14ac:dyDescent="0.2">
      <c r="A368" s="822" t="s">
        <v>1911</v>
      </c>
      <c r="B368" s="823" t="s">
        <v>1588</v>
      </c>
      <c r="C368" s="823" t="s">
        <v>1784</v>
      </c>
      <c r="D368" s="823" t="s">
        <v>811</v>
      </c>
      <c r="E368" s="823" t="s">
        <v>1785</v>
      </c>
      <c r="F368" s="832"/>
      <c r="G368" s="832"/>
      <c r="H368" s="828">
        <v>0</v>
      </c>
      <c r="I368" s="832">
        <v>1</v>
      </c>
      <c r="J368" s="832">
        <v>42.51</v>
      </c>
      <c r="K368" s="828">
        <v>1</v>
      </c>
      <c r="L368" s="832">
        <v>1</v>
      </c>
      <c r="M368" s="833">
        <v>42.51</v>
      </c>
    </row>
    <row r="369" spans="1:13" ht="14.45" customHeight="1" x14ac:dyDescent="0.2">
      <c r="A369" s="822" t="s">
        <v>1911</v>
      </c>
      <c r="B369" s="823" t="s">
        <v>1588</v>
      </c>
      <c r="C369" s="823" t="s">
        <v>1953</v>
      </c>
      <c r="D369" s="823" t="s">
        <v>1954</v>
      </c>
      <c r="E369" s="823" t="s">
        <v>1785</v>
      </c>
      <c r="F369" s="832">
        <v>1</v>
      </c>
      <c r="G369" s="832">
        <v>42.51</v>
      </c>
      <c r="H369" s="828">
        <v>1</v>
      </c>
      <c r="I369" s="832"/>
      <c r="J369" s="832"/>
      <c r="K369" s="828">
        <v>0</v>
      </c>
      <c r="L369" s="832">
        <v>1</v>
      </c>
      <c r="M369" s="833">
        <v>42.51</v>
      </c>
    </row>
    <row r="370" spans="1:13" ht="14.45" customHeight="1" x14ac:dyDescent="0.2">
      <c r="A370" s="822" t="s">
        <v>1911</v>
      </c>
      <c r="B370" s="823" t="s">
        <v>1610</v>
      </c>
      <c r="C370" s="823" t="s">
        <v>2226</v>
      </c>
      <c r="D370" s="823" t="s">
        <v>673</v>
      </c>
      <c r="E370" s="823" t="s">
        <v>1923</v>
      </c>
      <c r="F370" s="832"/>
      <c r="G370" s="832"/>
      <c r="H370" s="828">
        <v>0</v>
      </c>
      <c r="I370" s="832">
        <v>4</v>
      </c>
      <c r="J370" s="832">
        <v>140.44</v>
      </c>
      <c r="K370" s="828">
        <v>1</v>
      </c>
      <c r="L370" s="832">
        <v>4</v>
      </c>
      <c r="M370" s="833">
        <v>140.44</v>
      </c>
    </row>
    <row r="371" spans="1:13" ht="14.45" customHeight="1" x14ac:dyDescent="0.2">
      <c r="A371" s="822" t="s">
        <v>1911</v>
      </c>
      <c r="B371" s="823" t="s">
        <v>1792</v>
      </c>
      <c r="C371" s="823" t="s">
        <v>2776</v>
      </c>
      <c r="D371" s="823" t="s">
        <v>1794</v>
      </c>
      <c r="E371" s="823" t="s">
        <v>2566</v>
      </c>
      <c r="F371" s="832"/>
      <c r="G371" s="832"/>
      <c r="H371" s="828">
        <v>0</v>
      </c>
      <c r="I371" s="832">
        <v>1</v>
      </c>
      <c r="J371" s="832">
        <v>62.18</v>
      </c>
      <c r="K371" s="828">
        <v>1</v>
      </c>
      <c r="L371" s="832">
        <v>1</v>
      </c>
      <c r="M371" s="833">
        <v>62.18</v>
      </c>
    </row>
    <row r="372" spans="1:13" ht="14.45" customHeight="1" x14ac:dyDescent="0.2">
      <c r="A372" s="822" t="s">
        <v>1911</v>
      </c>
      <c r="B372" s="823" t="s">
        <v>1623</v>
      </c>
      <c r="C372" s="823" t="s">
        <v>1922</v>
      </c>
      <c r="D372" s="823" t="s">
        <v>967</v>
      </c>
      <c r="E372" s="823" t="s">
        <v>1923</v>
      </c>
      <c r="F372" s="832"/>
      <c r="G372" s="832"/>
      <c r="H372" s="828">
        <v>0</v>
      </c>
      <c r="I372" s="832">
        <v>1</v>
      </c>
      <c r="J372" s="832">
        <v>34.47</v>
      </c>
      <c r="K372" s="828">
        <v>1</v>
      </c>
      <c r="L372" s="832">
        <v>1</v>
      </c>
      <c r="M372" s="833">
        <v>34.47</v>
      </c>
    </row>
    <row r="373" spans="1:13" ht="14.45" customHeight="1" x14ac:dyDescent="0.2">
      <c r="A373" s="822" t="s">
        <v>1911</v>
      </c>
      <c r="B373" s="823" t="s">
        <v>1623</v>
      </c>
      <c r="C373" s="823" t="s">
        <v>2784</v>
      </c>
      <c r="D373" s="823" t="s">
        <v>2133</v>
      </c>
      <c r="E373" s="823" t="s">
        <v>674</v>
      </c>
      <c r="F373" s="832"/>
      <c r="G373" s="832"/>
      <c r="H373" s="828">
        <v>0</v>
      </c>
      <c r="I373" s="832">
        <v>1</v>
      </c>
      <c r="J373" s="832">
        <v>68.930000000000007</v>
      </c>
      <c r="K373" s="828">
        <v>1</v>
      </c>
      <c r="L373" s="832">
        <v>1</v>
      </c>
      <c r="M373" s="833">
        <v>68.930000000000007</v>
      </c>
    </row>
    <row r="374" spans="1:13" ht="14.45" customHeight="1" x14ac:dyDescent="0.2">
      <c r="A374" s="822" t="s">
        <v>1911</v>
      </c>
      <c r="B374" s="823" t="s">
        <v>1626</v>
      </c>
      <c r="C374" s="823" t="s">
        <v>2362</v>
      </c>
      <c r="D374" s="823" t="s">
        <v>1628</v>
      </c>
      <c r="E374" s="823" t="s">
        <v>2019</v>
      </c>
      <c r="F374" s="832"/>
      <c r="G374" s="832"/>
      <c r="H374" s="828">
        <v>0</v>
      </c>
      <c r="I374" s="832">
        <v>1</v>
      </c>
      <c r="J374" s="832">
        <v>34.47</v>
      </c>
      <c r="K374" s="828">
        <v>1</v>
      </c>
      <c r="L374" s="832">
        <v>1</v>
      </c>
      <c r="M374" s="833">
        <v>34.47</v>
      </c>
    </row>
    <row r="375" spans="1:13" ht="14.45" customHeight="1" x14ac:dyDescent="0.2">
      <c r="A375" s="822" t="s">
        <v>1911</v>
      </c>
      <c r="B375" s="823" t="s">
        <v>3021</v>
      </c>
      <c r="C375" s="823" t="s">
        <v>2785</v>
      </c>
      <c r="D375" s="823" t="s">
        <v>2270</v>
      </c>
      <c r="E375" s="823" t="s">
        <v>2786</v>
      </c>
      <c r="F375" s="832"/>
      <c r="G375" s="832"/>
      <c r="H375" s="828">
        <v>0</v>
      </c>
      <c r="I375" s="832">
        <v>1</v>
      </c>
      <c r="J375" s="832">
        <v>117.46</v>
      </c>
      <c r="K375" s="828">
        <v>1</v>
      </c>
      <c r="L375" s="832">
        <v>1</v>
      </c>
      <c r="M375" s="833">
        <v>117.46</v>
      </c>
    </row>
    <row r="376" spans="1:13" ht="14.45" customHeight="1" x14ac:dyDescent="0.2">
      <c r="A376" s="822" t="s">
        <v>1911</v>
      </c>
      <c r="B376" s="823" t="s">
        <v>1634</v>
      </c>
      <c r="C376" s="823" t="s">
        <v>1796</v>
      </c>
      <c r="D376" s="823" t="s">
        <v>1639</v>
      </c>
      <c r="E376" s="823" t="s">
        <v>1797</v>
      </c>
      <c r="F376" s="832"/>
      <c r="G376" s="832"/>
      <c r="H376" s="828">
        <v>0</v>
      </c>
      <c r="I376" s="832">
        <v>2</v>
      </c>
      <c r="J376" s="832">
        <v>441.06</v>
      </c>
      <c r="K376" s="828">
        <v>1</v>
      </c>
      <c r="L376" s="832">
        <v>2</v>
      </c>
      <c r="M376" s="833">
        <v>441.06</v>
      </c>
    </row>
    <row r="377" spans="1:13" ht="14.45" customHeight="1" x14ac:dyDescent="0.2">
      <c r="A377" s="822" t="s">
        <v>1911</v>
      </c>
      <c r="B377" s="823" t="s">
        <v>1634</v>
      </c>
      <c r="C377" s="823" t="s">
        <v>2777</v>
      </c>
      <c r="D377" s="823" t="s">
        <v>2294</v>
      </c>
      <c r="E377" s="823" t="s">
        <v>2025</v>
      </c>
      <c r="F377" s="832">
        <v>1</v>
      </c>
      <c r="G377" s="832">
        <v>430.05</v>
      </c>
      <c r="H377" s="828">
        <v>1</v>
      </c>
      <c r="I377" s="832"/>
      <c r="J377" s="832"/>
      <c r="K377" s="828">
        <v>0</v>
      </c>
      <c r="L377" s="832">
        <v>1</v>
      </c>
      <c r="M377" s="833">
        <v>430.05</v>
      </c>
    </row>
    <row r="378" spans="1:13" ht="14.45" customHeight="1" x14ac:dyDescent="0.2">
      <c r="A378" s="822" t="s">
        <v>1912</v>
      </c>
      <c r="B378" s="823" t="s">
        <v>3025</v>
      </c>
      <c r="C378" s="823" t="s">
        <v>2819</v>
      </c>
      <c r="D378" s="823" t="s">
        <v>2247</v>
      </c>
      <c r="E378" s="823" t="s">
        <v>2820</v>
      </c>
      <c r="F378" s="832"/>
      <c r="G378" s="832"/>
      <c r="H378" s="828">
        <v>0</v>
      </c>
      <c r="I378" s="832">
        <v>3</v>
      </c>
      <c r="J378" s="832">
        <v>172.92000000000002</v>
      </c>
      <c r="K378" s="828">
        <v>1</v>
      </c>
      <c r="L378" s="832">
        <v>3</v>
      </c>
      <c r="M378" s="833">
        <v>172.92000000000002</v>
      </c>
    </row>
    <row r="379" spans="1:13" ht="14.45" customHeight="1" x14ac:dyDescent="0.2">
      <c r="A379" s="822" t="s">
        <v>1912</v>
      </c>
      <c r="B379" s="823" t="s">
        <v>1545</v>
      </c>
      <c r="C379" s="823" t="s">
        <v>1549</v>
      </c>
      <c r="D379" s="823" t="s">
        <v>1547</v>
      </c>
      <c r="E379" s="823" t="s">
        <v>1550</v>
      </c>
      <c r="F379" s="832"/>
      <c r="G379" s="832"/>
      <c r="H379" s="828">
        <v>0</v>
      </c>
      <c r="I379" s="832">
        <v>4</v>
      </c>
      <c r="J379" s="832">
        <v>738.96</v>
      </c>
      <c r="K379" s="828">
        <v>1</v>
      </c>
      <c r="L379" s="832">
        <v>4</v>
      </c>
      <c r="M379" s="833">
        <v>738.96</v>
      </c>
    </row>
    <row r="380" spans="1:13" ht="14.45" customHeight="1" x14ac:dyDescent="0.2">
      <c r="A380" s="822" t="s">
        <v>1912</v>
      </c>
      <c r="B380" s="823" t="s">
        <v>1545</v>
      </c>
      <c r="C380" s="823" t="s">
        <v>2186</v>
      </c>
      <c r="D380" s="823" t="s">
        <v>2187</v>
      </c>
      <c r="E380" s="823" t="s">
        <v>2188</v>
      </c>
      <c r="F380" s="832"/>
      <c r="G380" s="832"/>
      <c r="H380" s="828">
        <v>0</v>
      </c>
      <c r="I380" s="832">
        <v>2</v>
      </c>
      <c r="J380" s="832">
        <v>241.22</v>
      </c>
      <c r="K380" s="828">
        <v>1</v>
      </c>
      <c r="L380" s="832">
        <v>2</v>
      </c>
      <c r="M380" s="833">
        <v>241.22</v>
      </c>
    </row>
    <row r="381" spans="1:13" ht="14.45" customHeight="1" x14ac:dyDescent="0.2">
      <c r="A381" s="822" t="s">
        <v>1912</v>
      </c>
      <c r="B381" s="823" t="s">
        <v>1545</v>
      </c>
      <c r="C381" s="823" t="s">
        <v>2278</v>
      </c>
      <c r="D381" s="823" t="s">
        <v>2187</v>
      </c>
      <c r="E381" s="823" t="s">
        <v>2275</v>
      </c>
      <c r="F381" s="832">
        <v>1</v>
      </c>
      <c r="G381" s="832">
        <v>184.74</v>
      </c>
      <c r="H381" s="828">
        <v>1</v>
      </c>
      <c r="I381" s="832"/>
      <c r="J381" s="832"/>
      <c r="K381" s="828">
        <v>0</v>
      </c>
      <c r="L381" s="832">
        <v>1</v>
      </c>
      <c r="M381" s="833">
        <v>184.74</v>
      </c>
    </row>
    <row r="382" spans="1:13" ht="14.45" customHeight="1" x14ac:dyDescent="0.2">
      <c r="A382" s="822" t="s">
        <v>1912</v>
      </c>
      <c r="B382" s="823" t="s">
        <v>1551</v>
      </c>
      <c r="C382" s="823" t="s">
        <v>1562</v>
      </c>
      <c r="D382" s="823" t="s">
        <v>803</v>
      </c>
      <c r="E382" s="823" t="s">
        <v>1563</v>
      </c>
      <c r="F382" s="832"/>
      <c r="G382" s="832"/>
      <c r="H382" s="828">
        <v>0</v>
      </c>
      <c r="I382" s="832">
        <v>1</v>
      </c>
      <c r="J382" s="832">
        <v>1154.68</v>
      </c>
      <c r="K382" s="828">
        <v>1</v>
      </c>
      <c r="L382" s="832">
        <v>1</v>
      </c>
      <c r="M382" s="833">
        <v>1154.68</v>
      </c>
    </row>
    <row r="383" spans="1:13" ht="14.45" customHeight="1" x14ac:dyDescent="0.2">
      <c r="A383" s="822" t="s">
        <v>1912</v>
      </c>
      <c r="B383" s="823" t="s">
        <v>1551</v>
      </c>
      <c r="C383" s="823" t="s">
        <v>1556</v>
      </c>
      <c r="D383" s="823" t="s">
        <v>803</v>
      </c>
      <c r="E383" s="823" t="s">
        <v>1557</v>
      </c>
      <c r="F383" s="832"/>
      <c r="G383" s="832"/>
      <c r="H383" s="828">
        <v>0</v>
      </c>
      <c r="I383" s="832">
        <v>1</v>
      </c>
      <c r="J383" s="832">
        <v>923.74</v>
      </c>
      <c r="K383" s="828">
        <v>1</v>
      </c>
      <c r="L383" s="832">
        <v>1</v>
      </c>
      <c r="M383" s="833">
        <v>923.74</v>
      </c>
    </row>
    <row r="384" spans="1:13" ht="14.45" customHeight="1" x14ac:dyDescent="0.2">
      <c r="A384" s="822" t="s">
        <v>1912</v>
      </c>
      <c r="B384" s="823" t="s">
        <v>1566</v>
      </c>
      <c r="C384" s="823" t="s">
        <v>2237</v>
      </c>
      <c r="D384" s="823" t="s">
        <v>2238</v>
      </c>
      <c r="E384" s="823" t="s">
        <v>2239</v>
      </c>
      <c r="F384" s="832">
        <v>2</v>
      </c>
      <c r="G384" s="832">
        <v>600.66</v>
      </c>
      <c r="H384" s="828">
        <v>1</v>
      </c>
      <c r="I384" s="832"/>
      <c r="J384" s="832"/>
      <c r="K384" s="828">
        <v>0</v>
      </c>
      <c r="L384" s="832">
        <v>2</v>
      </c>
      <c r="M384" s="833">
        <v>600.66</v>
      </c>
    </row>
    <row r="385" spans="1:13" ht="14.45" customHeight="1" x14ac:dyDescent="0.2">
      <c r="A385" s="822" t="s">
        <v>1912</v>
      </c>
      <c r="B385" s="823" t="s">
        <v>1566</v>
      </c>
      <c r="C385" s="823" t="s">
        <v>2815</v>
      </c>
      <c r="D385" s="823" t="s">
        <v>2816</v>
      </c>
      <c r="E385" s="823" t="s">
        <v>2239</v>
      </c>
      <c r="F385" s="832">
        <v>1</v>
      </c>
      <c r="G385" s="832">
        <v>300.33</v>
      </c>
      <c r="H385" s="828">
        <v>1</v>
      </c>
      <c r="I385" s="832"/>
      <c r="J385" s="832"/>
      <c r="K385" s="828">
        <v>0</v>
      </c>
      <c r="L385" s="832">
        <v>1</v>
      </c>
      <c r="M385" s="833">
        <v>300.33</v>
      </c>
    </row>
    <row r="386" spans="1:13" ht="14.45" customHeight="1" x14ac:dyDescent="0.2">
      <c r="A386" s="822" t="s">
        <v>1912</v>
      </c>
      <c r="B386" s="823" t="s">
        <v>1566</v>
      </c>
      <c r="C386" s="823" t="s">
        <v>1567</v>
      </c>
      <c r="D386" s="823" t="s">
        <v>1568</v>
      </c>
      <c r="E386" s="823" t="s">
        <v>1569</v>
      </c>
      <c r="F386" s="832"/>
      <c r="G386" s="832"/>
      <c r="H386" s="828">
        <v>0</v>
      </c>
      <c r="I386" s="832">
        <v>15</v>
      </c>
      <c r="J386" s="832">
        <v>1401.45</v>
      </c>
      <c r="K386" s="828">
        <v>1</v>
      </c>
      <c r="L386" s="832">
        <v>15</v>
      </c>
      <c r="M386" s="833">
        <v>1401.45</v>
      </c>
    </row>
    <row r="387" spans="1:13" ht="14.45" customHeight="1" x14ac:dyDescent="0.2">
      <c r="A387" s="822" t="s">
        <v>1912</v>
      </c>
      <c r="B387" s="823" t="s">
        <v>1566</v>
      </c>
      <c r="C387" s="823" t="s">
        <v>1570</v>
      </c>
      <c r="D387" s="823" t="s">
        <v>1568</v>
      </c>
      <c r="E387" s="823" t="s">
        <v>1571</v>
      </c>
      <c r="F387" s="832"/>
      <c r="G387" s="832"/>
      <c r="H387" s="828">
        <v>0</v>
      </c>
      <c r="I387" s="832">
        <v>1</v>
      </c>
      <c r="J387" s="832">
        <v>186.87</v>
      </c>
      <c r="K387" s="828">
        <v>1</v>
      </c>
      <c r="L387" s="832">
        <v>1</v>
      </c>
      <c r="M387" s="833">
        <v>186.87</v>
      </c>
    </row>
    <row r="388" spans="1:13" ht="14.45" customHeight="1" x14ac:dyDescent="0.2">
      <c r="A388" s="822" t="s">
        <v>1912</v>
      </c>
      <c r="B388" s="823" t="s">
        <v>3038</v>
      </c>
      <c r="C388" s="823" t="s">
        <v>2760</v>
      </c>
      <c r="D388" s="823" t="s">
        <v>2761</v>
      </c>
      <c r="E388" s="823" t="s">
        <v>2762</v>
      </c>
      <c r="F388" s="832"/>
      <c r="G388" s="832"/>
      <c r="H388" s="828">
        <v>0</v>
      </c>
      <c r="I388" s="832">
        <v>1</v>
      </c>
      <c r="J388" s="832">
        <v>320.20999999999998</v>
      </c>
      <c r="K388" s="828">
        <v>1</v>
      </c>
      <c r="L388" s="832">
        <v>1</v>
      </c>
      <c r="M388" s="833">
        <v>320.20999999999998</v>
      </c>
    </row>
    <row r="389" spans="1:13" ht="14.45" customHeight="1" x14ac:dyDescent="0.2">
      <c r="A389" s="822" t="s">
        <v>1912</v>
      </c>
      <c r="B389" s="823" t="s">
        <v>1578</v>
      </c>
      <c r="C389" s="823" t="s">
        <v>1581</v>
      </c>
      <c r="D389" s="823" t="s">
        <v>712</v>
      </c>
      <c r="E389" s="823" t="s">
        <v>1582</v>
      </c>
      <c r="F389" s="832"/>
      <c r="G389" s="832"/>
      <c r="H389" s="828">
        <v>0</v>
      </c>
      <c r="I389" s="832">
        <v>1</v>
      </c>
      <c r="J389" s="832">
        <v>80.010000000000005</v>
      </c>
      <c r="K389" s="828">
        <v>1</v>
      </c>
      <c r="L389" s="832">
        <v>1</v>
      </c>
      <c r="M389" s="833">
        <v>80.010000000000005</v>
      </c>
    </row>
    <row r="390" spans="1:13" ht="14.45" customHeight="1" x14ac:dyDescent="0.2">
      <c r="A390" s="822" t="s">
        <v>1912</v>
      </c>
      <c r="B390" s="823" t="s">
        <v>1578</v>
      </c>
      <c r="C390" s="823" t="s">
        <v>1583</v>
      </c>
      <c r="D390" s="823" t="s">
        <v>712</v>
      </c>
      <c r="E390" s="823" t="s">
        <v>1584</v>
      </c>
      <c r="F390" s="832"/>
      <c r="G390" s="832"/>
      <c r="H390" s="828">
        <v>0</v>
      </c>
      <c r="I390" s="832">
        <v>3</v>
      </c>
      <c r="J390" s="832">
        <v>480.09000000000003</v>
      </c>
      <c r="K390" s="828">
        <v>1</v>
      </c>
      <c r="L390" s="832">
        <v>3</v>
      </c>
      <c r="M390" s="833">
        <v>480.09000000000003</v>
      </c>
    </row>
    <row r="391" spans="1:13" ht="14.45" customHeight="1" x14ac:dyDescent="0.2">
      <c r="A391" s="822" t="s">
        <v>1912</v>
      </c>
      <c r="B391" s="823" t="s">
        <v>1588</v>
      </c>
      <c r="C391" s="823" t="s">
        <v>1784</v>
      </c>
      <c r="D391" s="823" t="s">
        <v>811</v>
      </c>
      <c r="E391" s="823" t="s">
        <v>1785</v>
      </c>
      <c r="F391" s="832"/>
      <c r="G391" s="832"/>
      <c r="H391" s="828">
        <v>0</v>
      </c>
      <c r="I391" s="832">
        <v>1</v>
      </c>
      <c r="J391" s="832">
        <v>42.51</v>
      </c>
      <c r="K391" s="828">
        <v>1</v>
      </c>
      <c r="L391" s="832">
        <v>1</v>
      </c>
      <c r="M391" s="833">
        <v>42.51</v>
      </c>
    </row>
    <row r="392" spans="1:13" ht="14.45" customHeight="1" x14ac:dyDescent="0.2">
      <c r="A392" s="822" t="s">
        <v>1912</v>
      </c>
      <c r="B392" s="823" t="s">
        <v>1588</v>
      </c>
      <c r="C392" s="823" t="s">
        <v>1591</v>
      </c>
      <c r="D392" s="823" t="s">
        <v>811</v>
      </c>
      <c r="E392" s="823" t="s">
        <v>1592</v>
      </c>
      <c r="F392" s="832"/>
      <c r="G392" s="832"/>
      <c r="H392" s="828">
        <v>0</v>
      </c>
      <c r="I392" s="832">
        <v>3</v>
      </c>
      <c r="J392" s="832">
        <v>255.06</v>
      </c>
      <c r="K392" s="828">
        <v>1</v>
      </c>
      <c r="L392" s="832">
        <v>3</v>
      </c>
      <c r="M392" s="833">
        <v>255.06</v>
      </c>
    </row>
    <row r="393" spans="1:13" ht="14.45" customHeight="1" x14ac:dyDescent="0.2">
      <c r="A393" s="822" t="s">
        <v>1912</v>
      </c>
      <c r="B393" s="823" t="s">
        <v>1588</v>
      </c>
      <c r="C393" s="823" t="s">
        <v>2808</v>
      </c>
      <c r="D393" s="823" t="s">
        <v>2809</v>
      </c>
      <c r="E393" s="823" t="s">
        <v>2810</v>
      </c>
      <c r="F393" s="832"/>
      <c r="G393" s="832"/>
      <c r="H393" s="828">
        <v>0</v>
      </c>
      <c r="I393" s="832">
        <v>1</v>
      </c>
      <c r="J393" s="832">
        <v>393.13</v>
      </c>
      <c r="K393" s="828">
        <v>1</v>
      </c>
      <c r="L393" s="832">
        <v>1</v>
      </c>
      <c r="M393" s="833">
        <v>393.13</v>
      </c>
    </row>
    <row r="394" spans="1:13" ht="14.45" customHeight="1" x14ac:dyDescent="0.2">
      <c r="A394" s="822" t="s">
        <v>1912</v>
      </c>
      <c r="B394" s="823" t="s">
        <v>1588</v>
      </c>
      <c r="C394" s="823" t="s">
        <v>1953</v>
      </c>
      <c r="D394" s="823" t="s">
        <v>1954</v>
      </c>
      <c r="E394" s="823" t="s">
        <v>1785</v>
      </c>
      <c r="F394" s="832">
        <v>1</v>
      </c>
      <c r="G394" s="832">
        <v>42.51</v>
      </c>
      <c r="H394" s="828">
        <v>1</v>
      </c>
      <c r="I394" s="832"/>
      <c r="J394" s="832"/>
      <c r="K394" s="828">
        <v>0</v>
      </c>
      <c r="L394" s="832">
        <v>1</v>
      </c>
      <c r="M394" s="833">
        <v>42.51</v>
      </c>
    </row>
    <row r="395" spans="1:13" ht="14.45" customHeight="1" x14ac:dyDescent="0.2">
      <c r="A395" s="822" t="s">
        <v>1912</v>
      </c>
      <c r="B395" s="823" t="s">
        <v>1593</v>
      </c>
      <c r="C395" s="823" t="s">
        <v>2465</v>
      </c>
      <c r="D395" s="823" t="s">
        <v>1595</v>
      </c>
      <c r="E395" s="823" t="s">
        <v>2466</v>
      </c>
      <c r="F395" s="832">
        <v>4</v>
      </c>
      <c r="G395" s="832">
        <v>252.44</v>
      </c>
      <c r="H395" s="828">
        <v>1</v>
      </c>
      <c r="I395" s="832"/>
      <c r="J395" s="832"/>
      <c r="K395" s="828">
        <v>0</v>
      </c>
      <c r="L395" s="832">
        <v>4</v>
      </c>
      <c r="M395" s="833">
        <v>252.44</v>
      </c>
    </row>
    <row r="396" spans="1:13" ht="14.45" customHeight="1" x14ac:dyDescent="0.2">
      <c r="A396" s="822" t="s">
        <v>1912</v>
      </c>
      <c r="B396" s="823" t="s">
        <v>1593</v>
      </c>
      <c r="C396" s="823" t="s">
        <v>2800</v>
      </c>
      <c r="D396" s="823" t="s">
        <v>2801</v>
      </c>
      <c r="E396" s="823" t="s">
        <v>2466</v>
      </c>
      <c r="F396" s="832">
        <v>6</v>
      </c>
      <c r="G396" s="832">
        <v>378.65999999999997</v>
      </c>
      <c r="H396" s="828">
        <v>1</v>
      </c>
      <c r="I396" s="832"/>
      <c r="J396" s="832"/>
      <c r="K396" s="828">
        <v>0</v>
      </c>
      <c r="L396" s="832">
        <v>6</v>
      </c>
      <c r="M396" s="833">
        <v>378.65999999999997</v>
      </c>
    </row>
    <row r="397" spans="1:13" ht="14.45" customHeight="1" x14ac:dyDescent="0.2">
      <c r="A397" s="822" t="s">
        <v>1912</v>
      </c>
      <c r="B397" s="823" t="s">
        <v>1602</v>
      </c>
      <c r="C397" s="823" t="s">
        <v>2516</v>
      </c>
      <c r="D397" s="823" t="s">
        <v>2517</v>
      </c>
      <c r="E397" s="823" t="s">
        <v>2518</v>
      </c>
      <c r="F397" s="832">
        <v>2</v>
      </c>
      <c r="G397" s="832">
        <v>468.14</v>
      </c>
      <c r="H397" s="828">
        <v>1</v>
      </c>
      <c r="I397" s="832"/>
      <c r="J397" s="832"/>
      <c r="K397" s="828">
        <v>0</v>
      </c>
      <c r="L397" s="832">
        <v>2</v>
      </c>
      <c r="M397" s="833">
        <v>468.14</v>
      </c>
    </row>
    <row r="398" spans="1:13" ht="14.45" customHeight="1" x14ac:dyDescent="0.2">
      <c r="A398" s="822" t="s">
        <v>1912</v>
      </c>
      <c r="B398" s="823" t="s">
        <v>1602</v>
      </c>
      <c r="C398" s="823" t="s">
        <v>2118</v>
      </c>
      <c r="D398" s="823" t="s">
        <v>1185</v>
      </c>
      <c r="E398" s="823" t="s">
        <v>2119</v>
      </c>
      <c r="F398" s="832">
        <v>2</v>
      </c>
      <c r="G398" s="832">
        <v>234.06</v>
      </c>
      <c r="H398" s="828">
        <v>1</v>
      </c>
      <c r="I398" s="832"/>
      <c r="J398" s="832"/>
      <c r="K398" s="828">
        <v>0</v>
      </c>
      <c r="L398" s="832">
        <v>2</v>
      </c>
      <c r="M398" s="833">
        <v>234.06</v>
      </c>
    </row>
    <row r="399" spans="1:13" ht="14.45" customHeight="1" x14ac:dyDescent="0.2">
      <c r="A399" s="822" t="s">
        <v>1912</v>
      </c>
      <c r="B399" s="823" t="s">
        <v>1602</v>
      </c>
      <c r="C399" s="823" t="s">
        <v>1963</v>
      </c>
      <c r="D399" s="823" t="s">
        <v>1185</v>
      </c>
      <c r="E399" s="823" t="s">
        <v>1186</v>
      </c>
      <c r="F399" s="832">
        <v>2</v>
      </c>
      <c r="G399" s="832">
        <v>117.04</v>
      </c>
      <c r="H399" s="828">
        <v>1</v>
      </c>
      <c r="I399" s="832"/>
      <c r="J399" s="832"/>
      <c r="K399" s="828">
        <v>0</v>
      </c>
      <c r="L399" s="832">
        <v>2</v>
      </c>
      <c r="M399" s="833">
        <v>117.04</v>
      </c>
    </row>
    <row r="400" spans="1:13" ht="14.45" customHeight="1" x14ac:dyDescent="0.2">
      <c r="A400" s="822" t="s">
        <v>1912</v>
      </c>
      <c r="B400" s="823" t="s">
        <v>1606</v>
      </c>
      <c r="C400" s="823" t="s">
        <v>1607</v>
      </c>
      <c r="D400" s="823" t="s">
        <v>1608</v>
      </c>
      <c r="E400" s="823" t="s">
        <v>1609</v>
      </c>
      <c r="F400" s="832"/>
      <c r="G400" s="832"/>
      <c r="H400" s="828">
        <v>0</v>
      </c>
      <c r="I400" s="832">
        <v>3</v>
      </c>
      <c r="J400" s="832">
        <v>688.14</v>
      </c>
      <c r="K400" s="828">
        <v>1</v>
      </c>
      <c r="L400" s="832">
        <v>3</v>
      </c>
      <c r="M400" s="833">
        <v>688.14</v>
      </c>
    </row>
    <row r="401" spans="1:13" ht="14.45" customHeight="1" x14ac:dyDescent="0.2">
      <c r="A401" s="822" t="s">
        <v>1912</v>
      </c>
      <c r="B401" s="823" t="s">
        <v>1610</v>
      </c>
      <c r="C401" s="823" t="s">
        <v>2430</v>
      </c>
      <c r="D401" s="823" t="s">
        <v>1949</v>
      </c>
      <c r="E401" s="823" t="s">
        <v>2431</v>
      </c>
      <c r="F401" s="832">
        <v>1</v>
      </c>
      <c r="G401" s="832">
        <v>0</v>
      </c>
      <c r="H401" s="828"/>
      <c r="I401" s="832"/>
      <c r="J401" s="832"/>
      <c r="K401" s="828"/>
      <c r="L401" s="832">
        <v>1</v>
      </c>
      <c r="M401" s="833">
        <v>0</v>
      </c>
    </row>
    <row r="402" spans="1:13" ht="14.45" customHeight="1" x14ac:dyDescent="0.2">
      <c r="A402" s="822" t="s">
        <v>1912</v>
      </c>
      <c r="B402" s="823" t="s">
        <v>1610</v>
      </c>
      <c r="C402" s="823" t="s">
        <v>1616</v>
      </c>
      <c r="D402" s="823" t="s">
        <v>673</v>
      </c>
      <c r="E402" s="823" t="s">
        <v>676</v>
      </c>
      <c r="F402" s="832"/>
      <c r="G402" s="832"/>
      <c r="H402" s="828">
        <v>0</v>
      </c>
      <c r="I402" s="832">
        <v>4</v>
      </c>
      <c r="J402" s="832">
        <v>70.239999999999995</v>
      </c>
      <c r="K402" s="828">
        <v>1</v>
      </c>
      <c r="L402" s="832">
        <v>4</v>
      </c>
      <c r="M402" s="833">
        <v>70.239999999999995</v>
      </c>
    </row>
    <row r="403" spans="1:13" ht="14.45" customHeight="1" x14ac:dyDescent="0.2">
      <c r="A403" s="822" t="s">
        <v>1912</v>
      </c>
      <c r="B403" s="823" t="s">
        <v>1610</v>
      </c>
      <c r="C403" s="823" t="s">
        <v>2226</v>
      </c>
      <c r="D403" s="823" t="s">
        <v>673</v>
      </c>
      <c r="E403" s="823" t="s">
        <v>1923</v>
      </c>
      <c r="F403" s="832"/>
      <c r="G403" s="832"/>
      <c r="H403" s="828">
        <v>0</v>
      </c>
      <c r="I403" s="832">
        <v>1</v>
      </c>
      <c r="J403" s="832">
        <v>35.11</v>
      </c>
      <c r="K403" s="828">
        <v>1</v>
      </c>
      <c r="L403" s="832">
        <v>1</v>
      </c>
      <c r="M403" s="833">
        <v>35.11</v>
      </c>
    </row>
    <row r="404" spans="1:13" ht="14.45" customHeight="1" x14ac:dyDescent="0.2">
      <c r="A404" s="822" t="s">
        <v>1912</v>
      </c>
      <c r="B404" s="823" t="s">
        <v>3011</v>
      </c>
      <c r="C404" s="823" t="s">
        <v>2535</v>
      </c>
      <c r="D404" s="823" t="s">
        <v>2341</v>
      </c>
      <c r="E404" s="823" t="s">
        <v>2536</v>
      </c>
      <c r="F404" s="832"/>
      <c r="G404" s="832"/>
      <c r="H404" s="828">
        <v>0</v>
      </c>
      <c r="I404" s="832">
        <v>2</v>
      </c>
      <c r="J404" s="832">
        <v>229.3</v>
      </c>
      <c r="K404" s="828">
        <v>1</v>
      </c>
      <c r="L404" s="832">
        <v>2</v>
      </c>
      <c r="M404" s="833">
        <v>229.3</v>
      </c>
    </row>
    <row r="405" spans="1:13" ht="14.45" customHeight="1" x14ac:dyDescent="0.2">
      <c r="A405" s="822" t="s">
        <v>1912</v>
      </c>
      <c r="B405" s="823" t="s">
        <v>1792</v>
      </c>
      <c r="C405" s="823" t="s">
        <v>2793</v>
      </c>
      <c r="D405" s="823" t="s">
        <v>2794</v>
      </c>
      <c r="E405" s="823" t="s">
        <v>1622</v>
      </c>
      <c r="F405" s="832">
        <v>1</v>
      </c>
      <c r="G405" s="832">
        <v>207.27</v>
      </c>
      <c r="H405" s="828">
        <v>1</v>
      </c>
      <c r="I405" s="832"/>
      <c r="J405" s="832"/>
      <c r="K405" s="828">
        <v>0</v>
      </c>
      <c r="L405" s="832">
        <v>1</v>
      </c>
      <c r="M405" s="833">
        <v>207.27</v>
      </c>
    </row>
    <row r="406" spans="1:13" ht="14.45" customHeight="1" x14ac:dyDescent="0.2">
      <c r="A406" s="822" t="s">
        <v>1912</v>
      </c>
      <c r="B406" s="823" t="s">
        <v>1792</v>
      </c>
      <c r="C406" s="823" t="s">
        <v>1793</v>
      </c>
      <c r="D406" s="823" t="s">
        <v>1794</v>
      </c>
      <c r="E406" s="823" t="s">
        <v>1795</v>
      </c>
      <c r="F406" s="832"/>
      <c r="G406" s="832"/>
      <c r="H406" s="828">
        <v>0</v>
      </c>
      <c r="I406" s="832">
        <v>1</v>
      </c>
      <c r="J406" s="832">
        <v>186.55</v>
      </c>
      <c r="K406" s="828">
        <v>1</v>
      </c>
      <c r="L406" s="832">
        <v>1</v>
      </c>
      <c r="M406" s="833">
        <v>186.55</v>
      </c>
    </row>
    <row r="407" spans="1:13" ht="14.45" customHeight="1" x14ac:dyDescent="0.2">
      <c r="A407" s="822" t="s">
        <v>1912</v>
      </c>
      <c r="B407" s="823" t="s">
        <v>1792</v>
      </c>
      <c r="C407" s="823" t="s">
        <v>2405</v>
      </c>
      <c r="D407" s="823" t="s">
        <v>2406</v>
      </c>
      <c r="E407" s="823" t="s">
        <v>2275</v>
      </c>
      <c r="F407" s="832">
        <v>1</v>
      </c>
      <c r="G407" s="832">
        <v>103.64</v>
      </c>
      <c r="H407" s="828">
        <v>1</v>
      </c>
      <c r="I407" s="832"/>
      <c r="J407" s="832"/>
      <c r="K407" s="828">
        <v>0</v>
      </c>
      <c r="L407" s="832">
        <v>1</v>
      </c>
      <c r="M407" s="833">
        <v>103.64</v>
      </c>
    </row>
    <row r="408" spans="1:13" ht="14.45" customHeight="1" x14ac:dyDescent="0.2">
      <c r="A408" s="822" t="s">
        <v>1912</v>
      </c>
      <c r="B408" s="823" t="s">
        <v>1792</v>
      </c>
      <c r="C408" s="823" t="s">
        <v>2795</v>
      </c>
      <c r="D408" s="823" t="s">
        <v>2408</v>
      </c>
      <c r="E408" s="823" t="s">
        <v>2312</v>
      </c>
      <c r="F408" s="832">
        <v>1</v>
      </c>
      <c r="G408" s="832">
        <v>207.27</v>
      </c>
      <c r="H408" s="828">
        <v>1</v>
      </c>
      <c r="I408" s="832"/>
      <c r="J408" s="832"/>
      <c r="K408" s="828">
        <v>0</v>
      </c>
      <c r="L408" s="832">
        <v>1</v>
      </c>
      <c r="M408" s="833">
        <v>207.27</v>
      </c>
    </row>
    <row r="409" spans="1:13" ht="14.45" customHeight="1" x14ac:dyDescent="0.2">
      <c r="A409" s="822" t="s">
        <v>1912</v>
      </c>
      <c r="B409" s="823" t="s">
        <v>1619</v>
      </c>
      <c r="C409" s="823" t="s">
        <v>2125</v>
      </c>
      <c r="D409" s="823" t="s">
        <v>1621</v>
      </c>
      <c r="E409" s="823" t="s">
        <v>2126</v>
      </c>
      <c r="F409" s="832"/>
      <c r="G409" s="832"/>
      <c r="H409" s="828">
        <v>0</v>
      </c>
      <c r="I409" s="832">
        <v>1</v>
      </c>
      <c r="J409" s="832">
        <v>103.64</v>
      </c>
      <c r="K409" s="828">
        <v>1</v>
      </c>
      <c r="L409" s="832">
        <v>1</v>
      </c>
      <c r="M409" s="833">
        <v>103.64</v>
      </c>
    </row>
    <row r="410" spans="1:13" ht="14.45" customHeight="1" x14ac:dyDescent="0.2">
      <c r="A410" s="822" t="s">
        <v>1912</v>
      </c>
      <c r="B410" s="823" t="s">
        <v>3030</v>
      </c>
      <c r="C410" s="823" t="s">
        <v>2501</v>
      </c>
      <c r="D410" s="823" t="s">
        <v>2499</v>
      </c>
      <c r="E410" s="823" t="s">
        <v>2502</v>
      </c>
      <c r="F410" s="832"/>
      <c r="G410" s="832"/>
      <c r="H410" s="828">
        <v>0</v>
      </c>
      <c r="I410" s="832">
        <v>1</v>
      </c>
      <c r="J410" s="832">
        <v>207.27</v>
      </c>
      <c r="K410" s="828">
        <v>1</v>
      </c>
      <c r="L410" s="832">
        <v>1</v>
      </c>
      <c r="M410" s="833">
        <v>207.27</v>
      </c>
    </row>
    <row r="411" spans="1:13" ht="14.45" customHeight="1" x14ac:dyDescent="0.2">
      <c r="A411" s="822" t="s">
        <v>1912</v>
      </c>
      <c r="B411" s="823" t="s">
        <v>1623</v>
      </c>
      <c r="C411" s="823" t="s">
        <v>1922</v>
      </c>
      <c r="D411" s="823" t="s">
        <v>967</v>
      </c>
      <c r="E411" s="823" t="s">
        <v>1923</v>
      </c>
      <c r="F411" s="832"/>
      <c r="G411" s="832"/>
      <c r="H411" s="828">
        <v>0</v>
      </c>
      <c r="I411" s="832">
        <v>1</v>
      </c>
      <c r="J411" s="832">
        <v>34.47</v>
      </c>
      <c r="K411" s="828">
        <v>1</v>
      </c>
      <c r="L411" s="832">
        <v>1</v>
      </c>
      <c r="M411" s="833">
        <v>34.47</v>
      </c>
    </row>
    <row r="412" spans="1:13" ht="14.45" customHeight="1" x14ac:dyDescent="0.2">
      <c r="A412" s="822" t="s">
        <v>1912</v>
      </c>
      <c r="B412" s="823" t="s">
        <v>1623</v>
      </c>
      <c r="C412" s="823" t="s">
        <v>1624</v>
      </c>
      <c r="D412" s="823" t="s">
        <v>967</v>
      </c>
      <c r="E412" s="823" t="s">
        <v>1625</v>
      </c>
      <c r="F412" s="832"/>
      <c r="G412" s="832"/>
      <c r="H412" s="828">
        <v>0</v>
      </c>
      <c r="I412" s="832">
        <v>4</v>
      </c>
      <c r="J412" s="832">
        <v>413.6</v>
      </c>
      <c r="K412" s="828">
        <v>1</v>
      </c>
      <c r="L412" s="832">
        <v>4</v>
      </c>
      <c r="M412" s="833">
        <v>413.6</v>
      </c>
    </row>
    <row r="413" spans="1:13" ht="14.45" customHeight="1" x14ac:dyDescent="0.2">
      <c r="A413" s="822" t="s">
        <v>1912</v>
      </c>
      <c r="B413" s="823" t="s">
        <v>1623</v>
      </c>
      <c r="C413" s="823" t="s">
        <v>2132</v>
      </c>
      <c r="D413" s="823" t="s">
        <v>2133</v>
      </c>
      <c r="E413" s="823" t="s">
        <v>2134</v>
      </c>
      <c r="F413" s="832"/>
      <c r="G413" s="832"/>
      <c r="H413" s="828">
        <v>0</v>
      </c>
      <c r="I413" s="832">
        <v>1</v>
      </c>
      <c r="J413" s="832">
        <v>206.78</v>
      </c>
      <c r="K413" s="828">
        <v>1</v>
      </c>
      <c r="L413" s="832">
        <v>1</v>
      </c>
      <c r="M413" s="833">
        <v>206.78</v>
      </c>
    </row>
    <row r="414" spans="1:13" ht="14.45" customHeight="1" x14ac:dyDescent="0.2">
      <c r="A414" s="822" t="s">
        <v>1912</v>
      </c>
      <c r="B414" s="823" t="s">
        <v>1626</v>
      </c>
      <c r="C414" s="823" t="s">
        <v>2274</v>
      </c>
      <c r="D414" s="823" t="s">
        <v>1628</v>
      </c>
      <c r="E414" s="823" t="s">
        <v>2275</v>
      </c>
      <c r="F414" s="832"/>
      <c r="G414" s="832"/>
      <c r="H414" s="828">
        <v>0</v>
      </c>
      <c r="I414" s="832">
        <v>1</v>
      </c>
      <c r="J414" s="832">
        <v>114.88</v>
      </c>
      <c r="K414" s="828">
        <v>1</v>
      </c>
      <c r="L414" s="832">
        <v>1</v>
      </c>
      <c r="M414" s="833">
        <v>114.88</v>
      </c>
    </row>
    <row r="415" spans="1:13" ht="14.45" customHeight="1" x14ac:dyDescent="0.2">
      <c r="A415" s="822" t="s">
        <v>1912</v>
      </c>
      <c r="B415" s="823" t="s">
        <v>1630</v>
      </c>
      <c r="C415" s="823" t="s">
        <v>2844</v>
      </c>
      <c r="D415" s="823" t="s">
        <v>1632</v>
      </c>
      <c r="E415" s="823" t="s">
        <v>1633</v>
      </c>
      <c r="F415" s="832"/>
      <c r="G415" s="832"/>
      <c r="H415" s="828">
        <v>0</v>
      </c>
      <c r="I415" s="832">
        <v>1</v>
      </c>
      <c r="J415" s="832">
        <v>112.59</v>
      </c>
      <c r="K415" s="828">
        <v>1</v>
      </c>
      <c r="L415" s="832">
        <v>1</v>
      </c>
      <c r="M415" s="833">
        <v>112.59</v>
      </c>
    </row>
    <row r="416" spans="1:13" ht="14.45" customHeight="1" x14ac:dyDescent="0.2">
      <c r="A416" s="822" t="s">
        <v>1912</v>
      </c>
      <c r="B416" s="823" t="s">
        <v>3022</v>
      </c>
      <c r="C416" s="823" t="s">
        <v>2834</v>
      </c>
      <c r="D416" s="823" t="s">
        <v>2622</v>
      </c>
      <c r="E416" s="823" t="s">
        <v>2835</v>
      </c>
      <c r="F416" s="832">
        <v>1</v>
      </c>
      <c r="G416" s="832">
        <v>73.83</v>
      </c>
      <c r="H416" s="828">
        <v>1</v>
      </c>
      <c r="I416" s="832"/>
      <c r="J416" s="832"/>
      <c r="K416" s="828">
        <v>0</v>
      </c>
      <c r="L416" s="832">
        <v>1</v>
      </c>
      <c r="M416" s="833">
        <v>73.83</v>
      </c>
    </row>
    <row r="417" spans="1:13" ht="14.45" customHeight="1" x14ac:dyDescent="0.2">
      <c r="A417" s="822" t="s">
        <v>1912</v>
      </c>
      <c r="B417" s="823" t="s">
        <v>3016</v>
      </c>
      <c r="C417" s="823" t="s">
        <v>2839</v>
      </c>
      <c r="D417" s="823" t="s">
        <v>2630</v>
      </c>
      <c r="E417" s="823" t="s">
        <v>2840</v>
      </c>
      <c r="F417" s="832">
        <v>3</v>
      </c>
      <c r="G417" s="832">
        <v>242.82</v>
      </c>
      <c r="H417" s="828">
        <v>1</v>
      </c>
      <c r="I417" s="832"/>
      <c r="J417" s="832"/>
      <c r="K417" s="828">
        <v>0</v>
      </c>
      <c r="L417" s="832">
        <v>3</v>
      </c>
      <c r="M417" s="833">
        <v>242.82</v>
      </c>
    </row>
    <row r="418" spans="1:13" ht="14.45" customHeight="1" x14ac:dyDescent="0.2">
      <c r="A418" s="822" t="s">
        <v>1912</v>
      </c>
      <c r="B418" s="823" t="s">
        <v>3016</v>
      </c>
      <c r="C418" s="823" t="s">
        <v>2175</v>
      </c>
      <c r="D418" s="823" t="s">
        <v>2176</v>
      </c>
      <c r="E418" s="823" t="s">
        <v>2177</v>
      </c>
      <c r="F418" s="832"/>
      <c r="G418" s="832"/>
      <c r="H418" s="828">
        <v>0</v>
      </c>
      <c r="I418" s="832">
        <v>2</v>
      </c>
      <c r="J418" s="832">
        <v>691.38</v>
      </c>
      <c r="K418" s="828">
        <v>1</v>
      </c>
      <c r="L418" s="832">
        <v>2</v>
      </c>
      <c r="M418" s="833">
        <v>691.38</v>
      </c>
    </row>
    <row r="419" spans="1:13" ht="14.45" customHeight="1" x14ac:dyDescent="0.2">
      <c r="A419" s="822" t="s">
        <v>1912</v>
      </c>
      <c r="B419" s="823" t="s">
        <v>3016</v>
      </c>
      <c r="C419" s="823" t="s">
        <v>2841</v>
      </c>
      <c r="D419" s="823" t="s">
        <v>2630</v>
      </c>
      <c r="E419" s="823" t="s">
        <v>2842</v>
      </c>
      <c r="F419" s="832">
        <v>1</v>
      </c>
      <c r="G419" s="832">
        <v>290.36</v>
      </c>
      <c r="H419" s="828">
        <v>1</v>
      </c>
      <c r="I419" s="832"/>
      <c r="J419" s="832"/>
      <c r="K419" s="828">
        <v>0</v>
      </c>
      <c r="L419" s="832">
        <v>1</v>
      </c>
      <c r="M419" s="833">
        <v>290.36</v>
      </c>
    </row>
    <row r="420" spans="1:13" ht="14.45" customHeight="1" x14ac:dyDescent="0.2">
      <c r="A420" s="822" t="s">
        <v>1912</v>
      </c>
      <c r="B420" s="823" t="s">
        <v>3017</v>
      </c>
      <c r="C420" s="823" t="s">
        <v>2171</v>
      </c>
      <c r="D420" s="823" t="s">
        <v>2172</v>
      </c>
      <c r="E420" s="823" t="s">
        <v>2173</v>
      </c>
      <c r="F420" s="832"/>
      <c r="G420" s="832"/>
      <c r="H420" s="828">
        <v>0</v>
      </c>
      <c r="I420" s="832">
        <v>6</v>
      </c>
      <c r="J420" s="832">
        <v>791.16000000000008</v>
      </c>
      <c r="K420" s="828">
        <v>1</v>
      </c>
      <c r="L420" s="832">
        <v>6</v>
      </c>
      <c r="M420" s="833">
        <v>791.16000000000008</v>
      </c>
    </row>
    <row r="421" spans="1:13" ht="14.45" customHeight="1" x14ac:dyDescent="0.2">
      <c r="A421" s="822" t="s">
        <v>1912</v>
      </c>
      <c r="B421" s="823" t="s">
        <v>1634</v>
      </c>
      <c r="C421" s="823" t="s">
        <v>1796</v>
      </c>
      <c r="D421" s="823" t="s">
        <v>1639</v>
      </c>
      <c r="E421" s="823" t="s">
        <v>1797</v>
      </c>
      <c r="F421" s="832"/>
      <c r="G421" s="832"/>
      <c r="H421" s="828">
        <v>0</v>
      </c>
      <c r="I421" s="832">
        <v>6</v>
      </c>
      <c r="J421" s="832">
        <v>1323.18</v>
      </c>
      <c r="K421" s="828">
        <v>1</v>
      </c>
      <c r="L421" s="832">
        <v>6</v>
      </c>
      <c r="M421" s="833">
        <v>1323.18</v>
      </c>
    </row>
    <row r="422" spans="1:13" ht="14.45" customHeight="1" x14ac:dyDescent="0.2">
      <c r="A422" s="822" t="s">
        <v>1912</v>
      </c>
      <c r="B422" s="823" t="s">
        <v>1634</v>
      </c>
      <c r="C422" s="823" t="s">
        <v>2796</v>
      </c>
      <c r="D422" s="823" t="s">
        <v>2294</v>
      </c>
      <c r="E422" s="823" t="s">
        <v>2028</v>
      </c>
      <c r="F422" s="832">
        <v>1</v>
      </c>
      <c r="G422" s="832">
        <v>165.41</v>
      </c>
      <c r="H422" s="828">
        <v>1</v>
      </c>
      <c r="I422" s="832"/>
      <c r="J422" s="832"/>
      <c r="K422" s="828">
        <v>0</v>
      </c>
      <c r="L422" s="832">
        <v>1</v>
      </c>
      <c r="M422" s="833">
        <v>165.41</v>
      </c>
    </row>
    <row r="423" spans="1:13" ht="14.45" customHeight="1" x14ac:dyDescent="0.2">
      <c r="A423" s="822" t="s">
        <v>1912</v>
      </c>
      <c r="B423" s="823" t="s">
        <v>1634</v>
      </c>
      <c r="C423" s="823" t="s">
        <v>2291</v>
      </c>
      <c r="D423" s="823" t="s">
        <v>1636</v>
      </c>
      <c r="E423" s="823" t="s">
        <v>2292</v>
      </c>
      <c r="F423" s="832"/>
      <c r="G423" s="832"/>
      <c r="H423" s="828">
        <v>0</v>
      </c>
      <c r="I423" s="832">
        <v>1</v>
      </c>
      <c r="J423" s="832">
        <v>55.14</v>
      </c>
      <c r="K423" s="828">
        <v>1</v>
      </c>
      <c r="L423" s="832">
        <v>1</v>
      </c>
      <c r="M423" s="833">
        <v>55.14</v>
      </c>
    </row>
    <row r="424" spans="1:13" ht="14.45" customHeight="1" x14ac:dyDescent="0.2">
      <c r="A424" s="822" t="s">
        <v>1912</v>
      </c>
      <c r="B424" s="823" t="s">
        <v>1634</v>
      </c>
      <c r="C424" s="823" t="s">
        <v>1635</v>
      </c>
      <c r="D424" s="823" t="s">
        <v>1636</v>
      </c>
      <c r="E424" s="823" t="s">
        <v>1637</v>
      </c>
      <c r="F424" s="832"/>
      <c r="G424" s="832"/>
      <c r="H424" s="828">
        <v>0</v>
      </c>
      <c r="I424" s="832">
        <v>5</v>
      </c>
      <c r="J424" s="832">
        <v>1397.6499999999999</v>
      </c>
      <c r="K424" s="828">
        <v>1</v>
      </c>
      <c r="L424" s="832">
        <v>5</v>
      </c>
      <c r="M424" s="833">
        <v>1397.6499999999999</v>
      </c>
    </row>
    <row r="425" spans="1:13" ht="14.45" customHeight="1" x14ac:dyDescent="0.2">
      <c r="A425" s="822" t="s">
        <v>1912</v>
      </c>
      <c r="B425" s="823" t="s">
        <v>1634</v>
      </c>
      <c r="C425" s="823" t="s">
        <v>2415</v>
      </c>
      <c r="D425" s="823" t="s">
        <v>1639</v>
      </c>
      <c r="E425" s="823" t="s">
        <v>2416</v>
      </c>
      <c r="F425" s="832">
        <v>1</v>
      </c>
      <c r="G425" s="832">
        <v>477.84</v>
      </c>
      <c r="H425" s="828">
        <v>1</v>
      </c>
      <c r="I425" s="832"/>
      <c r="J425" s="832"/>
      <c r="K425" s="828">
        <v>0</v>
      </c>
      <c r="L425" s="832">
        <v>1</v>
      </c>
      <c r="M425" s="833">
        <v>477.84</v>
      </c>
    </row>
    <row r="426" spans="1:13" ht="14.45" customHeight="1" x14ac:dyDescent="0.2">
      <c r="A426" s="822" t="s">
        <v>1912</v>
      </c>
      <c r="B426" s="823" t="s">
        <v>3039</v>
      </c>
      <c r="C426" s="823" t="s">
        <v>2825</v>
      </c>
      <c r="D426" s="823" t="s">
        <v>2826</v>
      </c>
      <c r="E426" s="823" t="s">
        <v>2827</v>
      </c>
      <c r="F426" s="832">
        <v>3</v>
      </c>
      <c r="G426" s="832">
        <v>401.37</v>
      </c>
      <c r="H426" s="828">
        <v>1</v>
      </c>
      <c r="I426" s="832"/>
      <c r="J426" s="832"/>
      <c r="K426" s="828">
        <v>0</v>
      </c>
      <c r="L426" s="832">
        <v>3</v>
      </c>
      <c r="M426" s="833">
        <v>401.37</v>
      </c>
    </row>
    <row r="427" spans="1:13" ht="14.45" customHeight="1" x14ac:dyDescent="0.2">
      <c r="A427" s="822" t="s">
        <v>1912</v>
      </c>
      <c r="B427" s="823" t="s">
        <v>3039</v>
      </c>
      <c r="C427" s="823" t="s">
        <v>2828</v>
      </c>
      <c r="D427" s="823" t="s">
        <v>2826</v>
      </c>
      <c r="E427" s="823" t="s">
        <v>2829</v>
      </c>
      <c r="F427" s="832">
        <v>1</v>
      </c>
      <c r="G427" s="832">
        <v>0</v>
      </c>
      <c r="H427" s="828"/>
      <c r="I427" s="832"/>
      <c r="J427" s="832"/>
      <c r="K427" s="828"/>
      <c r="L427" s="832">
        <v>1</v>
      </c>
      <c r="M427" s="833">
        <v>0</v>
      </c>
    </row>
    <row r="428" spans="1:13" ht="14.45" customHeight="1" x14ac:dyDescent="0.2">
      <c r="A428" s="822" t="s">
        <v>1912</v>
      </c>
      <c r="B428" s="823" t="s">
        <v>3040</v>
      </c>
      <c r="C428" s="823" t="s">
        <v>2805</v>
      </c>
      <c r="D428" s="823" t="s">
        <v>2806</v>
      </c>
      <c r="E428" s="823" t="s">
        <v>2807</v>
      </c>
      <c r="F428" s="832"/>
      <c r="G428" s="832"/>
      <c r="H428" s="828">
        <v>0</v>
      </c>
      <c r="I428" s="832">
        <v>2</v>
      </c>
      <c r="J428" s="832">
        <v>838.4</v>
      </c>
      <c r="K428" s="828">
        <v>1</v>
      </c>
      <c r="L428" s="832">
        <v>2</v>
      </c>
      <c r="M428" s="833">
        <v>838.4</v>
      </c>
    </row>
    <row r="429" spans="1:13" ht="14.45" customHeight="1" x14ac:dyDescent="0.2">
      <c r="A429" s="822" t="s">
        <v>1912</v>
      </c>
      <c r="B429" s="823" t="s">
        <v>1641</v>
      </c>
      <c r="C429" s="823" t="s">
        <v>1644</v>
      </c>
      <c r="D429" s="823" t="s">
        <v>800</v>
      </c>
      <c r="E429" s="823" t="s">
        <v>1645</v>
      </c>
      <c r="F429" s="832"/>
      <c r="G429" s="832"/>
      <c r="H429" s="828">
        <v>0</v>
      </c>
      <c r="I429" s="832">
        <v>1</v>
      </c>
      <c r="J429" s="832">
        <v>300.31</v>
      </c>
      <c r="K429" s="828">
        <v>1</v>
      </c>
      <c r="L429" s="832">
        <v>1</v>
      </c>
      <c r="M429" s="833">
        <v>300.31</v>
      </c>
    </row>
    <row r="430" spans="1:13" ht="14.45" customHeight="1" x14ac:dyDescent="0.2">
      <c r="A430" s="822" t="s">
        <v>1912</v>
      </c>
      <c r="B430" s="823" t="s">
        <v>1651</v>
      </c>
      <c r="C430" s="823" t="s">
        <v>2285</v>
      </c>
      <c r="D430" s="823" t="s">
        <v>1653</v>
      </c>
      <c r="E430" s="823" t="s">
        <v>2286</v>
      </c>
      <c r="F430" s="832"/>
      <c r="G430" s="832"/>
      <c r="H430" s="828">
        <v>0</v>
      </c>
      <c r="I430" s="832">
        <v>1</v>
      </c>
      <c r="J430" s="832">
        <v>49.08</v>
      </c>
      <c r="K430" s="828">
        <v>1</v>
      </c>
      <c r="L430" s="832">
        <v>1</v>
      </c>
      <c r="M430" s="833">
        <v>49.08</v>
      </c>
    </row>
    <row r="431" spans="1:13" ht="14.45" customHeight="1" x14ac:dyDescent="0.2">
      <c r="A431" s="822" t="s">
        <v>1912</v>
      </c>
      <c r="B431" s="823" t="s">
        <v>1664</v>
      </c>
      <c r="C431" s="823" t="s">
        <v>2200</v>
      </c>
      <c r="D431" s="823" t="s">
        <v>1088</v>
      </c>
      <c r="E431" s="823" t="s">
        <v>2201</v>
      </c>
      <c r="F431" s="832"/>
      <c r="G431" s="832"/>
      <c r="H431" s="828">
        <v>0</v>
      </c>
      <c r="I431" s="832">
        <v>2</v>
      </c>
      <c r="J431" s="832">
        <v>308.72000000000003</v>
      </c>
      <c r="K431" s="828">
        <v>1</v>
      </c>
      <c r="L431" s="832">
        <v>2</v>
      </c>
      <c r="M431" s="833">
        <v>308.72000000000003</v>
      </c>
    </row>
    <row r="432" spans="1:13" ht="14.45" customHeight="1" x14ac:dyDescent="0.2">
      <c r="A432" s="822" t="s">
        <v>1912</v>
      </c>
      <c r="B432" s="823" t="s">
        <v>1710</v>
      </c>
      <c r="C432" s="823" t="s">
        <v>1711</v>
      </c>
      <c r="D432" s="823" t="s">
        <v>946</v>
      </c>
      <c r="E432" s="823" t="s">
        <v>947</v>
      </c>
      <c r="F432" s="832"/>
      <c r="G432" s="832"/>
      <c r="H432" s="828"/>
      <c r="I432" s="832">
        <v>1</v>
      </c>
      <c r="J432" s="832">
        <v>0</v>
      </c>
      <c r="K432" s="828"/>
      <c r="L432" s="832">
        <v>1</v>
      </c>
      <c r="M432" s="833">
        <v>0</v>
      </c>
    </row>
    <row r="433" spans="1:13" ht="14.45" customHeight="1" x14ac:dyDescent="0.2">
      <c r="A433" s="822" t="s">
        <v>1912</v>
      </c>
      <c r="B433" s="823" t="s">
        <v>1720</v>
      </c>
      <c r="C433" s="823" t="s">
        <v>1839</v>
      </c>
      <c r="D433" s="823" t="s">
        <v>1725</v>
      </c>
      <c r="E433" s="823" t="s">
        <v>1840</v>
      </c>
      <c r="F433" s="832"/>
      <c r="G433" s="832"/>
      <c r="H433" s="828">
        <v>0</v>
      </c>
      <c r="I433" s="832">
        <v>1</v>
      </c>
      <c r="J433" s="832">
        <v>366.31</v>
      </c>
      <c r="K433" s="828">
        <v>1</v>
      </c>
      <c r="L433" s="832">
        <v>1</v>
      </c>
      <c r="M433" s="833">
        <v>366.31</v>
      </c>
    </row>
    <row r="434" spans="1:13" ht="14.45" customHeight="1" x14ac:dyDescent="0.2">
      <c r="A434" s="822" t="s">
        <v>1912</v>
      </c>
      <c r="B434" s="823" t="s">
        <v>3041</v>
      </c>
      <c r="C434" s="823" t="s">
        <v>2854</v>
      </c>
      <c r="D434" s="823" t="s">
        <v>2855</v>
      </c>
      <c r="E434" s="823" t="s">
        <v>2856</v>
      </c>
      <c r="F434" s="832"/>
      <c r="G434" s="832"/>
      <c r="H434" s="828">
        <v>0</v>
      </c>
      <c r="I434" s="832">
        <v>1</v>
      </c>
      <c r="J434" s="832">
        <v>212.45</v>
      </c>
      <c r="K434" s="828">
        <v>1</v>
      </c>
      <c r="L434" s="832">
        <v>1</v>
      </c>
      <c r="M434" s="833">
        <v>212.45</v>
      </c>
    </row>
    <row r="435" spans="1:13" ht="14.45" customHeight="1" x14ac:dyDescent="0.2">
      <c r="A435" s="822" t="s">
        <v>1912</v>
      </c>
      <c r="B435" s="823" t="s">
        <v>1762</v>
      </c>
      <c r="C435" s="823" t="s">
        <v>2752</v>
      </c>
      <c r="D435" s="823" t="s">
        <v>1061</v>
      </c>
      <c r="E435" s="823" t="s">
        <v>674</v>
      </c>
      <c r="F435" s="832"/>
      <c r="G435" s="832"/>
      <c r="H435" s="828">
        <v>0</v>
      </c>
      <c r="I435" s="832">
        <v>1</v>
      </c>
      <c r="J435" s="832">
        <v>58.77</v>
      </c>
      <c r="K435" s="828">
        <v>1</v>
      </c>
      <c r="L435" s="832">
        <v>1</v>
      </c>
      <c r="M435" s="833">
        <v>58.77</v>
      </c>
    </row>
    <row r="436" spans="1:13" ht="14.45" customHeight="1" x14ac:dyDescent="0.2">
      <c r="A436" s="822" t="s">
        <v>1912</v>
      </c>
      <c r="B436" s="823" t="s">
        <v>1572</v>
      </c>
      <c r="C436" s="823" t="s">
        <v>2190</v>
      </c>
      <c r="D436" s="823" t="s">
        <v>1574</v>
      </c>
      <c r="E436" s="823" t="s">
        <v>2191</v>
      </c>
      <c r="F436" s="832"/>
      <c r="G436" s="832"/>
      <c r="H436" s="828">
        <v>0</v>
      </c>
      <c r="I436" s="832">
        <v>1</v>
      </c>
      <c r="J436" s="832">
        <v>4961.1400000000003</v>
      </c>
      <c r="K436" s="828">
        <v>1</v>
      </c>
      <c r="L436" s="832">
        <v>1</v>
      </c>
      <c r="M436" s="833">
        <v>4961.1400000000003</v>
      </c>
    </row>
    <row r="437" spans="1:13" ht="14.45" customHeight="1" x14ac:dyDescent="0.2">
      <c r="A437" s="822" t="s">
        <v>1912</v>
      </c>
      <c r="B437" s="823" t="s">
        <v>1572</v>
      </c>
      <c r="C437" s="823" t="s">
        <v>1573</v>
      </c>
      <c r="D437" s="823" t="s">
        <v>1574</v>
      </c>
      <c r="E437" s="823" t="s">
        <v>1575</v>
      </c>
      <c r="F437" s="832"/>
      <c r="G437" s="832"/>
      <c r="H437" s="828">
        <v>0</v>
      </c>
      <c r="I437" s="832">
        <v>3</v>
      </c>
      <c r="J437" s="832">
        <v>8009.25</v>
      </c>
      <c r="K437" s="828">
        <v>1</v>
      </c>
      <c r="L437" s="832">
        <v>3</v>
      </c>
      <c r="M437" s="833">
        <v>8009.25</v>
      </c>
    </row>
    <row r="438" spans="1:13" ht="14.45" customHeight="1" thickBot="1" x14ac:dyDescent="0.25">
      <c r="A438" s="814" t="s">
        <v>1913</v>
      </c>
      <c r="B438" s="815" t="s">
        <v>1664</v>
      </c>
      <c r="C438" s="815" t="s">
        <v>2200</v>
      </c>
      <c r="D438" s="815" t="s">
        <v>1088</v>
      </c>
      <c r="E438" s="815" t="s">
        <v>2201</v>
      </c>
      <c r="F438" s="834"/>
      <c r="G438" s="834"/>
      <c r="H438" s="820">
        <v>0</v>
      </c>
      <c r="I438" s="834">
        <v>1</v>
      </c>
      <c r="J438" s="834">
        <v>154.36000000000001</v>
      </c>
      <c r="K438" s="820">
        <v>1</v>
      </c>
      <c r="L438" s="834">
        <v>1</v>
      </c>
      <c r="M438" s="835">
        <v>154.36000000000001</v>
      </c>
    </row>
  </sheetData>
  <autoFilter ref="A5:M1005" xr:uid="{00000000-0009-0000-0000-000016000000}"/>
  <mergeCells count="4">
    <mergeCell ref="A1:M1"/>
    <mergeCell ref="F4:H4"/>
    <mergeCell ref="I4:K4"/>
    <mergeCell ref="L4:M4"/>
  </mergeCells>
  <hyperlinks>
    <hyperlink ref="A2" location="Obsah!A1" display="Zpět na Obsah  KL 01  1.-4.měsíc" xr:uid="{785A0365-9F03-4EA7-B22D-9EA6B8AAA40A}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List51">
    <tabColor theme="3" tint="0.39997558519241921"/>
    <pageSetUpPr fitToPage="1"/>
  </sheetPr>
  <dimension ref="A1:J93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330" customWidth="1"/>
    <col min="2" max="2" width="61.140625" style="330" customWidth="1"/>
    <col min="3" max="3" width="9.5703125" style="247" hidden="1" customWidth="1" outlineLevel="1"/>
    <col min="4" max="4" width="9.5703125" style="331" customWidth="1" collapsed="1"/>
    <col min="5" max="5" width="2.28515625" style="331" customWidth="1"/>
    <col min="6" max="6" width="9.5703125" style="332" customWidth="1"/>
    <col min="7" max="7" width="9.5703125" style="329" customWidth="1"/>
    <col min="8" max="9" width="9.5703125" style="247" customWidth="1"/>
    <col min="10" max="10" width="0" style="247" hidden="1" customWidth="1"/>
    <col min="11" max="16384" width="8.85546875" style="247"/>
  </cols>
  <sheetData>
    <row r="1" spans="1:10" ht="18.600000000000001" customHeight="1" thickBot="1" x14ac:dyDescent="0.35">
      <c r="A1" s="546" t="s">
        <v>177</v>
      </c>
      <c r="B1" s="547"/>
      <c r="C1" s="547"/>
      <c r="D1" s="547"/>
      <c r="E1" s="547"/>
      <c r="F1" s="547"/>
      <c r="G1" s="517"/>
      <c r="H1" s="548"/>
      <c r="I1" s="548"/>
    </row>
    <row r="2" spans="1:10" ht="14.45" customHeight="1" thickBot="1" x14ac:dyDescent="0.25">
      <c r="A2" s="705" t="s">
        <v>328</v>
      </c>
      <c r="B2" s="328"/>
      <c r="C2" s="328"/>
      <c r="D2" s="328"/>
      <c r="E2" s="328"/>
      <c r="F2" s="328"/>
    </row>
    <row r="3" spans="1:10" ht="14.45" customHeight="1" thickBot="1" x14ac:dyDescent="0.25">
      <c r="A3" s="371"/>
      <c r="B3" s="437"/>
      <c r="C3" s="377">
        <v>2018</v>
      </c>
      <c r="D3" s="378">
        <v>2019</v>
      </c>
      <c r="E3" s="11"/>
      <c r="F3" s="525">
        <v>2020</v>
      </c>
      <c r="G3" s="543"/>
      <c r="H3" s="543"/>
      <c r="I3" s="526"/>
    </row>
    <row r="4" spans="1:10" ht="14.45" customHeight="1" thickBot="1" x14ac:dyDescent="0.25">
      <c r="A4" s="382" t="s">
        <v>0</v>
      </c>
      <c r="B4" s="383" t="s">
        <v>239</v>
      </c>
      <c r="C4" s="544" t="s">
        <v>93</v>
      </c>
      <c r="D4" s="545"/>
      <c r="E4" s="384"/>
      <c r="F4" s="379" t="s">
        <v>93</v>
      </c>
      <c r="G4" s="380" t="s">
        <v>94</v>
      </c>
      <c r="H4" s="380" t="s">
        <v>68</v>
      </c>
      <c r="I4" s="381" t="s">
        <v>95</v>
      </c>
    </row>
    <row r="5" spans="1:10" ht="14.45" customHeight="1" x14ac:dyDescent="0.2">
      <c r="A5" s="712" t="s">
        <v>575</v>
      </c>
      <c r="B5" s="713" t="s">
        <v>576</v>
      </c>
      <c r="C5" s="714" t="s">
        <v>329</v>
      </c>
      <c r="D5" s="714" t="s">
        <v>329</v>
      </c>
      <c r="E5" s="714"/>
      <c r="F5" s="714" t="s">
        <v>329</v>
      </c>
      <c r="G5" s="714" t="s">
        <v>329</v>
      </c>
      <c r="H5" s="714" t="s">
        <v>329</v>
      </c>
      <c r="I5" s="715" t="s">
        <v>329</v>
      </c>
      <c r="J5" s="716" t="s">
        <v>73</v>
      </c>
    </row>
    <row r="6" spans="1:10" ht="14.45" customHeight="1" x14ac:dyDescent="0.2">
      <c r="A6" s="712" t="s">
        <v>575</v>
      </c>
      <c r="B6" s="713" t="s">
        <v>3043</v>
      </c>
      <c r="C6" s="714">
        <v>-32.299999999999997</v>
      </c>
      <c r="D6" s="714">
        <v>0</v>
      </c>
      <c r="E6" s="714"/>
      <c r="F6" s="714">
        <v>0</v>
      </c>
      <c r="G6" s="714">
        <v>0</v>
      </c>
      <c r="H6" s="714">
        <v>0</v>
      </c>
      <c r="I6" s="715" t="s">
        <v>329</v>
      </c>
      <c r="J6" s="716" t="s">
        <v>1</v>
      </c>
    </row>
    <row r="7" spans="1:10" ht="14.45" customHeight="1" x14ac:dyDescent="0.2">
      <c r="A7" s="712" t="s">
        <v>575</v>
      </c>
      <c r="B7" s="713" t="s">
        <v>3044</v>
      </c>
      <c r="C7" s="714">
        <v>0</v>
      </c>
      <c r="D7" s="714">
        <v>0</v>
      </c>
      <c r="E7" s="714"/>
      <c r="F7" s="714">
        <v>0</v>
      </c>
      <c r="G7" s="714">
        <v>0</v>
      </c>
      <c r="H7" s="714">
        <v>0</v>
      </c>
      <c r="I7" s="715" t="s">
        <v>329</v>
      </c>
      <c r="J7" s="716" t="s">
        <v>1</v>
      </c>
    </row>
    <row r="8" spans="1:10" ht="14.45" customHeight="1" x14ac:dyDescent="0.2">
      <c r="A8" s="712" t="s">
        <v>575</v>
      </c>
      <c r="B8" s="713" t="s">
        <v>3045</v>
      </c>
      <c r="C8" s="714">
        <v>1133.2501600000001</v>
      </c>
      <c r="D8" s="714">
        <v>1397.3633400000006</v>
      </c>
      <c r="E8" s="714"/>
      <c r="F8" s="714">
        <v>932.58342000000027</v>
      </c>
      <c r="G8" s="714">
        <v>0</v>
      </c>
      <c r="H8" s="714">
        <v>932.58342000000027</v>
      </c>
      <c r="I8" s="715" t="s">
        <v>329</v>
      </c>
      <c r="J8" s="716" t="s">
        <v>1</v>
      </c>
    </row>
    <row r="9" spans="1:10" ht="14.45" customHeight="1" x14ac:dyDescent="0.2">
      <c r="A9" s="712" t="s">
        <v>575</v>
      </c>
      <c r="B9" s="713" t="s">
        <v>3046</v>
      </c>
      <c r="C9" s="714">
        <v>419.01463999999999</v>
      </c>
      <c r="D9" s="714">
        <v>497.90980999999994</v>
      </c>
      <c r="E9" s="714"/>
      <c r="F9" s="714">
        <v>240.64976999999999</v>
      </c>
      <c r="G9" s="714">
        <v>0</v>
      </c>
      <c r="H9" s="714">
        <v>240.64976999999999</v>
      </c>
      <c r="I9" s="715" t="s">
        <v>329</v>
      </c>
      <c r="J9" s="716" t="s">
        <v>1</v>
      </c>
    </row>
    <row r="10" spans="1:10" ht="14.45" customHeight="1" x14ac:dyDescent="0.2">
      <c r="A10" s="712" t="s">
        <v>575</v>
      </c>
      <c r="B10" s="713" t="s">
        <v>3047</v>
      </c>
      <c r="C10" s="714">
        <v>396.49422000000004</v>
      </c>
      <c r="D10" s="714">
        <v>387.49548000000004</v>
      </c>
      <c r="E10" s="714"/>
      <c r="F10" s="714">
        <v>394.45965999999999</v>
      </c>
      <c r="G10" s="714">
        <v>0</v>
      </c>
      <c r="H10" s="714">
        <v>394.45965999999999</v>
      </c>
      <c r="I10" s="715" t="s">
        <v>329</v>
      </c>
      <c r="J10" s="716" t="s">
        <v>1</v>
      </c>
    </row>
    <row r="11" spans="1:10" ht="14.45" customHeight="1" x14ac:dyDescent="0.2">
      <c r="A11" s="712" t="s">
        <v>575</v>
      </c>
      <c r="B11" s="713" t="s">
        <v>3048</v>
      </c>
      <c r="C11" s="714">
        <v>0</v>
      </c>
      <c r="D11" s="714">
        <v>0</v>
      </c>
      <c r="E11" s="714"/>
      <c r="F11" s="714">
        <v>1.65672</v>
      </c>
      <c r="G11" s="714">
        <v>0</v>
      </c>
      <c r="H11" s="714">
        <v>1.65672</v>
      </c>
      <c r="I11" s="715" t="s">
        <v>329</v>
      </c>
      <c r="J11" s="716" t="s">
        <v>1</v>
      </c>
    </row>
    <row r="12" spans="1:10" ht="14.45" customHeight="1" x14ac:dyDescent="0.2">
      <c r="A12" s="712" t="s">
        <v>575</v>
      </c>
      <c r="B12" s="713" t="s">
        <v>3049</v>
      </c>
      <c r="C12" s="714">
        <v>0.40293000000000001</v>
      </c>
      <c r="D12" s="714">
        <v>0.27866000000000002</v>
      </c>
      <c r="E12" s="714"/>
      <c r="F12" s="714">
        <v>0.27441999999999994</v>
      </c>
      <c r="G12" s="714">
        <v>0</v>
      </c>
      <c r="H12" s="714">
        <v>0.27441999999999994</v>
      </c>
      <c r="I12" s="715" t="s">
        <v>329</v>
      </c>
      <c r="J12" s="716" t="s">
        <v>1</v>
      </c>
    </row>
    <row r="13" spans="1:10" ht="14.45" customHeight="1" x14ac:dyDescent="0.2">
      <c r="A13" s="712" t="s">
        <v>575</v>
      </c>
      <c r="B13" s="713" t="s">
        <v>3050</v>
      </c>
      <c r="C13" s="714">
        <v>564.43149000000005</v>
      </c>
      <c r="D13" s="714">
        <v>542.71977000000004</v>
      </c>
      <c r="E13" s="714"/>
      <c r="F13" s="714">
        <v>586.35069999999996</v>
      </c>
      <c r="G13" s="714">
        <v>0</v>
      </c>
      <c r="H13" s="714">
        <v>586.35069999999996</v>
      </c>
      <c r="I13" s="715" t="s">
        <v>329</v>
      </c>
      <c r="J13" s="716" t="s">
        <v>1</v>
      </c>
    </row>
    <row r="14" spans="1:10" ht="14.45" customHeight="1" x14ac:dyDescent="0.2">
      <c r="A14" s="712" t="s">
        <v>575</v>
      </c>
      <c r="B14" s="713" t="s">
        <v>3051</v>
      </c>
      <c r="C14" s="714">
        <v>9931.2586500000016</v>
      </c>
      <c r="D14" s="714">
        <v>11532.394000000002</v>
      </c>
      <c r="E14" s="714"/>
      <c r="F14" s="714">
        <v>9751.9554799999951</v>
      </c>
      <c r="G14" s="714">
        <v>0</v>
      </c>
      <c r="H14" s="714">
        <v>9751.9554799999951</v>
      </c>
      <c r="I14" s="715" t="s">
        <v>329</v>
      </c>
      <c r="J14" s="716" t="s">
        <v>1</v>
      </c>
    </row>
    <row r="15" spans="1:10" ht="14.45" customHeight="1" x14ac:dyDescent="0.2">
      <c r="A15" s="712" t="s">
        <v>575</v>
      </c>
      <c r="B15" s="713" t="s">
        <v>3052</v>
      </c>
      <c r="C15" s="714">
        <v>0.73829999999999996</v>
      </c>
      <c r="D15" s="714">
        <v>2.9525600000000001</v>
      </c>
      <c r="E15" s="714"/>
      <c r="F15" s="714">
        <v>0.73809999999999998</v>
      </c>
      <c r="G15" s="714">
        <v>0</v>
      </c>
      <c r="H15" s="714">
        <v>0.73809999999999998</v>
      </c>
      <c r="I15" s="715" t="s">
        <v>329</v>
      </c>
      <c r="J15" s="716" t="s">
        <v>1</v>
      </c>
    </row>
    <row r="16" spans="1:10" ht="14.45" customHeight="1" x14ac:dyDescent="0.2">
      <c r="A16" s="712" t="s">
        <v>575</v>
      </c>
      <c r="B16" s="713" t="s">
        <v>3053</v>
      </c>
      <c r="C16" s="714">
        <v>779.43362999999977</v>
      </c>
      <c r="D16" s="714">
        <v>830.83946999999966</v>
      </c>
      <c r="E16" s="714"/>
      <c r="F16" s="714">
        <v>738.86691999999994</v>
      </c>
      <c r="G16" s="714">
        <v>0</v>
      </c>
      <c r="H16" s="714">
        <v>738.86691999999994</v>
      </c>
      <c r="I16" s="715" t="s">
        <v>329</v>
      </c>
      <c r="J16" s="716" t="s">
        <v>1</v>
      </c>
    </row>
    <row r="17" spans="1:10" ht="14.45" customHeight="1" x14ac:dyDescent="0.2">
      <c r="A17" s="712" t="s">
        <v>575</v>
      </c>
      <c r="B17" s="713" t="s">
        <v>3054</v>
      </c>
      <c r="C17" s="714">
        <v>1057.7767900000003</v>
      </c>
      <c r="D17" s="714">
        <v>918.67260999999996</v>
      </c>
      <c r="E17" s="714"/>
      <c r="F17" s="714">
        <v>762.81742000000008</v>
      </c>
      <c r="G17" s="714">
        <v>0</v>
      </c>
      <c r="H17" s="714">
        <v>762.81742000000008</v>
      </c>
      <c r="I17" s="715" t="s">
        <v>329</v>
      </c>
      <c r="J17" s="716" t="s">
        <v>1</v>
      </c>
    </row>
    <row r="18" spans="1:10" ht="14.45" customHeight="1" x14ac:dyDescent="0.2">
      <c r="A18" s="712" t="s">
        <v>575</v>
      </c>
      <c r="B18" s="713" t="s">
        <v>3055</v>
      </c>
      <c r="C18" s="714">
        <v>27.254390000000001</v>
      </c>
      <c r="D18" s="714">
        <v>26.395690000000002</v>
      </c>
      <c r="E18" s="714"/>
      <c r="F18" s="714">
        <v>26.4636</v>
      </c>
      <c r="G18" s="714">
        <v>0</v>
      </c>
      <c r="H18" s="714">
        <v>26.4636</v>
      </c>
      <c r="I18" s="715" t="s">
        <v>329</v>
      </c>
      <c r="J18" s="716" t="s">
        <v>1</v>
      </c>
    </row>
    <row r="19" spans="1:10" ht="14.45" customHeight="1" x14ac:dyDescent="0.2">
      <c r="A19" s="712" t="s">
        <v>575</v>
      </c>
      <c r="B19" s="713" t="s">
        <v>3056</v>
      </c>
      <c r="C19" s="714">
        <v>120.75136000000001</v>
      </c>
      <c r="D19" s="714">
        <v>131.81161</v>
      </c>
      <c r="E19" s="714"/>
      <c r="F19" s="714">
        <v>127.85997999999999</v>
      </c>
      <c r="G19" s="714">
        <v>0</v>
      </c>
      <c r="H19" s="714">
        <v>127.85997999999999</v>
      </c>
      <c r="I19" s="715" t="s">
        <v>329</v>
      </c>
      <c r="J19" s="716" t="s">
        <v>1</v>
      </c>
    </row>
    <row r="20" spans="1:10" ht="14.45" customHeight="1" x14ac:dyDescent="0.2">
      <c r="A20" s="712" t="s">
        <v>575</v>
      </c>
      <c r="B20" s="713" t="s">
        <v>3057</v>
      </c>
      <c r="C20" s="714">
        <v>987.40726000000018</v>
      </c>
      <c r="D20" s="714">
        <v>1977.8686999999998</v>
      </c>
      <c r="E20" s="714"/>
      <c r="F20" s="714">
        <v>901.31003999999984</v>
      </c>
      <c r="G20" s="714">
        <v>0</v>
      </c>
      <c r="H20" s="714">
        <v>901.31003999999984</v>
      </c>
      <c r="I20" s="715" t="s">
        <v>329</v>
      </c>
      <c r="J20" s="716" t="s">
        <v>1</v>
      </c>
    </row>
    <row r="21" spans="1:10" ht="14.45" customHeight="1" x14ac:dyDescent="0.2">
      <c r="A21" s="712" t="s">
        <v>575</v>
      </c>
      <c r="B21" s="713" t="s">
        <v>3058</v>
      </c>
      <c r="C21" s="714">
        <v>401.89892000000003</v>
      </c>
      <c r="D21" s="714">
        <v>372.94547000000006</v>
      </c>
      <c r="E21" s="714"/>
      <c r="F21" s="714">
        <v>305.09291000000002</v>
      </c>
      <c r="G21" s="714">
        <v>0</v>
      </c>
      <c r="H21" s="714">
        <v>305.09291000000002</v>
      </c>
      <c r="I21" s="715" t="s">
        <v>329</v>
      </c>
      <c r="J21" s="716" t="s">
        <v>1</v>
      </c>
    </row>
    <row r="22" spans="1:10" ht="14.45" customHeight="1" x14ac:dyDescent="0.2">
      <c r="A22" s="712" t="s">
        <v>575</v>
      </c>
      <c r="B22" s="713" t="s">
        <v>3059</v>
      </c>
      <c r="C22" s="714">
        <v>75.549390000000017</v>
      </c>
      <c r="D22" s="714">
        <v>21.747330000000002</v>
      </c>
      <c r="E22" s="714"/>
      <c r="F22" s="714">
        <v>108.08810000000001</v>
      </c>
      <c r="G22" s="714">
        <v>0</v>
      </c>
      <c r="H22" s="714">
        <v>108.08810000000001</v>
      </c>
      <c r="I22" s="715" t="s">
        <v>329</v>
      </c>
      <c r="J22" s="716" t="s">
        <v>1</v>
      </c>
    </row>
    <row r="23" spans="1:10" ht="14.45" customHeight="1" x14ac:dyDescent="0.2">
      <c r="A23" s="712" t="s">
        <v>575</v>
      </c>
      <c r="B23" s="713" t="s">
        <v>3060</v>
      </c>
      <c r="C23" s="714">
        <v>163.80271999999999</v>
      </c>
      <c r="D23" s="714">
        <v>601.21260000000007</v>
      </c>
      <c r="E23" s="714"/>
      <c r="F23" s="714">
        <v>659.51883999999984</v>
      </c>
      <c r="G23" s="714">
        <v>0</v>
      </c>
      <c r="H23" s="714">
        <v>659.51883999999984</v>
      </c>
      <c r="I23" s="715" t="s">
        <v>329</v>
      </c>
      <c r="J23" s="716" t="s">
        <v>1</v>
      </c>
    </row>
    <row r="24" spans="1:10" ht="14.45" customHeight="1" x14ac:dyDescent="0.2">
      <c r="A24" s="712" t="s">
        <v>575</v>
      </c>
      <c r="B24" s="713" t="s">
        <v>3061</v>
      </c>
      <c r="C24" s="714">
        <v>0</v>
      </c>
      <c r="D24" s="714">
        <v>0</v>
      </c>
      <c r="E24" s="714"/>
      <c r="F24" s="714">
        <v>4.0066699999999997</v>
      </c>
      <c r="G24" s="714">
        <v>0</v>
      </c>
      <c r="H24" s="714">
        <v>4.0066699999999997</v>
      </c>
      <c r="I24" s="715" t="s">
        <v>329</v>
      </c>
      <c r="J24" s="716" t="s">
        <v>1</v>
      </c>
    </row>
    <row r="25" spans="1:10" ht="14.45" customHeight="1" x14ac:dyDescent="0.2">
      <c r="A25" s="712" t="s">
        <v>575</v>
      </c>
      <c r="B25" s="713" t="s">
        <v>587</v>
      </c>
      <c r="C25" s="714">
        <v>16027.164850000001</v>
      </c>
      <c r="D25" s="714">
        <v>19242.607099999997</v>
      </c>
      <c r="E25" s="714"/>
      <c r="F25" s="714">
        <v>15542.692749999997</v>
      </c>
      <c r="G25" s="714">
        <v>0</v>
      </c>
      <c r="H25" s="714">
        <v>15542.692749999997</v>
      </c>
      <c r="I25" s="715" t="s">
        <v>329</v>
      </c>
      <c r="J25" s="716" t="s">
        <v>588</v>
      </c>
    </row>
    <row r="27" spans="1:10" ht="14.45" customHeight="1" x14ac:dyDescent="0.2">
      <c r="A27" s="712" t="s">
        <v>575</v>
      </c>
      <c r="B27" s="713" t="s">
        <v>576</v>
      </c>
      <c r="C27" s="714" t="s">
        <v>329</v>
      </c>
      <c r="D27" s="714" t="s">
        <v>329</v>
      </c>
      <c r="E27" s="714"/>
      <c r="F27" s="714" t="s">
        <v>329</v>
      </c>
      <c r="G27" s="714" t="s">
        <v>329</v>
      </c>
      <c r="H27" s="714" t="s">
        <v>329</v>
      </c>
      <c r="I27" s="715" t="s">
        <v>329</v>
      </c>
      <c r="J27" s="716" t="s">
        <v>73</v>
      </c>
    </row>
    <row r="28" spans="1:10" ht="14.45" customHeight="1" x14ac:dyDescent="0.2">
      <c r="A28" s="712" t="s">
        <v>589</v>
      </c>
      <c r="B28" s="713" t="s">
        <v>590</v>
      </c>
      <c r="C28" s="714" t="s">
        <v>329</v>
      </c>
      <c r="D28" s="714" t="s">
        <v>329</v>
      </c>
      <c r="E28" s="714"/>
      <c r="F28" s="714" t="s">
        <v>329</v>
      </c>
      <c r="G28" s="714" t="s">
        <v>329</v>
      </c>
      <c r="H28" s="714" t="s">
        <v>329</v>
      </c>
      <c r="I28" s="715" t="s">
        <v>329</v>
      </c>
      <c r="J28" s="716" t="s">
        <v>0</v>
      </c>
    </row>
    <row r="29" spans="1:10" ht="14.45" customHeight="1" x14ac:dyDescent="0.2">
      <c r="A29" s="712" t="s">
        <v>589</v>
      </c>
      <c r="B29" s="713" t="s">
        <v>3047</v>
      </c>
      <c r="C29" s="714">
        <v>7.5431100000000004</v>
      </c>
      <c r="D29" s="714">
        <v>6.1196900000000003</v>
      </c>
      <c r="E29" s="714"/>
      <c r="F29" s="714">
        <v>5.9788300000000012</v>
      </c>
      <c r="G29" s="714">
        <v>0</v>
      </c>
      <c r="H29" s="714">
        <v>5.9788300000000012</v>
      </c>
      <c r="I29" s="715" t="s">
        <v>329</v>
      </c>
      <c r="J29" s="716" t="s">
        <v>1</v>
      </c>
    </row>
    <row r="30" spans="1:10" ht="14.45" customHeight="1" x14ac:dyDescent="0.2">
      <c r="A30" s="712" t="s">
        <v>589</v>
      </c>
      <c r="B30" s="713" t="s">
        <v>3048</v>
      </c>
      <c r="C30" s="714">
        <v>0</v>
      </c>
      <c r="D30" s="714">
        <v>0</v>
      </c>
      <c r="E30" s="714"/>
      <c r="F30" s="714">
        <v>1.0620000000000001</v>
      </c>
      <c r="G30" s="714">
        <v>0</v>
      </c>
      <c r="H30" s="714">
        <v>1.0620000000000001</v>
      </c>
      <c r="I30" s="715" t="s">
        <v>329</v>
      </c>
      <c r="J30" s="716" t="s">
        <v>1</v>
      </c>
    </row>
    <row r="31" spans="1:10" ht="14.45" customHeight="1" x14ac:dyDescent="0.2">
      <c r="A31" s="712" t="s">
        <v>589</v>
      </c>
      <c r="B31" s="713" t="s">
        <v>3050</v>
      </c>
      <c r="C31" s="714">
        <v>199.23632000000003</v>
      </c>
      <c r="D31" s="714">
        <v>75.998229999999992</v>
      </c>
      <c r="E31" s="714"/>
      <c r="F31" s="714">
        <v>118.05810999999999</v>
      </c>
      <c r="G31" s="714">
        <v>0</v>
      </c>
      <c r="H31" s="714">
        <v>118.05810999999999</v>
      </c>
      <c r="I31" s="715" t="s">
        <v>329</v>
      </c>
      <c r="J31" s="716" t="s">
        <v>1</v>
      </c>
    </row>
    <row r="32" spans="1:10" ht="14.45" customHeight="1" x14ac:dyDescent="0.2">
      <c r="A32" s="712" t="s">
        <v>589</v>
      </c>
      <c r="B32" s="713" t="s">
        <v>3051</v>
      </c>
      <c r="C32" s="714">
        <v>176.48954999999998</v>
      </c>
      <c r="D32" s="714">
        <v>210.54427999999999</v>
      </c>
      <c r="E32" s="714"/>
      <c r="F32" s="714">
        <v>154.96375</v>
      </c>
      <c r="G32" s="714">
        <v>0</v>
      </c>
      <c r="H32" s="714">
        <v>154.96375</v>
      </c>
      <c r="I32" s="715" t="s">
        <v>329</v>
      </c>
      <c r="J32" s="716" t="s">
        <v>1</v>
      </c>
    </row>
    <row r="33" spans="1:10" ht="14.45" customHeight="1" x14ac:dyDescent="0.2">
      <c r="A33" s="712" t="s">
        <v>589</v>
      </c>
      <c r="B33" s="713" t="s">
        <v>3053</v>
      </c>
      <c r="C33" s="714">
        <v>12.356</v>
      </c>
      <c r="D33" s="714">
        <v>13.323469999999999</v>
      </c>
      <c r="E33" s="714"/>
      <c r="F33" s="714">
        <v>11.47</v>
      </c>
      <c r="G33" s="714">
        <v>0</v>
      </c>
      <c r="H33" s="714">
        <v>11.47</v>
      </c>
      <c r="I33" s="715" t="s">
        <v>329</v>
      </c>
      <c r="J33" s="716" t="s">
        <v>1</v>
      </c>
    </row>
    <row r="34" spans="1:10" ht="14.45" customHeight="1" x14ac:dyDescent="0.2">
      <c r="A34" s="712" t="s">
        <v>589</v>
      </c>
      <c r="B34" s="713" t="s">
        <v>3055</v>
      </c>
      <c r="C34" s="714">
        <v>4.4059999999999997</v>
      </c>
      <c r="D34" s="714">
        <v>4.7977499999999997</v>
      </c>
      <c r="E34" s="714"/>
      <c r="F34" s="714">
        <v>4.1050000000000004</v>
      </c>
      <c r="G34" s="714">
        <v>0</v>
      </c>
      <c r="H34" s="714">
        <v>4.1050000000000004</v>
      </c>
      <c r="I34" s="715" t="s">
        <v>329</v>
      </c>
      <c r="J34" s="716" t="s">
        <v>1</v>
      </c>
    </row>
    <row r="35" spans="1:10" ht="14.45" customHeight="1" x14ac:dyDescent="0.2">
      <c r="A35" s="712" t="s">
        <v>589</v>
      </c>
      <c r="B35" s="713" t="s">
        <v>3056</v>
      </c>
      <c r="C35" s="714">
        <v>27.32</v>
      </c>
      <c r="D35" s="714">
        <v>24.343</v>
      </c>
      <c r="E35" s="714"/>
      <c r="F35" s="714">
        <v>23.603999999999999</v>
      </c>
      <c r="G35" s="714">
        <v>0</v>
      </c>
      <c r="H35" s="714">
        <v>23.603999999999999</v>
      </c>
      <c r="I35" s="715" t="s">
        <v>329</v>
      </c>
      <c r="J35" s="716" t="s">
        <v>1</v>
      </c>
    </row>
    <row r="36" spans="1:10" ht="14.45" customHeight="1" x14ac:dyDescent="0.2">
      <c r="A36" s="712" t="s">
        <v>589</v>
      </c>
      <c r="B36" s="713" t="s">
        <v>3057</v>
      </c>
      <c r="C36" s="714">
        <v>0</v>
      </c>
      <c r="D36" s="714">
        <v>0</v>
      </c>
      <c r="E36" s="714"/>
      <c r="F36" s="714">
        <v>0</v>
      </c>
      <c r="G36" s="714">
        <v>0</v>
      </c>
      <c r="H36" s="714">
        <v>0</v>
      </c>
      <c r="I36" s="715" t="s">
        <v>329</v>
      </c>
      <c r="J36" s="716" t="s">
        <v>1</v>
      </c>
    </row>
    <row r="37" spans="1:10" ht="14.45" customHeight="1" x14ac:dyDescent="0.2">
      <c r="A37" s="712" t="s">
        <v>589</v>
      </c>
      <c r="B37" s="713" t="s">
        <v>3058</v>
      </c>
      <c r="C37" s="714">
        <v>4.1308999999999996</v>
      </c>
      <c r="D37" s="714">
        <v>11.09346</v>
      </c>
      <c r="E37" s="714"/>
      <c r="F37" s="714">
        <v>0</v>
      </c>
      <c r="G37" s="714">
        <v>0</v>
      </c>
      <c r="H37" s="714">
        <v>0</v>
      </c>
      <c r="I37" s="715" t="s">
        <v>329</v>
      </c>
      <c r="J37" s="716" t="s">
        <v>1</v>
      </c>
    </row>
    <row r="38" spans="1:10" ht="14.45" customHeight="1" x14ac:dyDescent="0.2">
      <c r="A38" s="712" t="s">
        <v>589</v>
      </c>
      <c r="B38" s="713" t="s">
        <v>591</v>
      </c>
      <c r="C38" s="714">
        <v>431.48188000000005</v>
      </c>
      <c r="D38" s="714">
        <v>346.21987999999999</v>
      </c>
      <c r="E38" s="714"/>
      <c r="F38" s="714">
        <v>319.24169000000001</v>
      </c>
      <c r="G38" s="714">
        <v>0</v>
      </c>
      <c r="H38" s="714">
        <v>319.24169000000001</v>
      </c>
      <c r="I38" s="715" t="s">
        <v>329</v>
      </c>
      <c r="J38" s="716" t="s">
        <v>592</v>
      </c>
    </row>
    <row r="39" spans="1:10" ht="14.45" customHeight="1" x14ac:dyDescent="0.2">
      <c r="A39" s="712" t="s">
        <v>329</v>
      </c>
      <c r="B39" s="713" t="s">
        <v>329</v>
      </c>
      <c r="C39" s="714" t="s">
        <v>329</v>
      </c>
      <c r="D39" s="714" t="s">
        <v>329</v>
      </c>
      <c r="E39" s="714"/>
      <c r="F39" s="714" t="s">
        <v>329</v>
      </c>
      <c r="G39" s="714" t="s">
        <v>329</v>
      </c>
      <c r="H39" s="714" t="s">
        <v>329</v>
      </c>
      <c r="I39" s="715" t="s">
        <v>329</v>
      </c>
      <c r="J39" s="716" t="s">
        <v>593</v>
      </c>
    </row>
    <row r="40" spans="1:10" ht="14.45" customHeight="1" x14ac:dyDescent="0.2">
      <c r="A40" s="712" t="s">
        <v>3062</v>
      </c>
      <c r="B40" s="713" t="s">
        <v>3063</v>
      </c>
      <c r="C40" s="714" t="s">
        <v>329</v>
      </c>
      <c r="D40" s="714" t="s">
        <v>329</v>
      </c>
      <c r="E40" s="714"/>
      <c r="F40" s="714" t="s">
        <v>329</v>
      </c>
      <c r="G40" s="714" t="s">
        <v>329</v>
      </c>
      <c r="H40" s="714" t="s">
        <v>329</v>
      </c>
      <c r="I40" s="715" t="s">
        <v>329</v>
      </c>
      <c r="J40" s="716" t="s">
        <v>0</v>
      </c>
    </row>
    <row r="41" spans="1:10" ht="14.45" customHeight="1" x14ac:dyDescent="0.2">
      <c r="A41" s="712" t="s">
        <v>3062</v>
      </c>
      <c r="B41" s="713" t="s">
        <v>3051</v>
      </c>
      <c r="C41" s="714">
        <v>200.3997</v>
      </c>
      <c r="D41" s="714">
        <v>200.3997</v>
      </c>
      <c r="E41" s="714"/>
      <c r="F41" s="714">
        <v>577.42327999999998</v>
      </c>
      <c r="G41" s="714">
        <v>0</v>
      </c>
      <c r="H41" s="714">
        <v>577.42327999999998</v>
      </c>
      <c r="I41" s="715" t="s">
        <v>329</v>
      </c>
      <c r="J41" s="716" t="s">
        <v>1</v>
      </c>
    </row>
    <row r="42" spans="1:10" ht="14.45" customHeight="1" x14ac:dyDescent="0.2">
      <c r="A42" s="712" t="s">
        <v>3062</v>
      </c>
      <c r="B42" s="713" t="s">
        <v>3053</v>
      </c>
      <c r="C42" s="714">
        <v>0</v>
      </c>
      <c r="D42" s="714">
        <v>0</v>
      </c>
      <c r="E42" s="714"/>
      <c r="F42" s="714">
        <v>6.61144</v>
      </c>
      <c r="G42" s="714">
        <v>0</v>
      </c>
      <c r="H42" s="714">
        <v>6.61144</v>
      </c>
      <c r="I42" s="715" t="s">
        <v>329</v>
      </c>
      <c r="J42" s="716" t="s">
        <v>1</v>
      </c>
    </row>
    <row r="43" spans="1:10" ht="14.45" customHeight="1" x14ac:dyDescent="0.2">
      <c r="A43" s="712" t="s">
        <v>3062</v>
      </c>
      <c r="B43" s="713" t="s">
        <v>3064</v>
      </c>
      <c r="C43" s="714">
        <v>200.3997</v>
      </c>
      <c r="D43" s="714">
        <v>200.3997</v>
      </c>
      <c r="E43" s="714"/>
      <c r="F43" s="714">
        <v>584.03471999999999</v>
      </c>
      <c r="G43" s="714">
        <v>0</v>
      </c>
      <c r="H43" s="714">
        <v>584.03471999999999</v>
      </c>
      <c r="I43" s="715" t="s">
        <v>329</v>
      </c>
      <c r="J43" s="716" t="s">
        <v>592</v>
      </c>
    </row>
    <row r="44" spans="1:10" ht="14.45" customHeight="1" x14ac:dyDescent="0.2">
      <c r="A44" s="712" t="s">
        <v>329</v>
      </c>
      <c r="B44" s="713" t="s">
        <v>329</v>
      </c>
      <c r="C44" s="714" t="s">
        <v>329</v>
      </c>
      <c r="D44" s="714" t="s">
        <v>329</v>
      </c>
      <c r="E44" s="714"/>
      <c r="F44" s="714" t="s">
        <v>329</v>
      </c>
      <c r="G44" s="714" t="s">
        <v>329</v>
      </c>
      <c r="H44" s="714" t="s">
        <v>329</v>
      </c>
      <c r="I44" s="715" t="s">
        <v>329</v>
      </c>
      <c r="J44" s="716" t="s">
        <v>593</v>
      </c>
    </row>
    <row r="45" spans="1:10" ht="14.45" customHeight="1" x14ac:dyDescent="0.2">
      <c r="A45" s="712" t="s">
        <v>594</v>
      </c>
      <c r="B45" s="713" t="s">
        <v>595</v>
      </c>
      <c r="C45" s="714" t="s">
        <v>329</v>
      </c>
      <c r="D45" s="714" t="s">
        <v>329</v>
      </c>
      <c r="E45" s="714"/>
      <c r="F45" s="714" t="s">
        <v>329</v>
      </c>
      <c r="G45" s="714" t="s">
        <v>329</v>
      </c>
      <c r="H45" s="714" t="s">
        <v>329</v>
      </c>
      <c r="I45" s="715" t="s">
        <v>329</v>
      </c>
      <c r="J45" s="716" t="s">
        <v>0</v>
      </c>
    </row>
    <row r="46" spans="1:10" ht="14.45" customHeight="1" x14ac:dyDescent="0.2">
      <c r="A46" s="712" t="s">
        <v>594</v>
      </c>
      <c r="B46" s="713" t="s">
        <v>3050</v>
      </c>
      <c r="C46" s="714">
        <v>5.9048099999999994</v>
      </c>
      <c r="D46" s="714">
        <v>8.8184100000000001</v>
      </c>
      <c r="E46" s="714"/>
      <c r="F46" s="714">
        <v>6.5461500000000008</v>
      </c>
      <c r="G46" s="714">
        <v>0</v>
      </c>
      <c r="H46" s="714">
        <v>6.5461500000000008</v>
      </c>
      <c r="I46" s="715" t="s">
        <v>329</v>
      </c>
      <c r="J46" s="716" t="s">
        <v>1</v>
      </c>
    </row>
    <row r="47" spans="1:10" ht="14.45" customHeight="1" x14ac:dyDescent="0.2">
      <c r="A47" s="712" t="s">
        <v>594</v>
      </c>
      <c r="B47" s="713" t="s">
        <v>3051</v>
      </c>
      <c r="C47" s="714">
        <v>7.6470300000000009</v>
      </c>
      <c r="D47" s="714">
        <v>6.7495000000000003</v>
      </c>
      <c r="E47" s="714"/>
      <c r="F47" s="714">
        <v>6.2919400000000003</v>
      </c>
      <c r="G47" s="714">
        <v>0</v>
      </c>
      <c r="H47" s="714">
        <v>6.2919400000000003</v>
      </c>
      <c r="I47" s="715" t="s">
        <v>329</v>
      </c>
      <c r="J47" s="716" t="s">
        <v>1</v>
      </c>
    </row>
    <row r="48" spans="1:10" ht="14.45" customHeight="1" x14ac:dyDescent="0.2">
      <c r="A48" s="712" t="s">
        <v>594</v>
      </c>
      <c r="B48" s="713" t="s">
        <v>3055</v>
      </c>
      <c r="C48" s="714">
        <v>0</v>
      </c>
      <c r="D48" s="714">
        <v>0</v>
      </c>
      <c r="E48" s="714"/>
      <c r="F48" s="714">
        <v>0.18</v>
      </c>
      <c r="G48" s="714">
        <v>0</v>
      </c>
      <c r="H48" s="714">
        <v>0.18</v>
      </c>
      <c r="I48" s="715" t="s">
        <v>329</v>
      </c>
      <c r="J48" s="716" t="s">
        <v>1</v>
      </c>
    </row>
    <row r="49" spans="1:10" ht="14.45" customHeight="1" x14ac:dyDescent="0.2">
      <c r="A49" s="712" t="s">
        <v>594</v>
      </c>
      <c r="B49" s="713" t="s">
        <v>3056</v>
      </c>
      <c r="C49" s="714">
        <v>0.378</v>
      </c>
      <c r="D49" s="714">
        <v>0.55110999999999999</v>
      </c>
      <c r="E49" s="714"/>
      <c r="F49" s="714">
        <v>0.66905999999999999</v>
      </c>
      <c r="G49" s="714">
        <v>0</v>
      </c>
      <c r="H49" s="714">
        <v>0.66905999999999999</v>
      </c>
      <c r="I49" s="715" t="s">
        <v>329</v>
      </c>
      <c r="J49" s="716" t="s">
        <v>1</v>
      </c>
    </row>
    <row r="50" spans="1:10" ht="14.45" customHeight="1" x14ac:dyDescent="0.2">
      <c r="A50" s="712" t="s">
        <v>594</v>
      </c>
      <c r="B50" s="713" t="s">
        <v>596</v>
      </c>
      <c r="C50" s="714">
        <v>13.92984</v>
      </c>
      <c r="D50" s="714">
        <v>16.119020000000003</v>
      </c>
      <c r="E50" s="714"/>
      <c r="F50" s="714">
        <v>13.687150000000001</v>
      </c>
      <c r="G50" s="714">
        <v>0</v>
      </c>
      <c r="H50" s="714">
        <v>13.687150000000001</v>
      </c>
      <c r="I50" s="715" t="s">
        <v>329</v>
      </c>
      <c r="J50" s="716" t="s">
        <v>592</v>
      </c>
    </row>
    <row r="51" spans="1:10" ht="14.45" customHeight="1" x14ac:dyDescent="0.2">
      <c r="A51" s="712" t="s">
        <v>329</v>
      </c>
      <c r="B51" s="713" t="s">
        <v>329</v>
      </c>
      <c r="C51" s="714" t="s">
        <v>329</v>
      </c>
      <c r="D51" s="714" t="s">
        <v>329</v>
      </c>
      <c r="E51" s="714"/>
      <c r="F51" s="714" t="s">
        <v>329</v>
      </c>
      <c r="G51" s="714" t="s">
        <v>329</v>
      </c>
      <c r="H51" s="714" t="s">
        <v>329</v>
      </c>
      <c r="I51" s="715" t="s">
        <v>329</v>
      </c>
      <c r="J51" s="716" t="s">
        <v>593</v>
      </c>
    </row>
    <row r="52" spans="1:10" ht="14.45" customHeight="1" x14ac:dyDescent="0.2">
      <c r="A52" s="712" t="s">
        <v>597</v>
      </c>
      <c r="B52" s="713" t="s">
        <v>598</v>
      </c>
      <c r="C52" s="714" t="s">
        <v>329</v>
      </c>
      <c r="D52" s="714" t="s">
        <v>329</v>
      </c>
      <c r="E52" s="714"/>
      <c r="F52" s="714" t="s">
        <v>329</v>
      </c>
      <c r="G52" s="714" t="s">
        <v>329</v>
      </c>
      <c r="H52" s="714" t="s">
        <v>329</v>
      </c>
      <c r="I52" s="715" t="s">
        <v>329</v>
      </c>
      <c r="J52" s="716" t="s">
        <v>0</v>
      </c>
    </row>
    <row r="53" spans="1:10" ht="14.45" customHeight="1" x14ac:dyDescent="0.2">
      <c r="A53" s="712" t="s">
        <v>597</v>
      </c>
      <c r="B53" s="713" t="s">
        <v>3047</v>
      </c>
      <c r="C53" s="714">
        <v>292.28015000000005</v>
      </c>
      <c r="D53" s="714">
        <v>300.97636000000006</v>
      </c>
      <c r="E53" s="714"/>
      <c r="F53" s="714">
        <v>303.52082999999999</v>
      </c>
      <c r="G53" s="714">
        <v>0</v>
      </c>
      <c r="H53" s="714">
        <v>303.52082999999999</v>
      </c>
      <c r="I53" s="715" t="s">
        <v>329</v>
      </c>
      <c r="J53" s="716" t="s">
        <v>1</v>
      </c>
    </row>
    <row r="54" spans="1:10" ht="14.45" customHeight="1" x14ac:dyDescent="0.2">
      <c r="A54" s="712" t="s">
        <v>597</v>
      </c>
      <c r="B54" s="713" t="s">
        <v>3048</v>
      </c>
      <c r="C54" s="714">
        <v>0</v>
      </c>
      <c r="D54" s="714">
        <v>0</v>
      </c>
      <c r="E54" s="714"/>
      <c r="F54" s="714">
        <v>0.59472000000000003</v>
      </c>
      <c r="G54" s="714">
        <v>0</v>
      </c>
      <c r="H54" s="714">
        <v>0.59472000000000003</v>
      </c>
      <c r="I54" s="715" t="s">
        <v>329</v>
      </c>
      <c r="J54" s="716" t="s">
        <v>1</v>
      </c>
    </row>
    <row r="55" spans="1:10" ht="14.45" customHeight="1" x14ac:dyDescent="0.2">
      <c r="A55" s="712" t="s">
        <v>597</v>
      </c>
      <c r="B55" s="713" t="s">
        <v>3049</v>
      </c>
      <c r="C55" s="714">
        <v>0.40293000000000001</v>
      </c>
      <c r="D55" s="714">
        <v>0.16359000000000001</v>
      </c>
      <c r="E55" s="714"/>
      <c r="F55" s="714">
        <v>0.27441999999999994</v>
      </c>
      <c r="G55" s="714">
        <v>0</v>
      </c>
      <c r="H55" s="714">
        <v>0.27441999999999994</v>
      </c>
      <c r="I55" s="715" t="s">
        <v>329</v>
      </c>
      <c r="J55" s="716" t="s">
        <v>1</v>
      </c>
    </row>
    <row r="56" spans="1:10" ht="14.45" customHeight="1" x14ac:dyDescent="0.2">
      <c r="A56" s="712" t="s">
        <v>597</v>
      </c>
      <c r="B56" s="713" t="s">
        <v>3050</v>
      </c>
      <c r="C56" s="714">
        <v>132.99088999999998</v>
      </c>
      <c r="D56" s="714">
        <v>130.54508000000007</v>
      </c>
      <c r="E56" s="714"/>
      <c r="F56" s="714">
        <v>100.26478999999998</v>
      </c>
      <c r="G56" s="714">
        <v>0</v>
      </c>
      <c r="H56" s="714">
        <v>100.26478999999998</v>
      </c>
      <c r="I56" s="715" t="s">
        <v>329</v>
      </c>
      <c r="J56" s="716" t="s">
        <v>1</v>
      </c>
    </row>
    <row r="57" spans="1:10" ht="14.45" customHeight="1" x14ac:dyDescent="0.2">
      <c r="A57" s="712" t="s">
        <v>597</v>
      </c>
      <c r="B57" s="713" t="s">
        <v>3051</v>
      </c>
      <c r="C57" s="714">
        <v>807.91975000000025</v>
      </c>
      <c r="D57" s="714">
        <v>890.10888</v>
      </c>
      <c r="E57" s="714"/>
      <c r="F57" s="714">
        <v>705.58136000000036</v>
      </c>
      <c r="G57" s="714">
        <v>0</v>
      </c>
      <c r="H57" s="714">
        <v>705.58136000000036</v>
      </c>
      <c r="I57" s="715" t="s">
        <v>329</v>
      </c>
      <c r="J57" s="716" t="s">
        <v>1</v>
      </c>
    </row>
    <row r="58" spans="1:10" ht="14.45" customHeight="1" x14ac:dyDescent="0.2">
      <c r="A58" s="712" t="s">
        <v>597</v>
      </c>
      <c r="B58" s="713" t="s">
        <v>3052</v>
      </c>
      <c r="C58" s="714">
        <v>0.73829999999999996</v>
      </c>
      <c r="D58" s="714">
        <v>2.9525600000000001</v>
      </c>
      <c r="E58" s="714"/>
      <c r="F58" s="714">
        <v>0.73809999999999998</v>
      </c>
      <c r="G58" s="714">
        <v>0</v>
      </c>
      <c r="H58" s="714">
        <v>0.73809999999999998</v>
      </c>
      <c r="I58" s="715" t="s">
        <v>329</v>
      </c>
      <c r="J58" s="716" t="s">
        <v>1</v>
      </c>
    </row>
    <row r="59" spans="1:10" ht="14.45" customHeight="1" x14ac:dyDescent="0.2">
      <c r="A59" s="712" t="s">
        <v>597</v>
      </c>
      <c r="B59" s="713" t="s">
        <v>3053</v>
      </c>
      <c r="C59" s="714">
        <v>54.71875</v>
      </c>
      <c r="D59" s="714">
        <v>49.115790000000004</v>
      </c>
      <c r="E59" s="714"/>
      <c r="F59" s="714">
        <v>27.11328</v>
      </c>
      <c r="G59" s="714">
        <v>0</v>
      </c>
      <c r="H59" s="714">
        <v>27.11328</v>
      </c>
      <c r="I59" s="715" t="s">
        <v>329</v>
      </c>
      <c r="J59" s="716" t="s">
        <v>1</v>
      </c>
    </row>
    <row r="60" spans="1:10" ht="14.45" customHeight="1" x14ac:dyDescent="0.2">
      <c r="A60" s="712" t="s">
        <v>597</v>
      </c>
      <c r="B60" s="713" t="s">
        <v>3055</v>
      </c>
      <c r="C60" s="714">
        <v>10.35313</v>
      </c>
      <c r="D60" s="714">
        <v>11.537000000000001</v>
      </c>
      <c r="E60" s="714"/>
      <c r="F60" s="714">
        <v>8.9280000000000008</v>
      </c>
      <c r="G60" s="714">
        <v>0</v>
      </c>
      <c r="H60" s="714">
        <v>8.9280000000000008</v>
      </c>
      <c r="I60" s="715" t="s">
        <v>329</v>
      </c>
      <c r="J60" s="716" t="s">
        <v>1</v>
      </c>
    </row>
    <row r="61" spans="1:10" ht="14.45" customHeight="1" x14ac:dyDescent="0.2">
      <c r="A61" s="712" t="s">
        <v>597</v>
      </c>
      <c r="B61" s="713" t="s">
        <v>3056</v>
      </c>
      <c r="C61" s="714">
        <v>50.418500000000002</v>
      </c>
      <c r="D61" s="714">
        <v>55.853600000000007</v>
      </c>
      <c r="E61" s="714"/>
      <c r="F61" s="714">
        <v>54.929020000000001</v>
      </c>
      <c r="G61" s="714">
        <v>0</v>
      </c>
      <c r="H61" s="714">
        <v>54.929020000000001</v>
      </c>
      <c r="I61" s="715" t="s">
        <v>329</v>
      </c>
      <c r="J61" s="716" t="s">
        <v>1</v>
      </c>
    </row>
    <row r="62" spans="1:10" ht="14.45" customHeight="1" x14ac:dyDescent="0.2">
      <c r="A62" s="712" t="s">
        <v>597</v>
      </c>
      <c r="B62" s="713" t="s">
        <v>3057</v>
      </c>
      <c r="C62" s="714">
        <v>59.810360000000003</v>
      </c>
      <c r="D62" s="714">
        <v>113.72079000000001</v>
      </c>
      <c r="E62" s="714"/>
      <c r="F62" s="714">
        <v>67.424170000000018</v>
      </c>
      <c r="G62" s="714">
        <v>0</v>
      </c>
      <c r="H62" s="714">
        <v>67.424170000000018</v>
      </c>
      <c r="I62" s="715" t="s">
        <v>329</v>
      </c>
      <c r="J62" s="716" t="s">
        <v>1</v>
      </c>
    </row>
    <row r="63" spans="1:10" ht="14.45" customHeight="1" x14ac:dyDescent="0.2">
      <c r="A63" s="712" t="s">
        <v>597</v>
      </c>
      <c r="B63" s="713" t="s">
        <v>3058</v>
      </c>
      <c r="C63" s="714">
        <v>93.388500000000036</v>
      </c>
      <c r="D63" s="714">
        <v>102.13738999999998</v>
      </c>
      <c r="E63" s="714"/>
      <c r="F63" s="714">
        <v>116.91475000000003</v>
      </c>
      <c r="G63" s="714">
        <v>0</v>
      </c>
      <c r="H63" s="714">
        <v>116.91475000000003</v>
      </c>
      <c r="I63" s="715" t="s">
        <v>329</v>
      </c>
      <c r="J63" s="716" t="s">
        <v>1</v>
      </c>
    </row>
    <row r="64" spans="1:10" ht="14.45" customHeight="1" x14ac:dyDescent="0.2">
      <c r="A64" s="712" t="s">
        <v>597</v>
      </c>
      <c r="B64" s="713" t="s">
        <v>599</v>
      </c>
      <c r="C64" s="714">
        <v>1503.0212600000002</v>
      </c>
      <c r="D64" s="714">
        <v>1657.1110400000002</v>
      </c>
      <c r="E64" s="714"/>
      <c r="F64" s="714">
        <v>1386.2834400000006</v>
      </c>
      <c r="G64" s="714">
        <v>0</v>
      </c>
      <c r="H64" s="714">
        <v>1386.2834400000006</v>
      </c>
      <c r="I64" s="715" t="s">
        <v>329</v>
      </c>
      <c r="J64" s="716" t="s">
        <v>592</v>
      </c>
    </row>
    <row r="65" spans="1:10" ht="14.45" customHeight="1" x14ac:dyDescent="0.2">
      <c r="A65" s="712" t="s">
        <v>329</v>
      </c>
      <c r="B65" s="713" t="s">
        <v>329</v>
      </c>
      <c r="C65" s="714" t="s">
        <v>329</v>
      </c>
      <c r="D65" s="714" t="s">
        <v>329</v>
      </c>
      <c r="E65" s="714"/>
      <c r="F65" s="714" t="s">
        <v>329</v>
      </c>
      <c r="G65" s="714" t="s">
        <v>329</v>
      </c>
      <c r="H65" s="714" t="s">
        <v>329</v>
      </c>
      <c r="I65" s="715" t="s">
        <v>329</v>
      </c>
      <c r="J65" s="716" t="s">
        <v>593</v>
      </c>
    </row>
    <row r="66" spans="1:10" ht="14.45" customHeight="1" x14ac:dyDescent="0.2">
      <c r="A66" s="712" t="s">
        <v>600</v>
      </c>
      <c r="B66" s="713" t="s">
        <v>601</v>
      </c>
      <c r="C66" s="714" t="s">
        <v>329</v>
      </c>
      <c r="D66" s="714" t="s">
        <v>329</v>
      </c>
      <c r="E66" s="714"/>
      <c r="F66" s="714" t="s">
        <v>329</v>
      </c>
      <c r="G66" s="714" t="s">
        <v>329</v>
      </c>
      <c r="H66" s="714" t="s">
        <v>329</v>
      </c>
      <c r="I66" s="715" t="s">
        <v>329</v>
      </c>
      <c r="J66" s="716" t="s">
        <v>0</v>
      </c>
    </row>
    <row r="67" spans="1:10" ht="14.45" customHeight="1" x14ac:dyDescent="0.2">
      <c r="A67" s="712" t="s">
        <v>600</v>
      </c>
      <c r="B67" s="713" t="s">
        <v>3043</v>
      </c>
      <c r="C67" s="714">
        <v>-32.299999999999997</v>
      </c>
      <c r="D67" s="714">
        <v>0</v>
      </c>
      <c r="E67" s="714"/>
      <c r="F67" s="714">
        <v>0</v>
      </c>
      <c r="G67" s="714">
        <v>0</v>
      </c>
      <c r="H67" s="714">
        <v>0</v>
      </c>
      <c r="I67" s="715" t="s">
        <v>329</v>
      </c>
      <c r="J67" s="716" t="s">
        <v>1</v>
      </c>
    </row>
    <row r="68" spans="1:10" ht="14.45" customHeight="1" x14ac:dyDescent="0.2">
      <c r="A68" s="712" t="s">
        <v>600</v>
      </c>
      <c r="B68" s="713" t="s">
        <v>3044</v>
      </c>
      <c r="C68" s="714">
        <v>0</v>
      </c>
      <c r="D68" s="714">
        <v>0</v>
      </c>
      <c r="E68" s="714"/>
      <c r="F68" s="714">
        <v>0</v>
      </c>
      <c r="G68" s="714">
        <v>0</v>
      </c>
      <c r="H68" s="714">
        <v>0</v>
      </c>
      <c r="I68" s="715" t="s">
        <v>329</v>
      </c>
      <c r="J68" s="716" t="s">
        <v>1</v>
      </c>
    </row>
    <row r="69" spans="1:10" ht="14.45" customHeight="1" x14ac:dyDescent="0.2">
      <c r="A69" s="712" t="s">
        <v>600</v>
      </c>
      <c r="B69" s="713" t="s">
        <v>3045</v>
      </c>
      <c r="C69" s="714">
        <v>1133.2501600000001</v>
      </c>
      <c r="D69" s="714">
        <v>1397.3633400000006</v>
      </c>
      <c r="E69" s="714"/>
      <c r="F69" s="714">
        <v>932.58342000000027</v>
      </c>
      <c r="G69" s="714">
        <v>0</v>
      </c>
      <c r="H69" s="714">
        <v>932.58342000000027</v>
      </c>
      <c r="I69" s="715" t="s">
        <v>329</v>
      </c>
      <c r="J69" s="716" t="s">
        <v>1</v>
      </c>
    </row>
    <row r="70" spans="1:10" ht="14.45" customHeight="1" x14ac:dyDescent="0.2">
      <c r="A70" s="712" t="s">
        <v>600</v>
      </c>
      <c r="B70" s="713" t="s">
        <v>3046</v>
      </c>
      <c r="C70" s="714">
        <v>419.01463999999999</v>
      </c>
      <c r="D70" s="714">
        <v>497.90980999999994</v>
      </c>
      <c r="E70" s="714"/>
      <c r="F70" s="714">
        <v>240.64976999999999</v>
      </c>
      <c r="G70" s="714">
        <v>0</v>
      </c>
      <c r="H70" s="714">
        <v>240.64976999999999</v>
      </c>
      <c r="I70" s="715" t="s">
        <v>329</v>
      </c>
      <c r="J70" s="716" t="s">
        <v>1</v>
      </c>
    </row>
    <row r="71" spans="1:10" ht="14.45" customHeight="1" x14ac:dyDescent="0.2">
      <c r="A71" s="712" t="s">
        <v>600</v>
      </c>
      <c r="B71" s="713" t="s">
        <v>3047</v>
      </c>
      <c r="C71" s="714">
        <v>96.670959999999994</v>
      </c>
      <c r="D71" s="714">
        <v>80.399430000000009</v>
      </c>
      <c r="E71" s="714"/>
      <c r="F71" s="714">
        <v>84.96</v>
      </c>
      <c r="G71" s="714">
        <v>0</v>
      </c>
      <c r="H71" s="714">
        <v>84.96</v>
      </c>
      <c r="I71" s="715" t="s">
        <v>329</v>
      </c>
      <c r="J71" s="716" t="s">
        <v>1</v>
      </c>
    </row>
    <row r="72" spans="1:10" ht="14.45" customHeight="1" x14ac:dyDescent="0.2">
      <c r="A72" s="712" t="s">
        <v>600</v>
      </c>
      <c r="B72" s="713" t="s">
        <v>3049</v>
      </c>
      <c r="C72" s="714">
        <v>0</v>
      </c>
      <c r="D72" s="714">
        <v>0.11506999999999999</v>
      </c>
      <c r="E72" s="714"/>
      <c r="F72" s="714">
        <v>0</v>
      </c>
      <c r="G72" s="714">
        <v>0</v>
      </c>
      <c r="H72" s="714">
        <v>0</v>
      </c>
      <c r="I72" s="715" t="s">
        <v>329</v>
      </c>
      <c r="J72" s="716" t="s">
        <v>1</v>
      </c>
    </row>
    <row r="73" spans="1:10" ht="14.45" customHeight="1" x14ac:dyDescent="0.2">
      <c r="A73" s="712" t="s">
        <v>600</v>
      </c>
      <c r="B73" s="713" t="s">
        <v>3050</v>
      </c>
      <c r="C73" s="714">
        <v>226.29947000000004</v>
      </c>
      <c r="D73" s="714">
        <v>224.60108000000002</v>
      </c>
      <c r="E73" s="714"/>
      <c r="F73" s="714">
        <v>269.19876000000005</v>
      </c>
      <c r="G73" s="714">
        <v>0</v>
      </c>
      <c r="H73" s="714">
        <v>269.19876000000005</v>
      </c>
      <c r="I73" s="715" t="s">
        <v>329</v>
      </c>
      <c r="J73" s="716" t="s">
        <v>1</v>
      </c>
    </row>
    <row r="74" spans="1:10" ht="14.45" customHeight="1" x14ac:dyDescent="0.2">
      <c r="A74" s="712" t="s">
        <v>600</v>
      </c>
      <c r="B74" s="713" t="s">
        <v>3051</v>
      </c>
      <c r="C74" s="714">
        <v>8738.8026200000022</v>
      </c>
      <c r="D74" s="714">
        <v>10217.831640000002</v>
      </c>
      <c r="E74" s="714"/>
      <c r="F74" s="714">
        <v>8298.0471099999959</v>
      </c>
      <c r="G74" s="714">
        <v>0</v>
      </c>
      <c r="H74" s="714">
        <v>8298.0471099999959</v>
      </c>
      <c r="I74" s="715" t="s">
        <v>329</v>
      </c>
      <c r="J74" s="716" t="s">
        <v>1</v>
      </c>
    </row>
    <row r="75" spans="1:10" ht="14.45" customHeight="1" x14ac:dyDescent="0.2">
      <c r="A75" s="712" t="s">
        <v>600</v>
      </c>
      <c r="B75" s="713" t="s">
        <v>3053</v>
      </c>
      <c r="C75" s="714">
        <v>712.35887999999977</v>
      </c>
      <c r="D75" s="714">
        <v>768.40020999999967</v>
      </c>
      <c r="E75" s="714"/>
      <c r="F75" s="714">
        <v>693.67219999999998</v>
      </c>
      <c r="G75" s="714">
        <v>0</v>
      </c>
      <c r="H75" s="714">
        <v>693.67219999999998</v>
      </c>
      <c r="I75" s="715" t="s">
        <v>329</v>
      </c>
      <c r="J75" s="716" t="s">
        <v>1</v>
      </c>
    </row>
    <row r="76" spans="1:10" ht="14.45" customHeight="1" x14ac:dyDescent="0.2">
      <c r="A76" s="712" t="s">
        <v>600</v>
      </c>
      <c r="B76" s="713" t="s">
        <v>3054</v>
      </c>
      <c r="C76" s="714">
        <v>1057.7767900000003</v>
      </c>
      <c r="D76" s="714">
        <v>918.67260999999996</v>
      </c>
      <c r="E76" s="714"/>
      <c r="F76" s="714">
        <v>762.81742000000008</v>
      </c>
      <c r="G76" s="714">
        <v>0</v>
      </c>
      <c r="H76" s="714">
        <v>762.81742000000008</v>
      </c>
      <c r="I76" s="715" t="s">
        <v>329</v>
      </c>
      <c r="J76" s="716" t="s">
        <v>1</v>
      </c>
    </row>
    <row r="77" spans="1:10" ht="14.45" customHeight="1" x14ac:dyDescent="0.2">
      <c r="A77" s="712" t="s">
        <v>600</v>
      </c>
      <c r="B77" s="713" t="s">
        <v>3055</v>
      </c>
      <c r="C77" s="714">
        <v>12.49526</v>
      </c>
      <c r="D77" s="714">
        <v>10.06094</v>
      </c>
      <c r="E77" s="714"/>
      <c r="F77" s="714">
        <v>13.250599999999999</v>
      </c>
      <c r="G77" s="714">
        <v>0</v>
      </c>
      <c r="H77" s="714">
        <v>13.250599999999999</v>
      </c>
      <c r="I77" s="715" t="s">
        <v>329</v>
      </c>
      <c r="J77" s="716" t="s">
        <v>1</v>
      </c>
    </row>
    <row r="78" spans="1:10" ht="14.45" customHeight="1" x14ac:dyDescent="0.2">
      <c r="A78" s="712" t="s">
        <v>600</v>
      </c>
      <c r="B78" s="713" t="s">
        <v>3056</v>
      </c>
      <c r="C78" s="714">
        <v>42.634860000000003</v>
      </c>
      <c r="D78" s="714">
        <v>45.242400000000004</v>
      </c>
      <c r="E78" s="714"/>
      <c r="F78" s="714">
        <v>48.027900000000002</v>
      </c>
      <c r="G78" s="714">
        <v>0</v>
      </c>
      <c r="H78" s="714">
        <v>48.027900000000002</v>
      </c>
      <c r="I78" s="715" t="s">
        <v>329</v>
      </c>
      <c r="J78" s="716" t="s">
        <v>1</v>
      </c>
    </row>
    <row r="79" spans="1:10" ht="14.45" customHeight="1" x14ac:dyDescent="0.2">
      <c r="A79" s="712" t="s">
        <v>600</v>
      </c>
      <c r="B79" s="713" t="s">
        <v>3057</v>
      </c>
      <c r="C79" s="714">
        <v>927.59690000000012</v>
      </c>
      <c r="D79" s="714">
        <v>1864.1479099999997</v>
      </c>
      <c r="E79" s="714"/>
      <c r="F79" s="714">
        <v>833.88586999999984</v>
      </c>
      <c r="G79" s="714">
        <v>0</v>
      </c>
      <c r="H79" s="714">
        <v>833.88586999999984</v>
      </c>
      <c r="I79" s="715" t="s">
        <v>329</v>
      </c>
      <c r="J79" s="716" t="s">
        <v>1</v>
      </c>
    </row>
    <row r="80" spans="1:10" ht="14.45" customHeight="1" x14ac:dyDescent="0.2">
      <c r="A80" s="712" t="s">
        <v>600</v>
      </c>
      <c r="B80" s="713" t="s">
        <v>3058</v>
      </c>
      <c r="C80" s="714">
        <v>304.37952000000001</v>
      </c>
      <c r="D80" s="714">
        <v>259.71462000000008</v>
      </c>
      <c r="E80" s="714"/>
      <c r="F80" s="714">
        <v>188.17815999999999</v>
      </c>
      <c r="G80" s="714">
        <v>0</v>
      </c>
      <c r="H80" s="714">
        <v>188.17815999999999</v>
      </c>
      <c r="I80" s="715" t="s">
        <v>329</v>
      </c>
      <c r="J80" s="716" t="s">
        <v>1</v>
      </c>
    </row>
    <row r="81" spans="1:10" ht="14.45" customHeight="1" x14ac:dyDescent="0.2">
      <c r="A81" s="712" t="s">
        <v>600</v>
      </c>
      <c r="B81" s="713" t="s">
        <v>3059</v>
      </c>
      <c r="C81" s="714">
        <v>75.549390000000017</v>
      </c>
      <c r="D81" s="714">
        <v>21.747330000000002</v>
      </c>
      <c r="E81" s="714"/>
      <c r="F81" s="714">
        <v>108.08810000000001</v>
      </c>
      <c r="G81" s="714">
        <v>0</v>
      </c>
      <c r="H81" s="714">
        <v>108.08810000000001</v>
      </c>
      <c r="I81" s="715" t="s">
        <v>329</v>
      </c>
      <c r="J81" s="716" t="s">
        <v>1</v>
      </c>
    </row>
    <row r="82" spans="1:10" ht="14.45" customHeight="1" x14ac:dyDescent="0.2">
      <c r="A82" s="712" t="s">
        <v>600</v>
      </c>
      <c r="B82" s="713" t="s">
        <v>3060</v>
      </c>
      <c r="C82" s="714">
        <v>163.80271999999999</v>
      </c>
      <c r="D82" s="714">
        <v>0</v>
      </c>
      <c r="E82" s="714"/>
      <c r="F82" s="714">
        <v>0</v>
      </c>
      <c r="G82" s="714">
        <v>0</v>
      </c>
      <c r="H82" s="714">
        <v>0</v>
      </c>
      <c r="I82" s="715" t="s">
        <v>329</v>
      </c>
      <c r="J82" s="716" t="s">
        <v>1</v>
      </c>
    </row>
    <row r="83" spans="1:10" ht="14.45" customHeight="1" x14ac:dyDescent="0.2">
      <c r="A83" s="712" t="s">
        <v>600</v>
      </c>
      <c r="B83" s="713" t="s">
        <v>3061</v>
      </c>
      <c r="C83" s="714">
        <v>0</v>
      </c>
      <c r="D83" s="714">
        <v>0</v>
      </c>
      <c r="E83" s="714"/>
      <c r="F83" s="714">
        <v>4.0066699999999997</v>
      </c>
      <c r="G83" s="714">
        <v>0</v>
      </c>
      <c r="H83" s="714">
        <v>4.0066699999999997</v>
      </c>
      <c r="I83" s="715" t="s">
        <v>329</v>
      </c>
      <c r="J83" s="716" t="s">
        <v>1</v>
      </c>
    </row>
    <row r="84" spans="1:10" ht="14.45" customHeight="1" x14ac:dyDescent="0.2">
      <c r="A84" s="712" t="s">
        <v>600</v>
      </c>
      <c r="B84" s="713" t="s">
        <v>602</v>
      </c>
      <c r="C84" s="714">
        <v>13878.332170000001</v>
      </c>
      <c r="D84" s="714">
        <v>16306.206390000001</v>
      </c>
      <c r="E84" s="714"/>
      <c r="F84" s="714">
        <v>12477.365979999997</v>
      </c>
      <c r="G84" s="714">
        <v>0</v>
      </c>
      <c r="H84" s="714">
        <v>12477.365979999997</v>
      </c>
      <c r="I84" s="715" t="s">
        <v>329</v>
      </c>
      <c r="J84" s="716" t="s">
        <v>592</v>
      </c>
    </row>
    <row r="85" spans="1:10" ht="14.45" customHeight="1" x14ac:dyDescent="0.2">
      <c r="A85" s="712" t="s">
        <v>329</v>
      </c>
      <c r="B85" s="713" t="s">
        <v>329</v>
      </c>
      <c r="C85" s="714" t="s">
        <v>329</v>
      </c>
      <c r="D85" s="714" t="s">
        <v>329</v>
      </c>
      <c r="E85" s="714"/>
      <c r="F85" s="714" t="s">
        <v>329</v>
      </c>
      <c r="G85" s="714" t="s">
        <v>329</v>
      </c>
      <c r="H85" s="714" t="s">
        <v>329</v>
      </c>
      <c r="I85" s="715" t="s">
        <v>329</v>
      </c>
      <c r="J85" s="716" t="s">
        <v>593</v>
      </c>
    </row>
    <row r="86" spans="1:10" ht="14.45" customHeight="1" x14ac:dyDescent="0.2">
      <c r="A86" s="712" t="s">
        <v>606</v>
      </c>
      <c r="B86" s="713" t="s">
        <v>607</v>
      </c>
      <c r="C86" s="714" t="s">
        <v>329</v>
      </c>
      <c r="D86" s="714" t="s">
        <v>329</v>
      </c>
      <c r="E86" s="714"/>
      <c r="F86" s="714" t="s">
        <v>329</v>
      </c>
      <c r="G86" s="714" t="s">
        <v>329</v>
      </c>
      <c r="H86" s="714" t="s">
        <v>329</v>
      </c>
      <c r="I86" s="715" t="s">
        <v>329</v>
      </c>
      <c r="J86" s="716" t="s">
        <v>0</v>
      </c>
    </row>
    <row r="87" spans="1:10" ht="14.45" customHeight="1" x14ac:dyDescent="0.2">
      <c r="A87" s="712" t="s">
        <v>606</v>
      </c>
      <c r="B87" s="713" t="s">
        <v>3050</v>
      </c>
      <c r="C87" s="714">
        <v>0</v>
      </c>
      <c r="D87" s="714">
        <v>102.75696999999998</v>
      </c>
      <c r="E87" s="714"/>
      <c r="F87" s="714">
        <v>92.282889999999995</v>
      </c>
      <c r="G87" s="714">
        <v>0</v>
      </c>
      <c r="H87" s="714">
        <v>92.282889999999995</v>
      </c>
      <c r="I87" s="715" t="s">
        <v>329</v>
      </c>
      <c r="J87" s="716" t="s">
        <v>1</v>
      </c>
    </row>
    <row r="88" spans="1:10" ht="14.45" customHeight="1" x14ac:dyDescent="0.2">
      <c r="A88" s="712" t="s">
        <v>606</v>
      </c>
      <c r="B88" s="713" t="s">
        <v>3051</v>
      </c>
      <c r="C88" s="714">
        <v>0</v>
      </c>
      <c r="D88" s="714">
        <v>6.76</v>
      </c>
      <c r="E88" s="714"/>
      <c r="F88" s="714">
        <v>9.6480400000000017</v>
      </c>
      <c r="G88" s="714">
        <v>0</v>
      </c>
      <c r="H88" s="714">
        <v>9.6480400000000017</v>
      </c>
      <c r="I88" s="715" t="s">
        <v>329</v>
      </c>
      <c r="J88" s="716" t="s">
        <v>1</v>
      </c>
    </row>
    <row r="89" spans="1:10" ht="14.45" customHeight="1" x14ac:dyDescent="0.2">
      <c r="A89" s="712" t="s">
        <v>606</v>
      </c>
      <c r="B89" s="713" t="s">
        <v>3056</v>
      </c>
      <c r="C89" s="714">
        <v>0</v>
      </c>
      <c r="D89" s="714">
        <v>5.8215000000000003</v>
      </c>
      <c r="E89" s="714"/>
      <c r="F89" s="714">
        <v>0.63</v>
      </c>
      <c r="G89" s="714">
        <v>0</v>
      </c>
      <c r="H89" s="714">
        <v>0.63</v>
      </c>
      <c r="I89" s="715" t="s">
        <v>329</v>
      </c>
      <c r="J89" s="716" t="s">
        <v>1</v>
      </c>
    </row>
    <row r="90" spans="1:10" ht="14.45" customHeight="1" x14ac:dyDescent="0.2">
      <c r="A90" s="712" t="s">
        <v>606</v>
      </c>
      <c r="B90" s="713" t="s">
        <v>3060</v>
      </c>
      <c r="C90" s="714">
        <v>0</v>
      </c>
      <c r="D90" s="714">
        <v>601.21260000000007</v>
      </c>
      <c r="E90" s="714"/>
      <c r="F90" s="714">
        <v>659.51883999999984</v>
      </c>
      <c r="G90" s="714">
        <v>0</v>
      </c>
      <c r="H90" s="714">
        <v>659.51883999999984</v>
      </c>
      <c r="I90" s="715" t="s">
        <v>329</v>
      </c>
      <c r="J90" s="716" t="s">
        <v>1</v>
      </c>
    </row>
    <row r="91" spans="1:10" ht="14.45" customHeight="1" x14ac:dyDescent="0.2">
      <c r="A91" s="712" t="s">
        <v>606</v>
      </c>
      <c r="B91" s="713" t="s">
        <v>608</v>
      </c>
      <c r="C91" s="714">
        <v>0</v>
      </c>
      <c r="D91" s="714">
        <v>716.5510700000001</v>
      </c>
      <c r="E91" s="714"/>
      <c r="F91" s="714">
        <v>762.07976999999983</v>
      </c>
      <c r="G91" s="714">
        <v>0</v>
      </c>
      <c r="H91" s="714">
        <v>762.07976999999983</v>
      </c>
      <c r="I91" s="715" t="s">
        <v>329</v>
      </c>
      <c r="J91" s="716" t="s">
        <v>592</v>
      </c>
    </row>
    <row r="92" spans="1:10" ht="14.45" customHeight="1" x14ac:dyDescent="0.2">
      <c r="A92" s="712" t="s">
        <v>329</v>
      </c>
      <c r="B92" s="713" t="s">
        <v>329</v>
      </c>
      <c r="C92" s="714" t="s">
        <v>329</v>
      </c>
      <c r="D92" s="714" t="s">
        <v>329</v>
      </c>
      <c r="E92" s="714"/>
      <c r="F92" s="714" t="s">
        <v>329</v>
      </c>
      <c r="G92" s="714" t="s">
        <v>329</v>
      </c>
      <c r="H92" s="714" t="s">
        <v>329</v>
      </c>
      <c r="I92" s="715" t="s">
        <v>329</v>
      </c>
      <c r="J92" s="716" t="s">
        <v>593</v>
      </c>
    </row>
    <row r="93" spans="1:10" ht="14.45" customHeight="1" x14ac:dyDescent="0.2">
      <c r="A93" s="712" t="s">
        <v>575</v>
      </c>
      <c r="B93" s="713" t="s">
        <v>587</v>
      </c>
      <c r="C93" s="714">
        <v>16027.164850000003</v>
      </c>
      <c r="D93" s="714">
        <v>19242.607099999994</v>
      </c>
      <c r="E93" s="714"/>
      <c r="F93" s="714">
        <v>15542.692749999997</v>
      </c>
      <c r="G93" s="714">
        <v>0</v>
      </c>
      <c r="H93" s="714">
        <v>15542.692749999997</v>
      </c>
      <c r="I93" s="715" t="s">
        <v>329</v>
      </c>
      <c r="J93" s="716" t="s">
        <v>588</v>
      </c>
    </row>
  </sheetData>
  <mergeCells count="3">
    <mergeCell ref="A1:I1"/>
    <mergeCell ref="F3:I3"/>
    <mergeCell ref="C4:D4"/>
  </mergeCells>
  <conditionalFormatting sqref="F26 F94:F65537">
    <cfRule type="cellIs" dxfId="41" priority="18" stopIfTrue="1" operator="greaterThan">
      <formula>1</formula>
    </cfRule>
  </conditionalFormatting>
  <conditionalFormatting sqref="H5:H25">
    <cfRule type="expression" dxfId="40" priority="14">
      <formula>$H5&gt;0</formula>
    </cfRule>
  </conditionalFormatting>
  <conditionalFormatting sqref="I5:I25">
    <cfRule type="expression" dxfId="39" priority="15">
      <formula>$I5&gt;1</formula>
    </cfRule>
  </conditionalFormatting>
  <conditionalFormatting sqref="B5:B25">
    <cfRule type="expression" dxfId="38" priority="11">
      <formula>OR($J5="NS",$J5="SumaNS",$J5="Účet")</formula>
    </cfRule>
  </conditionalFormatting>
  <conditionalFormatting sqref="F5:I25 B5:D25">
    <cfRule type="expression" dxfId="37" priority="17">
      <formula>AND($J5&lt;&gt;"",$J5&lt;&gt;"mezeraKL")</formula>
    </cfRule>
  </conditionalFormatting>
  <conditionalFormatting sqref="B5:D25 F5:I25">
    <cfRule type="expression" dxfId="36" priority="12">
      <formula>OR($J5="KL",$J5="SumaKL")</formula>
    </cfRule>
    <cfRule type="expression" priority="16" stopIfTrue="1">
      <formula>OR($J5="mezeraNS",$J5="mezeraKL")</formula>
    </cfRule>
  </conditionalFormatting>
  <conditionalFormatting sqref="B5:D25 F5:I25">
    <cfRule type="expression" dxfId="35" priority="13">
      <formula>OR($J5="SumaNS",$J5="NS")</formula>
    </cfRule>
  </conditionalFormatting>
  <conditionalFormatting sqref="A5:A25">
    <cfRule type="expression" dxfId="34" priority="9">
      <formula>AND($J5&lt;&gt;"mezeraKL",$J5&lt;&gt;"")</formula>
    </cfRule>
  </conditionalFormatting>
  <conditionalFormatting sqref="A5:A25">
    <cfRule type="expression" dxfId="33" priority="10">
      <formula>AND($J5&lt;&gt;"",$J5&lt;&gt;"mezeraKL")</formula>
    </cfRule>
  </conditionalFormatting>
  <conditionalFormatting sqref="H27:H93">
    <cfRule type="expression" dxfId="32" priority="6">
      <formula>$H27&gt;0</formula>
    </cfRule>
  </conditionalFormatting>
  <conditionalFormatting sqref="A27:A93">
    <cfRule type="expression" dxfId="31" priority="5">
      <formula>AND($J27&lt;&gt;"mezeraKL",$J27&lt;&gt;"")</formula>
    </cfRule>
  </conditionalFormatting>
  <conditionalFormatting sqref="I27:I93">
    <cfRule type="expression" dxfId="30" priority="7">
      <formula>$I27&gt;1</formula>
    </cfRule>
  </conditionalFormatting>
  <conditionalFormatting sqref="B27:B93">
    <cfRule type="expression" dxfId="29" priority="4">
      <formula>OR($J27="NS",$J27="SumaNS",$J27="Účet")</formula>
    </cfRule>
  </conditionalFormatting>
  <conditionalFormatting sqref="A27:D93 F27:I93">
    <cfRule type="expression" dxfId="28" priority="8">
      <formula>AND($J27&lt;&gt;"",$J27&lt;&gt;"mezeraKL")</formula>
    </cfRule>
  </conditionalFormatting>
  <conditionalFormatting sqref="B27:D93 F27:I93">
    <cfRule type="expression" dxfId="27" priority="1">
      <formula>OR($J27="KL",$J27="SumaKL")</formula>
    </cfRule>
    <cfRule type="expression" priority="3" stopIfTrue="1">
      <formula>OR($J27="mezeraNS",$J27="mezeraKL")</formula>
    </cfRule>
  </conditionalFormatting>
  <conditionalFormatting sqref="B27:D93 F27:I93">
    <cfRule type="expression" dxfId="26" priority="2">
      <formula>OR($J27="SumaNS",$J27="NS")</formula>
    </cfRule>
  </conditionalFormatting>
  <hyperlinks>
    <hyperlink ref="A2" location="Obsah!A1" display="Zpět na Obsah  KL 01  1.-4.měsíc" xr:uid="{382F68AC-DD81-42A7-91DC-DD67560E122B}"/>
  </hyperlinks>
  <pageMargins left="0.25" right="0.25" top="0.75" bottom="0.75" header="0.3" footer="0.3"/>
  <pageSetup paperSize="9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List141">
    <tabColor theme="0" tint="-0.249977111117893"/>
    <pageSetUpPr fitToPage="1"/>
  </sheetPr>
  <dimension ref="A1:K1835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ColWidth="8.85546875" defaultRowHeight="14.45" customHeight="1" outlineLevelCol="1" x14ac:dyDescent="0.2"/>
  <cols>
    <col min="1" max="1" width="6.7109375" style="247" hidden="1" customWidth="1" outlineLevel="1"/>
    <col min="2" max="2" width="28.28515625" style="247" hidden="1" customWidth="1" outlineLevel="1"/>
    <col min="3" max="3" width="5.28515625" style="331" bestFit="1" customWidth="1" collapsed="1"/>
    <col min="4" max="4" width="18.7109375" style="335" customWidth="1"/>
    <col min="5" max="5" width="9" style="331" bestFit="1" customWidth="1"/>
    <col min="6" max="6" width="18.7109375" style="335" customWidth="1"/>
    <col min="7" max="7" width="12.42578125" style="331" hidden="1" customWidth="1" outlineLevel="1"/>
    <col min="8" max="8" width="25.7109375" style="331" customWidth="1" collapsed="1"/>
    <col min="9" max="9" width="7.7109375" style="329" customWidth="1"/>
    <col min="10" max="10" width="10" style="329" customWidth="1"/>
    <col min="11" max="11" width="11.140625" style="329" customWidth="1"/>
    <col min="12" max="16384" width="8.85546875" style="247"/>
  </cols>
  <sheetData>
    <row r="1" spans="1:11" ht="18.600000000000001" customHeight="1" thickBot="1" x14ac:dyDescent="0.35">
      <c r="A1" s="553" t="s">
        <v>5317</v>
      </c>
      <c r="B1" s="517"/>
      <c r="C1" s="517"/>
      <c r="D1" s="517"/>
      <c r="E1" s="517"/>
      <c r="F1" s="517"/>
      <c r="G1" s="517"/>
      <c r="H1" s="517"/>
      <c r="I1" s="517"/>
      <c r="J1" s="517"/>
      <c r="K1" s="517"/>
    </row>
    <row r="2" spans="1:11" ht="14.45" customHeight="1" thickBot="1" x14ac:dyDescent="0.25">
      <c r="A2" s="705" t="s">
        <v>328</v>
      </c>
      <c r="B2" s="66"/>
      <c r="C2" s="333"/>
      <c r="D2" s="333"/>
      <c r="E2" s="333"/>
      <c r="F2" s="333"/>
      <c r="G2" s="333"/>
      <c r="H2" s="333"/>
      <c r="I2" s="334"/>
      <c r="J2" s="334"/>
      <c r="K2" s="334"/>
    </row>
    <row r="3" spans="1:11" ht="14.45" customHeight="1" thickBot="1" x14ac:dyDescent="0.25">
      <c r="A3" s="66"/>
      <c r="B3" s="66"/>
      <c r="C3" s="549"/>
      <c r="D3" s="550"/>
      <c r="E3" s="550"/>
      <c r="F3" s="550"/>
      <c r="G3" s="550"/>
      <c r="H3" s="260" t="s">
        <v>158</v>
      </c>
      <c r="I3" s="203">
        <f>IF(J3&lt;&gt;0,K3/J3,0)</f>
        <v>42.964942764354099</v>
      </c>
      <c r="J3" s="203">
        <f>SUBTOTAL(9,J5:J1048576)</f>
        <v>1308779.75</v>
      </c>
      <c r="K3" s="204">
        <f>SUBTOTAL(9,K5:K1048576)</f>
        <v>56231647.049895667</v>
      </c>
    </row>
    <row r="4" spans="1:11" s="330" customFormat="1" ht="14.45" customHeight="1" thickBot="1" x14ac:dyDescent="0.25">
      <c r="A4" s="838" t="s">
        <v>4</v>
      </c>
      <c r="B4" s="718" t="s">
        <v>5</v>
      </c>
      <c r="C4" s="718" t="s">
        <v>0</v>
      </c>
      <c r="D4" s="718" t="s">
        <v>6</v>
      </c>
      <c r="E4" s="718" t="s">
        <v>7</v>
      </c>
      <c r="F4" s="718" t="s">
        <v>1</v>
      </c>
      <c r="G4" s="718" t="s">
        <v>89</v>
      </c>
      <c r="H4" s="720" t="s">
        <v>11</v>
      </c>
      <c r="I4" s="721" t="s">
        <v>183</v>
      </c>
      <c r="J4" s="721" t="s">
        <v>13</v>
      </c>
      <c r="K4" s="722" t="s">
        <v>200</v>
      </c>
    </row>
    <row r="5" spans="1:11" ht="14.45" customHeight="1" x14ac:dyDescent="0.2">
      <c r="A5" s="807" t="s">
        <v>575</v>
      </c>
      <c r="B5" s="808" t="s">
        <v>576</v>
      </c>
      <c r="C5" s="811" t="s">
        <v>589</v>
      </c>
      <c r="D5" s="839" t="s">
        <v>590</v>
      </c>
      <c r="E5" s="811" t="s">
        <v>3065</v>
      </c>
      <c r="F5" s="839" t="s">
        <v>3066</v>
      </c>
      <c r="G5" s="811" t="s">
        <v>3067</v>
      </c>
      <c r="H5" s="811" t="s">
        <v>3068</v>
      </c>
      <c r="I5" s="225">
        <v>147.17999267578125</v>
      </c>
      <c r="J5" s="225">
        <v>56</v>
      </c>
      <c r="K5" s="831">
        <v>8242.1698303222656</v>
      </c>
    </row>
    <row r="6" spans="1:11" ht="14.45" customHeight="1" x14ac:dyDescent="0.2">
      <c r="A6" s="822" t="s">
        <v>575</v>
      </c>
      <c r="B6" s="823" t="s">
        <v>576</v>
      </c>
      <c r="C6" s="826" t="s">
        <v>589</v>
      </c>
      <c r="D6" s="840" t="s">
        <v>590</v>
      </c>
      <c r="E6" s="826" t="s">
        <v>3065</v>
      </c>
      <c r="F6" s="840" t="s">
        <v>3066</v>
      </c>
      <c r="G6" s="826" t="s">
        <v>3069</v>
      </c>
      <c r="H6" s="826" t="s">
        <v>3070</v>
      </c>
      <c r="I6" s="832">
        <v>147.17999267578125</v>
      </c>
      <c r="J6" s="832">
        <v>56</v>
      </c>
      <c r="K6" s="833">
        <v>8242.1799621582031</v>
      </c>
    </row>
    <row r="7" spans="1:11" ht="14.45" customHeight="1" x14ac:dyDescent="0.2">
      <c r="A7" s="822" t="s">
        <v>575</v>
      </c>
      <c r="B7" s="823" t="s">
        <v>576</v>
      </c>
      <c r="C7" s="826" t="s">
        <v>589</v>
      </c>
      <c r="D7" s="840" t="s">
        <v>590</v>
      </c>
      <c r="E7" s="826" t="s">
        <v>3065</v>
      </c>
      <c r="F7" s="840" t="s">
        <v>3066</v>
      </c>
      <c r="G7" s="826" t="s">
        <v>3071</v>
      </c>
      <c r="H7" s="826" t="s">
        <v>3072</v>
      </c>
      <c r="I7" s="832">
        <v>141.58000183105469</v>
      </c>
      <c r="J7" s="832">
        <v>2</v>
      </c>
      <c r="K7" s="833">
        <v>283.16000366210938</v>
      </c>
    </row>
    <row r="8" spans="1:11" ht="14.45" customHeight="1" x14ac:dyDescent="0.2">
      <c r="A8" s="822" t="s">
        <v>575</v>
      </c>
      <c r="B8" s="823" t="s">
        <v>576</v>
      </c>
      <c r="C8" s="826" t="s">
        <v>589</v>
      </c>
      <c r="D8" s="840" t="s">
        <v>590</v>
      </c>
      <c r="E8" s="826" t="s">
        <v>3065</v>
      </c>
      <c r="F8" s="840" t="s">
        <v>3066</v>
      </c>
      <c r="G8" s="826" t="s">
        <v>3071</v>
      </c>
      <c r="H8" s="826" t="s">
        <v>3073</v>
      </c>
      <c r="I8" s="832">
        <v>161.68624877929688</v>
      </c>
      <c r="J8" s="832">
        <v>16</v>
      </c>
      <c r="K8" s="833">
        <v>2609.969970703125</v>
      </c>
    </row>
    <row r="9" spans="1:11" ht="14.45" customHeight="1" x14ac:dyDescent="0.2">
      <c r="A9" s="822" t="s">
        <v>575</v>
      </c>
      <c r="B9" s="823" t="s">
        <v>576</v>
      </c>
      <c r="C9" s="826" t="s">
        <v>589</v>
      </c>
      <c r="D9" s="840" t="s">
        <v>590</v>
      </c>
      <c r="E9" s="826" t="s">
        <v>3065</v>
      </c>
      <c r="F9" s="840" t="s">
        <v>3066</v>
      </c>
      <c r="G9" s="826" t="s">
        <v>3074</v>
      </c>
      <c r="H9" s="826" t="s">
        <v>3075</v>
      </c>
      <c r="I9" s="832">
        <v>12.747142927987236</v>
      </c>
      <c r="J9" s="832">
        <v>70</v>
      </c>
      <c r="K9" s="833">
        <v>892.29000854492188</v>
      </c>
    </row>
    <row r="10" spans="1:11" ht="14.45" customHeight="1" x14ac:dyDescent="0.2">
      <c r="A10" s="822" t="s">
        <v>575</v>
      </c>
      <c r="B10" s="823" t="s">
        <v>576</v>
      </c>
      <c r="C10" s="826" t="s">
        <v>589</v>
      </c>
      <c r="D10" s="840" t="s">
        <v>590</v>
      </c>
      <c r="E10" s="826" t="s">
        <v>3065</v>
      </c>
      <c r="F10" s="840" t="s">
        <v>3066</v>
      </c>
      <c r="G10" s="826" t="s">
        <v>3074</v>
      </c>
      <c r="H10" s="826" t="s">
        <v>3076</v>
      </c>
      <c r="I10" s="832">
        <v>12.184999942779541</v>
      </c>
      <c r="J10" s="832">
        <v>20</v>
      </c>
      <c r="K10" s="833">
        <v>243.66999816894531</v>
      </c>
    </row>
    <row r="11" spans="1:11" ht="14.45" customHeight="1" x14ac:dyDescent="0.2">
      <c r="A11" s="822" t="s">
        <v>575</v>
      </c>
      <c r="B11" s="823" t="s">
        <v>576</v>
      </c>
      <c r="C11" s="826" t="s">
        <v>589</v>
      </c>
      <c r="D11" s="840" t="s">
        <v>590</v>
      </c>
      <c r="E11" s="826" t="s">
        <v>3077</v>
      </c>
      <c r="F11" s="840" t="s">
        <v>3078</v>
      </c>
      <c r="G11" s="826" t="s">
        <v>3079</v>
      </c>
      <c r="H11" s="826" t="s">
        <v>3080</v>
      </c>
      <c r="I11" s="832">
        <v>21.239999771118164</v>
      </c>
      <c r="J11" s="832">
        <v>50</v>
      </c>
      <c r="K11" s="833">
        <v>1062</v>
      </c>
    </row>
    <row r="12" spans="1:11" ht="14.45" customHeight="1" x14ac:dyDescent="0.2">
      <c r="A12" s="822" t="s">
        <v>575</v>
      </c>
      <c r="B12" s="823" t="s">
        <v>576</v>
      </c>
      <c r="C12" s="826" t="s">
        <v>589</v>
      </c>
      <c r="D12" s="840" t="s">
        <v>590</v>
      </c>
      <c r="E12" s="826" t="s">
        <v>3081</v>
      </c>
      <c r="F12" s="840" t="s">
        <v>3082</v>
      </c>
      <c r="G12" s="826" t="s">
        <v>3083</v>
      </c>
      <c r="H12" s="826" t="s">
        <v>3084</v>
      </c>
      <c r="I12" s="832">
        <v>2390.85009765625</v>
      </c>
      <c r="J12" s="832">
        <v>4</v>
      </c>
      <c r="K12" s="833">
        <v>9563.39990234375</v>
      </c>
    </row>
    <row r="13" spans="1:11" ht="14.45" customHeight="1" x14ac:dyDescent="0.2">
      <c r="A13" s="822" t="s">
        <v>575</v>
      </c>
      <c r="B13" s="823" t="s">
        <v>576</v>
      </c>
      <c r="C13" s="826" t="s">
        <v>589</v>
      </c>
      <c r="D13" s="840" t="s">
        <v>590</v>
      </c>
      <c r="E13" s="826" t="s">
        <v>3081</v>
      </c>
      <c r="F13" s="840" t="s">
        <v>3082</v>
      </c>
      <c r="G13" s="826" t="s">
        <v>3085</v>
      </c>
      <c r="H13" s="826" t="s">
        <v>3086</v>
      </c>
      <c r="I13" s="832">
        <v>1183.4299926757813</v>
      </c>
      <c r="J13" s="832">
        <v>9</v>
      </c>
      <c r="K13" s="833">
        <v>10516.599609375</v>
      </c>
    </row>
    <row r="14" spans="1:11" ht="14.45" customHeight="1" x14ac:dyDescent="0.2">
      <c r="A14" s="822" t="s">
        <v>575</v>
      </c>
      <c r="B14" s="823" t="s">
        <v>576</v>
      </c>
      <c r="C14" s="826" t="s">
        <v>589</v>
      </c>
      <c r="D14" s="840" t="s">
        <v>590</v>
      </c>
      <c r="E14" s="826" t="s">
        <v>3081</v>
      </c>
      <c r="F14" s="840" t="s">
        <v>3082</v>
      </c>
      <c r="G14" s="826" t="s">
        <v>3087</v>
      </c>
      <c r="H14" s="826" t="s">
        <v>3088</v>
      </c>
      <c r="I14" s="832">
        <v>1210</v>
      </c>
      <c r="J14" s="832">
        <v>5</v>
      </c>
      <c r="K14" s="833">
        <v>6050</v>
      </c>
    </row>
    <row r="15" spans="1:11" ht="14.45" customHeight="1" x14ac:dyDescent="0.2">
      <c r="A15" s="822" t="s">
        <v>575</v>
      </c>
      <c r="B15" s="823" t="s">
        <v>576</v>
      </c>
      <c r="C15" s="826" t="s">
        <v>589</v>
      </c>
      <c r="D15" s="840" t="s">
        <v>590</v>
      </c>
      <c r="E15" s="826" t="s">
        <v>3081</v>
      </c>
      <c r="F15" s="840" t="s">
        <v>3082</v>
      </c>
      <c r="G15" s="826" t="s">
        <v>3087</v>
      </c>
      <c r="H15" s="826" t="s">
        <v>3089</v>
      </c>
      <c r="I15" s="832">
        <v>1180</v>
      </c>
      <c r="J15" s="832">
        <v>10</v>
      </c>
      <c r="K15" s="833">
        <v>11800</v>
      </c>
    </row>
    <row r="16" spans="1:11" ht="14.45" customHeight="1" x14ac:dyDescent="0.2">
      <c r="A16" s="822" t="s">
        <v>575</v>
      </c>
      <c r="B16" s="823" t="s">
        <v>576</v>
      </c>
      <c r="C16" s="826" t="s">
        <v>589</v>
      </c>
      <c r="D16" s="840" t="s">
        <v>590</v>
      </c>
      <c r="E16" s="826" t="s">
        <v>3081</v>
      </c>
      <c r="F16" s="840" t="s">
        <v>3082</v>
      </c>
      <c r="G16" s="826" t="s">
        <v>3090</v>
      </c>
      <c r="H16" s="826" t="s">
        <v>3091</v>
      </c>
      <c r="I16" s="832">
        <v>1568</v>
      </c>
      <c r="J16" s="832">
        <v>4</v>
      </c>
      <c r="K16" s="833">
        <v>6272.009765625</v>
      </c>
    </row>
    <row r="17" spans="1:11" ht="14.45" customHeight="1" x14ac:dyDescent="0.2">
      <c r="A17" s="822" t="s">
        <v>575</v>
      </c>
      <c r="B17" s="823" t="s">
        <v>576</v>
      </c>
      <c r="C17" s="826" t="s">
        <v>589</v>
      </c>
      <c r="D17" s="840" t="s">
        <v>590</v>
      </c>
      <c r="E17" s="826" t="s">
        <v>3081</v>
      </c>
      <c r="F17" s="840" t="s">
        <v>3082</v>
      </c>
      <c r="G17" s="826" t="s">
        <v>3092</v>
      </c>
      <c r="H17" s="826" t="s">
        <v>3093</v>
      </c>
      <c r="I17" s="832">
        <v>6.25</v>
      </c>
      <c r="J17" s="832">
        <v>100</v>
      </c>
      <c r="K17" s="833">
        <v>625</v>
      </c>
    </row>
    <row r="18" spans="1:11" ht="14.45" customHeight="1" x14ac:dyDescent="0.2">
      <c r="A18" s="822" t="s">
        <v>575</v>
      </c>
      <c r="B18" s="823" t="s">
        <v>576</v>
      </c>
      <c r="C18" s="826" t="s">
        <v>589</v>
      </c>
      <c r="D18" s="840" t="s">
        <v>590</v>
      </c>
      <c r="E18" s="826" t="s">
        <v>3081</v>
      </c>
      <c r="F18" s="840" t="s">
        <v>3082</v>
      </c>
      <c r="G18" s="826" t="s">
        <v>3092</v>
      </c>
      <c r="H18" s="826" t="s">
        <v>3094</v>
      </c>
      <c r="I18" s="832">
        <v>6.25</v>
      </c>
      <c r="J18" s="832">
        <v>100</v>
      </c>
      <c r="K18" s="833">
        <v>625</v>
      </c>
    </row>
    <row r="19" spans="1:11" ht="14.45" customHeight="1" x14ac:dyDescent="0.2">
      <c r="A19" s="822" t="s">
        <v>575</v>
      </c>
      <c r="B19" s="823" t="s">
        <v>576</v>
      </c>
      <c r="C19" s="826" t="s">
        <v>589</v>
      </c>
      <c r="D19" s="840" t="s">
        <v>590</v>
      </c>
      <c r="E19" s="826" t="s">
        <v>3081</v>
      </c>
      <c r="F19" s="840" t="s">
        <v>3082</v>
      </c>
      <c r="G19" s="826" t="s">
        <v>3095</v>
      </c>
      <c r="H19" s="826" t="s">
        <v>3096</v>
      </c>
      <c r="I19" s="832">
        <v>9.0200004577636719</v>
      </c>
      <c r="J19" s="832">
        <v>10</v>
      </c>
      <c r="K19" s="833">
        <v>90.199996948242188</v>
      </c>
    </row>
    <row r="20" spans="1:11" ht="14.45" customHeight="1" x14ac:dyDescent="0.2">
      <c r="A20" s="822" t="s">
        <v>575</v>
      </c>
      <c r="B20" s="823" t="s">
        <v>576</v>
      </c>
      <c r="C20" s="826" t="s">
        <v>589</v>
      </c>
      <c r="D20" s="840" t="s">
        <v>590</v>
      </c>
      <c r="E20" s="826" t="s">
        <v>3081</v>
      </c>
      <c r="F20" s="840" t="s">
        <v>3082</v>
      </c>
      <c r="G20" s="826" t="s">
        <v>3097</v>
      </c>
      <c r="H20" s="826" t="s">
        <v>3098</v>
      </c>
      <c r="I20" s="832">
        <v>8.5900001525878906</v>
      </c>
      <c r="J20" s="832">
        <v>100</v>
      </c>
      <c r="K20" s="833">
        <v>859</v>
      </c>
    </row>
    <row r="21" spans="1:11" ht="14.45" customHeight="1" x14ac:dyDescent="0.2">
      <c r="A21" s="822" t="s">
        <v>575</v>
      </c>
      <c r="B21" s="823" t="s">
        <v>576</v>
      </c>
      <c r="C21" s="826" t="s">
        <v>589</v>
      </c>
      <c r="D21" s="840" t="s">
        <v>590</v>
      </c>
      <c r="E21" s="826" t="s">
        <v>3081</v>
      </c>
      <c r="F21" s="840" t="s">
        <v>3082</v>
      </c>
      <c r="G21" s="826" t="s">
        <v>3099</v>
      </c>
      <c r="H21" s="826" t="s">
        <v>3100</v>
      </c>
      <c r="I21" s="832">
        <v>0.43000000715255737</v>
      </c>
      <c r="J21" s="832">
        <v>900</v>
      </c>
      <c r="K21" s="833">
        <v>387</v>
      </c>
    </row>
    <row r="22" spans="1:11" ht="14.45" customHeight="1" x14ac:dyDescent="0.2">
      <c r="A22" s="822" t="s">
        <v>575</v>
      </c>
      <c r="B22" s="823" t="s">
        <v>576</v>
      </c>
      <c r="C22" s="826" t="s">
        <v>589</v>
      </c>
      <c r="D22" s="840" t="s">
        <v>590</v>
      </c>
      <c r="E22" s="826" t="s">
        <v>3081</v>
      </c>
      <c r="F22" s="840" t="s">
        <v>3082</v>
      </c>
      <c r="G22" s="826" t="s">
        <v>3099</v>
      </c>
      <c r="H22" s="826" t="s">
        <v>3101</v>
      </c>
      <c r="I22" s="832">
        <v>0.43999999761581421</v>
      </c>
      <c r="J22" s="832">
        <v>800</v>
      </c>
      <c r="K22" s="833">
        <v>352</v>
      </c>
    </row>
    <row r="23" spans="1:11" ht="14.45" customHeight="1" x14ac:dyDescent="0.2">
      <c r="A23" s="822" t="s">
        <v>575</v>
      </c>
      <c r="B23" s="823" t="s">
        <v>576</v>
      </c>
      <c r="C23" s="826" t="s">
        <v>589</v>
      </c>
      <c r="D23" s="840" t="s">
        <v>590</v>
      </c>
      <c r="E23" s="826" t="s">
        <v>3081</v>
      </c>
      <c r="F23" s="840" t="s">
        <v>3082</v>
      </c>
      <c r="G23" s="826" t="s">
        <v>3102</v>
      </c>
      <c r="H23" s="826" t="s">
        <v>3103</v>
      </c>
      <c r="I23" s="832">
        <v>0.89500000079472863</v>
      </c>
      <c r="J23" s="832">
        <v>4600</v>
      </c>
      <c r="K23" s="833">
        <v>4156</v>
      </c>
    </row>
    <row r="24" spans="1:11" ht="14.45" customHeight="1" x14ac:dyDescent="0.2">
      <c r="A24" s="822" t="s">
        <v>575</v>
      </c>
      <c r="B24" s="823" t="s">
        <v>576</v>
      </c>
      <c r="C24" s="826" t="s">
        <v>589</v>
      </c>
      <c r="D24" s="840" t="s">
        <v>590</v>
      </c>
      <c r="E24" s="826" t="s">
        <v>3081</v>
      </c>
      <c r="F24" s="840" t="s">
        <v>3082</v>
      </c>
      <c r="G24" s="826" t="s">
        <v>3102</v>
      </c>
      <c r="H24" s="826" t="s">
        <v>3104</v>
      </c>
      <c r="I24" s="832">
        <v>0.87999999523162842</v>
      </c>
      <c r="J24" s="832">
        <v>1212</v>
      </c>
      <c r="K24" s="833">
        <v>1066.5600004196167</v>
      </c>
    </row>
    <row r="25" spans="1:11" ht="14.45" customHeight="1" x14ac:dyDescent="0.2">
      <c r="A25" s="822" t="s">
        <v>575</v>
      </c>
      <c r="B25" s="823" t="s">
        <v>576</v>
      </c>
      <c r="C25" s="826" t="s">
        <v>589</v>
      </c>
      <c r="D25" s="840" t="s">
        <v>590</v>
      </c>
      <c r="E25" s="826" t="s">
        <v>3081</v>
      </c>
      <c r="F25" s="840" t="s">
        <v>3082</v>
      </c>
      <c r="G25" s="826" t="s">
        <v>3105</v>
      </c>
      <c r="H25" s="826" t="s">
        <v>3106</v>
      </c>
      <c r="I25" s="832">
        <v>1.3499999642372131</v>
      </c>
      <c r="J25" s="832">
        <v>4000</v>
      </c>
      <c r="K25" s="833">
        <v>5280</v>
      </c>
    </row>
    <row r="26" spans="1:11" ht="14.45" customHeight="1" x14ac:dyDescent="0.2">
      <c r="A26" s="822" t="s">
        <v>575</v>
      </c>
      <c r="B26" s="823" t="s">
        <v>576</v>
      </c>
      <c r="C26" s="826" t="s">
        <v>589</v>
      </c>
      <c r="D26" s="840" t="s">
        <v>590</v>
      </c>
      <c r="E26" s="826" t="s">
        <v>3081</v>
      </c>
      <c r="F26" s="840" t="s">
        <v>3082</v>
      </c>
      <c r="G26" s="826" t="s">
        <v>3105</v>
      </c>
      <c r="H26" s="826" t="s">
        <v>3107</v>
      </c>
      <c r="I26" s="832">
        <v>1.2899999618530273</v>
      </c>
      <c r="J26" s="832">
        <v>500</v>
      </c>
      <c r="K26" s="833">
        <v>645</v>
      </c>
    </row>
    <row r="27" spans="1:11" ht="14.45" customHeight="1" x14ac:dyDescent="0.2">
      <c r="A27" s="822" t="s">
        <v>575</v>
      </c>
      <c r="B27" s="823" t="s">
        <v>576</v>
      </c>
      <c r="C27" s="826" t="s">
        <v>589</v>
      </c>
      <c r="D27" s="840" t="s">
        <v>590</v>
      </c>
      <c r="E27" s="826" t="s">
        <v>3081</v>
      </c>
      <c r="F27" s="840" t="s">
        <v>3082</v>
      </c>
      <c r="G27" s="826" t="s">
        <v>3108</v>
      </c>
      <c r="H27" s="826" t="s">
        <v>3109</v>
      </c>
      <c r="I27" s="832">
        <v>0.15000000596046448</v>
      </c>
      <c r="J27" s="832">
        <v>400</v>
      </c>
      <c r="K27" s="833">
        <v>60</v>
      </c>
    </row>
    <row r="28" spans="1:11" ht="14.45" customHeight="1" x14ac:dyDescent="0.2">
      <c r="A28" s="822" t="s">
        <v>575</v>
      </c>
      <c r="B28" s="823" t="s">
        <v>576</v>
      </c>
      <c r="C28" s="826" t="s">
        <v>589</v>
      </c>
      <c r="D28" s="840" t="s">
        <v>590</v>
      </c>
      <c r="E28" s="826" t="s">
        <v>3081</v>
      </c>
      <c r="F28" s="840" t="s">
        <v>3082</v>
      </c>
      <c r="G28" s="826" t="s">
        <v>3110</v>
      </c>
      <c r="H28" s="826" t="s">
        <v>3111</v>
      </c>
      <c r="I28" s="832">
        <v>0.47199999690055849</v>
      </c>
      <c r="J28" s="832">
        <v>3400</v>
      </c>
      <c r="K28" s="833">
        <v>1609.9999732971191</v>
      </c>
    </row>
    <row r="29" spans="1:11" ht="14.45" customHeight="1" x14ac:dyDescent="0.2">
      <c r="A29" s="822" t="s">
        <v>575</v>
      </c>
      <c r="B29" s="823" t="s">
        <v>576</v>
      </c>
      <c r="C29" s="826" t="s">
        <v>589</v>
      </c>
      <c r="D29" s="840" t="s">
        <v>590</v>
      </c>
      <c r="E29" s="826" t="s">
        <v>3081</v>
      </c>
      <c r="F29" s="840" t="s">
        <v>3082</v>
      </c>
      <c r="G29" s="826" t="s">
        <v>3110</v>
      </c>
      <c r="H29" s="826" t="s">
        <v>3112</v>
      </c>
      <c r="I29" s="832">
        <v>0.4699999988079071</v>
      </c>
      <c r="J29" s="832">
        <v>1600</v>
      </c>
      <c r="K29" s="833">
        <v>752</v>
      </c>
    </row>
    <row r="30" spans="1:11" ht="14.45" customHeight="1" x14ac:dyDescent="0.2">
      <c r="A30" s="822" t="s">
        <v>575</v>
      </c>
      <c r="B30" s="823" t="s">
        <v>576</v>
      </c>
      <c r="C30" s="826" t="s">
        <v>589</v>
      </c>
      <c r="D30" s="840" t="s">
        <v>590</v>
      </c>
      <c r="E30" s="826" t="s">
        <v>3081</v>
      </c>
      <c r="F30" s="840" t="s">
        <v>3082</v>
      </c>
      <c r="G30" s="826" t="s">
        <v>3113</v>
      </c>
      <c r="H30" s="826" t="s">
        <v>3114</v>
      </c>
      <c r="I30" s="832">
        <v>1.1733332872390747</v>
      </c>
      <c r="J30" s="832">
        <v>2800</v>
      </c>
      <c r="K30" s="833">
        <v>3288</v>
      </c>
    </row>
    <row r="31" spans="1:11" ht="14.45" customHeight="1" x14ac:dyDescent="0.2">
      <c r="A31" s="822" t="s">
        <v>575</v>
      </c>
      <c r="B31" s="823" t="s">
        <v>576</v>
      </c>
      <c r="C31" s="826" t="s">
        <v>589</v>
      </c>
      <c r="D31" s="840" t="s">
        <v>590</v>
      </c>
      <c r="E31" s="826" t="s">
        <v>3081</v>
      </c>
      <c r="F31" s="840" t="s">
        <v>3082</v>
      </c>
      <c r="G31" s="826" t="s">
        <v>3113</v>
      </c>
      <c r="H31" s="826" t="s">
        <v>3115</v>
      </c>
      <c r="I31" s="832">
        <v>1.1749999523162842</v>
      </c>
      <c r="J31" s="832">
        <v>2600</v>
      </c>
      <c r="K31" s="833">
        <v>3052</v>
      </c>
    </row>
    <row r="32" spans="1:11" ht="14.45" customHeight="1" x14ac:dyDescent="0.2">
      <c r="A32" s="822" t="s">
        <v>575</v>
      </c>
      <c r="B32" s="823" t="s">
        <v>576</v>
      </c>
      <c r="C32" s="826" t="s">
        <v>589</v>
      </c>
      <c r="D32" s="840" t="s">
        <v>590</v>
      </c>
      <c r="E32" s="826" t="s">
        <v>3081</v>
      </c>
      <c r="F32" s="840" t="s">
        <v>3082</v>
      </c>
      <c r="G32" s="826" t="s">
        <v>3116</v>
      </c>
      <c r="H32" s="826" t="s">
        <v>3117</v>
      </c>
      <c r="I32" s="832">
        <v>0.43999999761581421</v>
      </c>
      <c r="J32" s="832">
        <v>400</v>
      </c>
      <c r="K32" s="833">
        <v>176</v>
      </c>
    </row>
    <row r="33" spans="1:11" ht="14.45" customHeight="1" x14ac:dyDescent="0.2">
      <c r="A33" s="822" t="s">
        <v>575</v>
      </c>
      <c r="B33" s="823" t="s">
        <v>576</v>
      </c>
      <c r="C33" s="826" t="s">
        <v>589</v>
      </c>
      <c r="D33" s="840" t="s">
        <v>590</v>
      </c>
      <c r="E33" s="826" t="s">
        <v>3081</v>
      </c>
      <c r="F33" s="840" t="s">
        <v>3082</v>
      </c>
      <c r="G33" s="826" t="s">
        <v>3118</v>
      </c>
      <c r="H33" s="826" t="s">
        <v>3119</v>
      </c>
      <c r="I33" s="832">
        <v>157.91999816894531</v>
      </c>
      <c r="J33" s="832">
        <v>4</v>
      </c>
      <c r="K33" s="833">
        <v>631.67999267578125</v>
      </c>
    </row>
    <row r="34" spans="1:11" ht="14.45" customHeight="1" x14ac:dyDescent="0.2">
      <c r="A34" s="822" t="s">
        <v>575</v>
      </c>
      <c r="B34" s="823" t="s">
        <v>576</v>
      </c>
      <c r="C34" s="826" t="s">
        <v>589</v>
      </c>
      <c r="D34" s="840" t="s">
        <v>590</v>
      </c>
      <c r="E34" s="826" t="s">
        <v>3081</v>
      </c>
      <c r="F34" s="840" t="s">
        <v>3082</v>
      </c>
      <c r="G34" s="826" t="s">
        <v>3120</v>
      </c>
      <c r="H34" s="826" t="s">
        <v>3121</v>
      </c>
      <c r="I34" s="832">
        <v>428.14999389648438</v>
      </c>
      <c r="J34" s="832">
        <v>2</v>
      </c>
      <c r="K34" s="833">
        <v>856.28997802734375</v>
      </c>
    </row>
    <row r="35" spans="1:11" ht="14.45" customHeight="1" x14ac:dyDescent="0.2">
      <c r="A35" s="822" t="s">
        <v>575</v>
      </c>
      <c r="B35" s="823" t="s">
        <v>576</v>
      </c>
      <c r="C35" s="826" t="s">
        <v>589</v>
      </c>
      <c r="D35" s="840" t="s">
        <v>590</v>
      </c>
      <c r="E35" s="826" t="s">
        <v>3081</v>
      </c>
      <c r="F35" s="840" t="s">
        <v>3082</v>
      </c>
      <c r="G35" s="826" t="s">
        <v>3122</v>
      </c>
      <c r="H35" s="826" t="s">
        <v>3123</v>
      </c>
      <c r="I35" s="832">
        <v>6.320000171661377</v>
      </c>
      <c r="J35" s="832">
        <v>600</v>
      </c>
      <c r="K35" s="833">
        <v>3792.5</v>
      </c>
    </row>
    <row r="36" spans="1:11" ht="14.45" customHeight="1" x14ac:dyDescent="0.2">
      <c r="A36" s="822" t="s">
        <v>575</v>
      </c>
      <c r="B36" s="823" t="s">
        <v>576</v>
      </c>
      <c r="C36" s="826" t="s">
        <v>589</v>
      </c>
      <c r="D36" s="840" t="s">
        <v>590</v>
      </c>
      <c r="E36" s="826" t="s">
        <v>3081</v>
      </c>
      <c r="F36" s="840" t="s">
        <v>3082</v>
      </c>
      <c r="G36" s="826" t="s">
        <v>3122</v>
      </c>
      <c r="H36" s="826" t="s">
        <v>3124</v>
      </c>
      <c r="I36" s="832">
        <v>6.3199999332427979</v>
      </c>
      <c r="J36" s="832">
        <v>350</v>
      </c>
      <c r="K36" s="833">
        <v>2214.5</v>
      </c>
    </row>
    <row r="37" spans="1:11" ht="14.45" customHeight="1" x14ac:dyDescent="0.2">
      <c r="A37" s="822" t="s">
        <v>575</v>
      </c>
      <c r="B37" s="823" t="s">
        <v>576</v>
      </c>
      <c r="C37" s="826" t="s">
        <v>589</v>
      </c>
      <c r="D37" s="840" t="s">
        <v>590</v>
      </c>
      <c r="E37" s="826" t="s">
        <v>3081</v>
      </c>
      <c r="F37" s="840" t="s">
        <v>3082</v>
      </c>
      <c r="G37" s="826" t="s">
        <v>3125</v>
      </c>
      <c r="H37" s="826" t="s">
        <v>3126</v>
      </c>
      <c r="I37" s="832">
        <v>109.72000122070313</v>
      </c>
      <c r="J37" s="832">
        <v>10</v>
      </c>
      <c r="K37" s="833">
        <v>1097.219970703125</v>
      </c>
    </row>
    <row r="38" spans="1:11" ht="14.45" customHeight="1" x14ac:dyDescent="0.2">
      <c r="A38" s="822" t="s">
        <v>575</v>
      </c>
      <c r="B38" s="823" t="s">
        <v>576</v>
      </c>
      <c r="C38" s="826" t="s">
        <v>589</v>
      </c>
      <c r="D38" s="840" t="s">
        <v>590</v>
      </c>
      <c r="E38" s="826" t="s">
        <v>3081</v>
      </c>
      <c r="F38" s="840" t="s">
        <v>3082</v>
      </c>
      <c r="G38" s="826" t="s">
        <v>3127</v>
      </c>
      <c r="H38" s="826" t="s">
        <v>3128</v>
      </c>
      <c r="I38" s="832">
        <v>44.630001068115234</v>
      </c>
      <c r="J38" s="832">
        <v>10</v>
      </c>
      <c r="K38" s="833">
        <v>446.26998901367188</v>
      </c>
    </row>
    <row r="39" spans="1:11" ht="14.45" customHeight="1" x14ac:dyDescent="0.2">
      <c r="A39" s="822" t="s">
        <v>575</v>
      </c>
      <c r="B39" s="823" t="s">
        <v>576</v>
      </c>
      <c r="C39" s="826" t="s">
        <v>589</v>
      </c>
      <c r="D39" s="840" t="s">
        <v>590</v>
      </c>
      <c r="E39" s="826" t="s">
        <v>3081</v>
      </c>
      <c r="F39" s="840" t="s">
        <v>3082</v>
      </c>
      <c r="G39" s="826" t="s">
        <v>3129</v>
      </c>
      <c r="H39" s="826" t="s">
        <v>3130</v>
      </c>
      <c r="I39" s="832">
        <v>790.875</v>
      </c>
      <c r="J39" s="832">
        <v>2</v>
      </c>
      <c r="K39" s="833">
        <v>1581.75</v>
      </c>
    </row>
    <row r="40" spans="1:11" ht="14.45" customHeight="1" x14ac:dyDescent="0.2">
      <c r="A40" s="822" t="s">
        <v>575</v>
      </c>
      <c r="B40" s="823" t="s">
        <v>576</v>
      </c>
      <c r="C40" s="826" t="s">
        <v>589</v>
      </c>
      <c r="D40" s="840" t="s">
        <v>590</v>
      </c>
      <c r="E40" s="826" t="s">
        <v>3081</v>
      </c>
      <c r="F40" s="840" t="s">
        <v>3082</v>
      </c>
      <c r="G40" s="826" t="s">
        <v>3131</v>
      </c>
      <c r="H40" s="826" t="s">
        <v>3132</v>
      </c>
      <c r="I40" s="832">
        <v>63</v>
      </c>
      <c r="J40" s="832">
        <v>10</v>
      </c>
      <c r="K40" s="833">
        <v>630</v>
      </c>
    </row>
    <row r="41" spans="1:11" ht="14.45" customHeight="1" x14ac:dyDescent="0.2">
      <c r="A41" s="822" t="s">
        <v>575</v>
      </c>
      <c r="B41" s="823" t="s">
        <v>576</v>
      </c>
      <c r="C41" s="826" t="s">
        <v>589</v>
      </c>
      <c r="D41" s="840" t="s">
        <v>590</v>
      </c>
      <c r="E41" s="826" t="s">
        <v>3081</v>
      </c>
      <c r="F41" s="840" t="s">
        <v>3082</v>
      </c>
      <c r="G41" s="826" t="s">
        <v>3133</v>
      </c>
      <c r="H41" s="826" t="s">
        <v>3134</v>
      </c>
      <c r="I41" s="832">
        <v>272.44000244140625</v>
      </c>
      <c r="J41" s="832">
        <v>6</v>
      </c>
      <c r="K41" s="833">
        <v>1634.6099853515625</v>
      </c>
    </row>
    <row r="42" spans="1:11" ht="14.45" customHeight="1" x14ac:dyDescent="0.2">
      <c r="A42" s="822" t="s">
        <v>575</v>
      </c>
      <c r="B42" s="823" t="s">
        <v>576</v>
      </c>
      <c r="C42" s="826" t="s">
        <v>589</v>
      </c>
      <c r="D42" s="840" t="s">
        <v>590</v>
      </c>
      <c r="E42" s="826" t="s">
        <v>3081</v>
      </c>
      <c r="F42" s="840" t="s">
        <v>3082</v>
      </c>
      <c r="G42" s="826" t="s">
        <v>3135</v>
      </c>
      <c r="H42" s="826" t="s">
        <v>3136</v>
      </c>
      <c r="I42" s="832">
        <v>22.148332913716633</v>
      </c>
      <c r="J42" s="832">
        <v>300</v>
      </c>
      <c r="K42" s="833">
        <v>6644.75</v>
      </c>
    </row>
    <row r="43" spans="1:11" ht="14.45" customHeight="1" x14ac:dyDescent="0.2">
      <c r="A43" s="822" t="s">
        <v>575</v>
      </c>
      <c r="B43" s="823" t="s">
        <v>576</v>
      </c>
      <c r="C43" s="826" t="s">
        <v>589</v>
      </c>
      <c r="D43" s="840" t="s">
        <v>590</v>
      </c>
      <c r="E43" s="826" t="s">
        <v>3081</v>
      </c>
      <c r="F43" s="840" t="s">
        <v>3082</v>
      </c>
      <c r="G43" s="826" t="s">
        <v>3137</v>
      </c>
      <c r="H43" s="826" t="s">
        <v>3138</v>
      </c>
      <c r="I43" s="832">
        <v>30.177500247955322</v>
      </c>
      <c r="J43" s="832">
        <v>200</v>
      </c>
      <c r="K43" s="833">
        <v>6035.75</v>
      </c>
    </row>
    <row r="44" spans="1:11" ht="14.45" customHeight="1" x14ac:dyDescent="0.2">
      <c r="A44" s="822" t="s">
        <v>575</v>
      </c>
      <c r="B44" s="823" t="s">
        <v>576</v>
      </c>
      <c r="C44" s="826" t="s">
        <v>589</v>
      </c>
      <c r="D44" s="840" t="s">
        <v>590</v>
      </c>
      <c r="E44" s="826" t="s">
        <v>3081</v>
      </c>
      <c r="F44" s="840" t="s">
        <v>3082</v>
      </c>
      <c r="G44" s="826" t="s">
        <v>3139</v>
      </c>
      <c r="H44" s="826" t="s">
        <v>3140</v>
      </c>
      <c r="I44" s="832">
        <v>12.730000019073486</v>
      </c>
      <c r="J44" s="832">
        <v>30</v>
      </c>
      <c r="K44" s="833">
        <v>378.82998657226563</v>
      </c>
    </row>
    <row r="45" spans="1:11" ht="14.45" customHeight="1" x14ac:dyDescent="0.2">
      <c r="A45" s="822" t="s">
        <v>575</v>
      </c>
      <c r="B45" s="823" t="s">
        <v>576</v>
      </c>
      <c r="C45" s="826" t="s">
        <v>589</v>
      </c>
      <c r="D45" s="840" t="s">
        <v>590</v>
      </c>
      <c r="E45" s="826" t="s">
        <v>3081</v>
      </c>
      <c r="F45" s="840" t="s">
        <v>3082</v>
      </c>
      <c r="G45" s="826" t="s">
        <v>3141</v>
      </c>
      <c r="H45" s="826" t="s">
        <v>3142</v>
      </c>
      <c r="I45" s="832">
        <v>2.869999885559082</v>
      </c>
      <c r="J45" s="832">
        <v>50</v>
      </c>
      <c r="K45" s="833">
        <v>143.5</v>
      </c>
    </row>
    <row r="46" spans="1:11" ht="14.45" customHeight="1" x14ac:dyDescent="0.2">
      <c r="A46" s="822" t="s">
        <v>575</v>
      </c>
      <c r="B46" s="823" t="s">
        <v>576</v>
      </c>
      <c r="C46" s="826" t="s">
        <v>589</v>
      </c>
      <c r="D46" s="840" t="s">
        <v>590</v>
      </c>
      <c r="E46" s="826" t="s">
        <v>3081</v>
      </c>
      <c r="F46" s="840" t="s">
        <v>3082</v>
      </c>
      <c r="G46" s="826" t="s">
        <v>3143</v>
      </c>
      <c r="H46" s="826" t="s">
        <v>3144</v>
      </c>
      <c r="I46" s="832">
        <v>123.19000244140625</v>
      </c>
      <c r="J46" s="832">
        <v>20</v>
      </c>
      <c r="K46" s="833">
        <v>2463.760009765625</v>
      </c>
    </row>
    <row r="47" spans="1:11" ht="14.45" customHeight="1" x14ac:dyDescent="0.2">
      <c r="A47" s="822" t="s">
        <v>575</v>
      </c>
      <c r="B47" s="823" t="s">
        <v>576</v>
      </c>
      <c r="C47" s="826" t="s">
        <v>589</v>
      </c>
      <c r="D47" s="840" t="s">
        <v>590</v>
      </c>
      <c r="E47" s="826" t="s">
        <v>3081</v>
      </c>
      <c r="F47" s="840" t="s">
        <v>3082</v>
      </c>
      <c r="G47" s="826" t="s">
        <v>3145</v>
      </c>
      <c r="H47" s="826" t="s">
        <v>3146</v>
      </c>
      <c r="I47" s="832">
        <v>933.79998779296875</v>
      </c>
      <c r="J47" s="832">
        <v>2</v>
      </c>
      <c r="K47" s="833">
        <v>1867.5999755859375</v>
      </c>
    </row>
    <row r="48" spans="1:11" ht="14.45" customHeight="1" x14ac:dyDescent="0.2">
      <c r="A48" s="822" t="s">
        <v>575</v>
      </c>
      <c r="B48" s="823" t="s">
        <v>576</v>
      </c>
      <c r="C48" s="826" t="s">
        <v>589</v>
      </c>
      <c r="D48" s="840" t="s">
        <v>590</v>
      </c>
      <c r="E48" s="826" t="s">
        <v>3081</v>
      </c>
      <c r="F48" s="840" t="s">
        <v>3082</v>
      </c>
      <c r="G48" s="826" t="s">
        <v>3147</v>
      </c>
      <c r="H48" s="826" t="s">
        <v>3148</v>
      </c>
      <c r="I48" s="832">
        <v>190.89999389648438</v>
      </c>
      <c r="J48" s="832">
        <v>7</v>
      </c>
      <c r="K48" s="833">
        <v>1336.3000183105469</v>
      </c>
    </row>
    <row r="49" spans="1:11" ht="14.45" customHeight="1" x14ac:dyDescent="0.2">
      <c r="A49" s="822" t="s">
        <v>575</v>
      </c>
      <c r="B49" s="823" t="s">
        <v>576</v>
      </c>
      <c r="C49" s="826" t="s">
        <v>589</v>
      </c>
      <c r="D49" s="840" t="s">
        <v>590</v>
      </c>
      <c r="E49" s="826" t="s">
        <v>3081</v>
      </c>
      <c r="F49" s="840" t="s">
        <v>3082</v>
      </c>
      <c r="G49" s="826" t="s">
        <v>3149</v>
      </c>
      <c r="H49" s="826" t="s">
        <v>3150</v>
      </c>
      <c r="I49" s="832">
        <v>139.17999267578125</v>
      </c>
      <c r="J49" s="832">
        <v>3</v>
      </c>
      <c r="K49" s="833">
        <v>417.54000854492188</v>
      </c>
    </row>
    <row r="50" spans="1:11" ht="14.45" customHeight="1" x14ac:dyDescent="0.2">
      <c r="A50" s="822" t="s">
        <v>575</v>
      </c>
      <c r="B50" s="823" t="s">
        <v>576</v>
      </c>
      <c r="C50" s="826" t="s">
        <v>589</v>
      </c>
      <c r="D50" s="840" t="s">
        <v>590</v>
      </c>
      <c r="E50" s="826" t="s">
        <v>3081</v>
      </c>
      <c r="F50" s="840" t="s">
        <v>3082</v>
      </c>
      <c r="G50" s="826" t="s">
        <v>3151</v>
      </c>
      <c r="H50" s="826" t="s">
        <v>3152</v>
      </c>
      <c r="I50" s="832">
        <v>309.35000610351563</v>
      </c>
      <c r="J50" s="832">
        <v>2</v>
      </c>
      <c r="K50" s="833">
        <v>618.70001220703125</v>
      </c>
    </row>
    <row r="51" spans="1:11" ht="14.45" customHeight="1" x14ac:dyDescent="0.2">
      <c r="A51" s="822" t="s">
        <v>575</v>
      </c>
      <c r="B51" s="823" t="s">
        <v>576</v>
      </c>
      <c r="C51" s="826" t="s">
        <v>589</v>
      </c>
      <c r="D51" s="840" t="s">
        <v>590</v>
      </c>
      <c r="E51" s="826" t="s">
        <v>3081</v>
      </c>
      <c r="F51" s="840" t="s">
        <v>3082</v>
      </c>
      <c r="G51" s="826" t="s">
        <v>3153</v>
      </c>
      <c r="H51" s="826" t="s">
        <v>3154</v>
      </c>
      <c r="I51" s="832">
        <v>128</v>
      </c>
      <c r="J51" s="832">
        <v>25</v>
      </c>
      <c r="K51" s="833">
        <v>3199.8798828125</v>
      </c>
    </row>
    <row r="52" spans="1:11" ht="14.45" customHeight="1" x14ac:dyDescent="0.2">
      <c r="A52" s="822" t="s">
        <v>575</v>
      </c>
      <c r="B52" s="823" t="s">
        <v>576</v>
      </c>
      <c r="C52" s="826" t="s">
        <v>589</v>
      </c>
      <c r="D52" s="840" t="s">
        <v>590</v>
      </c>
      <c r="E52" s="826" t="s">
        <v>3081</v>
      </c>
      <c r="F52" s="840" t="s">
        <v>3082</v>
      </c>
      <c r="G52" s="826" t="s">
        <v>3155</v>
      </c>
      <c r="H52" s="826" t="s">
        <v>3156</v>
      </c>
      <c r="I52" s="832">
        <v>212.32000732421875</v>
      </c>
      <c r="J52" s="832">
        <v>15</v>
      </c>
      <c r="K52" s="833">
        <v>3184.780029296875</v>
      </c>
    </row>
    <row r="53" spans="1:11" ht="14.45" customHeight="1" x14ac:dyDescent="0.2">
      <c r="A53" s="822" t="s">
        <v>575</v>
      </c>
      <c r="B53" s="823" t="s">
        <v>576</v>
      </c>
      <c r="C53" s="826" t="s">
        <v>589</v>
      </c>
      <c r="D53" s="840" t="s">
        <v>590</v>
      </c>
      <c r="E53" s="826" t="s">
        <v>3081</v>
      </c>
      <c r="F53" s="840" t="s">
        <v>3082</v>
      </c>
      <c r="G53" s="826" t="s">
        <v>3157</v>
      </c>
      <c r="H53" s="826" t="s">
        <v>3158</v>
      </c>
      <c r="I53" s="832">
        <v>149.5</v>
      </c>
      <c r="J53" s="832">
        <v>20</v>
      </c>
      <c r="K53" s="833">
        <v>2990</v>
      </c>
    </row>
    <row r="54" spans="1:11" ht="14.45" customHeight="1" x14ac:dyDescent="0.2">
      <c r="A54" s="822" t="s">
        <v>575</v>
      </c>
      <c r="B54" s="823" t="s">
        <v>576</v>
      </c>
      <c r="C54" s="826" t="s">
        <v>589</v>
      </c>
      <c r="D54" s="840" t="s">
        <v>590</v>
      </c>
      <c r="E54" s="826" t="s">
        <v>3081</v>
      </c>
      <c r="F54" s="840" t="s">
        <v>3082</v>
      </c>
      <c r="G54" s="826" t="s">
        <v>3159</v>
      </c>
      <c r="H54" s="826" t="s">
        <v>3160</v>
      </c>
      <c r="I54" s="832">
        <v>656.6400146484375</v>
      </c>
      <c r="J54" s="832">
        <v>4</v>
      </c>
      <c r="K54" s="833">
        <v>2626.56005859375</v>
      </c>
    </row>
    <row r="55" spans="1:11" ht="14.45" customHeight="1" x14ac:dyDescent="0.2">
      <c r="A55" s="822" t="s">
        <v>575</v>
      </c>
      <c r="B55" s="823" t="s">
        <v>576</v>
      </c>
      <c r="C55" s="826" t="s">
        <v>589</v>
      </c>
      <c r="D55" s="840" t="s">
        <v>590</v>
      </c>
      <c r="E55" s="826" t="s">
        <v>3081</v>
      </c>
      <c r="F55" s="840" t="s">
        <v>3082</v>
      </c>
      <c r="G55" s="826" t="s">
        <v>3161</v>
      </c>
      <c r="H55" s="826" t="s">
        <v>3162</v>
      </c>
      <c r="I55" s="832">
        <v>22.940000534057617</v>
      </c>
      <c r="J55" s="832">
        <v>300</v>
      </c>
      <c r="K55" s="833">
        <v>6882</v>
      </c>
    </row>
    <row r="56" spans="1:11" ht="14.45" customHeight="1" x14ac:dyDescent="0.2">
      <c r="A56" s="822" t="s">
        <v>575</v>
      </c>
      <c r="B56" s="823" t="s">
        <v>576</v>
      </c>
      <c r="C56" s="826" t="s">
        <v>589</v>
      </c>
      <c r="D56" s="840" t="s">
        <v>590</v>
      </c>
      <c r="E56" s="826" t="s">
        <v>3081</v>
      </c>
      <c r="F56" s="840" t="s">
        <v>3082</v>
      </c>
      <c r="G56" s="826" t="s">
        <v>3163</v>
      </c>
      <c r="H56" s="826" t="s">
        <v>3164</v>
      </c>
      <c r="I56" s="832">
        <v>227.92666625976563</v>
      </c>
      <c r="J56" s="832">
        <v>75</v>
      </c>
      <c r="K56" s="833">
        <v>17094.4697265625</v>
      </c>
    </row>
    <row r="57" spans="1:11" ht="14.45" customHeight="1" x14ac:dyDescent="0.2">
      <c r="A57" s="822" t="s">
        <v>575</v>
      </c>
      <c r="B57" s="823" t="s">
        <v>576</v>
      </c>
      <c r="C57" s="826" t="s">
        <v>589</v>
      </c>
      <c r="D57" s="840" t="s">
        <v>590</v>
      </c>
      <c r="E57" s="826" t="s">
        <v>3081</v>
      </c>
      <c r="F57" s="840" t="s">
        <v>3082</v>
      </c>
      <c r="G57" s="826" t="s">
        <v>3120</v>
      </c>
      <c r="H57" s="826" t="s">
        <v>3165</v>
      </c>
      <c r="I57" s="832">
        <v>428.14999389648438</v>
      </c>
      <c r="J57" s="832">
        <v>1</v>
      </c>
      <c r="K57" s="833">
        <v>428.14999389648438</v>
      </c>
    </row>
    <row r="58" spans="1:11" ht="14.45" customHeight="1" x14ac:dyDescent="0.2">
      <c r="A58" s="822" t="s">
        <v>575</v>
      </c>
      <c r="B58" s="823" t="s">
        <v>576</v>
      </c>
      <c r="C58" s="826" t="s">
        <v>589</v>
      </c>
      <c r="D58" s="840" t="s">
        <v>590</v>
      </c>
      <c r="E58" s="826" t="s">
        <v>3081</v>
      </c>
      <c r="F58" s="840" t="s">
        <v>3082</v>
      </c>
      <c r="G58" s="826" t="s">
        <v>3122</v>
      </c>
      <c r="H58" s="826" t="s">
        <v>3166</v>
      </c>
      <c r="I58" s="832">
        <v>6.3233334223429365</v>
      </c>
      <c r="J58" s="832">
        <v>500</v>
      </c>
      <c r="K58" s="833">
        <v>3162</v>
      </c>
    </row>
    <row r="59" spans="1:11" ht="14.45" customHeight="1" x14ac:dyDescent="0.2">
      <c r="A59" s="822" t="s">
        <v>575</v>
      </c>
      <c r="B59" s="823" t="s">
        <v>576</v>
      </c>
      <c r="C59" s="826" t="s">
        <v>589</v>
      </c>
      <c r="D59" s="840" t="s">
        <v>590</v>
      </c>
      <c r="E59" s="826" t="s">
        <v>3081</v>
      </c>
      <c r="F59" s="840" t="s">
        <v>3082</v>
      </c>
      <c r="G59" s="826" t="s">
        <v>3129</v>
      </c>
      <c r="H59" s="826" t="s">
        <v>3167</v>
      </c>
      <c r="I59" s="832">
        <v>790.8800048828125</v>
      </c>
      <c r="J59" s="832">
        <v>1</v>
      </c>
      <c r="K59" s="833">
        <v>790.8800048828125</v>
      </c>
    </row>
    <row r="60" spans="1:11" ht="14.45" customHeight="1" x14ac:dyDescent="0.2">
      <c r="A60" s="822" t="s">
        <v>575</v>
      </c>
      <c r="B60" s="823" t="s">
        <v>576</v>
      </c>
      <c r="C60" s="826" t="s">
        <v>589</v>
      </c>
      <c r="D60" s="840" t="s">
        <v>590</v>
      </c>
      <c r="E60" s="826" t="s">
        <v>3081</v>
      </c>
      <c r="F60" s="840" t="s">
        <v>3082</v>
      </c>
      <c r="G60" s="826" t="s">
        <v>3168</v>
      </c>
      <c r="H60" s="826" t="s">
        <v>3169</v>
      </c>
      <c r="I60" s="832">
        <v>642.08001708984375</v>
      </c>
      <c r="J60" s="832">
        <v>1</v>
      </c>
      <c r="K60" s="833">
        <v>642.08001708984375</v>
      </c>
    </row>
    <row r="61" spans="1:11" ht="14.45" customHeight="1" x14ac:dyDescent="0.2">
      <c r="A61" s="822" t="s">
        <v>575</v>
      </c>
      <c r="B61" s="823" t="s">
        <v>576</v>
      </c>
      <c r="C61" s="826" t="s">
        <v>589</v>
      </c>
      <c r="D61" s="840" t="s">
        <v>590</v>
      </c>
      <c r="E61" s="826" t="s">
        <v>3081</v>
      </c>
      <c r="F61" s="840" t="s">
        <v>3082</v>
      </c>
      <c r="G61" s="826" t="s">
        <v>3131</v>
      </c>
      <c r="H61" s="826" t="s">
        <v>3170</v>
      </c>
      <c r="I61" s="832">
        <v>63.590000152587891</v>
      </c>
      <c r="J61" s="832">
        <v>10</v>
      </c>
      <c r="K61" s="833">
        <v>635.9000244140625</v>
      </c>
    </row>
    <row r="62" spans="1:11" ht="14.45" customHeight="1" x14ac:dyDescent="0.2">
      <c r="A62" s="822" t="s">
        <v>575</v>
      </c>
      <c r="B62" s="823" t="s">
        <v>576</v>
      </c>
      <c r="C62" s="826" t="s">
        <v>589</v>
      </c>
      <c r="D62" s="840" t="s">
        <v>590</v>
      </c>
      <c r="E62" s="826" t="s">
        <v>3081</v>
      </c>
      <c r="F62" s="840" t="s">
        <v>3082</v>
      </c>
      <c r="G62" s="826" t="s">
        <v>3171</v>
      </c>
      <c r="H62" s="826" t="s">
        <v>3172</v>
      </c>
      <c r="I62" s="832">
        <v>84.629997253417969</v>
      </c>
      <c r="J62" s="832">
        <v>10</v>
      </c>
      <c r="K62" s="833">
        <v>846.30999755859375</v>
      </c>
    </row>
    <row r="63" spans="1:11" ht="14.45" customHeight="1" x14ac:dyDescent="0.2">
      <c r="A63" s="822" t="s">
        <v>575</v>
      </c>
      <c r="B63" s="823" t="s">
        <v>576</v>
      </c>
      <c r="C63" s="826" t="s">
        <v>589</v>
      </c>
      <c r="D63" s="840" t="s">
        <v>590</v>
      </c>
      <c r="E63" s="826" t="s">
        <v>3081</v>
      </c>
      <c r="F63" s="840" t="s">
        <v>3082</v>
      </c>
      <c r="G63" s="826" t="s">
        <v>3135</v>
      </c>
      <c r="H63" s="826" t="s">
        <v>3173</v>
      </c>
      <c r="I63" s="832">
        <v>22.149999618530273</v>
      </c>
      <c r="J63" s="832">
        <v>200</v>
      </c>
      <c r="K63" s="833">
        <v>4430</v>
      </c>
    </row>
    <row r="64" spans="1:11" ht="14.45" customHeight="1" x14ac:dyDescent="0.2">
      <c r="A64" s="822" t="s">
        <v>575</v>
      </c>
      <c r="B64" s="823" t="s">
        <v>576</v>
      </c>
      <c r="C64" s="826" t="s">
        <v>589</v>
      </c>
      <c r="D64" s="840" t="s">
        <v>590</v>
      </c>
      <c r="E64" s="826" t="s">
        <v>3081</v>
      </c>
      <c r="F64" s="840" t="s">
        <v>3082</v>
      </c>
      <c r="G64" s="826" t="s">
        <v>3137</v>
      </c>
      <c r="H64" s="826" t="s">
        <v>3174</v>
      </c>
      <c r="I64" s="832">
        <v>30.170000076293945</v>
      </c>
      <c r="J64" s="832">
        <v>100</v>
      </c>
      <c r="K64" s="833">
        <v>3017</v>
      </c>
    </row>
    <row r="65" spans="1:11" ht="14.45" customHeight="1" x14ac:dyDescent="0.2">
      <c r="A65" s="822" t="s">
        <v>575</v>
      </c>
      <c r="B65" s="823" t="s">
        <v>576</v>
      </c>
      <c r="C65" s="826" t="s">
        <v>589</v>
      </c>
      <c r="D65" s="840" t="s">
        <v>590</v>
      </c>
      <c r="E65" s="826" t="s">
        <v>3081</v>
      </c>
      <c r="F65" s="840" t="s">
        <v>3082</v>
      </c>
      <c r="G65" s="826" t="s">
        <v>3175</v>
      </c>
      <c r="H65" s="826" t="s">
        <v>3176</v>
      </c>
      <c r="I65" s="832">
        <v>18.75</v>
      </c>
      <c r="J65" s="832">
        <v>40</v>
      </c>
      <c r="K65" s="833">
        <v>750.1199951171875</v>
      </c>
    </row>
    <row r="66" spans="1:11" ht="14.45" customHeight="1" x14ac:dyDescent="0.2">
      <c r="A66" s="822" t="s">
        <v>575</v>
      </c>
      <c r="B66" s="823" t="s">
        <v>576</v>
      </c>
      <c r="C66" s="826" t="s">
        <v>589</v>
      </c>
      <c r="D66" s="840" t="s">
        <v>590</v>
      </c>
      <c r="E66" s="826" t="s">
        <v>3081</v>
      </c>
      <c r="F66" s="840" t="s">
        <v>3082</v>
      </c>
      <c r="G66" s="826" t="s">
        <v>3177</v>
      </c>
      <c r="H66" s="826" t="s">
        <v>3178</v>
      </c>
      <c r="I66" s="832">
        <v>131.10000610351563</v>
      </c>
      <c r="J66" s="832">
        <v>2</v>
      </c>
      <c r="K66" s="833">
        <v>262.20001220703125</v>
      </c>
    </row>
    <row r="67" spans="1:11" ht="14.45" customHeight="1" x14ac:dyDescent="0.2">
      <c r="A67" s="822" t="s">
        <v>575</v>
      </c>
      <c r="B67" s="823" t="s">
        <v>576</v>
      </c>
      <c r="C67" s="826" t="s">
        <v>589</v>
      </c>
      <c r="D67" s="840" t="s">
        <v>590</v>
      </c>
      <c r="E67" s="826" t="s">
        <v>3081</v>
      </c>
      <c r="F67" s="840" t="s">
        <v>3082</v>
      </c>
      <c r="G67" s="826" t="s">
        <v>3149</v>
      </c>
      <c r="H67" s="826" t="s">
        <v>3179</v>
      </c>
      <c r="I67" s="832">
        <v>139.16999816894531</v>
      </c>
      <c r="J67" s="832">
        <v>11</v>
      </c>
      <c r="K67" s="833">
        <v>1530.8699951171875</v>
      </c>
    </row>
    <row r="68" spans="1:11" ht="14.45" customHeight="1" x14ac:dyDescent="0.2">
      <c r="A68" s="822" t="s">
        <v>575</v>
      </c>
      <c r="B68" s="823" t="s">
        <v>576</v>
      </c>
      <c r="C68" s="826" t="s">
        <v>589</v>
      </c>
      <c r="D68" s="840" t="s">
        <v>590</v>
      </c>
      <c r="E68" s="826" t="s">
        <v>3081</v>
      </c>
      <c r="F68" s="840" t="s">
        <v>3082</v>
      </c>
      <c r="G68" s="826" t="s">
        <v>3157</v>
      </c>
      <c r="H68" s="826" t="s">
        <v>3180</v>
      </c>
      <c r="I68" s="832">
        <v>149.5</v>
      </c>
      <c r="J68" s="832">
        <v>20</v>
      </c>
      <c r="K68" s="833">
        <v>2990</v>
      </c>
    </row>
    <row r="69" spans="1:11" ht="14.45" customHeight="1" x14ac:dyDescent="0.2">
      <c r="A69" s="822" t="s">
        <v>575</v>
      </c>
      <c r="B69" s="823" t="s">
        <v>576</v>
      </c>
      <c r="C69" s="826" t="s">
        <v>589</v>
      </c>
      <c r="D69" s="840" t="s">
        <v>590</v>
      </c>
      <c r="E69" s="826" t="s">
        <v>3081</v>
      </c>
      <c r="F69" s="840" t="s">
        <v>3082</v>
      </c>
      <c r="G69" s="826" t="s">
        <v>3181</v>
      </c>
      <c r="H69" s="826" t="s">
        <v>3182</v>
      </c>
      <c r="I69" s="832">
        <v>21.200000762939453</v>
      </c>
      <c r="J69" s="832">
        <v>10</v>
      </c>
      <c r="K69" s="833">
        <v>212.03999328613281</v>
      </c>
    </row>
    <row r="70" spans="1:11" ht="14.45" customHeight="1" x14ac:dyDescent="0.2">
      <c r="A70" s="822" t="s">
        <v>575</v>
      </c>
      <c r="B70" s="823" t="s">
        <v>576</v>
      </c>
      <c r="C70" s="826" t="s">
        <v>589</v>
      </c>
      <c r="D70" s="840" t="s">
        <v>590</v>
      </c>
      <c r="E70" s="826" t="s">
        <v>3081</v>
      </c>
      <c r="F70" s="840" t="s">
        <v>3082</v>
      </c>
      <c r="G70" s="826" t="s">
        <v>3163</v>
      </c>
      <c r="H70" s="826" t="s">
        <v>3183</v>
      </c>
      <c r="I70" s="832">
        <v>227.55000305175781</v>
      </c>
      <c r="J70" s="832">
        <v>25</v>
      </c>
      <c r="K70" s="833">
        <v>5688.75</v>
      </c>
    </row>
    <row r="71" spans="1:11" ht="14.45" customHeight="1" x14ac:dyDescent="0.2">
      <c r="A71" s="822" t="s">
        <v>575</v>
      </c>
      <c r="B71" s="823" t="s">
        <v>576</v>
      </c>
      <c r="C71" s="826" t="s">
        <v>589</v>
      </c>
      <c r="D71" s="840" t="s">
        <v>590</v>
      </c>
      <c r="E71" s="826" t="s">
        <v>3081</v>
      </c>
      <c r="F71" s="840" t="s">
        <v>3082</v>
      </c>
      <c r="G71" s="826" t="s">
        <v>3184</v>
      </c>
      <c r="H71" s="826" t="s">
        <v>3185</v>
      </c>
      <c r="I71" s="832">
        <v>1.3799999952316284</v>
      </c>
      <c r="J71" s="832">
        <v>650</v>
      </c>
      <c r="K71" s="833">
        <v>897</v>
      </c>
    </row>
    <row r="72" spans="1:11" ht="14.45" customHeight="1" x14ac:dyDescent="0.2">
      <c r="A72" s="822" t="s">
        <v>575</v>
      </c>
      <c r="B72" s="823" t="s">
        <v>576</v>
      </c>
      <c r="C72" s="826" t="s">
        <v>589</v>
      </c>
      <c r="D72" s="840" t="s">
        <v>590</v>
      </c>
      <c r="E72" s="826" t="s">
        <v>3081</v>
      </c>
      <c r="F72" s="840" t="s">
        <v>3082</v>
      </c>
      <c r="G72" s="826" t="s">
        <v>3186</v>
      </c>
      <c r="H72" s="826" t="s">
        <v>3187</v>
      </c>
      <c r="I72" s="832">
        <v>0.86000001430511475</v>
      </c>
      <c r="J72" s="832">
        <v>1200</v>
      </c>
      <c r="K72" s="833">
        <v>1032</v>
      </c>
    </row>
    <row r="73" spans="1:11" ht="14.45" customHeight="1" x14ac:dyDescent="0.2">
      <c r="A73" s="822" t="s">
        <v>575</v>
      </c>
      <c r="B73" s="823" t="s">
        <v>576</v>
      </c>
      <c r="C73" s="826" t="s">
        <v>589</v>
      </c>
      <c r="D73" s="840" t="s">
        <v>590</v>
      </c>
      <c r="E73" s="826" t="s">
        <v>3081</v>
      </c>
      <c r="F73" s="840" t="s">
        <v>3082</v>
      </c>
      <c r="G73" s="826" t="s">
        <v>3188</v>
      </c>
      <c r="H73" s="826" t="s">
        <v>3189</v>
      </c>
      <c r="I73" s="832">
        <v>1.5199999809265137</v>
      </c>
      <c r="J73" s="832">
        <v>2100</v>
      </c>
      <c r="K73" s="833">
        <v>3192</v>
      </c>
    </row>
    <row r="74" spans="1:11" ht="14.45" customHeight="1" x14ac:dyDescent="0.2">
      <c r="A74" s="822" t="s">
        <v>575</v>
      </c>
      <c r="B74" s="823" t="s">
        <v>576</v>
      </c>
      <c r="C74" s="826" t="s">
        <v>589</v>
      </c>
      <c r="D74" s="840" t="s">
        <v>590</v>
      </c>
      <c r="E74" s="826" t="s">
        <v>3081</v>
      </c>
      <c r="F74" s="840" t="s">
        <v>3082</v>
      </c>
      <c r="G74" s="826" t="s">
        <v>3190</v>
      </c>
      <c r="H74" s="826" t="s">
        <v>3191</v>
      </c>
      <c r="I74" s="832">
        <v>2.059999942779541</v>
      </c>
      <c r="J74" s="832">
        <v>1600</v>
      </c>
      <c r="K74" s="833">
        <v>3296</v>
      </c>
    </row>
    <row r="75" spans="1:11" ht="14.45" customHeight="1" x14ac:dyDescent="0.2">
      <c r="A75" s="822" t="s">
        <v>575</v>
      </c>
      <c r="B75" s="823" t="s">
        <v>576</v>
      </c>
      <c r="C75" s="826" t="s">
        <v>589</v>
      </c>
      <c r="D75" s="840" t="s">
        <v>590</v>
      </c>
      <c r="E75" s="826" t="s">
        <v>3081</v>
      </c>
      <c r="F75" s="840" t="s">
        <v>3082</v>
      </c>
      <c r="G75" s="826" t="s">
        <v>3192</v>
      </c>
      <c r="H75" s="826" t="s">
        <v>3193</v>
      </c>
      <c r="I75" s="832">
        <v>3.3599998950958252</v>
      </c>
      <c r="J75" s="832">
        <v>1200</v>
      </c>
      <c r="K75" s="833">
        <v>4032</v>
      </c>
    </row>
    <row r="76" spans="1:11" ht="14.45" customHeight="1" x14ac:dyDescent="0.2">
      <c r="A76" s="822" t="s">
        <v>575</v>
      </c>
      <c r="B76" s="823" t="s">
        <v>576</v>
      </c>
      <c r="C76" s="826" t="s">
        <v>589</v>
      </c>
      <c r="D76" s="840" t="s">
        <v>590</v>
      </c>
      <c r="E76" s="826" t="s">
        <v>3081</v>
      </c>
      <c r="F76" s="840" t="s">
        <v>3082</v>
      </c>
      <c r="G76" s="826" t="s">
        <v>3194</v>
      </c>
      <c r="H76" s="826" t="s">
        <v>3195</v>
      </c>
      <c r="I76" s="832">
        <v>5.8757143020629883</v>
      </c>
      <c r="J76" s="832">
        <v>1800</v>
      </c>
      <c r="K76" s="833">
        <v>10572.369995117188</v>
      </c>
    </row>
    <row r="77" spans="1:11" ht="14.45" customHeight="1" x14ac:dyDescent="0.2">
      <c r="A77" s="822" t="s">
        <v>575</v>
      </c>
      <c r="B77" s="823" t="s">
        <v>576</v>
      </c>
      <c r="C77" s="826" t="s">
        <v>589</v>
      </c>
      <c r="D77" s="840" t="s">
        <v>590</v>
      </c>
      <c r="E77" s="826" t="s">
        <v>3081</v>
      </c>
      <c r="F77" s="840" t="s">
        <v>3082</v>
      </c>
      <c r="G77" s="826" t="s">
        <v>3196</v>
      </c>
      <c r="H77" s="826" t="s">
        <v>3197</v>
      </c>
      <c r="I77" s="832">
        <v>8.119999885559082</v>
      </c>
      <c r="J77" s="832">
        <v>10</v>
      </c>
      <c r="K77" s="833">
        <v>81.199996948242188</v>
      </c>
    </row>
    <row r="78" spans="1:11" ht="14.45" customHeight="1" x14ac:dyDescent="0.2">
      <c r="A78" s="822" t="s">
        <v>575</v>
      </c>
      <c r="B78" s="823" t="s">
        <v>576</v>
      </c>
      <c r="C78" s="826" t="s">
        <v>589</v>
      </c>
      <c r="D78" s="840" t="s">
        <v>590</v>
      </c>
      <c r="E78" s="826" t="s">
        <v>3081</v>
      </c>
      <c r="F78" s="840" t="s">
        <v>3082</v>
      </c>
      <c r="G78" s="826" t="s">
        <v>3198</v>
      </c>
      <c r="H78" s="826" t="s">
        <v>3199</v>
      </c>
      <c r="I78" s="832">
        <v>46</v>
      </c>
      <c r="J78" s="832">
        <v>2</v>
      </c>
      <c r="K78" s="833">
        <v>92</v>
      </c>
    </row>
    <row r="79" spans="1:11" ht="14.45" customHeight="1" x14ac:dyDescent="0.2">
      <c r="A79" s="822" t="s">
        <v>575</v>
      </c>
      <c r="B79" s="823" t="s">
        <v>576</v>
      </c>
      <c r="C79" s="826" t="s">
        <v>589</v>
      </c>
      <c r="D79" s="840" t="s">
        <v>590</v>
      </c>
      <c r="E79" s="826" t="s">
        <v>3081</v>
      </c>
      <c r="F79" s="840" t="s">
        <v>3082</v>
      </c>
      <c r="G79" s="826" t="s">
        <v>3200</v>
      </c>
      <c r="H79" s="826" t="s">
        <v>3201</v>
      </c>
      <c r="I79" s="832">
        <v>61.209999084472656</v>
      </c>
      <c r="J79" s="832">
        <v>1</v>
      </c>
      <c r="K79" s="833">
        <v>61.209999084472656</v>
      </c>
    </row>
    <row r="80" spans="1:11" ht="14.45" customHeight="1" x14ac:dyDescent="0.2">
      <c r="A80" s="822" t="s">
        <v>575</v>
      </c>
      <c r="B80" s="823" t="s">
        <v>576</v>
      </c>
      <c r="C80" s="826" t="s">
        <v>589</v>
      </c>
      <c r="D80" s="840" t="s">
        <v>590</v>
      </c>
      <c r="E80" s="826" t="s">
        <v>3081</v>
      </c>
      <c r="F80" s="840" t="s">
        <v>3082</v>
      </c>
      <c r="G80" s="826" t="s">
        <v>3202</v>
      </c>
      <c r="H80" s="826" t="s">
        <v>3203</v>
      </c>
      <c r="I80" s="832">
        <v>26.170000076293945</v>
      </c>
      <c r="J80" s="832">
        <v>2</v>
      </c>
      <c r="K80" s="833">
        <v>52.340000152587891</v>
      </c>
    </row>
    <row r="81" spans="1:11" ht="14.45" customHeight="1" x14ac:dyDescent="0.2">
      <c r="A81" s="822" t="s">
        <v>575</v>
      </c>
      <c r="B81" s="823" t="s">
        <v>576</v>
      </c>
      <c r="C81" s="826" t="s">
        <v>589</v>
      </c>
      <c r="D81" s="840" t="s">
        <v>590</v>
      </c>
      <c r="E81" s="826" t="s">
        <v>3081</v>
      </c>
      <c r="F81" s="840" t="s">
        <v>3082</v>
      </c>
      <c r="G81" s="826" t="s">
        <v>3204</v>
      </c>
      <c r="H81" s="826" t="s">
        <v>3205</v>
      </c>
      <c r="I81" s="832">
        <v>98.379997253417969</v>
      </c>
      <c r="J81" s="832">
        <v>1</v>
      </c>
      <c r="K81" s="833">
        <v>98.379997253417969</v>
      </c>
    </row>
    <row r="82" spans="1:11" ht="14.45" customHeight="1" x14ac:dyDescent="0.2">
      <c r="A82" s="822" t="s">
        <v>575</v>
      </c>
      <c r="B82" s="823" t="s">
        <v>576</v>
      </c>
      <c r="C82" s="826" t="s">
        <v>589</v>
      </c>
      <c r="D82" s="840" t="s">
        <v>590</v>
      </c>
      <c r="E82" s="826" t="s">
        <v>3081</v>
      </c>
      <c r="F82" s="840" t="s">
        <v>3082</v>
      </c>
      <c r="G82" s="826" t="s">
        <v>3206</v>
      </c>
      <c r="H82" s="826" t="s">
        <v>3207</v>
      </c>
      <c r="I82" s="832">
        <v>0.37999999523162842</v>
      </c>
      <c r="J82" s="832">
        <v>200</v>
      </c>
      <c r="K82" s="833">
        <v>76</v>
      </c>
    </row>
    <row r="83" spans="1:11" ht="14.45" customHeight="1" x14ac:dyDescent="0.2">
      <c r="A83" s="822" t="s">
        <v>575</v>
      </c>
      <c r="B83" s="823" t="s">
        <v>576</v>
      </c>
      <c r="C83" s="826" t="s">
        <v>589</v>
      </c>
      <c r="D83" s="840" t="s">
        <v>590</v>
      </c>
      <c r="E83" s="826" t="s">
        <v>3081</v>
      </c>
      <c r="F83" s="840" t="s">
        <v>3082</v>
      </c>
      <c r="G83" s="826" t="s">
        <v>3208</v>
      </c>
      <c r="H83" s="826" t="s">
        <v>3209</v>
      </c>
      <c r="I83" s="832">
        <v>111.41000366210938</v>
      </c>
      <c r="J83" s="832">
        <v>12</v>
      </c>
      <c r="K83" s="833">
        <v>1336.9200439453125</v>
      </c>
    </row>
    <row r="84" spans="1:11" ht="14.45" customHeight="1" x14ac:dyDescent="0.2">
      <c r="A84" s="822" t="s">
        <v>575</v>
      </c>
      <c r="B84" s="823" t="s">
        <v>576</v>
      </c>
      <c r="C84" s="826" t="s">
        <v>589</v>
      </c>
      <c r="D84" s="840" t="s">
        <v>590</v>
      </c>
      <c r="E84" s="826" t="s">
        <v>3081</v>
      </c>
      <c r="F84" s="840" t="s">
        <v>3082</v>
      </c>
      <c r="G84" s="826" t="s">
        <v>3210</v>
      </c>
      <c r="H84" s="826" t="s">
        <v>3211</v>
      </c>
      <c r="I84" s="832">
        <v>7.630000114440918</v>
      </c>
      <c r="J84" s="832">
        <v>10</v>
      </c>
      <c r="K84" s="833">
        <v>76.300003051757813</v>
      </c>
    </row>
    <row r="85" spans="1:11" ht="14.45" customHeight="1" x14ac:dyDescent="0.2">
      <c r="A85" s="822" t="s">
        <v>575</v>
      </c>
      <c r="B85" s="823" t="s">
        <v>576</v>
      </c>
      <c r="C85" s="826" t="s">
        <v>589</v>
      </c>
      <c r="D85" s="840" t="s">
        <v>590</v>
      </c>
      <c r="E85" s="826" t="s">
        <v>3081</v>
      </c>
      <c r="F85" s="840" t="s">
        <v>3082</v>
      </c>
      <c r="G85" s="826" t="s">
        <v>3212</v>
      </c>
      <c r="H85" s="826" t="s">
        <v>3213</v>
      </c>
      <c r="I85" s="832">
        <v>19.247999572753905</v>
      </c>
      <c r="J85" s="832">
        <v>84</v>
      </c>
      <c r="K85" s="833">
        <v>1609.9199829101563</v>
      </c>
    </row>
    <row r="86" spans="1:11" ht="14.45" customHeight="1" x14ac:dyDescent="0.2">
      <c r="A86" s="822" t="s">
        <v>575</v>
      </c>
      <c r="B86" s="823" t="s">
        <v>576</v>
      </c>
      <c r="C86" s="826" t="s">
        <v>589</v>
      </c>
      <c r="D86" s="840" t="s">
        <v>590</v>
      </c>
      <c r="E86" s="826" t="s">
        <v>3081</v>
      </c>
      <c r="F86" s="840" t="s">
        <v>3082</v>
      </c>
      <c r="G86" s="826" t="s">
        <v>3184</v>
      </c>
      <c r="H86" s="826" t="s">
        <v>3214</v>
      </c>
      <c r="I86" s="832">
        <v>1.3799999952316284</v>
      </c>
      <c r="J86" s="832">
        <v>250</v>
      </c>
      <c r="K86" s="833">
        <v>345</v>
      </c>
    </row>
    <row r="87" spans="1:11" ht="14.45" customHeight="1" x14ac:dyDescent="0.2">
      <c r="A87" s="822" t="s">
        <v>575</v>
      </c>
      <c r="B87" s="823" t="s">
        <v>576</v>
      </c>
      <c r="C87" s="826" t="s">
        <v>589</v>
      </c>
      <c r="D87" s="840" t="s">
        <v>590</v>
      </c>
      <c r="E87" s="826" t="s">
        <v>3081</v>
      </c>
      <c r="F87" s="840" t="s">
        <v>3082</v>
      </c>
      <c r="G87" s="826" t="s">
        <v>3186</v>
      </c>
      <c r="H87" s="826" t="s">
        <v>3215</v>
      </c>
      <c r="I87" s="832">
        <v>0.86000001430511475</v>
      </c>
      <c r="J87" s="832">
        <v>700</v>
      </c>
      <c r="K87" s="833">
        <v>602</v>
      </c>
    </row>
    <row r="88" spans="1:11" ht="14.45" customHeight="1" x14ac:dyDescent="0.2">
      <c r="A88" s="822" t="s">
        <v>575</v>
      </c>
      <c r="B88" s="823" t="s">
        <v>576</v>
      </c>
      <c r="C88" s="826" t="s">
        <v>589</v>
      </c>
      <c r="D88" s="840" t="s">
        <v>590</v>
      </c>
      <c r="E88" s="826" t="s">
        <v>3081</v>
      </c>
      <c r="F88" s="840" t="s">
        <v>3082</v>
      </c>
      <c r="G88" s="826" t="s">
        <v>3188</v>
      </c>
      <c r="H88" s="826" t="s">
        <v>3216</v>
      </c>
      <c r="I88" s="832">
        <v>1.5199999809265137</v>
      </c>
      <c r="J88" s="832">
        <v>1200</v>
      </c>
      <c r="K88" s="833">
        <v>1824</v>
      </c>
    </row>
    <row r="89" spans="1:11" ht="14.45" customHeight="1" x14ac:dyDescent="0.2">
      <c r="A89" s="822" t="s">
        <v>575</v>
      </c>
      <c r="B89" s="823" t="s">
        <v>576</v>
      </c>
      <c r="C89" s="826" t="s">
        <v>589</v>
      </c>
      <c r="D89" s="840" t="s">
        <v>590</v>
      </c>
      <c r="E89" s="826" t="s">
        <v>3081</v>
      </c>
      <c r="F89" s="840" t="s">
        <v>3082</v>
      </c>
      <c r="G89" s="826" t="s">
        <v>3190</v>
      </c>
      <c r="H89" s="826" t="s">
        <v>3217</v>
      </c>
      <c r="I89" s="832">
        <v>2.059999942779541</v>
      </c>
      <c r="J89" s="832">
        <v>1000</v>
      </c>
      <c r="K89" s="833">
        <v>2060</v>
      </c>
    </row>
    <row r="90" spans="1:11" ht="14.45" customHeight="1" x14ac:dyDescent="0.2">
      <c r="A90" s="822" t="s">
        <v>575</v>
      </c>
      <c r="B90" s="823" t="s">
        <v>576</v>
      </c>
      <c r="C90" s="826" t="s">
        <v>589</v>
      </c>
      <c r="D90" s="840" t="s">
        <v>590</v>
      </c>
      <c r="E90" s="826" t="s">
        <v>3081</v>
      </c>
      <c r="F90" s="840" t="s">
        <v>3082</v>
      </c>
      <c r="G90" s="826" t="s">
        <v>3192</v>
      </c>
      <c r="H90" s="826" t="s">
        <v>3218</v>
      </c>
      <c r="I90" s="832">
        <v>3.3599998950958252</v>
      </c>
      <c r="J90" s="832">
        <v>400</v>
      </c>
      <c r="K90" s="833">
        <v>1344</v>
      </c>
    </row>
    <row r="91" spans="1:11" ht="14.45" customHeight="1" x14ac:dyDescent="0.2">
      <c r="A91" s="822" t="s">
        <v>575</v>
      </c>
      <c r="B91" s="823" t="s">
        <v>576</v>
      </c>
      <c r="C91" s="826" t="s">
        <v>589</v>
      </c>
      <c r="D91" s="840" t="s">
        <v>590</v>
      </c>
      <c r="E91" s="826" t="s">
        <v>3081</v>
      </c>
      <c r="F91" s="840" t="s">
        <v>3082</v>
      </c>
      <c r="G91" s="826" t="s">
        <v>3194</v>
      </c>
      <c r="H91" s="826" t="s">
        <v>3219</v>
      </c>
      <c r="I91" s="832">
        <v>5.8733334541320801</v>
      </c>
      <c r="J91" s="832">
        <v>800</v>
      </c>
      <c r="K91" s="833">
        <v>4701.7599792480469</v>
      </c>
    </row>
    <row r="92" spans="1:11" ht="14.45" customHeight="1" x14ac:dyDescent="0.2">
      <c r="A92" s="822" t="s">
        <v>575</v>
      </c>
      <c r="B92" s="823" t="s">
        <v>576</v>
      </c>
      <c r="C92" s="826" t="s">
        <v>589</v>
      </c>
      <c r="D92" s="840" t="s">
        <v>590</v>
      </c>
      <c r="E92" s="826" t="s">
        <v>3081</v>
      </c>
      <c r="F92" s="840" t="s">
        <v>3082</v>
      </c>
      <c r="G92" s="826" t="s">
        <v>3200</v>
      </c>
      <c r="H92" s="826" t="s">
        <v>3220</v>
      </c>
      <c r="I92" s="832">
        <v>61.209999084472656</v>
      </c>
      <c r="J92" s="832">
        <v>2</v>
      </c>
      <c r="K92" s="833">
        <v>122.41999816894531</v>
      </c>
    </row>
    <row r="93" spans="1:11" ht="14.45" customHeight="1" x14ac:dyDescent="0.2">
      <c r="A93" s="822" t="s">
        <v>575</v>
      </c>
      <c r="B93" s="823" t="s">
        <v>576</v>
      </c>
      <c r="C93" s="826" t="s">
        <v>589</v>
      </c>
      <c r="D93" s="840" t="s">
        <v>590</v>
      </c>
      <c r="E93" s="826" t="s">
        <v>3081</v>
      </c>
      <c r="F93" s="840" t="s">
        <v>3082</v>
      </c>
      <c r="G93" s="826" t="s">
        <v>3204</v>
      </c>
      <c r="H93" s="826" t="s">
        <v>3221</v>
      </c>
      <c r="I93" s="832">
        <v>98.379997253417969</v>
      </c>
      <c r="J93" s="832">
        <v>10</v>
      </c>
      <c r="K93" s="833">
        <v>983.79998779296875</v>
      </c>
    </row>
    <row r="94" spans="1:11" ht="14.45" customHeight="1" x14ac:dyDescent="0.2">
      <c r="A94" s="822" t="s">
        <v>575</v>
      </c>
      <c r="B94" s="823" t="s">
        <v>576</v>
      </c>
      <c r="C94" s="826" t="s">
        <v>589</v>
      </c>
      <c r="D94" s="840" t="s">
        <v>590</v>
      </c>
      <c r="E94" s="826" t="s">
        <v>3081</v>
      </c>
      <c r="F94" s="840" t="s">
        <v>3082</v>
      </c>
      <c r="G94" s="826" t="s">
        <v>3206</v>
      </c>
      <c r="H94" s="826" t="s">
        <v>3222</v>
      </c>
      <c r="I94" s="832">
        <v>0.37999999523162842</v>
      </c>
      <c r="J94" s="832">
        <v>400</v>
      </c>
      <c r="K94" s="833">
        <v>152</v>
      </c>
    </row>
    <row r="95" spans="1:11" ht="14.45" customHeight="1" x14ac:dyDescent="0.2">
      <c r="A95" s="822" t="s">
        <v>575</v>
      </c>
      <c r="B95" s="823" t="s">
        <v>576</v>
      </c>
      <c r="C95" s="826" t="s">
        <v>589</v>
      </c>
      <c r="D95" s="840" t="s">
        <v>590</v>
      </c>
      <c r="E95" s="826" t="s">
        <v>3081</v>
      </c>
      <c r="F95" s="840" t="s">
        <v>3082</v>
      </c>
      <c r="G95" s="826" t="s">
        <v>3208</v>
      </c>
      <c r="H95" s="826" t="s">
        <v>3223</v>
      </c>
      <c r="I95" s="832">
        <v>111.31999969482422</v>
      </c>
      <c r="J95" s="832">
        <v>48</v>
      </c>
      <c r="K95" s="833">
        <v>5343.35986328125</v>
      </c>
    </row>
    <row r="96" spans="1:11" ht="14.45" customHeight="1" x14ac:dyDescent="0.2">
      <c r="A96" s="822" t="s">
        <v>575</v>
      </c>
      <c r="B96" s="823" t="s">
        <v>576</v>
      </c>
      <c r="C96" s="826" t="s">
        <v>589</v>
      </c>
      <c r="D96" s="840" t="s">
        <v>590</v>
      </c>
      <c r="E96" s="826" t="s">
        <v>3081</v>
      </c>
      <c r="F96" s="840" t="s">
        <v>3082</v>
      </c>
      <c r="G96" s="826" t="s">
        <v>3224</v>
      </c>
      <c r="H96" s="826" t="s">
        <v>3225</v>
      </c>
      <c r="I96" s="832">
        <v>2.5016666650772095</v>
      </c>
      <c r="J96" s="832">
        <v>300</v>
      </c>
      <c r="K96" s="833">
        <v>750.40000152587891</v>
      </c>
    </row>
    <row r="97" spans="1:11" ht="14.45" customHeight="1" x14ac:dyDescent="0.2">
      <c r="A97" s="822" t="s">
        <v>575</v>
      </c>
      <c r="B97" s="823" t="s">
        <v>576</v>
      </c>
      <c r="C97" s="826" t="s">
        <v>589</v>
      </c>
      <c r="D97" s="840" t="s">
        <v>590</v>
      </c>
      <c r="E97" s="826" t="s">
        <v>3081</v>
      </c>
      <c r="F97" s="840" t="s">
        <v>3082</v>
      </c>
      <c r="G97" s="826" t="s">
        <v>3226</v>
      </c>
      <c r="H97" s="826" t="s">
        <v>3227</v>
      </c>
      <c r="I97" s="832">
        <v>3.9800000190734863</v>
      </c>
      <c r="J97" s="832">
        <v>320</v>
      </c>
      <c r="K97" s="833">
        <v>1274.5999908447266</v>
      </c>
    </row>
    <row r="98" spans="1:11" ht="14.45" customHeight="1" x14ac:dyDescent="0.2">
      <c r="A98" s="822" t="s">
        <v>575</v>
      </c>
      <c r="B98" s="823" t="s">
        <v>576</v>
      </c>
      <c r="C98" s="826" t="s">
        <v>589</v>
      </c>
      <c r="D98" s="840" t="s">
        <v>590</v>
      </c>
      <c r="E98" s="826" t="s">
        <v>3081</v>
      </c>
      <c r="F98" s="840" t="s">
        <v>3082</v>
      </c>
      <c r="G98" s="826" t="s">
        <v>3228</v>
      </c>
      <c r="H98" s="826" t="s">
        <v>3229</v>
      </c>
      <c r="I98" s="832">
        <v>12.649999618530273</v>
      </c>
      <c r="J98" s="832">
        <v>45</v>
      </c>
      <c r="K98" s="833">
        <v>569.25</v>
      </c>
    </row>
    <row r="99" spans="1:11" ht="14.45" customHeight="1" x14ac:dyDescent="0.2">
      <c r="A99" s="822" t="s">
        <v>575</v>
      </c>
      <c r="B99" s="823" t="s">
        <v>576</v>
      </c>
      <c r="C99" s="826" t="s">
        <v>589</v>
      </c>
      <c r="D99" s="840" t="s">
        <v>590</v>
      </c>
      <c r="E99" s="826" t="s">
        <v>3081</v>
      </c>
      <c r="F99" s="840" t="s">
        <v>3082</v>
      </c>
      <c r="G99" s="826" t="s">
        <v>3230</v>
      </c>
      <c r="H99" s="826" t="s">
        <v>3231</v>
      </c>
      <c r="I99" s="832">
        <v>991.29998779296875</v>
      </c>
      <c r="J99" s="832">
        <v>3</v>
      </c>
      <c r="K99" s="833">
        <v>2973.8999633789063</v>
      </c>
    </row>
    <row r="100" spans="1:11" ht="14.45" customHeight="1" x14ac:dyDescent="0.2">
      <c r="A100" s="822" t="s">
        <v>575</v>
      </c>
      <c r="B100" s="823" t="s">
        <v>576</v>
      </c>
      <c r="C100" s="826" t="s">
        <v>589</v>
      </c>
      <c r="D100" s="840" t="s">
        <v>590</v>
      </c>
      <c r="E100" s="826" t="s">
        <v>3081</v>
      </c>
      <c r="F100" s="840" t="s">
        <v>3082</v>
      </c>
      <c r="G100" s="826" t="s">
        <v>3232</v>
      </c>
      <c r="H100" s="826" t="s">
        <v>3233</v>
      </c>
      <c r="I100" s="832">
        <v>1253.5</v>
      </c>
      <c r="J100" s="832">
        <v>7</v>
      </c>
      <c r="K100" s="833">
        <v>8774.5</v>
      </c>
    </row>
    <row r="101" spans="1:11" ht="14.45" customHeight="1" x14ac:dyDescent="0.2">
      <c r="A101" s="822" t="s">
        <v>575</v>
      </c>
      <c r="B101" s="823" t="s">
        <v>576</v>
      </c>
      <c r="C101" s="826" t="s">
        <v>589</v>
      </c>
      <c r="D101" s="840" t="s">
        <v>590</v>
      </c>
      <c r="E101" s="826" t="s">
        <v>3081</v>
      </c>
      <c r="F101" s="840" t="s">
        <v>3082</v>
      </c>
      <c r="G101" s="826" t="s">
        <v>3234</v>
      </c>
      <c r="H101" s="826" t="s">
        <v>3235</v>
      </c>
      <c r="I101" s="832">
        <v>1312</v>
      </c>
      <c r="J101" s="832">
        <v>2</v>
      </c>
      <c r="K101" s="833">
        <v>2624</v>
      </c>
    </row>
    <row r="102" spans="1:11" ht="14.45" customHeight="1" x14ac:dyDescent="0.2">
      <c r="A102" s="822" t="s">
        <v>575</v>
      </c>
      <c r="B102" s="823" t="s">
        <v>576</v>
      </c>
      <c r="C102" s="826" t="s">
        <v>589</v>
      </c>
      <c r="D102" s="840" t="s">
        <v>590</v>
      </c>
      <c r="E102" s="826" t="s">
        <v>3081</v>
      </c>
      <c r="F102" s="840" t="s">
        <v>3082</v>
      </c>
      <c r="G102" s="826" t="s">
        <v>3236</v>
      </c>
      <c r="H102" s="826" t="s">
        <v>3237</v>
      </c>
      <c r="I102" s="832">
        <v>1490.4000244140625</v>
      </c>
      <c r="J102" s="832">
        <v>4</v>
      </c>
      <c r="K102" s="833">
        <v>5961.60009765625</v>
      </c>
    </row>
    <row r="103" spans="1:11" ht="14.45" customHeight="1" x14ac:dyDescent="0.2">
      <c r="A103" s="822" t="s">
        <v>575</v>
      </c>
      <c r="B103" s="823" t="s">
        <v>576</v>
      </c>
      <c r="C103" s="826" t="s">
        <v>589</v>
      </c>
      <c r="D103" s="840" t="s">
        <v>590</v>
      </c>
      <c r="E103" s="826" t="s">
        <v>3081</v>
      </c>
      <c r="F103" s="840" t="s">
        <v>3082</v>
      </c>
      <c r="G103" s="826" t="s">
        <v>3238</v>
      </c>
      <c r="H103" s="826" t="s">
        <v>3239</v>
      </c>
      <c r="I103" s="832">
        <v>67.319999694824219</v>
      </c>
      <c r="J103" s="832">
        <v>70</v>
      </c>
      <c r="K103" s="833">
        <v>4712.47021484375</v>
      </c>
    </row>
    <row r="104" spans="1:11" ht="14.45" customHeight="1" x14ac:dyDescent="0.2">
      <c r="A104" s="822" t="s">
        <v>575</v>
      </c>
      <c r="B104" s="823" t="s">
        <v>576</v>
      </c>
      <c r="C104" s="826" t="s">
        <v>589</v>
      </c>
      <c r="D104" s="840" t="s">
        <v>590</v>
      </c>
      <c r="E104" s="826" t="s">
        <v>3081</v>
      </c>
      <c r="F104" s="840" t="s">
        <v>3082</v>
      </c>
      <c r="G104" s="826" t="s">
        <v>3238</v>
      </c>
      <c r="H104" s="826" t="s">
        <v>3240</v>
      </c>
      <c r="I104" s="832">
        <v>77.419998168945313</v>
      </c>
      <c r="J104" s="832">
        <v>35</v>
      </c>
      <c r="K104" s="833">
        <v>2709.6298828125</v>
      </c>
    </row>
    <row r="105" spans="1:11" ht="14.45" customHeight="1" x14ac:dyDescent="0.2">
      <c r="A105" s="822" t="s">
        <v>575</v>
      </c>
      <c r="B105" s="823" t="s">
        <v>576</v>
      </c>
      <c r="C105" s="826" t="s">
        <v>589</v>
      </c>
      <c r="D105" s="840" t="s">
        <v>590</v>
      </c>
      <c r="E105" s="826" t="s">
        <v>3081</v>
      </c>
      <c r="F105" s="840" t="s">
        <v>3082</v>
      </c>
      <c r="G105" s="826" t="s">
        <v>3241</v>
      </c>
      <c r="H105" s="826" t="s">
        <v>3242</v>
      </c>
      <c r="I105" s="832">
        <v>32.790000915527344</v>
      </c>
      <c r="J105" s="832">
        <v>25</v>
      </c>
      <c r="K105" s="833">
        <v>819.75</v>
      </c>
    </row>
    <row r="106" spans="1:11" ht="14.45" customHeight="1" x14ac:dyDescent="0.2">
      <c r="A106" s="822" t="s">
        <v>575</v>
      </c>
      <c r="B106" s="823" t="s">
        <v>576</v>
      </c>
      <c r="C106" s="826" t="s">
        <v>589</v>
      </c>
      <c r="D106" s="840" t="s">
        <v>590</v>
      </c>
      <c r="E106" s="826" t="s">
        <v>3081</v>
      </c>
      <c r="F106" s="840" t="s">
        <v>3082</v>
      </c>
      <c r="G106" s="826" t="s">
        <v>3243</v>
      </c>
      <c r="H106" s="826" t="s">
        <v>3244</v>
      </c>
      <c r="I106" s="832">
        <v>22.520000457763672</v>
      </c>
      <c r="J106" s="832">
        <v>50</v>
      </c>
      <c r="K106" s="833">
        <v>1126.0799560546875</v>
      </c>
    </row>
    <row r="107" spans="1:11" ht="14.45" customHeight="1" x14ac:dyDescent="0.2">
      <c r="A107" s="822" t="s">
        <v>575</v>
      </c>
      <c r="B107" s="823" t="s">
        <v>576</v>
      </c>
      <c r="C107" s="826" t="s">
        <v>589</v>
      </c>
      <c r="D107" s="840" t="s">
        <v>590</v>
      </c>
      <c r="E107" s="826" t="s">
        <v>3081</v>
      </c>
      <c r="F107" s="840" t="s">
        <v>3082</v>
      </c>
      <c r="G107" s="826" t="s">
        <v>3243</v>
      </c>
      <c r="H107" s="826" t="s">
        <v>3245</v>
      </c>
      <c r="I107" s="832">
        <v>22.520000457763672</v>
      </c>
      <c r="J107" s="832">
        <v>50</v>
      </c>
      <c r="K107" s="833">
        <v>1126.0799560546875</v>
      </c>
    </row>
    <row r="108" spans="1:11" ht="14.45" customHeight="1" x14ac:dyDescent="0.2">
      <c r="A108" s="822" t="s">
        <v>575</v>
      </c>
      <c r="B108" s="823" t="s">
        <v>576</v>
      </c>
      <c r="C108" s="826" t="s">
        <v>589</v>
      </c>
      <c r="D108" s="840" t="s">
        <v>590</v>
      </c>
      <c r="E108" s="826" t="s">
        <v>3081</v>
      </c>
      <c r="F108" s="840" t="s">
        <v>3082</v>
      </c>
      <c r="G108" s="826" t="s">
        <v>3246</v>
      </c>
      <c r="H108" s="826" t="s">
        <v>3247</v>
      </c>
      <c r="I108" s="832">
        <v>4347</v>
      </c>
      <c r="J108" s="832">
        <v>7</v>
      </c>
      <c r="K108" s="833">
        <v>30429</v>
      </c>
    </row>
    <row r="109" spans="1:11" ht="14.45" customHeight="1" x14ac:dyDescent="0.2">
      <c r="A109" s="822" t="s">
        <v>575</v>
      </c>
      <c r="B109" s="823" t="s">
        <v>576</v>
      </c>
      <c r="C109" s="826" t="s">
        <v>589</v>
      </c>
      <c r="D109" s="840" t="s">
        <v>590</v>
      </c>
      <c r="E109" s="826" t="s">
        <v>3081</v>
      </c>
      <c r="F109" s="840" t="s">
        <v>3082</v>
      </c>
      <c r="G109" s="826" t="s">
        <v>3248</v>
      </c>
      <c r="H109" s="826" t="s">
        <v>3249</v>
      </c>
      <c r="I109" s="832">
        <v>17.059999465942383</v>
      </c>
      <c r="J109" s="832">
        <v>25</v>
      </c>
      <c r="K109" s="833">
        <v>853.30000001192093</v>
      </c>
    </row>
    <row r="110" spans="1:11" ht="14.45" customHeight="1" x14ac:dyDescent="0.2">
      <c r="A110" s="822" t="s">
        <v>575</v>
      </c>
      <c r="B110" s="823" t="s">
        <v>576</v>
      </c>
      <c r="C110" s="826" t="s">
        <v>589</v>
      </c>
      <c r="D110" s="840" t="s">
        <v>590</v>
      </c>
      <c r="E110" s="826" t="s">
        <v>3081</v>
      </c>
      <c r="F110" s="840" t="s">
        <v>3082</v>
      </c>
      <c r="G110" s="826" t="s">
        <v>3250</v>
      </c>
      <c r="H110" s="826" t="s">
        <v>3251</v>
      </c>
      <c r="I110" s="832">
        <v>0.5</v>
      </c>
      <c r="J110" s="832">
        <v>100</v>
      </c>
      <c r="K110" s="833">
        <v>50</v>
      </c>
    </row>
    <row r="111" spans="1:11" ht="14.45" customHeight="1" x14ac:dyDescent="0.2">
      <c r="A111" s="822" t="s">
        <v>575</v>
      </c>
      <c r="B111" s="823" t="s">
        <v>576</v>
      </c>
      <c r="C111" s="826" t="s">
        <v>589</v>
      </c>
      <c r="D111" s="840" t="s">
        <v>590</v>
      </c>
      <c r="E111" s="826" t="s">
        <v>3081</v>
      </c>
      <c r="F111" s="840" t="s">
        <v>3082</v>
      </c>
      <c r="G111" s="826" t="s">
        <v>3250</v>
      </c>
      <c r="H111" s="826" t="s">
        <v>3252</v>
      </c>
      <c r="I111" s="832">
        <v>0.5</v>
      </c>
      <c r="J111" s="832">
        <v>200</v>
      </c>
      <c r="K111" s="833">
        <v>100</v>
      </c>
    </row>
    <row r="112" spans="1:11" ht="14.45" customHeight="1" x14ac:dyDescent="0.2">
      <c r="A112" s="822" t="s">
        <v>575</v>
      </c>
      <c r="B112" s="823" t="s">
        <v>576</v>
      </c>
      <c r="C112" s="826" t="s">
        <v>589</v>
      </c>
      <c r="D112" s="840" t="s">
        <v>590</v>
      </c>
      <c r="E112" s="826" t="s">
        <v>3081</v>
      </c>
      <c r="F112" s="840" t="s">
        <v>3082</v>
      </c>
      <c r="G112" s="826" t="s">
        <v>3253</v>
      </c>
      <c r="H112" s="826" t="s">
        <v>3254</v>
      </c>
      <c r="I112" s="832">
        <v>0.66800001859664915</v>
      </c>
      <c r="J112" s="832">
        <v>10500</v>
      </c>
      <c r="K112" s="833">
        <v>7015</v>
      </c>
    </row>
    <row r="113" spans="1:11" ht="14.45" customHeight="1" x14ac:dyDescent="0.2">
      <c r="A113" s="822" t="s">
        <v>575</v>
      </c>
      <c r="B113" s="823" t="s">
        <v>576</v>
      </c>
      <c r="C113" s="826" t="s">
        <v>589</v>
      </c>
      <c r="D113" s="840" t="s">
        <v>590</v>
      </c>
      <c r="E113" s="826" t="s">
        <v>3081</v>
      </c>
      <c r="F113" s="840" t="s">
        <v>3082</v>
      </c>
      <c r="G113" s="826" t="s">
        <v>3253</v>
      </c>
      <c r="H113" s="826" t="s">
        <v>3255</v>
      </c>
      <c r="I113" s="832">
        <v>0.67000001668930054</v>
      </c>
      <c r="J113" s="832">
        <v>6000</v>
      </c>
      <c r="K113" s="833">
        <v>4019.9999694824219</v>
      </c>
    </row>
    <row r="114" spans="1:11" ht="14.45" customHeight="1" x14ac:dyDescent="0.2">
      <c r="A114" s="822" t="s">
        <v>575</v>
      </c>
      <c r="B114" s="823" t="s">
        <v>576</v>
      </c>
      <c r="C114" s="826" t="s">
        <v>589</v>
      </c>
      <c r="D114" s="840" t="s">
        <v>590</v>
      </c>
      <c r="E114" s="826" t="s">
        <v>3081</v>
      </c>
      <c r="F114" s="840" t="s">
        <v>3082</v>
      </c>
      <c r="G114" s="826" t="s">
        <v>3256</v>
      </c>
      <c r="H114" s="826" t="s">
        <v>3257</v>
      </c>
      <c r="I114" s="832">
        <v>30.782000160217287</v>
      </c>
      <c r="J114" s="832">
        <v>32</v>
      </c>
      <c r="K114" s="833">
        <v>983.53000259399414</v>
      </c>
    </row>
    <row r="115" spans="1:11" ht="14.45" customHeight="1" x14ac:dyDescent="0.2">
      <c r="A115" s="822" t="s">
        <v>575</v>
      </c>
      <c r="B115" s="823" t="s">
        <v>576</v>
      </c>
      <c r="C115" s="826" t="s">
        <v>589</v>
      </c>
      <c r="D115" s="840" t="s">
        <v>590</v>
      </c>
      <c r="E115" s="826" t="s">
        <v>3081</v>
      </c>
      <c r="F115" s="840" t="s">
        <v>3082</v>
      </c>
      <c r="G115" s="826" t="s">
        <v>3258</v>
      </c>
      <c r="H115" s="826" t="s">
        <v>3259</v>
      </c>
      <c r="I115" s="832">
        <v>30.074285234723771</v>
      </c>
      <c r="J115" s="832">
        <v>174</v>
      </c>
      <c r="K115" s="833">
        <v>5224.5198631286621</v>
      </c>
    </row>
    <row r="116" spans="1:11" ht="14.45" customHeight="1" x14ac:dyDescent="0.2">
      <c r="A116" s="822" t="s">
        <v>575</v>
      </c>
      <c r="B116" s="823" t="s">
        <v>576</v>
      </c>
      <c r="C116" s="826" t="s">
        <v>589</v>
      </c>
      <c r="D116" s="840" t="s">
        <v>590</v>
      </c>
      <c r="E116" s="826" t="s">
        <v>3081</v>
      </c>
      <c r="F116" s="840" t="s">
        <v>3082</v>
      </c>
      <c r="G116" s="826" t="s">
        <v>3256</v>
      </c>
      <c r="H116" s="826" t="s">
        <v>3260</v>
      </c>
      <c r="I116" s="832">
        <v>30.105000019073486</v>
      </c>
      <c r="J116" s="832">
        <v>16</v>
      </c>
      <c r="K116" s="833">
        <v>482.74999237060547</v>
      </c>
    </row>
    <row r="117" spans="1:11" ht="14.45" customHeight="1" x14ac:dyDescent="0.2">
      <c r="A117" s="822" t="s">
        <v>575</v>
      </c>
      <c r="B117" s="823" t="s">
        <v>576</v>
      </c>
      <c r="C117" s="826" t="s">
        <v>589</v>
      </c>
      <c r="D117" s="840" t="s">
        <v>590</v>
      </c>
      <c r="E117" s="826" t="s">
        <v>3081</v>
      </c>
      <c r="F117" s="840" t="s">
        <v>3082</v>
      </c>
      <c r="G117" s="826" t="s">
        <v>3258</v>
      </c>
      <c r="H117" s="826" t="s">
        <v>3261</v>
      </c>
      <c r="I117" s="832">
        <v>29.022499561309814</v>
      </c>
      <c r="J117" s="832">
        <v>74</v>
      </c>
      <c r="K117" s="833">
        <v>2160.8600158691406</v>
      </c>
    </row>
    <row r="118" spans="1:11" ht="14.45" customHeight="1" x14ac:dyDescent="0.2">
      <c r="A118" s="822" t="s">
        <v>575</v>
      </c>
      <c r="B118" s="823" t="s">
        <v>576</v>
      </c>
      <c r="C118" s="826" t="s">
        <v>589</v>
      </c>
      <c r="D118" s="840" t="s">
        <v>590</v>
      </c>
      <c r="E118" s="826" t="s">
        <v>3081</v>
      </c>
      <c r="F118" s="840" t="s">
        <v>3082</v>
      </c>
      <c r="G118" s="826" t="s">
        <v>3262</v>
      </c>
      <c r="H118" s="826" t="s">
        <v>3263</v>
      </c>
      <c r="I118" s="832">
        <v>260.29998779296875</v>
      </c>
      <c r="J118" s="832">
        <v>2</v>
      </c>
      <c r="K118" s="833">
        <v>520.5999755859375</v>
      </c>
    </row>
    <row r="119" spans="1:11" ht="14.45" customHeight="1" x14ac:dyDescent="0.2">
      <c r="A119" s="822" t="s">
        <v>575</v>
      </c>
      <c r="B119" s="823" t="s">
        <v>576</v>
      </c>
      <c r="C119" s="826" t="s">
        <v>589</v>
      </c>
      <c r="D119" s="840" t="s">
        <v>590</v>
      </c>
      <c r="E119" s="826" t="s">
        <v>3264</v>
      </c>
      <c r="F119" s="840" t="s">
        <v>3265</v>
      </c>
      <c r="G119" s="826" t="s">
        <v>3266</v>
      </c>
      <c r="H119" s="826" t="s">
        <v>3267</v>
      </c>
      <c r="I119" s="832">
        <v>2.0414285319192067</v>
      </c>
      <c r="J119" s="832">
        <v>1800</v>
      </c>
      <c r="K119" s="833">
        <v>3674</v>
      </c>
    </row>
    <row r="120" spans="1:11" ht="14.45" customHeight="1" x14ac:dyDescent="0.2">
      <c r="A120" s="822" t="s">
        <v>575</v>
      </c>
      <c r="B120" s="823" t="s">
        <v>576</v>
      </c>
      <c r="C120" s="826" t="s">
        <v>589</v>
      </c>
      <c r="D120" s="840" t="s">
        <v>590</v>
      </c>
      <c r="E120" s="826" t="s">
        <v>3264</v>
      </c>
      <c r="F120" s="840" t="s">
        <v>3265</v>
      </c>
      <c r="G120" s="826" t="s">
        <v>3266</v>
      </c>
      <c r="H120" s="826" t="s">
        <v>3268</v>
      </c>
      <c r="I120" s="832">
        <v>2.0433332920074463</v>
      </c>
      <c r="J120" s="832">
        <v>1000</v>
      </c>
      <c r="K120" s="833">
        <v>2044</v>
      </c>
    </row>
    <row r="121" spans="1:11" ht="14.45" customHeight="1" x14ac:dyDescent="0.2">
      <c r="A121" s="822" t="s">
        <v>575</v>
      </c>
      <c r="B121" s="823" t="s">
        <v>576</v>
      </c>
      <c r="C121" s="826" t="s">
        <v>589</v>
      </c>
      <c r="D121" s="840" t="s">
        <v>590</v>
      </c>
      <c r="E121" s="826" t="s">
        <v>3264</v>
      </c>
      <c r="F121" s="840" t="s">
        <v>3265</v>
      </c>
      <c r="G121" s="826" t="s">
        <v>3269</v>
      </c>
      <c r="H121" s="826" t="s">
        <v>3270</v>
      </c>
      <c r="I121" s="832">
        <v>47.189998626708984</v>
      </c>
      <c r="J121" s="832">
        <v>40</v>
      </c>
      <c r="K121" s="833">
        <v>1887.5999755859375</v>
      </c>
    </row>
    <row r="122" spans="1:11" ht="14.45" customHeight="1" x14ac:dyDescent="0.2">
      <c r="A122" s="822" t="s">
        <v>575</v>
      </c>
      <c r="B122" s="823" t="s">
        <v>576</v>
      </c>
      <c r="C122" s="826" t="s">
        <v>589</v>
      </c>
      <c r="D122" s="840" t="s">
        <v>590</v>
      </c>
      <c r="E122" s="826" t="s">
        <v>3264</v>
      </c>
      <c r="F122" s="840" t="s">
        <v>3265</v>
      </c>
      <c r="G122" s="826" t="s">
        <v>3269</v>
      </c>
      <c r="H122" s="826" t="s">
        <v>3271</v>
      </c>
      <c r="I122" s="832">
        <v>47.189998626708984</v>
      </c>
      <c r="J122" s="832">
        <v>140</v>
      </c>
      <c r="K122" s="833">
        <v>6606.5999145507813</v>
      </c>
    </row>
    <row r="123" spans="1:11" ht="14.45" customHeight="1" x14ac:dyDescent="0.2">
      <c r="A123" s="822" t="s">
        <v>575</v>
      </c>
      <c r="B123" s="823" t="s">
        <v>576</v>
      </c>
      <c r="C123" s="826" t="s">
        <v>589</v>
      </c>
      <c r="D123" s="840" t="s">
        <v>590</v>
      </c>
      <c r="E123" s="826" t="s">
        <v>3264</v>
      </c>
      <c r="F123" s="840" t="s">
        <v>3265</v>
      </c>
      <c r="G123" s="826" t="s">
        <v>3272</v>
      </c>
      <c r="H123" s="826" t="s">
        <v>3273</v>
      </c>
      <c r="I123" s="832">
        <v>2.9020000934600829</v>
      </c>
      <c r="J123" s="832">
        <v>1000</v>
      </c>
      <c r="K123" s="833">
        <v>2902</v>
      </c>
    </row>
    <row r="124" spans="1:11" ht="14.45" customHeight="1" x14ac:dyDescent="0.2">
      <c r="A124" s="822" t="s">
        <v>575</v>
      </c>
      <c r="B124" s="823" t="s">
        <v>576</v>
      </c>
      <c r="C124" s="826" t="s">
        <v>589</v>
      </c>
      <c r="D124" s="840" t="s">
        <v>590</v>
      </c>
      <c r="E124" s="826" t="s">
        <v>3264</v>
      </c>
      <c r="F124" s="840" t="s">
        <v>3265</v>
      </c>
      <c r="G124" s="826" t="s">
        <v>3274</v>
      </c>
      <c r="H124" s="826" t="s">
        <v>3275</v>
      </c>
      <c r="I124" s="832">
        <v>25.709999084472656</v>
      </c>
      <c r="J124" s="832">
        <v>100</v>
      </c>
      <c r="K124" s="833">
        <v>2571.25</v>
      </c>
    </row>
    <row r="125" spans="1:11" ht="14.45" customHeight="1" x14ac:dyDescent="0.2">
      <c r="A125" s="822" t="s">
        <v>575</v>
      </c>
      <c r="B125" s="823" t="s">
        <v>576</v>
      </c>
      <c r="C125" s="826" t="s">
        <v>589</v>
      </c>
      <c r="D125" s="840" t="s">
        <v>590</v>
      </c>
      <c r="E125" s="826" t="s">
        <v>3264</v>
      </c>
      <c r="F125" s="840" t="s">
        <v>3265</v>
      </c>
      <c r="G125" s="826" t="s">
        <v>3274</v>
      </c>
      <c r="H125" s="826" t="s">
        <v>3276</v>
      </c>
      <c r="I125" s="832">
        <v>25.709999084472656</v>
      </c>
      <c r="J125" s="832">
        <v>100</v>
      </c>
      <c r="K125" s="833">
        <v>2571.239990234375</v>
      </c>
    </row>
    <row r="126" spans="1:11" ht="14.45" customHeight="1" x14ac:dyDescent="0.2">
      <c r="A126" s="822" t="s">
        <v>575</v>
      </c>
      <c r="B126" s="823" t="s">
        <v>576</v>
      </c>
      <c r="C126" s="826" t="s">
        <v>589</v>
      </c>
      <c r="D126" s="840" t="s">
        <v>590</v>
      </c>
      <c r="E126" s="826" t="s">
        <v>3264</v>
      </c>
      <c r="F126" s="840" t="s">
        <v>3265</v>
      </c>
      <c r="G126" s="826" t="s">
        <v>3272</v>
      </c>
      <c r="H126" s="826" t="s">
        <v>3277</v>
      </c>
      <c r="I126" s="832">
        <v>2.9050000905990601</v>
      </c>
      <c r="J126" s="832">
        <v>900</v>
      </c>
      <c r="K126" s="833">
        <v>2614</v>
      </c>
    </row>
    <row r="127" spans="1:11" ht="14.45" customHeight="1" x14ac:dyDescent="0.2">
      <c r="A127" s="822" t="s">
        <v>575</v>
      </c>
      <c r="B127" s="823" t="s">
        <v>576</v>
      </c>
      <c r="C127" s="826" t="s">
        <v>589</v>
      </c>
      <c r="D127" s="840" t="s">
        <v>590</v>
      </c>
      <c r="E127" s="826" t="s">
        <v>3264</v>
      </c>
      <c r="F127" s="840" t="s">
        <v>3265</v>
      </c>
      <c r="G127" s="826" t="s">
        <v>3278</v>
      </c>
      <c r="H127" s="826" t="s">
        <v>3279</v>
      </c>
      <c r="I127" s="832">
        <v>9.9999997764825821E-3</v>
      </c>
      <c r="J127" s="832">
        <v>3200</v>
      </c>
      <c r="K127" s="833">
        <v>32</v>
      </c>
    </row>
    <row r="128" spans="1:11" ht="14.45" customHeight="1" x14ac:dyDescent="0.2">
      <c r="A128" s="822" t="s">
        <v>575</v>
      </c>
      <c r="B128" s="823" t="s">
        <v>576</v>
      </c>
      <c r="C128" s="826" t="s">
        <v>589</v>
      </c>
      <c r="D128" s="840" t="s">
        <v>590</v>
      </c>
      <c r="E128" s="826" t="s">
        <v>3264</v>
      </c>
      <c r="F128" s="840" t="s">
        <v>3265</v>
      </c>
      <c r="G128" s="826" t="s">
        <v>3280</v>
      </c>
      <c r="H128" s="826" t="s">
        <v>3281</v>
      </c>
      <c r="I128" s="832">
        <v>6.0500001907348633</v>
      </c>
      <c r="J128" s="832">
        <v>30</v>
      </c>
      <c r="K128" s="833">
        <v>181.5</v>
      </c>
    </row>
    <row r="129" spans="1:11" ht="14.45" customHeight="1" x14ac:dyDescent="0.2">
      <c r="A129" s="822" t="s">
        <v>575</v>
      </c>
      <c r="B129" s="823" t="s">
        <v>576</v>
      </c>
      <c r="C129" s="826" t="s">
        <v>589</v>
      </c>
      <c r="D129" s="840" t="s">
        <v>590</v>
      </c>
      <c r="E129" s="826" t="s">
        <v>3264</v>
      </c>
      <c r="F129" s="840" t="s">
        <v>3265</v>
      </c>
      <c r="G129" s="826" t="s">
        <v>3278</v>
      </c>
      <c r="H129" s="826" t="s">
        <v>3282</v>
      </c>
      <c r="I129" s="832">
        <v>9.9999997764825821E-3</v>
      </c>
      <c r="J129" s="832">
        <v>1300</v>
      </c>
      <c r="K129" s="833">
        <v>13</v>
      </c>
    </row>
    <row r="130" spans="1:11" ht="14.45" customHeight="1" x14ac:dyDescent="0.2">
      <c r="A130" s="822" t="s">
        <v>575</v>
      </c>
      <c r="B130" s="823" t="s">
        <v>576</v>
      </c>
      <c r="C130" s="826" t="s">
        <v>589</v>
      </c>
      <c r="D130" s="840" t="s">
        <v>590</v>
      </c>
      <c r="E130" s="826" t="s">
        <v>3264</v>
      </c>
      <c r="F130" s="840" t="s">
        <v>3265</v>
      </c>
      <c r="G130" s="826" t="s">
        <v>3283</v>
      </c>
      <c r="H130" s="826" t="s">
        <v>3284</v>
      </c>
      <c r="I130" s="832">
        <v>1815</v>
      </c>
      <c r="J130" s="832">
        <v>5</v>
      </c>
      <c r="K130" s="833">
        <v>9075</v>
      </c>
    </row>
    <row r="131" spans="1:11" ht="14.45" customHeight="1" x14ac:dyDescent="0.2">
      <c r="A131" s="822" t="s">
        <v>575</v>
      </c>
      <c r="B131" s="823" t="s">
        <v>576</v>
      </c>
      <c r="C131" s="826" t="s">
        <v>589</v>
      </c>
      <c r="D131" s="840" t="s">
        <v>590</v>
      </c>
      <c r="E131" s="826" t="s">
        <v>3264</v>
      </c>
      <c r="F131" s="840" t="s">
        <v>3265</v>
      </c>
      <c r="G131" s="826" t="s">
        <v>3285</v>
      </c>
      <c r="H131" s="826" t="s">
        <v>3286</v>
      </c>
      <c r="I131" s="832">
        <v>713.9000244140625</v>
      </c>
      <c r="J131" s="832">
        <v>10</v>
      </c>
      <c r="K131" s="833">
        <v>7139</v>
      </c>
    </row>
    <row r="132" spans="1:11" ht="14.45" customHeight="1" x14ac:dyDescent="0.2">
      <c r="A132" s="822" t="s">
        <v>575</v>
      </c>
      <c r="B132" s="823" t="s">
        <v>576</v>
      </c>
      <c r="C132" s="826" t="s">
        <v>589</v>
      </c>
      <c r="D132" s="840" t="s">
        <v>590</v>
      </c>
      <c r="E132" s="826" t="s">
        <v>3264</v>
      </c>
      <c r="F132" s="840" t="s">
        <v>3265</v>
      </c>
      <c r="G132" s="826" t="s">
        <v>3287</v>
      </c>
      <c r="H132" s="826" t="s">
        <v>3288</v>
      </c>
      <c r="I132" s="832">
        <v>4348.08984375</v>
      </c>
      <c r="J132" s="832">
        <v>1</v>
      </c>
      <c r="K132" s="833">
        <v>4348.08984375</v>
      </c>
    </row>
    <row r="133" spans="1:11" ht="14.45" customHeight="1" x14ac:dyDescent="0.2">
      <c r="A133" s="822" t="s">
        <v>575</v>
      </c>
      <c r="B133" s="823" t="s">
        <v>576</v>
      </c>
      <c r="C133" s="826" t="s">
        <v>589</v>
      </c>
      <c r="D133" s="840" t="s">
        <v>590</v>
      </c>
      <c r="E133" s="826" t="s">
        <v>3264</v>
      </c>
      <c r="F133" s="840" t="s">
        <v>3265</v>
      </c>
      <c r="G133" s="826" t="s">
        <v>3289</v>
      </c>
      <c r="H133" s="826" t="s">
        <v>3290</v>
      </c>
      <c r="I133" s="832">
        <v>4.4300001462300616</v>
      </c>
      <c r="J133" s="832">
        <v>4500</v>
      </c>
      <c r="K133" s="833">
        <v>19856.9599609375</v>
      </c>
    </row>
    <row r="134" spans="1:11" ht="14.45" customHeight="1" x14ac:dyDescent="0.2">
      <c r="A134" s="822" t="s">
        <v>575</v>
      </c>
      <c r="B134" s="823" t="s">
        <v>576</v>
      </c>
      <c r="C134" s="826" t="s">
        <v>589</v>
      </c>
      <c r="D134" s="840" t="s">
        <v>590</v>
      </c>
      <c r="E134" s="826" t="s">
        <v>3264</v>
      </c>
      <c r="F134" s="840" t="s">
        <v>3265</v>
      </c>
      <c r="G134" s="826" t="s">
        <v>3289</v>
      </c>
      <c r="H134" s="826" t="s">
        <v>3291</v>
      </c>
      <c r="I134" s="832">
        <v>4.3600001335144043</v>
      </c>
      <c r="J134" s="832">
        <v>2700</v>
      </c>
      <c r="K134" s="833">
        <v>11761.19970703125</v>
      </c>
    </row>
    <row r="135" spans="1:11" ht="14.45" customHeight="1" x14ac:dyDescent="0.2">
      <c r="A135" s="822" t="s">
        <v>575</v>
      </c>
      <c r="B135" s="823" t="s">
        <v>576</v>
      </c>
      <c r="C135" s="826" t="s">
        <v>589</v>
      </c>
      <c r="D135" s="840" t="s">
        <v>590</v>
      </c>
      <c r="E135" s="826" t="s">
        <v>3264</v>
      </c>
      <c r="F135" s="840" t="s">
        <v>3265</v>
      </c>
      <c r="G135" s="826" t="s">
        <v>3292</v>
      </c>
      <c r="H135" s="826" t="s">
        <v>3293</v>
      </c>
      <c r="I135" s="832">
        <v>21.219999313354492</v>
      </c>
      <c r="J135" s="832">
        <v>50</v>
      </c>
      <c r="K135" s="833">
        <v>1061.1800537109375</v>
      </c>
    </row>
    <row r="136" spans="1:11" ht="14.45" customHeight="1" x14ac:dyDescent="0.2">
      <c r="A136" s="822" t="s">
        <v>575</v>
      </c>
      <c r="B136" s="823" t="s">
        <v>576</v>
      </c>
      <c r="C136" s="826" t="s">
        <v>589</v>
      </c>
      <c r="D136" s="840" t="s">
        <v>590</v>
      </c>
      <c r="E136" s="826" t="s">
        <v>3264</v>
      </c>
      <c r="F136" s="840" t="s">
        <v>3265</v>
      </c>
      <c r="G136" s="826" t="s">
        <v>3294</v>
      </c>
      <c r="H136" s="826" t="s">
        <v>3295</v>
      </c>
      <c r="I136" s="832">
        <v>11.146249890327454</v>
      </c>
      <c r="J136" s="832">
        <v>1650</v>
      </c>
      <c r="K136" s="833">
        <v>18389.5</v>
      </c>
    </row>
    <row r="137" spans="1:11" ht="14.45" customHeight="1" x14ac:dyDescent="0.2">
      <c r="A137" s="822" t="s">
        <v>575</v>
      </c>
      <c r="B137" s="823" t="s">
        <v>576</v>
      </c>
      <c r="C137" s="826" t="s">
        <v>589</v>
      </c>
      <c r="D137" s="840" t="s">
        <v>590</v>
      </c>
      <c r="E137" s="826" t="s">
        <v>3264</v>
      </c>
      <c r="F137" s="840" t="s">
        <v>3265</v>
      </c>
      <c r="G137" s="826" t="s">
        <v>3294</v>
      </c>
      <c r="H137" s="826" t="s">
        <v>3296</v>
      </c>
      <c r="I137" s="832">
        <v>11.140000343322754</v>
      </c>
      <c r="J137" s="832">
        <v>750</v>
      </c>
      <c r="K137" s="833">
        <v>8355</v>
      </c>
    </row>
    <row r="138" spans="1:11" ht="14.45" customHeight="1" x14ac:dyDescent="0.2">
      <c r="A138" s="822" t="s">
        <v>575</v>
      </c>
      <c r="B138" s="823" t="s">
        <v>576</v>
      </c>
      <c r="C138" s="826" t="s">
        <v>589</v>
      </c>
      <c r="D138" s="840" t="s">
        <v>590</v>
      </c>
      <c r="E138" s="826" t="s">
        <v>3264</v>
      </c>
      <c r="F138" s="840" t="s">
        <v>3265</v>
      </c>
      <c r="G138" s="826" t="s">
        <v>3297</v>
      </c>
      <c r="H138" s="826" t="s">
        <v>3298</v>
      </c>
      <c r="I138" s="832">
        <v>140.36000061035156</v>
      </c>
      <c r="J138" s="832">
        <v>3</v>
      </c>
      <c r="K138" s="833">
        <v>421.07998657226563</v>
      </c>
    </row>
    <row r="139" spans="1:11" ht="14.45" customHeight="1" x14ac:dyDescent="0.2">
      <c r="A139" s="822" t="s">
        <v>575</v>
      </c>
      <c r="B139" s="823" t="s">
        <v>576</v>
      </c>
      <c r="C139" s="826" t="s">
        <v>589</v>
      </c>
      <c r="D139" s="840" t="s">
        <v>590</v>
      </c>
      <c r="E139" s="826" t="s">
        <v>3264</v>
      </c>
      <c r="F139" s="840" t="s">
        <v>3265</v>
      </c>
      <c r="G139" s="826" t="s">
        <v>3297</v>
      </c>
      <c r="H139" s="826" t="s">
        <v>3299</v>
      </c>
      <c r="I139" s="832">
        <v>140.35000610351563</v>
      </c>
      <c r="J139" s="832">
        <v>4</v>
      </c>
      <c r="K139" s="833">
        <v>561.4000244140625</v>
      </c>
    </row>
    <row r="140" spans="1:11" ht="14.45" customHeight="1" x14ac:dyDescent="0.2">
      <c r="A140" s="822" t="s">
        <v>575</v>
      </c>
      <c r="B140" s="823" t="s">
        <v>576</v>
      </c>
      <c r="C140" s="826" t="s">
        <v>589</v>
      </c>
      <c r="D140" s="840" t="s">
        <v>590</v>
      </c>
      <c r="E140" s="826" t="s">
        <v>3264</v>
      </c>
      <c r="F140" s="840" t="s">
        <v>3265</v>
      </c>
      <c r="G140" s="826" t="s">
        <v>3300</v>
      </c>
      <c r="H140" s="826" t="s">
        <v>3301</v>
      </c>
      <c r="I140" s="832">
        <v>54.450000762939453</v>
      </c>
      <c r="J140" s="832">
        <v>3</v>
      </c>
      <c r="K140" s="833">
        <v>163.35000610351563</v>
      </c>
    </row>
    <row r="141" spans="1:11" ht="14.45" customHeight="1" x14ac:dyDescent="0.2">
      <c r="A141" s="822" t="s">
        <v>575</v>
      </c>
      <c r="B141" s="823" t="s">
        <v>576</v>
      </c>
      <c r="C141" s="826" t="s">
        <v>589</v>
      </c>
      <c r="D141" s="840" t="s">
        <v>590</v>
      </c>
      <c r="E141" s="826" t="s">
        <v>3264</v>
      </c>
      <c r="F141" s="840" t="s">
        <v>3265</v>
      </c>
      <c r="G141" s="826" t="s">
        <v>3302</v>
      </c>
      <c r="H141" s="826" t="s">
        <v>3303</v>
      </c>
      <c r="I141" s="832">
        <v>5.2600002288818359</v>
      </c>
      <c r="J141" s="832">
        <v>3000</v>
      </c>
      <c r="K141" s="833">
        <v>15780</v>
      </c>
    </row>
    <row r="142" spans="1:11" ht="14.45" customHeight="1" x14ac:dyDescent="0.2">
      <c r="A142" s="822" t="s">
        <v>575</v>
      </c>
      <c r="B142" s="823" t="s">
        <v>576</v>
      </c>
      <c r="C142" s="826" t="s">
        <v>589</v>
      </c>
      <c r="D142" s="840" t="s">
        <v>590</v>
      </c>
      <c r="E142" s="826" t="s">
        <v>3264</v>
      </c>
      <c r="F142" s="840" t="s">
        <v>3265</v>
      </c>
      <c r="G142" s="826" t="s">
        <v>3304</v>
      </c>
      <c r="H142" s="826" t="s">
        <v>3305</v>
      </c>
      <c r="I142" s="832">
        <v>8.2299995422363281</v>
      </c>
      <c r="J142" s="832">
        <v>200</v>
      </c>
      <c r="K142" s="833">
        <v>1646</v>
      </c>
    </row>
    <row r="143" spans="1:11" ht="14.45" customHeight="1" x14ac:dyDescent="0.2">
      <c r="A143" s="822" t="s">
        <v>575</v>
      </c>
      <c r="B143" s="823" t="s">
        <v>576</v>
      </c>
      <c r="C143" s="826" t="s">
        <v>589</v>
      </c>
      <c r="D143" s="840" t="s">
        <v>590</v>
      </c>
      <c r="E143" s="826" t="s">
        <v>3264</v>
      </c>
      <c r="F143" s="840" t="s">
        <v>3265</v>
      </c>
      <c r="G143" s="826" t="s">
        <v>3306</v>
      </c>
      <c r="H143" s="826" t="s">
        <v>3307</v>
      </c>
      <c r="I143" s="832">
        <v>3.4800000190734863</v>
      </c>
      <c r="J143" s="832">
        <v>250</v>
      </c>
      <c r="K143" s="833">
        <v>870</v>
      </c>
    </row>
    <row r="144" spans="1:11" ht="14.45" customHeight="1" x14ac:dyDescent="0.2">
      <c r="A144" s="822" t="s">
        <v>575</v>
      </c>
      <c r="B144" s="823" t="s">
        <v>576</v>
      </c>
      <c r="C144" s="826" t="s">
        <v>589</v>
      </c>
      <c r="D144" s="840" t="s">
        <v>590</v>
      </c>
      <c r="E144" s="826" t="s">
        <v>3264</v>
      </c>
      <c r="F144" s="840" t="s">
        <v>3265</v>
      </c>
      <c r="G144" s="826" t="s">
        <v>3308</v>
      </c>
      <c r="H144" s="826" t="s">
        <v>3309</v>
      </c>
      <c r="I144" s="832">
        <v>26.010000228881836</v>
      </c>
      <c r="J144" s="832">
        <v>75</v>
      </c>
      <c r="K144" s="833">
        <v>1951</v>
      </c>
    </row>
    <row r="145" spans="1:11" ht="14.45" customHeight="1" x14ac:dyDescent="0.2">
      <c r="A145" s="822" t="s">
        <v>575</v>
      </c>
      <c r="B145" s="823" t="s">
        <v>576</v>
      </c>
      <c r="C145" s="826" t="s">
        <v>589</v>
      </c>
      <c r="D145" s="840" t="s">
        <v>590</v>
      </c>
      <c r="E145" s="826" t="s">
        <v>3264</v>
      </c>
      <c r="F145" s="840" t="s">
        <v>3265</v>
      </c>
      <c r="G145" s="826" t="s">
        <v>3308</v>
      </c>
      <c r="H145" s="826" t="s">
        <v>3310</v>
      </c>
      <c r="I145" s="832">
        <v>26.020000457763672</v>
      </c>
      <c r="J145" s="832">
        <v>100</v>
      </c>
      <c r="K145" s="833">
        <v>2601.5</v>
      </c>
    </row>
    <row r="146" spans="1:11" ht="14.45" customHeight="1" x14ac:dyDescent="0.2">
      <c r="A146" s="822" t="s">
        <v>575</v>
      </c>
      <c r="B146" s="823" t="s">
        <v>576</v>
      </c>
      <c r="C146" s="826" t="s">
        <v>589</v>
      </c>
      <c r="D146" s="840" t="s">
        <v>590</v>
      </c>
      <c r="E146" s="826" t="s">
        <v>3264</v>
      </c>
      <c r="F146" s="840" t="s">
        <v>3265</v>
      </c>
      <c r="G146" s="826" t="s">
        <v>3311</v>
      </c>
      <c r="H146" s="826" t="s">
        <v>3312</v>
      </c>
      <c r="I146" s="832">
        <v>27.840000152587891</v>
      </c>
      <c r="J146" s="832">
        <v>50</v>
      </c>
      <c r="K146" s="833">
        <v>1392.1099853515625</v>
      </c>
    </row>
    <row r="147" spans="1:11" ht="14.45" customHeight="1" x14ac:dyDescent="0.2">
      <c r="A147" s="822" t="s">
        <v>575</v>
      </c>
      <c r="B147" s="823" t="s">
        <v>576</v>
      </c>
      <c r="C147" s="826" t="s">
        <v>589</v>
      </c>
      <c r="D147" s="840" t="s">
        <v>590</v>
      </c>
      <c r="E147" s="826" t="s">
        <v>3264</v>
      </c>
      <c r="F147" s="840" t="s">
        <v>3265</v>
      </c>
      <c r="G147" s="826" t="s">
        <v>3302</v>
      </c>
      <c r="H147" s="826" t="s">
        <v>3313</v>
      </c>
      <c r="I147" s="832">
        <v>5.4499998092651367</v>
      </c>
      <c r="J147" s="832">
        <v>1600</v>
      </c>
      <c r="K147" s="833">
        <v>8720</v>
      </c>
    </row>
    <row r="148" spans="1:11" ht="14.45" customHeight="1" x14ac:dyDescent="0.2">
      <c r="A148" s="822" t="s">
        <v>575</v>
      </c>
      <c r="B148" s="823" t="s">
        <v>576</v>
      </c>
      <c r="C148" s="826" t="s">
        <v>589</v>
      </c>
      <c r="D148" s="840" t="s">
        <v>590</v>
      </c>
      <c r="E148" s="826" t="s">
        <v>3264</v>
      </c>
      <c r="F148" s="840" t="s">
        <v>3265</v>
      </c>
      <c r="G148" s="826" t="s">
        <v>3304</v>
      </c>
      <c r="H148" s="826" t="s">
        <v>3314</v>
      </c>
      <c r="I148" s="832">
        <v>7.6849997043609619</v>
      </c>
      <c r="J148" s="832">
        <v>569</v>
      </c>
      <c r="K148" s="833">
        <v>4279.35009765625</v>
      </c>
    </row>
    <row r="149" spans="1:11" ht="14.45" customHeight="1" x14ac:dyDescent="0.2">
      <c r="A149" s="822" t="s">
        <v>575</v>
      </c>
      <c r="B149" s="823" t="s">
        <v>576</v>
      </c>
      <c r="C149" s="826" t="s">
        <v>589</v>
      </c>
      <c r="D149" s="840" t="s">
        <v>590</v>
      </c>
      <c r="E149" s="826" t="s">
        <v>3264</v>
      </c>
      <c r="F149" s="840" t="s">
        <v>3265</v>
      </c>
      <c r="G149" s="826" t="s">
        <v>3308</v>
      </c>
      <c r="H149" s="826" t="s">
        <v>3315</v>
      </c>
      <c r="I149" s="832">
        <v>26.015000343322754</v>
      </c>
      <c r="J149" s="832">
        <v>125</v>
      </c>
      <c r="K149" s="833">
        <v>3251.5098876953125</v>
      </c>
    </row>
    <row r="150" spans="1:11" ht="14.45" customHeight="1" x14ac:dyDescent="0.2">
      <c r="A150" s="822" t="s">
        <v>575</v>
      </c>
      <c r="B150" s="823" t="s">
        <v>576</v>
      </c>
      <c r="C150" s="826" t="s">
        <v>589</v>
      </c>
      <c r="D150" s="840" t="s">
        <v>590</v>
      </c>
      <c r="E150" s="826" t="s">
        <v>3264</v>
      </c>
      <c r="F150" s="840" t="s">
        <v>3265</v>
      </c>
      <c r="G150" s="826" t="s">
        <v>3316</v>
      </c>
      <c r="H150" s="826" t="s">
        <v>3317</v>
      </c>
      <c r="I150" s="832">
        <v>21.899999618530273</v>
      </c>
      <c r="J150" s="832">
        <v>200</v>
      </c>
      <c r="K150" s="833">
        <v>4380.2001953125</v>
      </c>
    </row>
    <row r="151" spans="1:11" ht="14.45" customHeight="1" x14ac:dyDescent="0.2">
      <c r="A151" s="822" t="s">
        <v>575</v>
      </c>
      <c r="B151" s="823" t="s">
        <v>576</v>
      </c>
      <c r="C151" s="826" t="s">
        <v>589</v>
      </c>
      <c r="D151" s="840" t="s">
        <v>590</v>
      </c>
      <c r="E151" s="826" t="s">
        <v>3264</v>
      </c>
      <c r="F151" s="840" t="s">
        <v>3265</v>
      </c>
      <c r="G151" s="826" t="s">
        <v>3316</v>
      </c>
      <c r="H151" s="826" t="s">
        <v>3318</v>
      </c>
      <c r="I151" s="832">
        <v>21.899999618530273</v>
      </c>
      <c r="J151" s="832">
        <v>200</v>
      </c>
      <c r="K151" s="833">
        <v>4380.2001953125</v>
      </c>
    </row>
    <row r="152" spans="1:11" ht="14.45" customHeight="1" x14ac:dyDescent="0.2">
      <c r="A152" s="822" t="s">
        <v>575</v>
      </c>
      <c r="B152" s="823" t="s">
        <v>576</v>
      </c>
      <c r="C152" s="826" t="s">
        <v>589</v>
      </c>
      <c r="D152" s="840" t="s">
        <v>590</v>
      </c>
      <c r="E152" s="826" t="s">
        <v>3264</v>
      </c>
      <c r="F152" s="840" t="s">
        <v>3265</v>
      </c>
      <c r="G152" s="826" t="s">
        <v>3319</v>
      </c>
      <c r="H152" s="826" t="s">
        <v>3320</v>
      </c>
      <c r="I152" s="832">
        <v>21.899999618530273</v>
      </c>
      <c r="J152" s="832">
        <v>250</v>
      </c>
      <c r="K152" s="833">
        <v>5475.250244140625</v>
      </c>
    </row>
    <row r="153" spans="1:11" ht="14.45" customHeight="1" x14ac:dyDescent="0.2">
      <c r="A153" s="822" t="s">
        <v>575</v>
      </c>
      <c r="B153" s="823" t="s">
        <v>576</v>
      </c>
      <c r="C153" s="826" t="s">
        <v>589</v>
      </c>
      <c r="D153" s="840" t="s">
        <v>590</v>
      </c>
      <c r="E153" s="826" t="s">
        <v>3264</v>
      </c>
      <c r="F153" s="840" t="s">
        <v>3265</v>
      </c>
      <c r="G153" s="826" t="s">
        <v>3319</v>
      </c>
      <c r="H153" s="826" t="s">
        <v>3321</v>
      </c>
      <c r="I153" s="832">
        <v>21.899999618530273</v>
      </c>
      <c r="J153" s="832">
        <v>200</v>
      </c>
      <c r="K153" s="833">
        <v>4380.2001953125</v>
      </c>
    </row>
    <row r="154" spans="1:11" ht="14.45" customHeight="1" x14ac:dyDescent="0.2">
      <c r="A154" s="822" t="s">
        <v>575</v>
      </c>
      <c r="B154" s="823" t="s">
        <v>576</v>
      </c>
      <c r="C154" s="826" t="s">
        <v>589</v>
      </c>
      <c r="D154" s="840" t="s">
        <v>590</v>
      </c>
      <c r="E154" s="826" t="s">
        <v>3264</v>
      </c>
      <c r="F154" s="840" t="s">
        <v>3265</v>
      </c>
      <c r="G154" s="826" t="s">
        <v>3322</v>
      </c>
      <c r="H154" s="826" t="s">
        <v>3323</v>
      </c>
      <c r="I154" s="832">
        <v>17.979999542236328</v>
      </c>
      <c r="J154" s="832">
        <v>50</v>
      </c>
      <c r="K154" s="833">
        <v>899.030029296875</v>
      </c>
    </row>
    <row r="155" spans="1:11" ht="14.45" customHeight="1" x14ac:dyDescent="0.2">
      <c r="A155" s="822" t="s">
        <v>575</v>
      </c>
      <c r="B155" s="823" t="s">
        <v>576</v>
      </c>
      <c r="C155" s="826" t="s">
        <v>589</v>
      </c>
      <c r="D155" s="840" t="s">
        <v>590</v>
      </c>
      <c r="E155" s="826" t="s">
        <v>3264</v>
      </c>
      <c r="F155" s="840" t="s">
        <v>3265</v>
      </c>
      <c r="G155" s="826" t="s">
        <v>3324</v>
      </c>
      <c r="H155" s="826" t="s">
        <v>3325</v>
      </c>
      <c r="I155" s="832">
        <v>17.979999542236328</v>
      </c>
      <c r="J155" s="832">
        <v>50</v>
      </c>
      <c r="K155" s="833">
        <v>899</v>
      </c>
    </row>
    <row r="156" spans="1:11" ht="14.45" customHeight="1" x14ac:dyDescent="0.2">
      <c r="A156" s="822" t="s">
        <v>575</v>
      </c>
      <c r="B156" s="823" t="s">
        <v>576</v>
      </c>
      <c r="C156" s="826" t="s">
        <v>589</v>
      </c>
      <c r="D156" s="840" t="s">
        <v>590</v>
      </c>
      <c r="E156" s="826" t="s">
        <v>3264</v>
      </c>
      <c r="F156" s="840" t="s">
        <v>3265</v>
      </c>
      <c r="G156" s="826" t="s">
        <v>3326</v>
      </c>
      <c r="H156" s="826" t="s">
        <v>3327</v>
      </c>
      <c r="I156" s="832">
        <v>16.700000762939453</v>
      </c>
      <c r="J156" s="832">
        <v>12</v>
      </c>
      <c r="K156" s="833">
        <v>200.3800048828125</v>
      </c>
    </row>
    <row r="157" spans="1:11" ht="14.45" customHeight="1" x14ac:dyDescent="0.2">
      <c r="A157" s="822" t="s">
        <v>575</v>
      </c>
      <c r="B157" s="823" t="s">
        <v>576</v>
      </c>
      <c r="C157" s="826" t="s">
        <v>589</v>
      </c>
      <c r="D157" s="840" t="s">
        <v>590</v>
      </c>
      <c r="E157" s="826" t="s">
        <v>3264</v>
      </c>
      <c r="F157" s="840" t="s">
        <v>3265</v>
      </c>
      <c r="G157" s="826" t="s">
        <v>3328</v>
      </c>
      <c r="H157" s="826" t="s">
        <v>3329</v>
      </c>
      <c r="I157" s="832">
        <v>13.199999809265137</v>
      </c>
      <c r="J157" s="832">
        <v>10</v>
      </c>
      <c r="K157" s="833">
        <v>132</v>
      </c>
    </row>
    <row r="158" spans="1:11" ht="14.45" customHeight="1" x14ac:dyDescent="0.2">
      <c r="A158" s="822" t="s">
        <v>575</v>
      </c>
      <c r="B158" s="823" t="s">
        <v>576</v>
      </c>
      <c r="C158" s="826" t="s">
        <v>589</v>
      </c>
      <c r="D158" s="840" t="s">
        <v>590</v>
      </c>
      <c r="E158" s="826" t="s">
        <v>3264</v>
      </c>
      <c r="F158" s="840" t="s">
        <v>3265</v>
      </c>
      <c r="G158" s="826" t="s">
        <v>3330</v>
      </c>
      <c r="H158" s="826" t="s">
        <v>3331</v>
      </c>
      <c r="I158" s="832">
        <v>13.204999923706055</v>
      </c>
      <c r="J158" s="832">
        <v>30</v>
      </c>
      <c r="K158" s="833">
        <v>396.10000610351563</v>
      </c>
    </row>
    <row r="159" spans="1:11" ht="14.45" customHeight="1" x14ac:dyDescent="0.2">
      <c r="A159" s="822" t="s">
        <v>575</v>
      </c>
      <c r="B159" s="823" t="s">
        <v>576</v>
      </c>
      <c r="C159" s="826" t="s">
        <v>589</v>
      </c>
      <c r="D159" s="840" t="s">
        <v>590</v>
      </c>
      <c r="E159" s="826" t="s">
        <v>3264</v>
      </c>
      <c r="F159" s="840" t="s">
        <v>3265</v>
      </c>
      <c r="G159" s="826" t="s">
        <v>3332</v>
      </c>
      <c r="H159" s="826" t="s">
        <v>3333</v>
      </c>
      <c r="I159" s="832">
        <v>13.204999923706055</v>
      </c>
      <c r="J159" s="832">
        <v>20</v>
      </c>
      <c r="K159" s="833">
        <v>264.10000610351563</v>
      </c>
    </row>
    <row r="160" spans="1:11" ht="14.45" customHeight="1" x14ac:dyDescent="0.2">
      <c r="A160" s="822" t="s">
        <v>575</v>
      </c>
      <c r="B160" s="823" t="s">
        <v>576</v>
      </c>
      <c r="C160" s="826" t="s">
        <v>589</v>
      </c>
      <c r="D160" s="840" t="s">
        <v>590</v>
      </c>
      <c r="E160" s="826" t="s">
        <v>3264</v>
      </c>
      <c r="F160" s="840" t="s">
        <v>3265</v>
      </c>
      <c r="G160" s="826" t="s">
        <v>3328</v>
      </c>
      <c r="H160" s="826" t="s">
        <v>3334</v>
      </c>
      <c r="I160" s="832">
        <v>13.199999809265137</v>
      </c>
      <c r="J160" s="832">
        <v>10</v>
      </c>
      <c r="K160" s="833">
        <v>132</v>
      </c>
    </row>
    <row r="161" spans="1:11" ht="14.45" customHeight="1" x14ac:dyDescent="0.2">
      <c r="A161" s="822" t="s">
        <v>575</v>
      </c>
      <c r="B161" s="823" t="s">
        <v>576</v>
      </c>
      <c r="C161" s="826" t="s">
        <v>589</v>
      </c>
      <c r="D161" s="840" t="s">
        <v>590</v>
      </c>
      <c r="E161" s="826" t="s">
        <v>3264</v>
      </c>
      <c r="F161" s="840" t="s">
        <v>3265</v>
      </c>
      <c r="G161" s="826" t="s">
        <v>3330</v>
      </c>
      <c r="H161" s="826" t="s">
        <v>3335</v>
      </c>
      <c r="I161" s="832">
        <v>13.199999809265137</v>
      </c>
      <c r="J161" s="832">
        <v>20</v>
      </c>
      <c r="K161" s="833">
        <v>264</v>
      </c>
    </row>
    <row r="162" spans="1:11" ht="14.45" customHeight="1" x14ac:dyDescent="0.2">
      <c r="A162" s="822" t="s">
        <v>575</v>
      </c>
      <c r="B162" s="823" t="s">
        <v>576</v>
      </c>
      <c r="C162" s="826" t="s">
        <v>589</v>
      </c>
      <c r="D162" s="840" t="s">
        <v>590</v>
      </c>
      <c r="E162" s="826" t="s">
        <v>3264</v>
      </c>
      <c r="F162" s="840" t="s">
        <v>3265</v>
      </c>
      <c r="G162" s="826" t="s">
        <v>3332</v>
      </c>
      <c r="H162" s="826" t="s">
        <v>3336</v>
      </c>
      <c r="I162" s="832">
        <v>13.199999809265137</v>
      </c>
      <c r="J162" s="832">
        <v>10</v>
      </c>
      <c r="K162" s="833">
        <v>132</v>
      </c>
    </row>
    <row r="163" spans="1:11" ht="14.45" customHeight="1" x14ac:dyDescent="0.2">
      <c r="A163" s="822" t="s">
        <v>575</v>
      </c>
      <c r="B163" s="823" t="s">
        <v>576</v>
      </c>
      <c r="C163" s="826" t="s">
        <v>589</v>
      </c>
      <c r="D163" s="840" t="s">
        <v>590</v>
      </c>
      <c r="E163" s="826" t="s">
        <v>3264</v>
      </c>
      <c r="F163" s="840" t="s">
        <v>3265</v>
      </c>
      <c r="G163" s="826" t="s">
        <v>3337</v>
      </c>
      <c r="H163" s="826" t="s">
        <v>3338</v>
      </c>
      <c r="I163" s="832">
        <v>13.199999809265137</v>
      </c>
      <c r="J163" s="832">
        <v>10</v>
      </c>
      <c r="K163" s="833">
        <v>132</v>
      </c>
    </row>
    <row r="164" spans="1:11" ht="14.45" customHeight="1" x14ac:dyDescent="0.2">
      <c r="A164" s="822" t="s">
        <v>575</v>
      </c>
      <c r="B164" s="823" t="s">
        <v>576</v>
      </c>
      <c r="C164" s="826" t="s">
        <v>589</v>
      </c>
      <c r="D164" s="840" t="s">
        <v>590</v>
      </c>
      <c r="E164" s="826" t="s">
        <v>3264</v>
      </c>
      <c r="F164" s="840" t="s">
        <v>3265</v>
      </c>
      <c r="G164" s="826" t="s">
        <v>3339</v>
      </c>
      <c r="H164" s="826" t="s">
        <v>3340</v>
      </c>
      <c r="I164" s="832">
        <v>22.870000839233398</v>
      </c>
      <c r="J164" s="832">
        <v>12</v>
      </c>
      <c r="K164" s="833">
        <v>274.44000244140625</v>
      </c>
    </row>
    <row r="165" spans="1:11" ht="14.45" customHeight="1" x14ac:dyDescent="0.2">
      <c r="A165" s="822" t="s">
        <v>575</v>
      </c>
      <c r="B165" s="823" t="s">
        <v>576</v>
      </c>
      <c r="C165" s="826" t="s">
        <v>589</v>
      </c>
      <c r="D165" s="840" t="s">
        <v>590</v>
      </c>
      <c r="E165" s="826" t="s">
        <v>3264</v>
      </c>
      <c r="F165" s="840" t="s">
        <v>3265</v>
      </c>
      <c r="G165" s="826" t="s">
        <v>3341</v>
      </c>
      <c r="H165" s="826" t="s">
        <v>3342</v>
      </c>
      <c r="I165" s="832">
        <v>4.0280001640319822</v>
      </c>
      <c r="J165" s="832">
        <v>450</v>
      </c>
      <c r="K165" s="833">
        <v>1812.5</v>
      </c>
    </row>
    <row r="166" spans="1:11" ht="14.45" customHeight="1" x14ac:dyDescent="0.2">
      <c r="A166" s="822" t="s">
        <v>575</v>
      </c>
      <c r="B166" s="823" t="s">
        <v>576</v>
      </c>
      <c r="C166" s="826" t="s">
        <v>589</v>
      </c>
      <c r="D166" s="840" t="s">
        <v>590</v>
      </c>
      <c r="E166" s="826" t="s">
        <v>3264</v>
      </c>
      <c r="F166" s="840" t="s">
        <v>3265</v>
      </c>
      <c r="G166" s="826" t="s">
        <v>3341</v>
      </c>
      <c r="H166" s="826" t="s">
        <v>3343</v>
      </c>
      <c r="I166" s="832">
        <v>4.0250000953674316</v>
      </c>
      <c r="J166" s="832">
        <v>350</v>
      </c>
      <c r="K166" s="833">
        <v>1408.5</v>
      </c>
    </row>
    <row r="167" spans="1:11" ht="14.45" customHeight="1" x14ac:dyDescent="0.2">
      <c r="A167" s="822" t="s">
        <v>575</v>
      </c>
      <c r="B167" s="823" t="s">
        <v>576</v>
      </c>
      <c r="C167" s="826" t="s">
        <v>589</v>
      </c>
      <c r="D167" s="840" t="s">
        <v>590</v>
      </c>
      <c r="E167" s="826" t="s">
        <v>3264</v>
      </c>
      <c r="F167" s="840" t="s">
        <v>3265</v>
      </c>
      <c r="G167" s="826" t="s">
        <v>3344</v>
      </c>
      <c r="H167" s="826" t="s">
        <v>3345</v>
      </c>
      <c r="I167" s="832">
        <v>7.8683332602183027</v>
      </c>
      <c r="J167" s="832">
        <v>1300</v>
      </c>
      <c r="K167" s="833">
        <v>10230</v>
      </c>
    </row>
    <row r="168" spans="1:11" ht="14.45" customHeight="1" x14ac:dyDescent="0.2">
      <c r="A168" s="822" t="s">
        <v>575</v>
      </c>
      <c r="B168" s="823" t="s">
        <v>576</v>
      </c>
      <c r="C168" s="826" t="s">
        <v>589</v>
      </c>
      <c r="D168" s="840" t="s">
        <v>590</v>
      </c>
      <c r="E168" s="826" t="s">
        <v>3264</v>
      </c>
      <c r="F168" s="840" t="s">
        <v>3265</v>
      </c>
      <c r="G168" s="826" t="s">
        <v>3344</v>
      </c>
      <c r="H168" s="826" t="s">
        <v>3346</v>
      </c>
      <c r="I168" s="832">
        <v>8.8459999084472649</v>
      </c>
      <c r="J168" s="832">
        <v>1200</v>
      </c>
      <c r="K168" s="833">
        <v>10421</v>
      </c>
    </row>
    <row r="169" spans="1:11" ht="14.45" customHeight="1" x14ac:dyDescent="0.2">
      <c r="A169" s="822" t="s">
        <v>575</v>
      </c>
      <c r="B169" s="823" t="s">
        <v>576</v>
      </c>
      <c r="C169" s="826" t="s">
        <v>589</v>
      </c>
      <c r="D169" s="840" t="s">
        <v>590</v>
      </c>
      <c r="E169" s="826" t="s">
        <v>3264</v>
      </c>
      <c r="F169" s="840" t="s">
        <v>3265</v>
      </c>
      <c r="G169" s="826" t="s">
        <v>3347</v>
      </c>
      <c r="H169" s="826" t="s">
        <v>3348</v>
      </c>
      <c r="I169" s="832">
        <v>14.220000267028809</v>
      </c>
      <c r="J169" s="832">
        <v>400</v>
      </c>
      <c r="K169" s="833">
        <v>5689.27978515625</v>
      </c>
    </row>
    <row r="170" spans="1:11" ht="14.45" customHeight="1" x14ac:dyDescent="0.2">
      <c r="A170" s="822" t="s">
        <v>575</v>
      </c>
      <c r="B170" s="823" t="s">
        <v>576</v>
      </c>
      <c r="C170" s="826" t="s">
        <v>589</v>
      </c>
      <c r="D170" s="840" t="s">
        <v>590</v>
      </c>
      <c r="E170" s="826" t="s">
        <v>3264</v>
      </c>
      <c r="F170" s="840" t="s">
        <v>3265</v>
      </c>
      <c r="G170" s="826" t="s">
        <v>3349</v>
      </c>
      <c r="H170" s="826" t="s">
        <v>3350</v>
      </c>
      <c r="I170" s="832">
        <v>35.090000152587891</v>
      </c>
      <c r="J170" s="832">
        <v>12</v>
      </c>
      <c r="K170" s="833">
        <v>421.07999420166016</v>
      </c>
    </row>
    <row r="171" spans="1:11" ht="14.45" customHeight="1" x14ac:dyDescent="0.2">
      <c r="A171" s="822" t="s">
        <v>575</v>
      </c>
      <c r="B171" s="823" t="s">
        <v>576</v>
      </c>
      <c r="C171" s="826" t="s">
        <v>589</v>
      </c>
      <c r="D171" s="840" t="s">
        <v>590</v>
      </c>
      <c r="E171" s="826" t="s">
        <v>3264</v>
      </c>
      <c r="F171" s="840" t="s">
        <v>3265</v>
      </c>
      <c r="G171" s="826" t="s">
        <v>3351</v>
      </c>
      <c r="H171" s="826" t="s">
        <v>3352</v>
      </c>
      <c r="I171" s="832">
        <v>32.310001373291016</v>
      </c>
      <c r="J171" s="832">
        <v>50</v>
      </c>
      <c r="K171" s="833">
        <v>1615.4499816894531</v>
      </c>
    </row>
    <row r="172" spans="1:11" ht="14.45" customHeight="1" x14ac:dyDescent="0.2">
      <c r="A172" s="822" t="s">
        <v>575</v>
      </c>
      <c r="B172" s="823" t="s">
        <v>576</v>
      </c>
      <c r="C172" s="826" t="s">
        <v>589</v>
      </c>
      <c r="D172" s="840" t="s">
        <v>590</v>
      </c>
      <c r="E172" s="826" t="s">
        <v>3264</v>
      </c>
      <c r="F172" s="840" t="s">
        <v>3265</v>
      </c>
      <c r="G172" s="826" t="s">
        <v>3353</v>
      </c>
      <c r="H172" s="826" t="s">
        <v>3354</v>
      </c>
      <c r="I172" s="832">
        <v>61.709999084472656</v>
      </c>
      <c r="J172" s="832">
        <v>30</v>
      </c>
      <c r="K172" s="833">
        <v>1851.300048828125</v>
      </c>
    </row>
    <row r="173" spans="1:11" ht="14.45" customHeight="1" x14ac:dyDescent="0.2">
      <c r="A173" s="822" t="s">
        <v>575</v>
      </c>
      <c r="B173" s="823" t="s">
        <v>576</v>
      </c>
      <c r="C173" s="826" t="s">
        <v>589</v>
      </c>
      <c r="D173" s="840" t="s">
        <v>590</v>
      </c>
      <c r="E173" s="826" t="s">
        <v>3264</v>
      </c>
      <c r="F173" s="840" t="s">
        <v>3265</v>
      </c>
      <c r="G173" s="826" t="s">
        <v>3355</v>
      </c>
      <c r="H173" s="826" t="s">
        <v>3356</v>
      </c>
      <c r="I173" s="832">
        <v>2400.639892578125</v>
      </c>
      <c r="J173" s="832">
        <v>3</v>
      </c>
      <c r="K173" s="833">
        <v>7201.919921875</v>
      </c>
    </row>
    <row r="174" spans="1:11" ht="14.45" customHeight="1" x14ac:dyDescent="0.2">
      <c r="A174" s="822" t="s">
        <v>575</v>
      </c>
      <c r="B174" s="823" t="s">
        <v>576</v>
      </c>
      <c r="C174" s="826" t="s">
        <v>589</v>
      </c>
      <c r="D174" s="840" t="s">
        <v>590</v>
      </c>
      <c r="E174" s="826" t="s">
        <v>3264</v>
      </c>
      <c r="F174" s="840" t="s">
        <v>3265</v>
      </c>
      <c r="G174" s="826" t="s">
        <v>3357</v>
      </c>
      <c r="H174" s="826" t="s">
        <v>3358</v>
      </c>
      <c r="I174" s="832">
        <v>61.055000305175781</v>
      </c>
      <c r="J174" s="832">
        <v>100</v>
      </c>
      <c r="K174" s="833">
        <v>6105.489990234375</v>
      </c>
    </row>
    <row r="175" spans="1:11" ht="14.45" customHeight="1" x14ac:dyDescent="0.2">
      <c r="A175" s="822" t="s">
        <v>575</v>
      </c>
      <c r="B175" s="823" t="s">
        <v>576</v>
      </c>
      <c r="C175" s="826" t="s">
        <v>589</v>
      </c>
      <c r="D175" s="840" t="s">
        <v>590</v>
      </c>
      <c r="E175" s="826" t="s">
        <v>3264</v>
      </c>
      <c r="F175" s="840" t="s">
        <v>3265</v>
      </c>
      <c r="G175" s="826" t="s">
        <v>3359</v>
      </c>
      <c r="H175" s="826" t="s">
        <v>3360</v>
      </c>
      <c r="I175" s="832">
        <v>72.839996337890625</v>
      </c>
      <c r="J175" s="832">
        <v>50</v>
      </c>
      <c r="K175" s="833">
        <v>3642.10009765625</v>
      </c>
    </row>
    <row r="176" spans="1:11" ht="14.45" customHeight="1" x14ac:dyDescent="0.2">
      <c r="A176" s="822" t="s">
        <v>575</v>
      </c>
      <c r="B176" s="823" t="s">
        <v>576</v>
      </c>
      <c r="C176" s="826" t="s">
        <v>589</v>
      </c>
      <c r="D176" s="840" t="s">
        <v>590</v>
      </c>
      <c r="E176" s="826" t="s">
        <v>3264</v>
      </c>
      <c r="F176" s="840" t="s">
        <v>3265</v>
      </c>
      <c r="G176" s="826" t="s">
        <v>3357</v>
      </c>
      <c r="H176" s="826" t="s">
        <v>3361</v>
      </c>
      <c r="I176" s="832">
        <v>61.060001373291016</v>
      </c>
      <c r="J176" s="832">
        <v>50</v>
      </c>
      <c r="K176" s="833">
        <v>3052.830078125</v>
      </c>
    </row>
    <row r="177" spans="1:11" ht="14.45" customHeight="1" x14ac:dyDescent="0.2">
      <c r="A177" s="822" t="s">
        <v>575</v>
      </c>
      <c r="B177" s="823" t="s">
        <v>576</v>
      </c>
      <c r="C177" s="826" t="s">
        <v>589</v>
      </c>
      <c r="D177" s="840" t="s">
        <v>590</v>
      </c>
      <c r="E177" s="826" t="s">
        <v>3264</v>
      </c>
      <c r="F177" s="840" t="s">
        <v>3265</v>
      </c>
      <c r="G177" s="826" t="s">
        <v>3362</v>
      </c>
      <c r="H177" s="826" t="s">
        <v>3363</v>
      </c>
      <c r="I177" s="832">
        <v>4.9699997901916504</v>
      </c>
      <c r="J177" s="832">
        <v>200</v>
      </c>
      <c r="K177" s="833">
        <v>994</v>
      </c>
    </row>
    <row r="178" spans="1:11" ht="14.45" customHeight="1" x14ac:dyDescent="0.2">
      <c r="A178" s="822" t="s">
        <v>575</v>
      </c>
      <c r="B178" s="823" t="s">
        <v>576</v>
      </c>
      <c r="C178" s="826" t="s">
        <v>589</v>
      </c>
      <c r="D178" s="840" t="s">
        <v>590</v>
      </c>
      <c r="E178" s="826" t="s">
        <v>3264</v>
      </c>
      <c r="F178" s="840" t="s">
        <v>3265</v>
      </c>
      <c r="G178" s="826" t="s">
        <v>3364</v>
      </c>
      <c r="H178" s="826" t="s">
        <v>3365</v>
      </c>
      <c r="I178" s="832">
        <v>11.739999771118164</v>
      </c>
      <c r="J178" s="832">
        <v>20</v>
      </c>
      <c r="K178" s="833">
        <v>234.80000305175781</v>
      </c>
    </row>
    <row r="179" spans="1:11" ht="14.45" customHeight="1" x14ac:dyDescent="0.2">
      <c r="A179" s="822" t="s">
        <v>575</v>
      </c>
      <c r="B179" s="823" t="s">
        <v>576</v>
      </c>
      <c r="C179" s="826" t="s">
        <v>589</v>
      </c>
      <c r="D179" s="840" t="s">
        <v>590</v>
      </c>
      <c r="E179" s="826" t="s">
        <v>3264</v>
      </c>
      <c r="F179" s="840" t="s">
        <v>3265</v>
      </c>
      <c r="G179" s="826" t="s">
        <v>3366</v>
      </c>
      <c r="H179" s="826" t="s">
        <v>3367</v>
      </c>
      <c r="I179" s="832">
        <v>13.30571460723877</v>
      </c>
      <c r="J179" s="832">
        <v>130</v>
      </c>
      <c r="K179" s="833">
        <v>1730.0000457763672</v>
      </c>
    </row>
    <row r="180" spans="1:11" ht="14.45" customHeight="1" x14ac:dyDescent="0.2">
      <c r="A180" s="822" t="s">
        <v>575</v>
      </c>
      <c r="B180" s="823" t="s">
        <v>576</v>
      </c>
      <c r="C180" s="826" t="s">
        <v>589</v>
      </c>
      <c r="D180" s="840" t="s">
        <v>590</v>
      </c>
      <c r="E180" s="826" t="s">
        <v>3264</v>
      </c>
      <c r="F180" s="840" t="s">
        <v>3265</v>
      </c>
      <c r="G180" s="826" t="s">
        <v>3368</v>
      </c>
      <c r="H180" s="826" t="s">
        <v>3369</v>
      </c>
      <c r="I180" s="832">
        <v>25.532222747802734</v>
      </c>
      <c r="J180" s="832">
        <v>109</v>
      </c>
      <c r="K180" s="833">
        <v>2782.9300231933594</v>
      </c>
    </row>
    <row r="181" spans="1:11" ht="14.45" customHeight="1" x14ac:dyDescent="0.2">
      <c r="A181" s="822" t="s">
        <v>575</v>
      </c>
      <c r="B181" s="823" t="s">
        <v>576</v>
      </c>
      <c r="C181" s="826" t="s">
        <v>589</v>
      </c>
      <c r="D181" s="840" t="s">
        <v>590</v>
      </c>
      <c r="E181" s="826" t="s">
        <v>3264</v>
      </c>
      <c r="F181" s="840" t="s">
        <v>3265</v>
      </c>
      <c r="G181" s="826" t="s">
        <v>3370</v>
      </c>
      <c r="H181" s="826" t="s">
        <v>3371</v>
      </c>
      <c r="I181" s="832">
        <v>2.2833333015441895</v>
      </c>
      <c r="J181" s="832">
        <v>1050</v>
      </c>
      <c r="K181" s="833">
        <v>2397.5</v>
      </c>
    </row>
    <row r="182" spans="1:11" ht="14.45" customHeight="1" x14ac:dyDescent="0.2">
      <c r="A182" s="822" t="s">
        <v>575</v>
      </c>
      <c r="B182" s="823" t="s">
        <v>576</v>
      </c>
      <c r="C182" s="826" t="s">
        <v>589</v>
      </c>
      <c r="D182" s="840" t="s">
        <v>590</v>
      </c>
      <c r="E182" s="826" t="s">
        <v>3264</v>
      </c>
      <c r="F182" s="840" t="s">
        <v>3265</v>
      </c>
      <c r="G182" s="826" t="s">
        <v>3362</v>
      </c>
      <c r="H182" s="826" t="s">
        <v>3372</v>
      </c>
      <c r="I182" s="832">
        <v>4.929999828338623</v>
      </c>
      <c r="J182" s="832">
        <v>100</v>
      </c>
      <c r="K182" s="833">
        <v>493</v>
      </c>
    </row>
    <row r="183" spans="1:11" ht="14.45" customHeight="1" x14ac:dyDescent="0.2">
      <c r="A183" s="822" t="s">
        <v>575</v>
      </c>
      <c r="B183" s="823" t="s">
        <v>576</v>
      </c>
      <c r="C183" s="826" t="s">
        <v>589</v>
      </c>
      <c r="D183" s="840" t="s">
        <v>590</v>
      </c>
      <c r="E183" s="826" t="s">
        <v>3264</v>
      </c>
      <c r="F183" s="840" t="s">
        <v>3265</v>
      </c>
      <c r="G183" s="826" t="s">
        <v>3364</v>
      </c>
      <c r="H183" s="826" t="s">
        <v>3373</v>
      </c>
      <c r="I183" s="832">
        <v>11.734999656677246</v>
      </c>
      <c r="J183" s="832">
        <v>40</v>
      </c>
      <c r="K183" s="833">
        <v>469.40000915527344</v>
      </c>
    </row>
    <row r="184" spans="1:11" ht="14.45" customHeight="1" x14ac:dyDescent="0.2">
      <c r="A184" s="822" t="s">
        <v>575</v>
      </c>
      <c r="B184" s="823" t="s">
        <v>576</v>
      </c>
      <c r="C184" s="826" t="s">
        <v>589</v>
      </c>
      <c r="D184" s="840" t="s">
        <v>590</v>
      </c>
      <c r="E184" s="826" t="s">
        <v>3264</v>
      </c>
      <c r="F184" s="840" t="s">
        <v>3265</v>
      </c>
      <c r="G184" s="826" t="s">
        <v>3366</v>
      </c>
      <c r="H184" s="826" t="s">
        <v>3374</v>
      </c>
      <c r="I184" s="832">
        <v>13.310000419616699</v>
      </c>
      <c r="J184" s="832">
        <v>100</v>
      </c>
      <c r="K184" s="833">
        <v>1331.0000610351563</v>
      </c>
    </row>
    <row r="185" spans="1:11" ht="14.45" customHeight="1" x14ac:dyDescent="0.2">
      <c r="A185" s="822" t="s">
        <v>575</v>
      </c>
      <c r="B185" s="823" t="s">
        <v>576</v>
      </c>
      <c r="C185" s="826" t="s">
        <v>589</v>
      </c>
      <c r="D185" s="840" t="s">
        <v>590</v>
      </c>
      <c r="E185" s="826" t="s">
        <v>3264</v>
      </c>
      <c r="F185" s="840" t="s">
        <v>3265</v>
      </c>
      <c r="G185" s="826" t="s">
        <v>3368</v>
      </c>
      <c r="H185" s="826" t="s">
        <v>3375</v>
      </c>
      <c r="I185" s="832">
        <v>25.533334096272785</v>
      </c>
      <c r="J185" s="832">
        <v>50</v>
      </c>
      <c r="K185" s="833">
        <v>1276.6999969482422</v>
      </c>
    </row>
    <row r="186" spans="1:11" ht="14.45" customHeight="1" x14ac:dyDescent="0.2">
      <c r="A186" s="822" t="s">
        <v>575</v>
      </c>
      <c r="B186" s="823" t="s">
        <v>576</v>
      </c>
      <c r="C186" s="826" t="s">
        <v>589</v>
      </c>
      <c r="D186" s="840" t="s">
        <v>590</v>
      </c>
      <c r="E186" s="826" t="s">
        <v>3264</v>
      </c>
      <c r="F186" s="840" t="s">
        <v>3265</v>
      </c>
      <c r="G186" s="826" t="s">
        <v>3370</v>
      </c>
      <c r="H186" s="826" t="s">
        <v>3376</v>
      </c>
      <c r="I186" s="832">
        <v>2.2899999618530273</v>
      </c>
      <c r="J186" s="832">
        <v>400</v>
      </c>
      <c r="K186" s="833">
        <v>916</v>
      </c>
    </row>
    <row r="187" spans="1:11" ht="14.45" customHeight="1" x14ac:dyDescent="0.2">
      <c r="A187" s="822" t="s">
        <v>575</v>
      </c>
      <c r="B187" s="823" t="s">
        <v>576</v>
      </c>
      <c r="C187" s="826" t="s">
        <v>589</v>
      </c>
      <c r="D187" s="840" t="s">
        <v>590</v>
      </c>
      <c r="E187" s="826" t="s">
        <v>3264</v>
      </c>
      <c r="F187" s="840" t="s">
        <v>3265</v>
      </c>
      <c r="G187" s="826" t="s">
        <v>3377</v>
      </c>
      <c r="H187" s="826" t="s">
        <v>3378</v>
      </c>
      <c r="I187" s="832">
        <v>1584</v>
      </c>
      <c r="J187" s="832">
        <v>15</v>
      </c>
      <c r="K187" s="833">
        <v>23760</v>
      </c>
    </row>
    <row r="188" spans="1:11" ht="14.45" customHeight="1" x14ac:dyDescent="0.2">
      <c r="A188" s="822" t="s">
        <v>575</v>
      </c>
      <c r="B188" s="823" t="s">
        <v>576</v>
      </c>
      <c r="C188" s="826" t="s">
        <v>589</v>
      </c>
      <c r="D188" s="840" t="s">
        <v>590</v>
      </c>
      <c r="E188" s="826" t="s">
        <v>3264</v>
      </c>
      <c r="F188" s="840" t="s">
        <v>3265</v>
      </c>
      <c r="G188" s="826" t="s">
        <v>3379</v>
      </c>
      <c r="H188" s="826" t="s">
        <v>3380</v>
      </c>
      <c r="I188" s="832">
        <v>1299.5400390625</v>
      </c>
      <c r="J188" s="832">
        <v>1</v>
      </c>
      <c r="K188" s="833">
        <v>1299.5400390625</v>
      </c>
    </row>
    <row r="189" spans="1:11" ht="14.45" customHeight="1" x14ac:dyDescent="0.2">
      <c r="A189" s="822" t="s">
        <v>575</v>
      </c>
      <c r="B189" s="823" t="s">
        <v>576</v>
      </c>
      <c r="C189" s="826" t="s">
        <v>589</v>
      </c>
      <c r="D189" s="840" t="s">
        <v>590</v>
      </c>
      <c r="E189" s="826" t="s">
        <v>3264</v>
      </c>
      <c r="F189" s="840" t="s">
        <v>3265</v>
      </c>
      <c r="G189" s="826" t="s">
        <v>3381</v>
      </c>
      <c r="H189" s="826" t="s">
        <v>3382</v>
      </c>
      <c r="I189" s="832">
        <v>619.52001953125</v>
      </c>
      <c r="J189" s="832">
        <v>6</v>
      </c>
      <c r="K189" s="833">
        <v>3717.1201171875</v>
      </c>
    </row>
    <row r="190" spans="1:11" ht="14.45" customHeight="1" x14ac:dyDescent="0.2">
      <c r="A190" s="822" t="s">
        <v>575</v>
      </c>
      <c r="B190" s="823" t="s">
        <v>576</v>
      </c>
      <c r="C190" s="826" t="s">
        <v>589</v>
      </c>
      <c r="D190" s="840" t="s">
        <v>590</v>
      </c>
      <c r="E190" s="826" t="s">
        <v>3264</v>
      </c>
      <c r="F190" s="840" t="s">
        <v>3265</v>
      </c>
      <c r="G190" s="826" t="s">
        <v>3383</v>
      </c>
      <c r="H190" s="826" t="s">
        <v>3384</v>
      </c>
      <c r="I190" s="832">
        <v>206.33000183105469</v>
      </c>
      <c r="J190" s="832">
        <v>6</v>
      </c>
      <c r="K190" s="833">
        <v>1237.97998046875</v>
      </c>
    </row>
    <row r="191" spans="1:11" ht="14.45" customHeight="1" x14ac:dyDescent="0.2">
      <c r="A191" s="822" t="s">
        <v>575</v>
      </c>
      <c r="B191" s="823" t="s">
        <v>576</v>
      </c>
      <c r="C191" s="826" t="s">
        <v>589</v>
      </c>
      <c r="D191" s="840" t="s">
        <v>590</v>
      </c>
      <c r="E191" s="826" t="s">
        <v>3264</v>
      </c>
      <c r="F191" s="840" t="s">
        <v>3265</v>
      </c>
      <c r="G191" s="826" t="s">
        <v>3385</v>
      </c>
      <c r="H191" s="826" t="s">
        <v>3386</v>
      </c>
      <c r="I191" s="832">
        <v>1.5</v>
      </c>
      <c r="J191" s="832">
        <v>600</v>
      </c>
      <c r="K191" s="833">
        <v>900</v>
      </c>
    </row>
    <row r="192" spans="1:11" ht="14.45" customHeight="1" x14ac:dyDescent="0.2">
      <c r="A192" s="822" t="s">
        <v>575</v>
      </c>
      <c r="B192" s="823" t="s">
        <v>576</v>
      </c>
      <c r="C192" s="826" t="s">
        <v>589</v>
      </c>
      <c r="D192" s="840" t="s">
        <v>590</v>
      </c>
      <c r="E192" s="826" t="s">
        <v>3264</v>
      </c>
      <c r="F192" s="840" t="s">
        <v>3265</v>
      </c>
      <c r="G192" s="826" t="s">
        <v>3385</v>
      </c>
      <c r="H192" s="826" t="s">
        <v>3387</v>
      </c>
      <c r="I192" s="832">
        <v>1.5</v>
      </c>
      <c r="J192" s="832">
        <v>3000</v>
      </c>
      <c r="K192" s="833">
        <v>4500</v>
      </c>
    </row>
    <row r="193" spans="1:11" ht="14.45" customHeight="1" x14ac:dyDescent="0.2">
      <c r="A193" s="822" t="s">
        <v>575</v>
      </c>
      <c r="B193" s="823" t="s">
        <v>576</v>
      </c>
      <c r="C193" s="826" t="s">
        <v>589</v>
      </c>
      <c r="D193" s="840" t="s">
        <v>590</v>
      </c>
      <c r="E193" s="826" t="s">
        <v>3264</v>
      </c>
      <c r="F193" s="840" t="s">
        <v>3265</v>
      </c>
      <c r="G193" s="826" t="s">
        <v>3388</v>
      </c>
      <c r="H193" s="826" t="s">
        <v>3389</v>
      </c>
      <c r="I193" s="832">
        <v>25.010000228881836</v>
      </c>
      <c r="J193" s="832">
        <v>6</v>
      </c>
      <c r="K193" s="833">
        <v>150.06000137329102</v>
      </c>
    </row>
    <row r="194" spans="1:11" ht="14.45" customHeight="1" x14ac:dyDescent="0.2">
      <c r="A194" s="822" t="s">
        <v>575</v>
      </c>
      <c r="B194" s="823" t="s">
        <v>576</v>
      </c>
      <c r="C194" s="826" t="s">
        <v>589</v>
      </c>
      <c r="D194" s="840" t="s">
        <v>590</v>
      </c>
      <c r="E194" s="826" t="s">
        <v>3264</v>
      </c>
      <c r="F194" s="840" t="s">
        <v>3265</v>
      </c>
      <c r="G194" s="826" t="s">
        <v>3390</v>
      </c>
      <c r="H194" s="826" t="s">
        <v>3391</v>
      </c>
      <c r="I194" s="832">
        <v>9.1999998092651367</v>
      </c>
      <c r="J194" s="832">
        <v>5050</v>
      </c>
      <c r="K194" s="833">
        <v>46460</v>
      </c>
    </row>
    <row r="195" spans="1:11" ht="14.45" customHeight="1" x14ac:dyDescent="0.2">
      <c r="A195" s="822" t="s">
        <v>575</v>
      </c>
      <c r="B195" s="823" t="s">
        <v>576</v>
      </c>
      <c r="C195" s="826" t="s">
        <v>589</v>
      </c>
      <c r="D195" s="840" t="s">
        <v>590</v>
      </c>
      <c r="E195" s="826" t="s">
        <v>3264</v>
      </c>
      <c r="F195" s="840" t="s">
        <v>3265</v>
      </c>
      <c r="G195" s="826" t="s">
        <v>3390</v>
      </c>
      <c r="H195" s="826" t="s">
        <v>3392</v>
      </c>
      <c r="I195" s="832">
        <v>9.1999998092651367</v>
      </c>
      <c r="J195" s="832">
        <v>3100</v>
      </c>
      <c r="K195" s="833">
        <v>28520</v>
      </c>
    </row>
    <row r="196" spans="1:11" ht="14.45" customHeight="1" x14ac:dyDescent="0.2">
      <c r="A196" s="822" t="s">
        <v>575</v>
      </c>
      <c r="B196" s="823" t="s">
        <v>576</v>
      </c>
      <c r="C196" s="826" t="s">
        <v>589</v>
      </c>
      <c r="D196" s="840" t="s">
        <v>590</v>
      </c>
      <c r="E196" s="826" t="s">
        <v>3264</v>
      </c>
      <c r="F196" s="840" t="s">
        <v>3265</v>
      </c>
      <c r="G196" s="826" t="s">
        <v>3390</v>
      </c>
      <c r="H196" s="826" t="s">
        <v>3393</v>
      </c>
      <c r="I196" s="832">
        <v>9.1999998092651367</v>
      </c>
      <c r="J196" s="832">
        <v>500</v>
      </c>
      <c r="K196" s="833">
        <v>4600</v>
      </c>
    </row>
    <row r="197" spans="1:11" ht="14.45" customHeight="1" x14ac:dyDescent="0.2">
      <c r="A197" s="822" t="s">
        <v>575</v>
      </c>
      <c r="B197" s="823" t="s">
        <v>576</v>
      </c>
      <c r="C197" s="826" t="s">
        <v>589</v>
      </c>
      <c r="D197" s="840" t="s">
        <v>590</v>
      </c>
      <c r="E197" s="826" t="s">
        <v>3264</v>
      </c>
      <c r="F197" s="840" t="s">
        <v>3265</v>
      </c>
      <c r="G197" s="826" t="s">
        <v>3394</v>
      </c>
      <c r="H197" s="826" t="s">
        <v>3395</v>
      </c>
      <c r="I197" s="832">
        <v>58.369998931884766</v>
      </c>
      <c r="J197" s="832">
        <v>25</v>
      </c>
      <c r="K197" s="833">
        <v>1459.25</v>
      </c>
    </row>
    <row r="198" spans="1:11" ht="14.45" customHeight="1" x14ac:dyDescent="0.2">
      <c r="A198" s="822" t="s">
        <v>575</v>
      </c>
      <c r="B198" s="823" t="s">
        <v>576</v>
      </c>
      <c r="C198" s="826" t="s">
        <v>589</v>
      </c>
      <c r="D198" s="840" t="s">
        <v>590</v>
      </c>
      <c r="E198" s="826" t="s">
        <v>3264</v>
      </c>
      <c r="F198" s="840" t="s">
        <v>3265</v>
      </c>
      <c r="G198" s="826" t="s">
        <v>3396</v>
      </c>
      <c r="H198" s="826" t="s">
        <v>3397</v>
      </c>
      <c r="I198" s="832">
        <v>7.0171429089137485</v>
      </c>
      <c r="J198" s="832">
        <v>480</v>
      </c>
      <c r="K198" s="833">
        <v>3368.2000427246094</v>
      </c>
    </row>
    <row r="199" spans="1:11" ht="14.45" customHeight="1" x14ac:dyDescent="0.2">
      <c r="A199" s="822" t="s">
        <v>575</v>
      </c>
      <c r="B199" s="823" t="s">
        <v>576</v>
      </c>
      <c r="C199" s="826" t="s">
        <v>589</v>
      </c>
      <c r="D199" s="840" t="s">
        <v>590</v>
      </c>
      <c r="E199" s="826" t="s">
        <v>3264</v>
      </c>
      <c r="F199" s="840" t="s">
        <v>3265</v>
      </c>
      <c r="G199" s="826" t="s">
        <v>3396</v>
      </c>
      <c r="H199" s="826" t="s">
        <v>3398</v>
      </c>
      <c r="I199" s="832">
        <v>6.5239999771118162</v>
      </c>
      <c r="J199" s="832">
        <v>390</v>
      </c>
      <c r="K199" s="833">
        <v>2535.2999877929688</v>
      </c>
    </row>
    <row r="200" spans="1:11" ht="14.45" customHeight="1" x14ac:dyDescent="0.2">
      <c r="A200" s="822" t="s">
        <v>575</v>
      </c>
      <c r="B200" s="823" t="s">
        <v>576</v>
      </c>
      <c r="C200" s="826" t="s">
        <v>589</v>
      </c>
      <c r="D200" s="840" t="s">
        <v>590</v>
      </c>
      <c r="E200" s="826" t="s">
        <v>3264</v>
      </c>
      <c r="F200" s="840" t="s">
        <v>3265</v>
      </c>
      <c r="G200" s="826" t="s">
        <v>3399</v>
      </c>
      <c r="H200" s="826" t="s">
        <v>3400</v>
      </c>
      <c r="I200" s="832">
        <v>172.5</v>
      </c>
      <c r="J200" s="832">
        <v>1</v>
      </c>
      <c r="K200" s="833">
        <v>172.5</v>
      </c>
    </row>
    <row r="201" spans="1:11" ht="14.45" customHeight="1" x14ac:dyDescent="0.2">
      <c r="A201" s="822" t="s">
        <v>575</v>
      </c>
      <c r="B201" s="823" t="s">
        <v>576</v>
      </c>
      <c r="C201" s="826" t="s">
        <v>589</v>
      </c>
      <c r="D201" s="840" t="s">
        <v>590</v>
      </c>
      <c r="E201" s="826" t="s">
        <v>3264</v>
      </c>
      <c r="F201" s="840" t="s">
        <v>3265</v>
      </c>
      <c r="G201" s="826" t="s">
        <v>3399</v>
      </c>
      <c r="H201" s="826" t="s">
        <v>3401</v>
      </c>
      <c r="I201" s="832">
        <v>172.5</v>
      </c>
      <c r="J201" s="832">
        <v>2</v>
      </c>
      <c r="K201" s="833">
        <v>345</v>
      </c>
    </row>
    <row r="202" spans="1:11" ht="14.45" customHeight="1" x14ac:dyDescent="0.2">
      <c r="A202" s="822" t="s">
        <v>575</v>
      </c>
      <c r="B202" s="823" t="s">
        <v>576</v>
      </c>
      <c r="C202" s="826" t="s">
        <v>589</v>
      </c>
      <c r="D202" s="840" t="s">
        <v>590</v>
      </c>
      <c r="E202" s="826" t="s">
        <v>3264</v>
      </c>
      <c r="F202" s="840" t="s">
        <v>3265</v>
      </c>
      <c r="G202" s="826" t="s">
        <v>3402</v>
      </c>
      <c r="H202" s="826" t="s">
        <v>3403</v>
      </c>
      <c r="I202" s="832">
        <v>284.35000610351563</v>
      </c>
      <c r="J202" s="832">
        <v>8</v>
      </c>
      <c r="K202" s="833">
        <v>2274.800048828125</v>
      </c>
    </row>
    <row r="203" spans="1:11" ht="14.45" customHeight="1" x14ac:dyDescent="0.2">
      <c r="A203" s="822" t="s">
        <v>575</v>
      </c>
      <c r="B203" s="823" t="s">
        <v>576</v>
      </c>
      <c r="C203" s="826" t="s">
        <v>589</v>
      </c>
      <c r="D203" s="840" t="s">
        <v>590</v>
      </c>
      <c r="E203" s="826" t="s">
        <v>3264</v>
      </c>
      <c r="F203" s="840" t="s">
        <v>3265</v>
      </c>
      <c r="G203" s="826" t="s">
        <v>3404</v>
      </c>
      <c r="H203" s="826" t="s">
        <v>3405</v>
      </c>
      <c r="I203" s="832">
        <v>150</v>
      </c>
      <c r="J203" s="832">
        <v>30</v>
      </c>
      <c r="K203" s="833">
        <v>4500.06005859375</v>
      </c>
    </row>
    <row r="204" spans="1:11" ht="14.45" customHeight="1" x14ac:dyDescent="0.2">
      <c r="A204" s="822" t="s">
        <v>575</v>
      </c>
      <c r="B204" s="823" t="s">
        <v>576</v>
      </c>
      <c r="C204" s="826" t="s">
        <v>589</v>
      </c>
      <c r="D204" s="840" t="s">
        <v>590</v>
      </c>
      <c r="E204" s="826" t="s">
        <v>3264</v>
      </c>
      <c r="F204" s="840" t="s">
        <v>3265</v>
      </c>
      <c r="G204" s="826" t="s">
        <v>3406</v>
      </c>
      <c r="H204" s="826" t="s">
        <v>3407</v>
      </c>
      <c r="I204" s="832">
        <v>6.1749999523162842</v>
      </c>
      <c r="J204" s="832">
        <v>120</v>
      </c>
      <c r="K204" s="833">
        <v>741.40000152587891</v>
      </c>
    </row>
    <row r="205" spans="1:11" ht="14.45" customHeight="1" x14ac:dyDescent="0.2">
      <c r="A205" s="822" t="s">
        <v>575</v>
      </c>
      <c r="B205" s="823" t="s">
        <v>576</v>
      </c>
      <c r="C205" s="826" t="s">
        <v>589</v>
      </c>
      <c r="D205" s="840" t="s">
        <v>590</v>
      </c>
      <c r="E205" s="826" t="s">
        <v>3264</v>
      </c>
      <c r="F205" s="840" t="s">
        <v>3265</v>
      </c>
      <c r="G205" s="826" t="s">
        <v>3408</v>
      </c>
      <c r="H205" s="826" t="s">
        <v>3409</v>
      </c>
      <c r="I205" s="832">
        <v>20.690000534057617</v>
      </c>
      <c r="J205" s="832">
        <v>700</v>
      </c>
      <c r="K205" s="833">
        <v>14483.2001953125</v>
      </c>
    </row>
    <row r="206" spans="1:11" ht="14.45" customHeight="1" x14ac:dyDescent="0.2">
      <c r="A206" s="822" t="s">
        <v>575</v>
      </c>
      <c r="B206" s="823" t="s">
        <v>576</v>
      </c>
      <c r="C206" s="826" t="s">
        <v>589</v>
      </c>
      <c r="D206" s="840" t="s">
        <v>590</v>
      </c>
      <c r="E206" s="826" t="s">
        <v>3264</v>
      </c>
      <c r="F206" s="840" t="s">
        <v>3265</v>
      </c>
      <c r="G206" s="826" t="s">
        <v>3408</v>
      </c>
      <c r="H206" s="826" t="s">
        <v>3410</v>
      </c>
      <c r="I206" s="832">
        <v>20.690000534057617</v>
      </c>
      <c r="J206" s="832">
        <v>400</v>
      </c>
      <c r="K206" s="833">
        <v>8276.60009765625</v>
      </c>
    </row>
    <row r="207" spans="1:11" ht="14.45" customHeight="1" x14ac:dyDescent="0.2">
      <c r="A207" s="822" t="s">
        <v>575</v>
      </c>
      <c r="B207" s="823" t="s">
        <v>576</v>
      </c>
      <c r="C207" s="826" t="s">
        <v>589</v>
      </c>
      <c r="D207" s="840" t="s">
        <v>590</v>
      </c>
      <c r="E207" s="826" t="s">
        <v>3264</v>
      </c>
      <c r="F207" s="840" t="s">
        <v>3265</v>
      </c>
      <c r="G207" s="826" t="s">
        <v>3241</v>
      </c>
      <c r="H207" s="826" t="s">
        <v>3411</v>
      </c>
      <c r="I207" s="832">
        <v>34.5</v>
      </c>
      <c r="J207" s="832">
        <v>54</v>
      </c>
      <c r="K207" s="833">
        <v>1863</v>
      </c>
    </row>
    <row r="208" spans="1:11" ht="14.45" customHeight="1" x14ac:dyDescent="0.2">
      <c r="A208" s="822" t="s">
        <v>575</v>
      </c>
      <c r="B208" s="823" t="s">
        <v>576</v>
      </c>
      <c r="C208" s="826" t="s">
        <v>589</v>
      </c>
      <c r="D208" s="840" t="s">
        <v>590</v>
      </c>
      <c r="E208" s="826" t="s">
        <v>3264</v>
      </c>
      <c r="F208" s="840" t="s">
        <v>3265</v>
      </c>
      <c r="G208" s="826" t="s">
        <v>3412</v>
      </c>
      <c r="H208" s="826" t="s">
        <v>3413</v>
      </c>
      <c r="I208" s="832">
        <v>14.154999732971191</v>
      </c>
      <c r="J208" s="832">
        <v>20</v>
      </c>
      <c r="K208" s="833">
        <v>283.05000305175781</v>
      </c>
    </row>
    <row r="209" spans="1:11" ht="14.45" customHeight="1" x14ac:dyDescent="0.2">
      <c r="A209" s="822" t="s">
        <v>575</v>
      </c>
      <c r="B209" s="823" t="s">
        <v>576</v>
      </c>
      <c r="C209" s="826" t="s">
        <v>589</v>
      </c>
      <c r="D209" s="840" t="s">
        <v>590</v>
      </c>
      <c r="E209" s="826" t="s">
        <v>3264</v>
      </c>
      <c r="F209" s="840" t="s">
        <v>3265</v>
      </c>
      <c r="G209" s="826" t="s">
        <v>3414</v>
      </c>
      <c r="H209" s="826" t="s">
        <v>3415</v>
      </c>
      <c r="I209" s="832">
        <v>197.57000732421875</v>
      </c>
      <c r="J209" s="832">
        <v>7</v>
      </c>
      <c r="K209" s="833">
        <v>1382.9900512695313</v>
      </c>
    </row>
    <row r="210" spans="1:11" ht="14.45" customHeight="1" x14ac:dyDescent="0.2">
      <c r="A210" s="822" t="s">
        <v>575</v>
      </c>
      <c r="B210" s="823" t="s">
        <v>576</v>
      </c>
      <c r="C210" s="826" t="s">
        <v>589</v>
      </c>
      <c r="D210" s="840" t="s">
        <v>590</v>
      </c>
      <c r="E210" s="826" t="s">
        <v>3264</v>
      </c>
      <c r="F210" s="840" t="s">
        <v>3265</v>
      </c>
      <c r="G210" s="826" t="s">
        <v>3414</v>
      </c>
      <c r="H210" s="826" t="s">
        <v>3416</v>
      </c>
      <c r="I210" s="832">
        <v>198.1300048828125</v>
      </c>
      <c r="J210" s="832">
        <v>7</v>
      </c>
      <c r="K210" s="833">
        <v>1386.3500366210938</v>
      </c>
    </row>
    <row r="211" spans="1:11" ht="14.45" customHeight="1" x14ac:dyDescent="0.2">
      <c r="A211" s="822" t="s">
        <v>575</v>
      </c>
      <c r="B211" s="823" t="s">
        <v>576</v>
      </c>
      <c r="C211" s="826" t="s">
        <v>589</v>
      </c>
      <c r="D211" s="840" t="s">
        <v>590</v>
      </c>
      <c r="E211" s="826" t="s">
        <v>3264</v>
      </c>
      <c r="F211" s="840" t="s">
        <v>3265</v>
      </c>
      <c r="G211" s="826" t="s">
        <v>3417</v>
      </c>
      <c r="H211" s="826" t="s">
        <v>3418</v>
      </c>
      <c r="I211" s="832">
        <v>0.82142856291362221</v>
      </c>
      <c r="J211" s="832">
        <v>5000</v>
      </c>
      <c r="K211" s="833">
        <v>4106</v>
      </c>
    </row>
    <row r="212" spans="1:11" ht="14.45" customHeight="1" x14ac:dyDescent="0.2">
      <c r="A212" s="822" t="s">
        <v>575</v>
      </c>
      <c r="B212" s="823" t="s">
        <v>576</v>
      </c>
      <c r="C212" s="826" t="s">
        <v>589</v>
      </c>
      <c r="D212" s="840" t="s">
        <v>590</v>
      </c>
      <c r="E212" s="826" t="s">
        <v>3264</v>
      </c>
      <c r="F212" s="840" t="s">
        <v>3265</v>
      </c>
      <c r="G212" s="826" t="s">
        <v>3419</v>
      </c>
      <c r="H212" s="826" t="s">
        <v>3420</v>
      </c>
      <c r="I212" s="832">
        <v>1.0900000333786011</v>
      </c>
      <c r="J212" s="832">
        <v>1500</v>
      </c>
      <c r="K212" s="833">
        <v>1635</v>
      </c>
    </row>
    <row r="213" spans="1:11" ht="14.45" customHeight="1" x14ac:dyDescent="0.2">
      <c r="A213" s="822" t="s">
        <v>575</v>
      </c>
      <c r="B213" s="823" t="s">
        <v>576</v>
      </c>
      <c r="C213" s="826" t="s">
        <v>589</v>
      </c>
      <c r="D213" s="840" t="s">
        <v>590</v>
      </c>
      <c r="E213" s="826" t="s">
        <v>3264</v>
      </c>
      <c r="F213" s="840" t="s">
        <v>3265</v>
      </c>
      <c r="G213" s="826" t="s">
        <v>3421</v>
      </c>
      <c r="H213" s="826" t="s">
        <v>3422</v>
      </c>
      <c r="I213" s="832">
        <v>5.190000057220459</v>
      </c>
      <c r="J213" s="832">
        <v>600</v>
      </c>
      <c r="K213" s="833">
        <v>3112.2901611328125</v>
      </c>
    </row>
    <row r="214" spans="1:11" ht="14.45" customHeight="1" x14ac:dyDescent="0.2">
      <c r="A214" s="822" t="s">
        <v>575</v>
      </c>
      <c r="B214" s="823" t="s">
        <v>576</v>
      </c>
      <c r="C214" s="826" t="s">
        <v>589</v>
      </c>
      <c r="D214" s="840" t="s">
        <v>590</v>
      </c>
      <c r="E214" s="826" t="s">
        <v>3264</v>
      </c>
      <c r="F214" s="840" t="s">
        <v>3265</v>
      </c>
      <c r="G214" s="826" t="s">
        <v>3423</v>
      </c>
      <c r="H214" s="826" t="s">
        <v>3424</v>
      </c>
      <c r="I214" s="832">
        <v>0.4375</v>
      </c>
      <c r="J214" s="832">
        <v>2300</v>
      </c>
      <c r="K214" s="833">
        <v>1002</v>
      </c>
    </row>
    <row r="215" spans="1:11" ht="14.45" customHeight="1" x14ac:dyDescent="0.2">
      <c r="A215" s="822" t="s">
        <v>575</v>
      </c>
      <c r="B215" s="823" t="s">
        <v>576</v>
      </c>
      <c r="C215" s="826" t="s">
        <v>589</v>
      </c>
      <c r="D215" s="840" t="s">
        <v>590</v>
      </c>
      <c r="E215" s="826" t="s">
        <v>3264</v>
      </c>
      <c r="F215" s="840" t="s">
        <v>3265</v>
      </c>
      <c r="G215" s="826" t="s">
        <v>3425</v>
      </c>
      <c r="H215" s="826" t="s">
        <v>3426</v>
      </c>
      <c r="I215" s="832">
        <v>0.47999998927116394</v>
      </c>
      <c r="J215" s="832">
        <v>600</v>
      </c>
      <c r="K215" s="833">
        <v>288</v>
      </c>
    </row>
    <row r="216" spans="1:11" ht="14.45" customHeight="1" x14ac:dyDescent="0.2">
      <c r="A216" s="822" t="s">
        <v>575</v>
      </c>
      <c r="B216" s="823" t="s">
        <v>576</v>
      </c>
      <c r="C216" s="826" t="s">
        <v>589</v>
      </c>
      <c r="D216" s="840" t="s">
        <v>590</v>
      </c>
      <c r="E216" s="826" t="s">
        <v>3264</v>
      </c>
      <c r="F216" s="840" t="s">
        <v>3265</v>
      </c>
      <c r="G216" s="826" t="s">
        <v>3425</v>
      </c>
      <c r="H216" s="826" t="s">
        <v>3427</v>
      </c>
      <c r="I216" s="832">
        <v>0.4699999988079071</v>
      </c>
      <c r="J216" s="832">
        <v>300</v>
      </c>
      <c r="K216" s="833">
        <v>141</v>
      </c>
    </row>
    <row r="217" spans="1:11" ht="14.45" customHeight="1" x14ac:dyDescent="0.2">
      <c r="A217" s="822" t="s">
        <v>575</v>
      </c>
      <c r="B217" s="823" t="s">
        <v>576</v>
      </c>
      <c r="C217" s="826" t="s">
        <v>589</v>
      </c>
      <c r="D217" s="840" t="s">
        <v>590</v>
      </c>
      <c r="E217" s="826" t="s">
        <v>3264</v>
      </c>
      <c r="F217" s="840" t="s">
        <v>3265</v>
      </c>
      <c r="G217" s="826" t="s">
        <v>3428</v>
      </c>
      <c r="H217" s="826" t="s">
        <v>3429</v>
      </c>
      <c r="I217" s="832">
        <v>1.1399999856948853</v>
      </c>
      <c r="J217" s="832">
        <v>3040</v>
      </c>
      <c r="K217" s="833">
        <v>3465.5999374389648</v>
      </c>
    </row>
    <row r="218" spans="1:11" ht="14.45" customHeight="1" x14ac:dyDescent="0.2">
      <c r="A218" s="822" t="s">
        <v>575</v>
      </c>
      <c r="B218" s="823" t="s">
        <v>576</v>
      </c>
      <c r="C218" s="826" t="s">
        <v>589</v>
      </c>
      <c r="D218" s="840" t="s">
        <v>590</v>
      </c>
      <c r="E218" s="826" t="s">
        <v>3264</v>
      </c>
      <c r="F218" s="840" t="s">
        <v>3265</v>
      </c>
      <c r="G218" s="826" t="s">
        <v>3430</v>
      </c>
      <c r="H218" s="826" t="s">
        <v>3431</v>
      </c>
      <c r="I218" s="832">
        <v>1.6699999570846558</v>
      </c>
      <c r="J218" s="832">
        <v>1100</v>
      </c>
      <c r="K218" s="833">
        <v>1837</v>
      </c>
    </row>
    <row r="219" spans="1:11" ht="14.45" customHeight="1" x14ac:dyDescent="0.2">
      <c r="A219" s="822" t="s">
        <v>575</v>
      </c>
      <c r="B219" s="823" t="s">
        <v>576</v>
      </c>
      <c r="C219" s="826" t="s">
        <v>589</v>
      </c>
      <c r="D219" s="840" t="s">
        <v>590</v>
      </c>
      <c r="E219" s="826" t="s">
        <v>3264</v>
      </c>
      <c r="F219" s="840" t="s">
        <v>3265</v>
      </c>
      <c r="G219" s="826" t="s">
        <v>3432</v>
      </c>
      <c r="H219" s="826" t="s">
        <v>3433</v>
      </c>
      <c r="I219" s="832">
        <v>7.1599998474121094</v>
      </c>
      <c r="J219" s="832">
        <v>1500</v>
      </c>
      <c r="K219" s="833">
        <v>10736.14013671875</v>
      </c>
    </row>
    <row r="220" spans="1:11" ht="14.45" customHeight="1" x14ac:dyDescent="0.2">
      <c r="A220" s="822" t="s">
        <v>575</v>
      </c>
      <c r="B220" s="823" t="s">
        <v>576</v>
      </c>
      <c r="C220" s="826" t="s">
        <v>589</v>
      </c>
      <c r="D220" s="840" t="s">
        <v>590</v>
      </c>
      <c r="E220" s="826" t="s">
        <v>3264</v>
      </c>
      <c r="F220" s="840" t="s">
        <v>3265</v>
      </c>
      <c r="G220" s="826" t="s">
        <v>3434</v>
      </c>
      <c r="H220" s="826" t="s">
        <v>3435</v>
      </c>
      <c r="I220" s="832">
        <v>0.57999998331069946</v>
      </c>
      <c r="J220" s="832">
        <v>3000</v>
      </c>
      <c r="K220" s="833">
        <v>1740</v>
      </c>
    </row>
    <row r="221" spans="1:11" ht="14.45" customHeight="1" x14ac:dyDescent="0.2">
      <c r="A221" s="822" t="s">
        <v>575</v>
      </c>
      <c r="B221" s="823" t="s">
        <v>576</v>
      </c>
      <c r="C221" s="826" t="s">
        <v>589</v>
      </c>
      <c r="D221" s="840" t="s">
        <v>590</v>
      </c>
      <c r="E221" s="826" t="s">
        <v>3264</v>
      </c>
      <c r="F221" s="840" t="s">
        <v>3265</v>
      </c>
      <c r="G221" s="826" t="s">
        <v>3436</v>
      </c>
      <c r="H221" s="826" t="s">
        <v>3437</v>
      </c>
      <c r="I221" s="832">
        <v>0.67000001668930054</v>
      </c>
      <c r="J221" s="832">
        <v>600</v>
      </c>
      <c r="K221" s="833">
        <v>402</v>
      </c>
    </row>
    <row r="222" spans="1:11" ht="14.45" customHeight="1" x14ac:dyDescent="0.2">
      <c r="A222" s="822" t="s">
        <v>575</v>
      </c>
      <c r="B222" s="823" t="s">
        <v>576</v>
      </c>
      <c r="C222" s="826" t="s">
        <v>589</v>
      </c>
      <c r="D222" s="840" t="s">
        <v>590</v>
      </c>
      <c r="E222" s="826" t="s">
        <v>3264</v>
      </c>
      <c r="F222" s="840" t="s">
        <v>3265</v>
      </c>
      <c r="G222" s="826" t="s">
        <v>3438</v>
      </c>
      <c r="H222" s="826" t="s">
        <v>3439</v>
      </c>
      <c r="I222" s="832">
        <v>1.5</v>
      </c>
      <c r="J222" s="832">
        <v>200</v>
      </c>
      <c r="K222" s="833">
        <v>300</v>
      </c>
    </row>
    <row r="223" spans="1:11" ht="14.45" customHeight="1" x14ac:dyDescent="0.2">
      <c r="A223" s="822" t="s">
        <v>575</v>
      </c>
      <c r="B223" s="823" t="s">
        <v>576</v>
      </c>
      <c r="C223" s="826" t="s">
        <v>589</v>
      </c>
      <c r="D223" s="840" t="s">
        <v>590</v>
      </c>
      <c r="E223" s="826" t="s">
        <v>3264</v>
      </c>
      <c r="F223" s="840" t="s">
        <v>3265</v>
      </c>
      <c r="G223" s="826" t="s">
        <v>3440</v>
      </c>
      <c r="H223" s="826" t="s">
        <v>3441</v>
      </c>
      <c r="I223" s="832">
        <v>6.309999942779541</v>
      </c>
      <c r="J223" s="832">
        <v>600</v>
      </c>
      <c r="K223" s="833">
        <v>3786</v>
      </c>
    </row>
    <row r="224" spans="1:11" ht="14.45" customHeight="1" x14ac:dyDescent="0.2">
      <c r="A224" s="822" t="s">
        <v>575</v>
      </c>
      <c r="B224" s="823" t="s">
        <v>576</v>
      </c>
      <c r="C224" s="826" t="s">
        <v>589</v>
      </c>
      <c r="D224" s="840" t="s">
        <v>590</v>
      </c>
      <c r="E224" s="826" t="s">
        <v>3264</v>
      </c>
      <c r="F224" s="840" t="s">
        <v>3265</v>
      </c>
      <c r="G224" s="826" t="s">
        <v>3442</v>
      </c>
      <c r="H224" s="826" t="s">
        <v>3443</v>
      </c>
      <c r="I224" s="832">
        <v>9.1474997997283936</v>
      </c>
      <c r="J224" s="832">
        <v>1100</v>
      </c>
      <c r="K224" s="833">
        <v>10063.070129394531</v>
      </c>
    </row>
    <row r="225" spans="1:11" ht="14.45" customHeight="1" x14ac:dyDescent="0.2">
      <c r="A225" s="822" t="s">
        <v>575</v>
      </c>
      <c r="B225" s="823" t="s">
        <v>576</v>
      </c>
      <c r="C225" s="826" t="s">
        <v>589</v>
      </c>
      <c r="D225" s="840" t="s">
        <v>590</v>
      </c>
      <c r="E225" s="826" t="s">
        <v>3264</v>
      </c>
      <c r="F225" s="840" t="s">
        <v>3265</v>
      </c>
      <c r="G225" s="826" t="s">
        <v>3444</v>
      </c>
      <c r="H225" s="826" t="s">
        <v>3445</v>
      </c>
      <c r="I225" s="832">
        <v>14.653333028157553</v>
      </c>
      <c r="J225" s="832">
        <v>1000</v>
      </c>
      <c r="K225" s="833">
        <v>14652.5703125</v>
      </c>
    </row>
    <row r="226" spans="1:11" ht="14.45" customHeight="1" x14ac:dyDescent="0.2">
      <c r="A226" s="822" t="s">
        <v>575</v>
      </c>
      <c r="B226" s="823" t="s">
        <v>576</v>
      </c>
      <c r="C226" s="826" t="s">
        <v>589</v>
      </c>
      <c r="D226" s="840" t="s">
        <v>590</v>
      </c>
      <c r="E226" s="826" t="s">
        <v>3264</v>
      </c>
      <c r="F226" s="840" t="s">
        <v>3265</v>
      </c>
      <c r="G226" s="826" t="s">
        <v>3446</v>
      </c>
      <c r="H226" s="826" t="s">
        <v>3447</v>
      </c>
      <c r="I226" s="832">
        <v>5.2074999213218689</v>
      </c>
      <c r="J226" s="832">
        <v>1275</v>
      </c>
      <c r="K226" s="833">
        <v>6639.5500946044922</v>
      </c>
    </row>
    <row r="227" spans="1:11" ht="14.45" customHeight="1" x14ac:dyDescent="0.2">
      <c r="A227" s="822" t="s">
        <v>575</v>
      </c>
      <c r="B227" s="823" t="s">
        <v>576</v>
      </c>
      <c r="C227" s="826" t="s">
        <v>589</v>
      </c>
      <c r="D227" s="840" t="s">
        <v>590</v>
      </c>
      <c r="E227" s="826" t="s">
        <v>3264</v>
      </c>
      <c r="F227" s="840" t="s">
        <v>3265</v>
      </c>
      <c r="G227" s="826" t="s">
        <v>3448</v>
      </c>
      <c r="H227" s="826" t="s">
        <v>3449</v>
      </c>
      <c r="I227" s="832">
        <v>8.4700002670288086</v>
      </c>
      <c r="J227" s="832">
        <v>5370</v>
      </c>
      <c r="K227" s="833">
        <v>45483.901092529297</v>
      </c>
    </row>
    <row r="228" spans="1:11" ht="14.45" customHeight="1" x14ac:dyDescent="0.2">
      <c r="A228" s="822" t="s">
        <v>575</v>
      </c>
      <c r="B228" s="823" t="s">
        <v>576</v>
      </c>
      <c r="C228" s="826" t="s">
        <v>589</v>
      </c>
      <c r="D228" s="840" t="s">
        <v>590</v>
      </c>
      <c r="E228" s="826" t="s">
        <v>3264</v>
      </c>
      <c r="F228" s="840" t="s">
        <v>3265</v>
      </c>
      <c r="G228" s="826" t="s">
        <v>3450</v>
      </c>
      <c r="H228" s="826" t="s">
        <v>3451</v>
      </c>
      <c r="I228" s="832">
        <v>1.5529999494552613</v>
      </c>
      <c r="J228" s="832">
        <v>1300</v>
      </c>
      <c r="K228" s="833">
        <v>2018</v>
      </c>
    </row>
    <row r="229" spans="1:11" ht="14.45" customHeight="1" x14ac:dyDescent="0.2">
      <c r="A229" s="822" t="s">
        <v>575</v>
      </c>
      <c r="B229" s="823" t="s">
        <v>576</v>
      </c>
      <c r="C229" s="826" t="s">
        <v>589</v>
      </c>
      <c r="D229" s="840" t="s">
        <v>590</v>
      </c>
      <c r="E229" s="826" t="s">
        <v>3264</v>
      </c>
      <c r="F229" s="840" t="s">
        <v>3265</v>
      </c>
      <c r="G229" s="826" t="s">
        <v>3452</v>
      </c>
      <c r="H229" s="826" t="s">
        <v>3453</v>
      </c>
      <c r="I229" s="832">
        <v>6.2300000190734863</v>
      </c>
      <c r="J229" s="832">
        <v>50</v>
      </c>
      <c r="K229" s="833">
        <v>311.5</v>
      </c>
    </row>
    <row r="230" spans="1:11" ht="14.45" customHeight="1" x14ac:dyDescent="0.2">
      <c r="A230" s="822" t="s">
        <v>575</v>
      </c>
      <c r="B230" s="823" t="s">
        <v>576</v>
      </c>
      <c r="C230" s="826" t="s">
        <v>589</v>
      </c>
      <c r="D230" s="840" t="s">
        <v>590</v>
      </c>
      <c r="E230" s="826" t="s">
        <v>3264</v>
      </c>
      <c r="F230" s="840" t="s">
        <v>3265</v>
      </c>
      <c r="G230" s="826" t="s">
        <v>3419</v>
      </c>
      <c r="H230" s="826" t="s">
        <v>3454</v>
      </c>
      <c r="I230" s="832">
        <v>1.0883333683013916</v>
      </c>
      <c r="J230" s="832">
        <v>3700</v>
      </c>
      <c r="K230" s="833">
        <v>4027</v>
      </c>
    </row>
    <row r="231" spans="1:11" ht="14.45" customHeight="1" x14ac:dyDescent="0.2">
      <c r="A231" s="822" t="s">
        <v>575</v>
      </c>
      <c r="B231" s="823" t="s">
        <v>576</v>
      </c>
      <c r="C231" s="826" t="s">
        <v>589</v>
      </c>
      <c r="D231" s="840" t="s">
        <v>590</v>
      </c>
      <c r="E231" s="826" t="s">
        <v>3264</v>
      </c>
      <c r="F231" s="840" t="s">
        <v>3265</v>
      </c>
      <c r="G231" s="826" t="s">
        <v>3425</v>
      </c>
      <c r="H231" s="826" t="s">
        <v>3455</v>
      </c>
      <c r="I231" s="832">
        <v>0.47749999165534973</v>
      </c>
      <c r="J231" s="832">
        <v>2300</v>
      </c>
      <c r="K231" s="833">
        <v>1094</v>
      </c>
    </row>
    <row r="232" spans="1:11" ht="14.45" customHeight="1" x14ac:dyDescent="0.2">
      <c r="A232" s="822" t="s">
        <v>575</v>
      </c>
      <c r="B232" s="823" t="s">
        <v>576</v>
      </c>
      <c r="C232" s="826" t="s">
        <v>589</v>
      </c>
      <c r="D232" s="840" t="s">
        <v>590</v>
      </c>
      <c r="E232" s="826" t="s">
        <v>3264</v>
      </c>
      <c r="F232" s="840" t="s">
        <v>3265</v>
      </c>
      <c r="G232" s="826" t="s">
        <v>3430</v>
      </c>
      <c r="H232" s="826" t="s">
        <v>3456</v>
      </c>
      <c r="I232" s="832">
        <v>1.6749999523162842</v>
      </c>
      <c r="J232" s="832">
        <v>2600</v>
      </c>
      <c r="K232" s="833">
        <v>4352</v>
      </c>
    </row>
    <row r="233" spans="1:11" ht="14.45" customHeight="1" x14ac:dyDescent="0.2">
      <c r="A233" s="822" t="s">
        <v>575</v>
      </c>
      <c r="B233" s="823" t="s">
        <v>576</v>
      </c>
      <c r="C233" s="826" t="s">
        <v>589</v>
      </c>
      <c r="D233" s="840" t="s">
        <v>590</v>
      </c>
      <c r="E233" s="826" t="s">
        <v>3264</v>
      </c>
      <c r="F233" s="840" t="s">
        <v>3265</v>
      </c>
      <c r="G233" s="826" t="s">
        <v>3432</v>
      </c>
      <c r="H233" s="826" t="s">
        <v>3457</v>
      </c>
      <c r="I233" s="832">
        <v>7.1599998474121094</v>
      </c>
      <c r="J233" s="832">
        <v>400</v>
      </c>
      <c r="K233" s="833">
        <v>2862.81005859375</v>
      </c>
    </row>
    <row r="234" spans="1:11" ht="14.45" customHeight="1" x14ac:dyDescent="0.2">
      <c r="A234" s="822" t="s">
        <v>575</v>
      </c>
      <c r="B234" s="823" t="s">
        <v>576</v>
      </c>
      <c r="C234" s="826" t="s">
        <v>589</v>
      </c>
      <c r="D234" s="840" t="s">
        <v>590</v>
      </c>
      <c r="E234" s="826" t="s">
        <v>3264</v>
      </c>
      <c r="F234" s="840" t="s">
        <v>3265</v>
      </c>
      <c r="G234" s="826" t="s">
        <v>3436</v>
      </c>
      <c r="H234" s="826" t="s">
        <v>3458</v>
      </c>
      <c r="I234" s="832">
        <v>0.67000001668930054</v>
      </c>
      <c r="J234" s="832">
        <v>400</v>
      </c>
      <c r="K234" s="833">
        <v>268</v>
      </c>
    </row>
    <row r="235" spans="1:11" ht="14.45" customHeight="1" x14ac:dyDescent="0.2">
      <c r="A235" s="822" t="s">
        <v>575</v>
      </c>
      <c r="B235" s="823" t="s">
        <v>576</v>
      </c>
      <c r="C235" s="826" t="s">
        <v>589</v>
      </c>
      <c r="D235" s="840" t="s">
        <v>590</v>
      </c>
      <c r="E235" s="826" t="s">
        <v>3264</v>
      </c>
      <c r="F235" s="840" t="s">
        <v>3265</v>
      </c>
      <c r="G235" s="826" t="s">
        <v>3446</v>
      </c>
      <c r="H235" s="826" t="s">
        <v>3459</v>
      </c>
      <c r="I235" s="832">
        <v>5.2071427617754251</v>
      </c>
      <c r="J235" s="832">
        <v>775</v>
      </c>
      <c r="K235" s="833">
        <v>4037</v>
      </c>
    </row>
    <row r="236" spans="1:11" ht="14.45" customHeight="1" x14ac:dyDescent="0.2">
      <c r="A236" s="822" t="s">
        <v>575</v>
      </c>
      <c r="B236" s="823" t="s">
        <v>576</v>
      </c>
      <c r="C236" s="826" t="s">
        <v>589</v>
      </c>
      <c r="D236" s="840" t="s">
        <v>590</v>
      </c>
      <c r="E236" s="826" t="s">
        <v>3264</v>
      </c>
      <c r="F236" s="840" t="s">
        <v>3265</v>
      </c>
      <c r="G236" s="826" t="s">
        <v>3460</v>
      </c>
      <c r="H236" s="826" t="s">
        <v>3461</v>
      </c>
      <c r="I236" s="832">
        <v>8.8333333333333339</v>
      </c>
      <c r="J236" s="832">
        <v>300</v>
      </c>
      <c r="K236" s="833">
        <v>2650</v>
      </c>
    </row>
    <row r="237" spans="1:11" ht="14.45" customHeight="1" x14ac:dyDescent="0.2">
      <c r="A237" s="822" t="s">
        <v>575</v>
      </c>
      <c r="B237" s="823" t="s">
        <v>576</v>
      </c>
      <c r="C237" s="826" t="s">
        <v>589</v>
      </c>
      <c r="D237" s="840" t="s">
        <v>590</v>
      </c>
      <c r="E237" s="826" t="s">
        <v>3264</v>
      </c>
      <c r="F237" s="840" t="s">
        <v>3265</v>
      </c>
      <c r="G237" s="826" t="s">
        <v>3448</v>
      </c>
      <c r="H237" s="826" t="s">
        <v>3462</v>
      </c>
      <c r="I237" s="832">
        <v>8.4140001296997067</v>
      </c>
      <c r="J237" s="832">
        <v>1440</v>
      </c>
      <c r="K237" s="833">
        <v>12196.80029296875</v>
      </c>
    </row>
    <row r="238" spans="1:11" ht="14.45" customHeight="1" x14ac:dyDescent="0.2">
      <c r="A238" s="822" t="s">
        <v>575</v>
      </c>
      <c r="B238" s="823" t="s">
        <v>576</v>
      </c>
      <c r="C238" s="826" t="s">
        <v>589</v>
      </c>
      <c r="D238" s="840" t="s">
        <v>590</v>
      </c>
      <c r="E238" s="826" t="s">
        <v>3264</v>
      </c>
      <c r="F238" s="840" t="s">
        <v>3265</v>
      </c>
      <c r="G238" s="826" t="s">
        <v>3463</v>
      </c>
      <c r="H238" s="826" t="s">
        <v>3464</v>
      </c>
      <c r="I238" s="832">
        <v>9.434999942779541</v>
      </c>
      <c r="J238" s="832">
        <v>1000</v>
      </c>
      <c r="K238" s="833">
        <v>9435</v>
      </c>
    </row>
    <row r="239" spans="1:11" ht="14.45" customHeight="1" x14ac:dyDescent="0.2">
      <c r="A239" s="822" t="s">
        <v>575</v>
      </c>
      <c r="B239" s="823" t="s">
        <v>576</v>
      </c>
      <c r="C239" s="826" t="s">
        <v>589</v>
      </c>
      <c r="D239" s="840" t="s">
        <v>590</v>
      </c>
      <c r="E239" s="826" t="s">
        <v>3264</v>
      </c>
      <c r="F239" s="840" t="s">
        <v>3265</v>
      </c>
      <c r="G239" s="826" t="s">
        <v>3465</v>
      </c>
      <c r="H239" s="826" t="s">
        <v>3466</v>
      </c>
      <c r="I239" s="832">
        <v>17.909999847412109</v>
      </c>
      <c r="J239" s="832">
        <v>500</v>
      </c>
      <c r="K239" s="833">
        <v>8954</v>
      </c>
    </row>
    <row r="240" spans="1:11" ht="14.45" customHeight="1" x14ac:dyDescent="0.2">
      <c r="A240" s="822" t="s">
        <v>575</v>
      </c>
      <c r="B240" s="823" t="s">
        <v>576</v>
      </c>
      <c r="C240" s="826" t="s">
        <v>589</v>
      </c>
      <c r="D240" s="840" t="s">
        <v>590</v>
      </c>
      <c r="E240" s="826" t="s">
        <v>3264</v>
      </c>
      <c r="F240" s="840" t="s">
        <v>3265</v>
      </c>
      <c r="G240" s="826" t="s">
        <v>3450</v>
      </c>
      <c r="H240" s="826" t="s">
        <v>3467</v>
      </c>
      <c r="I240" s="832">
        <v>1.5499999523162842</v>
      </c>
      <c r="J240" s="832">
        <v>500</v>
      </c>
      <c r="K240" s="833">
        <v>775</v>
      </c>
    </row>
    <row r="241" spans="1:11" ht="14.45" customHeight="1" x14ac:dyDescent="0.2">
      <c r="A241" s="822" t="s">
        <v>575</v>
      </c>
      <c r="B241" s="823" t="s">
        <v>576</v>
      </c>
      <c r="C241" s="826" t="s">
        <v>589</v>
      </c>
      <c r="D241" s="840" t="s">
        <v>590</v>
      </c>
      <c r="E241" s="826" t="s">
        <v>3264</v>
      </c>
      <c r="F241" s="840" t="s">
        <v>3265</v>
      </c>
      <c r="G241" s="826" t="s">
        <v>3468</v>
      </c>
      <c r="H241" s="826" t="s">
        <v>3469</v>
      </c>
      <c r="I241" s="832">
        <v>2.1700000762939453</v>
      </c>
      <c r="J241" s="832">
        <v>200</v>
      </c>
      <c r="K241" s="833">
        <v>434.95999145507813</v>
      </c>
    </row>
    <row r="242" spans="1:11" ht="14.45" customHeight="1" x14ac:dyDescent="0.2">
      <c r="A242" s="822" t="s">
        <v>575</v>
      </c>
      <c r="B242" s="823" t="s">
        <v>576</v>
      </c>
      <c r="C242" s="826" t="s">
        <v>589</v>
      </c>
      <c r="D242" s="840" t="s">
        <v>590</v>
      </c>
      <c r="E242" s="826" t="s">
        <v>3264</v>
      </c>
      <c r="F242" s="840" t="s">
        <v>3265</v>
      </c>
      <c r="G242" s="826" t="s">
        <v>3470</v>
      </c>
      <c r="H242" s="826" t="s">
        <v>3471</v>
      </c>
      <c r="I242" s="832">
        <v>1140.4300537109375</v>
      </c>
      <c r="J242" s="832">
        <v>3</v>
      </c>
      <c r="K242" s="833">
        <v>3421.280029296875</v>
      </c>
    </row>
    <row r="243" spans="1:11" ht="14.45" customHeight="1" x14ac:dyDescent="0.2">
      <c r="A243" s="822" t="s">
        <v>575</v>
      </c>
      <c r="B243" s="823" t="s">
        <v>576</v>
      </c>
      <c r="C243" s="826" t="s">
        <v>589</v>
      </c>
      <c r="D243" s="840" t="s">
        <v>590</v>
      </c>
      <c r="E243" s="826" t="s">
        <v>3264</v>
      </c>
      <c r="F243" s="840" t="s">
        <v>3265</v>
      </c>
      <c r="G243" s="826" t="s">
        <v>3472</v>
      </c>
      <c r="H243" s="826" t="s">
        <v>3473</v>
      </c>
      <c r="I243" s="832">
        <v>769.55999755859375</v>
      </c>
      <c r="J243" s="832">
        <v>12</v>
      </c>
      <c r="K243" s="833">
        <v>9234.7197265625</v>
      </c>
    </row>
    <row r="244" spans="1:11" ht="14.45" customHeight="1" x14ac:dyDescent="0.2">
      <c r="A244" s="822" t="s">
        <v>575</v>
      </c>
      <c r="B244" s="823" t="s">
        <v>576</v>
      </c>
      <c r="C244" s="826" t="s">
        <v>589</v>
      </c>
      <c r="D244" s="840" t="s">
        <v>590</v>
      </c>
      <c r="E244" s="826" t="s">
        <v>3264</v>
      </c>
      <c r="F244" s="840" t="s">
        <v>3265</v>
      </c>
      <c r="G244" s="826" t="s">
        <v>3474</v>
      </c>
      <c r="H244" s="826" t="s">
        <v>3475</v>
      </c>
      <c r="I244" s="832">
        <v>769.55999755859375</v>
      </c>
      <c r="J244" s="832">
        <v>6</v>
      </c>
      <c r="K244" s="833">
        <v>4617.35986328125</v>
      </c>
    </row>
    <row r="245" spans="1:11" ht="14.45" customHeight="1" x14ac:dyDescent="0.2">
      <c r="A245" s="822" t="s">
        <v>575</v>
      </c>
      <c r="B245" s="823" t="s">
        <v>576</v>
      </c>
      <c r="C245" s="826" t="s">
        <v>589</v>
      </c>
      <c r="D245" s="840" t="s">
        <v>590</v>
      </c>
      <c r="E245" s="826" t="s">
        <v>3264</v>
      </c>
      <c r="F245" s="840" t="s">
        <v>3265</v>
      </c>
      <c r="G245" s="826" t="s">
        <v>3474</v>
      </c>
      <c r="H245" s="826" t="s">
        <v>3476</v>
      </c>
      <c r="I245" s="832">
        <v>769.55999755859375</v>
      </c>
      <c r="J245" s="832">
        <v>6</v>
      </c>
      <c r="K245" s="833">
        <v>4617.35986328125</v>
      </c>
    </row>
    <row r="246" spans="1:11" ht="14.45" customHeight="1" x14ac:dyDescent="0.2">
      <c r="A246" s="822" t="s">
        <v>575</v>
      </c>
      <c r="B246" s="823" t="s">
        <v>576</v>
      </c>
      <c r="C246" s="826" t="s">
        <v>589</v>
      </c>
      <c r="D246" s="840" t="s">
        <v>590</v>
      </c>
      <c r="E246" s="826" t="s">
        <v>3264</v>
      </c>
      <c r="F246" s="840" t="s">
        <v>3265</v>
      </c>
      <c r="G246" s="826" t="s">
        <v>3349</v>
      </c>
      <c r="H246" s="826" t="s">
        <v>3477</v>
      </c>
      <c r="I246" s="832">
        <v>35.090000152587891</v>
      </c>
      <c r="J246" s="832">
        <v>6</v>
      </c>
      <c r="K246" s="833">
        <v>210.53999328613281</v>
      </c>
    </row>
    <row r="247" spans="1:11" ht="14.45" customHeight="1" x14ac:dyDescent="0.2">
      <c r="A247" s="822" t="s">
        <v>575</v>
      </c>
      <c r="B247" s="823" t="s">
        <v>576</v>
      </c>
      <c r="C247" s="826" t="s">
        <v>589</v>
      </c>
      <c r="D247" s="840" t="s">
        <v>590</v>
      </c>
      <c r="E247" s="826" t="s">
        <v>3264</v>
      </c>
      <c r="F247" s="840" t="s">
        <v>3265</v>
      </c>
      <c r="G247" s="826" t="s">
        <v>3478</v>
      </c>
      <c r="H247" s="826" t="s">
        <v>3479</v>
      </c>
      <c r="I247" s="832">
        <v>43.439998626708984</v>
      </c>
      <c r="J247" s="832">
        <v>10</v>
      </c>
      <c r="K247" s="833">
        <v>434.39999389648438</v>
      </c>
    </row>
    <row r="248" spans="1:11" ht="14.45" customHeight="1" x14ac:dyDescent="0.2">
      <c r="A248" s="822" t="s">
        <v>575</v>
      </c>
      <c r="B248" s="823" t="s">
        <v>576</v>
      </c>
      <c r="C248" s="826" t="s">
        <v>589</v>
      </c>
      <c r="D248" s="840" t="s">
        <v>590</v>
      </c>
      <c r="E248" s="826" t="s">
        <v>3264</v>
      </c>
      <c r="F248" s="840" t="s">
        <v>3265</v>
      </c>
      <c r="G248" s="826" t="s">
        <v>3480</v>
      </c>
      <c r="H248" s="826" t="s">
        <v>3481</v>
      </c>
      <c r="I248" s="832">
        <v>217.77500152587891</v>
      </c>
      <c r="J248" s="832">
        <v>10</v>
      </c>
      <c r="K248" s="833">
        <v>2177.800048828125</v>
      </c>
    </row>
    <row r="249" spans="1:11" ht="14.45" customHeight="1" x14ac:dyDescent="0.2">
      <c r="A249" s="822" t="s">
        <v>575</v>
      </c>
      <c r="B249" s="823" t="s">
        <v>576</v>
      </c>
      <c r="C249" s="826" t="s">
        <v>589</v>
      </c>
      <c r="D249" s="840" t="s">
        <v>590</v>
      </c>
      <c r="E249" s="826" t="s">
        <v>3264</v>
      </c>
      <c r="F249" s="840" t="s">
        <v>3265</v>
      </c>
      <c r="G249" s="826" t="s">
        <v>3482</v>
      </c>
      <c r="H249" s="826" t="s">
        <v>3483</v>
      </c>
      <c r="I249" s="832">
        <v>2.8499999046325684</v>
      </c>
      <c r="J249" s="832">
        <v>200</v>
      </c>
      <c r="K249" s="833">
        <v>570</v>
      </c>
    </row>
    <row r="250" spans="1:11" ht="14.45" customHeight="1" x14ac:dyDescent="0.2">
      <c r="A250" s="822" t="s">
        <v>575</v>
      </c>
      <c r="B250" s="823" t="s">
        <v>576</v>
      </c>
      <c r="C250" s="826" t="s">
        <v>589</v>
      </c>
      <c r="D250" s="840" t="s">
        <v>590</v>
      </c>
      <c r="E250" s="826" t="s">
        <v>3264</v>
      </c>
      <c r="F250" s="840" t="s">
        <v>3265</v>
      </c>
      <c r="G250" s="826" t="s">
        <v>3484</v>
      </c>
      <c r="H250" s="826" t="s">
        <v>3485</v>
      </c>
      <c r="I250" s="832">
        <v>1.2100000381469727</v>
      </c>
      <c r="J250" s="832">
        <v>75</v>
      </c>
      <c r="K250" s="833">
        <v>90.75</v>
      </c>
    </row>
    <row r="251" spans="1:11" ht="14.45" customHeight="1" x14ac:dyDescent="0.2">
      <c r="A251" s="822" t="s">
        <v>575</v>
      </c>
      <c r="B251" s="823" t="s">
        <v>576</v>
      </c>
      <c r="C251" s="826" t="s">
        <v>589</v>
      </c>
      <c r="D251" s="840" t="s">
        <v>590</v>
      </c>
      <c r="E251" s="826" t="s">
        <v>3264</v>
      </c>
      <c r="F251" s="840" t="s">
        <v>3265</v>
      </c>
      <c r="G251" s="826" t="s">
        <v>3486</v>
      </c>
      <c r="H251" s="826" t="s">
        <v>3487</v>
      </c>
      <c r="I251" s="832">
        <v>1.0249999761581421</v>
      </c>
      <c r="J251" s="832">
        <v>225</v>
      </c>
      <c r="K251" s="833">
        <v>230.25</v>
      </c>
    </row>
    <row r="252" spans="1:11" ht="14.45" customHeight="1" x14ac:dyDescent="0.2">
      <c r="A252" s="822" t="s">
        <v>575</v>
      </c>
      <c r="B252" s="823" t="s">
        <v>576</v>
      </c>
      <c r="C252" s="826" t="s">
        <v>589</v>
      </c>
      <c r="D252" s="840" t="s">
        <v>590</v>
      </c>
      <c r="E252" s="826" t="s">
        <v>3264</v>
      </c>
      <c r="F252" s="840" t="s">
        <v>3265</v>
      </c>
      <c r="G252" s="826" t="s">
        <v>3488</v>
      </c>
      <c r="H252" s="826" t="s">
        <v>3489</v>
      </c>
      <c r="I252" s="832">
        <v>5.809999942779541</v>
      </c>
      <c r="J252" s="832">
        <v>1000</v>
      </c>
      <c r="K252" s="833">
        <v>5810</v>
      </c>
    </row>
    <row r="253" spans="1:11" ht="14.45" customHeight="1" x14ac:dyDescent="0.2">
      <c r="A253" s="822" t="s">
        <v>575</v>
      </c>
      <c r="B253" s="823" t="s">
        <v>576</v>
      </c>
      <c r="C253" s="826" t="s">
        <v>589</v>
      </c>
      <c r="D253" s="840" t="s">
        <v>590</v>
      </c>
      <c r="E253" s="826" t="s">
        <v>3264</v>
      </c>
      <c r="F253" s="840" t="s">
        <v>3265</v>
      </c>
      <c r="G253" s="826" t="s">
        <v>3490</v>
      </c>
      <c r="H253" s="826" t="s">
        <v>3491</v>
      </c>
      <c r="I253" s="832">
        <v>3.1357143947056363</v>
      </c>
      <c r="J253" s="832">
        <v>2400</v>
      </c>
      <c r="K253" s="833">
        <v>7522</v>
      </c>
    </row>
    <row r="254" spans="1:11" ht="14.45" customHeight="1" x14ac:dyDescent="0.2">
      <c r="A254" s="822" t="s">
        <v>575</v>
      </c>
      <c r="B254" s="823" t="s">
        <v>576</v>
      </c>
      <c r="C254" s="826" t="s">
        <v>589</v>
      </c>
      <c r="D254" s="840" t="s">
        <v>590</v>
      </c>
      <c r="E254" s="826" t="s">
        <v>3264</v>
      </c>
      <c r="F254" s="840" t="s">
        <v>3265</v>
      </c>
      <c r="G254" s="826" t="s">
        <v>3492</v>
      </c>
      <c r="H254" s="826" t="s">
        <v>3493</v>
      </c>
      <c r="I254" s="832">
        <v>7.5999999046325684</v>
      </c>
      <c r="J254" s="832">
        <v>200</v>
      </c>
      <c r="K254" s="833">
        <v>1519.760009765625</v>
      </c>
    </row>
    <row r="255" spans="1:11" ht="14.45" customHeight="1" x14ac:dyDescent="0.2">
      <c r="A255" s="822" t="s">
        <v>575</v>
      </c>
      <c r="B255" s="823" t="s">
        <v>576</v>
      </c>
      <c r="C255" s="826" t="s">
        <v>589</v>
      </c>
      <c r="D255" s="840" t="s">
        <v>590</v>
      </c>
      <c r="E255" s="826" t="s">
        <v>3264</v>
      </c>
      <c r="F255" s="840" t="s">
        <v>3265</v>
      </c>
      <c r="G255" s="826" t="s">
        <v>3490</v>
      </c>
      <c r="H255" s="826" t="s">
        <v>3494</v>
      </c>
      <c r="I255" s="832">
        <v>3.130000114440918</v>
      </c>
      <c r="J255" s="832">
        <v>800</v>
      </c>
      <c r="K255" s="833">
        <v>2504</v>
      </c>
    </row>
    <row r="256" spans="1:11" ht="14.45" customHeight="1" x14ac:dyDescent="0.2">
      <c r="A256" s="822" t="s">
        <v>575</v>
      </c>
      <c r="B256" s="823" t="s">
        <v>576</v>
      </c>
      <c r="C256" s="826" t="s">
        <v>589</v>
      </c>
      <c r="D256" s="840" t="s">
        <v>590</v>
      </c>
      <c r="E256" s="826" t="s">
        <v>3264</v>
      </c>
      <c r="F256" s="840" t="s">
        <v>3265</v>
      </c>
      <c r="G256" s="826" t="s">
        <v>3495</v>
      </c>
      <c r="H256" s="826" t="s">
        <v>3496</v>
      </c>
      <c r="I256" s="832">
        <v>10.890000343322754</v>
      </c>
      <c r="J256" s="832">
        <v>4</v>
      </c>
      <c r="K256" s="833">
        <v>43.560001373291016</v>
      </c>
    </row>
    <row r="257" spans="1:11" ht="14.45" customHeight="1" x14ac:dyDescent="0.2">
      <c r="A257" s="822" t="s">
        <v>575</v>
      </c>
      <c r="B257" s="823" t="s">
        <v>576</v>
      </c>
      <c r="C257" s="826" t="s">
        <v>589</v>
      </c>
      <c r="D257" s="840" t="s">
        <v>590</v>
      </c>
      <c r="E257" s="826" t="s">
        <v>3264</v>
      </c>
      <c r="F257" s="840" t="s">
        <v>3265</v>
      </c>
      <c r="G257" s="826" t="s">
        <v>3497</v>
      </c>
      <c r="H257" s="826" t="s">
        <v>3498</v>
      </c>
      <c r="I257" s="832">
        <v>49.970001220703125</v>
      </c>
      <c r="J257" s="832">
        <v>10</v>
      </c>
      <c r="K257" s="833">
        <v>499.70001220703125</v>
      </c>
    </row>
    <row r="258" spans="1:11" ht="14.45" customHeight="1" x14ac:dyDescent="0.2">
      <c r="A258" s="822" t="s">
        <v>575</v>
      </c>
      <c r="B258" s="823" t="s">
        <v>576</v>
      </c>
      <c r="C258" s="826" t="s">
        <v>589</v>
      </c>
      <c r="D258" s="840" t="s">
        <v>590</v>
      </c>
      <c r="E258" s="826" t="s">
        <v>3264</v>
      </c>
      <c r="F258" s="840" t="s">
        <v>3265</v>
      </c>
      <c r="G258" s="826" t="s">
        <v>3499</v>
      </c>
      <c r="H258" s="826" t="s">
        <v>3500</v>
      </c>
      <c r="I258" s="832">
        <v>0.4699999988079071</v>
      </c>
      <c r="J258" s="832">
        <v>500</v>
      </c>
      <c r="K258" s="833">
        <v>235</v>
      </c>
    </row>
    <row r="259" spans="1:11" ht="14.45" customHeight="1" x14ac:dyDescent="0.2">
      <c r="A259" s="822" t="s">
        <v>575</v>
      </c>
      <c r="B259" s="823" t="s">
        <v>576</v>
      </c>
      <c r="C259" s="826" t="s">
        <v>589</v>
      </c>
      <c r="D259" s="840" t="s">
        <v>590</v>
      </c>
      <c r="E259" s="826" t="s">
        <v>3264</v>
      </c>
      <c r="F259" s="840" t="s">
        <v>3265</v>
      </c>
      <c r="G259" s="826" t="s">
        <v>3501</v>
      </c>
      <c r="H259" s="826" t="s">
        <v>3502</v>
      </c>
      <c r="I259" s="832">
        <v>0.47222221891085309</v>
      </c>
      <c r="J259" s="832">
        <v>6100</v>
      </c>
      <c r="K259" s="833">
        <v>2887</v>
      </c>
    </row>
    <row r="260" spans="1:11" ht="14.45" customHeight="1" x14ac:dyDescent="0.2">
      <c r="A260" s="822" t="s">
        <v>575</v>
      </c>
      <c r="B260" s="823" t="s">
        <v>576</v>
      </c>
      <c r="C260" s="826" t="s">
        <v>589</v>
      </c>
      <c r="D260" s="840" t="s">
        <v>590</v>
      </c>
      <c r="E260" s="826" t="s">
        <v>3264</v>
      </c>
      <c r="F260" s="840" t="s">
        <v>3265</v>
      </c>
      <c r="G260" s="826" t="s">
        <v>3501</v>
      </c>
      <c r="H260" s="826" t="s">
        <v>3503</v>
      </c>
      <c r="I260" s="832">
        <v>0.47124999761581421</v>
      </c>
      <c r="J260" s="832">
        <v>4800</v>
      </c>
      <c r="K260" s="833">
        <v>2266</v>
      </c>
    </row>
    <row r="261" spans="1:11" ht="14.45" customHeight="1" x14ac:dyDescent="0.2">
      <c r="A261" s="822" t="s">
        <v>575</v>
      </c>
      <c r="B261" s="823" t="s">
        <v>576</v>
      </c>
      <c r="C261" s="826" t="s">
        <v>589</v>
      </c>
      <c r="D261" s="840" t="s">
        <v>590</v>
      </c>
      <c r="E261" s="826" t="s">
        <v>3264</v>
      </c>
      <c r="F261" s="840" t="s">
        <v>3265</v>
      </c>
      <c r="G261" s="826" t="s">
        <v>3504</v>
      </c>
      <c r="H261" s="826" t="s">
        <v>3505</v>
      </c>
      <c r="I261" s="832">
        <v>3.7599999904632568</v>
      </c>
      <c r="J261" s="832">
        <v>100</v>
      </c>
      <c r="K261" s="833">
        <v>376</v>
      </c>
    </row>
    <row r="262" spans="1:11" ht="14.45" customHeight="1" x14ac:dyDescent="0.2">
      <c r="A262" s="822" t="s">
        <v>575</v>
      </c>
      <c r="B262" s="823" t="s">
        <v>576</v>
      </c>
      <c r="C262" s="826" t="s">
        <v>589</v>
      </c>
      <c r="D262" s="840" t="s">
        <v>590</v>
      </c>
      <c r="E262" s="826" t="s">
        <v>3264</v>
      </c>
      <c r="F262" s="840" t="s">
        <v>3265</v>
      </c>
      <c r="G262" s="826" t="s">
        <v>3506</v>
      </c>
      <c r="H262" s="826" t="s">
        <v>3507</v>
      </c>
      <c r="I262" s="832">
        <v>1.9850000143051147</v>
      </c>
      <c r="J262" s="832">
        <v>2100</v>
      </c>
      <c r="K262" s="833">
        <v>4170</v>
      </c>
    </row>
    <row r="263" spans="1:11" ht="14.45" customHeight="1" x14ac:dyDescent="0.2">
      <c r="A263" s="822" t="s">
        <v>575</v>
      </c>
      <c r="B263" s="823" t="s">
        <v>576</v>
      </c>
      <c r="C263" s="826" t="s">
        <v>589</v>
      </c>
      <c r="D263" s="840" t="s">
        <v>590</v>
      </c>
      <c r="E263" s="826" t="s">
        <v>3264</v>
      </c>
      <c r="F263" s="840" t="s">
        <v>3265</v>
      </c>
      <c r="G263" s="826" t="s">
        <v>3506</v>
      </c>
      <c r="H263" s="826" t="s">
        <v>3508</v>
      </c>
      <c r="I263" s="832">
        <v>1.9860000133514404</v>
      </c>
      <c r="J263" s="832">
        <v>1500</v>
      </c>
      <c r="K263" s="833">
        <v>2978</v>
      </c>
    </row>
    <row r="264" spans="1:11" ht="14.45" customHeight="1" x14ac:dyDescent="0.2">
      <c r="A264" s="822" t="s">
        <v>575</v>
      </c>
      <c r="B264" s="823" t="s">
        <v>576</v>
      </c>
      <c r="C264" s="826" t="s">
        <v>589</v>
      </c>
      <c r="D264" s="840" t="s">
        <v>590</v>
      </c>
      <c r="E264" s="826" t="s">
        <v>3264</v>
      </c>
      <c r="F264" s="840" t="s">
        <v>3265</v>
      </c>
      <c r="G264" s="826" t="s">
        <v>3509</v>
      </c>
      <c r="H264" s="826" t="s">
        <v>3510</v>
      </c>
      <c r="I264" s="832">
        <v>2.0399999618530273</v>
      </c>
      <c r="J264" s="832">
        <v>300</v>
      </c>
      <c r="K264" s="833">
        <v>612</v>
      </c>
    </row>
    <row r="265" spans="1:11" ht="14.45" customHeight="1" x14ac:dyDescent="0.2">
      <c r="A265" s="822" t="s">
        <v>575</v>
      </c>
      <c r="B265" s="823" t="s">
        <v>576</v>
      </c>
      <c r="C265" s="826" t="s">
        <v>589</v>
      </c>
      <c r="D265" s="840" t="s">
        <v>590</v>
      </c>
      <c r="E265" s="826" t="s">
        <v>3264</v>
      </c>
      <c r="F265" s="840" t="s">
        <v>3265</v>
      </c>
      <c r="G265" s="826" t="s">
        <v>3509</v>
      </c>
      <c r="H265" s="826" t="s">
        <v>3511</v>
      </c>
      <c r="I265" s="832">
        <v>2.0466666221618652</v>
      </c>
      <c r="J265" s="832">
        <v>600</v>
      </c>
      <c r="K265" s="833">
        <v>1228</v>
      </c>
    </row>
    <row r="266" spans="1:11" ht="14.45" customHeight="1" x14ac:dyDescent="0.2">
      <c r="A266" s="822" t="s">
        <v>575</v>
      </c>
      <c r="B266" s="823" t="s">
        <v>576</v>
      </c>
      <c r="C266" s="826" t="s">
        <v>589</v>
      </c>
      <c r="D266" s="840" t="s">
        <v>590</v>
      </c>
      <c r="E266" s="826" t="s">
        <v>3264</v>
      </c>
      <c r="F266" s="840" t="s">
        <v>3265</v>
      </c>
      <c r="G266" s="826" t="s">
        <v>3512</v>
      </c>
      <c r="H266" s="826" t="s">
        <v>3513</v>
      </c>
      <c r="I266" s="832">
        <v>3.0739999294281004</v>
      </c>
      <c r="J266" s="832">
        <v>1200</v>
      </c>
      <c r="K266" s="833">
        <v>3690</v>
      </c>
    </row>
    <row r="267" spans="1:11" ht="14.45" customHeight="1" x14ac:dyDescent="0.2">
      <c r="A267" s="822" t="s">
        <v>575</v>
      </c>
      <c r="B267" s="823" t="s">
        <v>576</v>
      </c>
      <c r="C267" s="826" t="s">
        <v>589</v>
      </c>
      <c r="D267" s="840" t="s">
        <v>590</v>
      </c>
      <c r="E267" s="826" t="s">
        <v>3264</v>
      </c>
      <c r="F267" s="840" t="s">
        <v>3265</v>
      </c>
      <c r="G267" s="826" t="s">
        <v>3514</v>
      </c>
      <c r="H267" s="826" t="s">
        <v>3515</v>
      </c>
      <c r="I267" s="832">
        <v>3.0949999094009399</v>
      </c>
      <c r="J267" s="832">
        <v>900</v>
      </c>
      <c r="K267" s="833">
        <v>2784</v>
      </c>
    </row>
    <row r="268" spans="1:11" ht="14.45" customHeight="1" x14ac:dyDescent="0.2">
      <c r="A268" s="822" t="s">
        <v>575</v>
      </c>
      <c r="B268" s="823" t="s">
        <v>576</v>
      </c>
      <c r="C268" s="826" t="s">
        <v>589</v>
      </c>
      <c r="D268" s="840" t="s">
        <v>590</v>
      </c>
      <c r="E268" s="826" t="s">
        <v>3264</v>
      </c>
      <c r="F268" s="840" t="s">
        <v>3265</v>
      </c>
      <c r="G268" s="826" t="s">
        <v>3512</v>
      </c>
      <c r="H268" s="826" t="s">
        <v>3516</v>
      </c>
      <c r="I268" s="832">
        <v>3.0724999308586121</v>
      </c>
      <c r="J268" s="832">
        <v>1000</v>
      </c>
      <c r="K268" s="833">
        <v>3074</v>
      </c>
    </row>
    <row r="269" spans="1:11" ht="14.45" customHeight="1" x14ac:dyDescent="0.2">
      <c r="A269" s="822" t="s">
        <v>575</v>
      </c>
      <c r="B269" s="823" t="s">
        <v>576</v>
      </c>
      <c r="C269" s="826" t="s">
        <v>589</v>
      </c>
      <c r="D269" s="840" t="s">
        <v>590</v>
      </c>
      <c r="E269" s="826" t="s">
        <v>3264</v>
      </c>
      <c r="F269" s="840" t="s">
        <v>3265</v>
      </c>
      <c r="G269" s="826" t="s">
        <v>3517</v>
      </c>
      <c r="H269" s="826" t="s">
        <v>3518</v>
      </c>
      <c r="I269" s="832">
        <v>1.9199999570846558</v>
      </c>
      <c r="J269" s="832">
        <v>350</v>
      </c>
      <c r="K269" s="833">
        <v>672</v>
      </c>
    </row>
    <row r="270" spans="1:11" ht="14.45" customHeight="1" x14ac:dyDescent="0.2">
      <c r="A270" s="822" t="s">
        <v>575</v>
      </c>
      <c r="B270" s="823" t="s">
        <v>576</v>
      </c>
      <c r="C270" s="826" t="s">
        <v>589</v>
      </c>
      <c r="D270" s="840" t="s">
        <v>590</v>
      </c>
      <c r="E270" s="826" t="s">
        <v>3264</v>
      </c>
      <c r="F270" s="840" t="s">
        <v>3265</v>
      </c>
      <c r="G270" s="826" t="s">
        <v>3519</v>
      </c>
      <c r="H270" s="826" t="s">
        <v>3520</v>
      </c>
      <c r="I270" s="832">
        <v>2.1666667461395264</v>
      </c>
      <c r="J270" s="832">
        <v>950</v>
      </c>
      <c r="K270" s="833">
        <v>2058.2400054931641</v>
      </c>
    </row>
    <row r="271" spans="1:11" ht="14.45" customHeight="1" x14ac:dyDescent="0.2">
      <c r="A271" s="822" t="s">
        <v>575</v>
      </c>
      <c r="B271" s="823" t="s">
        <v>576</v>
      </c>
      <c r="C271" s="826" t="s">
        <v>589</v>
      </c>
      <c r="D271" s="840" t="s">
        <v>590</v>
      </c>
      <c r="E271" s="826" t="s">
        <v>3264</v>
      </c>
      <c r="F271" s="840" t="s">
        <v>3265</v>
      </c>
      <c r="G271" s="826" t="s">
        <v>3519</v>
      </c>
      <c r="H271" s="826" t="s">
        <v>3521</v>
      </c>
      <c r="I271" s="832">
        <v>2.1637500822544098</v>
      </c>
      <c r="J271" s="832">
        <v>1750</v>
      </c>
      <c r="K271" s="833">
        <v>3784.5</v>
      </c>
    </row>
    <row r="272" spans="1:11" ht="14.45" customHeight="1" x14ac:dyDescent="0.2">
      <c r="A272" s="822" t="s">
        <v>575</v>
      </c>
      <c r="B272" s="823" t="s">
        <v>576</v>
      </c>
      <c r="C272" s="826" t="s">
        <v>589</v>
      </c>
      <c r="D272" s="840" t="s">
        <v>590</v>
      </c>
      <c r="E272" s="826" t="s">
        <v>3264</v>
      </c>
      <c r="F272" s="840" t="s">
        <v>3265</v>
      </c>
      <c r="G272" s="826" t="s">
        <v>3522</v>
      </c>
      <c r="H272" s="826" t="s">
        <v>3523</v>
      </c>
      <c r="I272" s="832">
        <v>21.236666361490887</v>
      </c>
      <c r="J272" s="832">
        <v>150</v>
      </c>
      <c r="K272" s="833">
        <v>3185.5</v>
      </c>
    </row>
    <row r="273" spans="1:11" ht="14.45" customHeight="1" x14ac:dyDescent="0.2">
      <c r="A273" s="822" t="s">
        <v>575</v>
      </c>
      <c r="B273" s="823" t="s">
        <v>576</v>
      </c>
      <c r="C273" s="826" t="s">
        <v>589</v>
      </c>
      <c r="D273" s="840" t="s">
        <v>590</v>
      </c>
      <c r="E273" s="826" t="s">
        <v>3264</v>
      </c>
      <c r="F273" s="840" t="s">
        <v>3265</v>
      </c>
      <c r="G273" s="826" t="s">
        <v>3524</v>
      </c>
      <c r="H273" s="826" t="s">
        <v>3525</v>
      </c>
      <c r="I273" s="832">
        <v>2.5166666507720947</v>
      </c>
      <c r="J273" s="832">
        <v>400</v>
      </c>
      <c r="K273" s="833">
        <v>1007</v>
      </c>
    </row>
    <row r="274" spans="1:11" ht="14.45" customHeight="1" x14ac:dyDescent="0.2">
      <c r="A274" s="822" t="s">
        <v>575</v>
      </c>
      <c r="B274" s="823" t="s">
        <v>576</v>
      </c>
      <c r="C274" s="826" t="s">
        <v>589</v>
      </c>
      <c r="D274" s="840" t="s">
        <v>590</v>
      </c>
      <c r="E274" s="826" t="s">
        <v>3264</v>
      </c>
      <c r="F274" s="840" t="s">
        <v>3265</v>
      </c>
      <c r="G274" s="826" t="s">
        <v>3522</v>
      </c>
      <c r="H274" s="826" t="s">
        <v>3526</v>
      </c>
      <c r="I274" s="832">
        <v>21.229999542236328</v>
      </c>
      <c r="J274" s="832">
        <v>100</v>
      </c>
      <c r="K274" s="833">
        <v>2123</v>
      </c>
    </row>
    <row r="275" spans="1:11" ht="14.45" customHeight="1" x14ac:dyDescent="0.2">
      <c r="A275" s="822" t="s">
        <v>575</v>
      </c>
      <c r="B275" s="823" t="s">
        <v>576</v>
      </c>
      <c r="C275" s="826" t="s">
        <v>589</v>
      </c>
      <c r="D275" s="840" t="s">
        <v>590</v>
      </c>
      <c r="E275" s="826" t="s">
        <v>3264</v>
      </c>
      <c r="F275" s="840" t="s">
        <v>3265</v>
      </c>
      <c r="G275" s="826" t="s">
        <v>3524</v>
      </c>
      <c r="H275" s="826" t="s">
        <v>3527</v>
      </c>
      <c r="I275" s="832">
        <v>2.5149999856948853</v>
      </c>
      <c r="J275" s="832">
        <v>500</v>
      </c>
      <c r="K275" s="833">
        <v>1259</v>
      </c>
    </row>
    <row r="276" spans="1:11" ht="14.45" customHeight="1" x14ac:dyDescent="0.2">
      <c r="A276" s="822" t="s">
        <v>575</v>
      </c>
      <c r="B276" s="823" t="s">
        <v>576</v>
      </c>
      <c r="C276" s="826" t="s">
        <v>589</v>
      </c>
      <c r="D276" s="840" t="s">
        <v>590</v>
      </c>
      <c r="E276" s="826" t="s">
        <v>3264</v>
      </c>
      <c r="F276" s="840" t="s">
        <v>3265</v>
      </c>
      <c r="G276" s="826" t="s">
        <v>3528</v>
      </c>
      <c r="H276" s="826" t="s">
        <v>3529</v>
      </c>
      <c r="I276" s="832">
        <v>3.6049998998641968</v>
      </c>
      <c r="J276" s="832">
        <v>300</v>
      </c>
      <c r="K276" s="833">
        <v>1081.3199768066406</v>
      </c>
    </row>
    <row r="277" spans="1:11" ht="14.45" customHeight="1" x14ac:dyDescent="0.2">
      <c r="A277" s="822" t="s">
        <v>575</v>
      </c>
      <c r="B277" s="823" t="s">
        <v>576</v>
      </c>
      <c r="C277" s="826" t="s">
        <v>589</v>
      </c>
      <c r="D277" s="840" t="s">
        <v>590</v>
      </c>
      <c r="E277" s="826" t="s">
        <v>3264</v>
      </c>
      <c r="F277" s="840" t="s">
        <v>3265</v>
      </c>
      <c r="G277" s="826" t="s">
        <v>3530</v>
      </c>
      <c r="H277" s="826" t="s">
        <v>3531</v>
      </c>
      <c r="I277" s="832">
        <v>22.34999942779541</v>
      </c>
      <c r="J277" s="832">
        <v>100</v>
      </c>
      <c r="K277" s="833">
        <v>2235</v>
      </c>
    </row>
    <row r="278" spans="1:11" ht="14.45" customHeight="1" x14ac:dyDescent="0.2">
      <c r="A278" s="822" t="s">
        <v>575</v>
      </c>
      <c r="B278" s="823" t="s">
        <v>576</v>
      </c>
      <c r="C278" s="826" t="s">
        <v>589</v>
      </c>
      <c r="D278" s="840" t="s">
        <v>590</v>
      </c>
      <c r="E278" s="826" t="s">
        <v>3264</v>
      </c>
      <c r="F278" s="840" t="s">
        <v>3265</v>
      </c>
      <c r="G278" s="826" t="s">
        <v>3530</v>
      </c>
      <c r="H278" s="826" t="s">
        <v>3532</v>
      </c>
      <c r="I278" s="832">
        <v>21.239999771118164</v>
      </c>
      <c r="J278" s="832">
        <v>50</v>
      </c>
      <c r="K278" s="833">
        <v>1062</v>
      </c>
    </row>
    <row r="279" spans="1:11" ht="14.45" customHeight="1" x14ac:dyDescent="0.2">
      <c r="A279" s="822" t="s">
        <v>575</v>
      </c>
      <c r="B279" s="823" t="s">
        <v>576</v>
      </c>
      <c r="C279" s="826" t="s">
        <v>589</v>
      </c>
      <c r="D279" s="840" t="s">
        <v>590</v>
      </c>
      <c r="E279" s="826" t="s">
        <v>3533</v>
      </c>
      <c r="F279" s="840" t="s">
        <v>3534</v>
      </c>
      <c r="G279" s="826" t="s">
        <v>3404</v>
      </c>
      <c r="H279" s="826" t="s">
        <v>3405</v>
      </c>
      <c r="I279" s="832">
        <v>150</v>
      </c>
      <c r="J279" s="832">
        <v>10</v>
      </c>
      <c r="K279" s="833">
        <v>1500</v>
      </c>
    </row>
    <row r="280" spans="1:11" ht="14.45" customHeight="1" x14ac:dyDescent="0.2">
      <c r="A280" s="822" t="s">
        <v>575</v>
      </c>
      <c r="B280" s="823" t="s">
        <v>576</v>
      </c>
      <c r="C280" s="826" t="s">
        <v>589</v>
      </c>
      <c r="D280" s="840" t="s">
        <v>590</v>
      </c>
      <c r="E280" s="826" t="s">
        <v>3533</v>
      </c>
      <c r="F280" s="840" t="s">
        <v>3534</v>
      </c>
      <c r="G280" s="826" t="s">
        <v>3404</v>
      </c>
      <c r="H280" s="826" t="s">
        <v>3535</v>
      </c>
      <c r="I280" s="832">
        <v>150</v>
      </c>
      <c r="J280" s="832">
        <v>20</v>
      </c>
      <c r="K280" s="833">
        <v>3000.070068359375</v>
      </c>
    </row>
    <row r="281" spans="1:11" ht="14.45" customHeight="1" x14ac:dyDescent="0.2">
      <c r="A281" s="822" t="s">
        <v>575</v>
      </c>
      <c r="B281" s="823" t="s">
        <v>576</v>
      </c>
      <c r="C281" s="826" t="s">
        <v>589</v>
      </c>
      <c r="D281" s="840" t="s">
        <v>590</v>
      </c>
      <c r="E281" s="826" t="s">
        <v>3533</v>
      </c>
      <c r="F281" s="840" t="s">
        <v>3534</v>
      </c>
      <c r="G281" s="826" t="s">
        <v>3536</v>
      </c>
      <c r="H281" s="826" t="s">
        <v>3537</v>
      </c>
      <c r="I281" s="832">
        <v>9.0344443851047096</v>
      </c>
      <c r="J281" s="832">
        <v>2200</v>
      </c>
      <c r="K281" s="833">
        <v>22363</v>
      </c>
    </row>
    <row r="282" spans="1:11" ht="14.45" customHeight="1" x14ac:dyDescent="0.2">
      <c r="A282" s="822" t="s">
        <v>575</v>
      </c>
      <c r="B282" s="823" t="s">
        <v>576</v>
      </c>
      <c r="C282" s="826" t="s">
        <v>589</v>
      </c>
      <c r="D282" s="840" t="s">
        <v>590</v>
      </c>
      <c r="E282" s="826" t="s">
        <v>3533</v>
      </c>
      <c r="F282" s="840" t="s">
        <v>3534</v>
      </c>
      <c r="G282" s="826" t="s">
        <v>3536</v>
      </c>
      <c r="H282" s="826" t="s">
        <v>3538</v>
      </c>
      <c r="I282" s="832">
        <v>10.163333257039389</v>
      </c>
      <c r="J282" s="832">
        <v>900</v>
      </c>
      <c r="K282" s="833">
        <v>9146</v>
      </c>
    </row>
    <row r="283" spans="1:11" ht="14.45" customHeight="1" x14ac:dyDescent="0.2">
      <c r="A283" s="822" t="s">
        <v>575</v>
      </c>
      <c r="B283" s="823" t="s">
        <v>576</v>
      </c>
      <c r="C283" s="826" t="s">
        <v>589</v>
      </c>
      <c r="D283" s="840" t="s">
        <v>590</v>
      </c>
      <c r="E283" s="826" t="s">
        <v>3533</v>
      </c>
      <c r="F283" s="840" t="s">
        <v>3534</v>
      </c>
      <c r="G283" s="826" t="s">
        <v>3539</v>
      </c>
      <c r="H283" s="826" t="s">
        <v>3540</v>
      </c>
      <c r="I283" s="832">
        <v>16.819999694824219</v>
      </c>
      <c r="J283" s="832">
        <v>120</v>
      </c>
      <c r="K283" s="833">
        <v>2018.4000244140625</v>
      </c>
    </row>
    <row r="284" spans="1:11" ht="14.45" customHeight="1" x14ac:dyDescent="0.2">
      <c r="A284" s="822" t="s">
        <v>575</v>
      </c>
      <c r="B284" s="823" t="s">
        <v>576</v>
      </c>
      <c r="C284" s="826" t="s">
        <v>589</v>
      </c>
      <c r="D284" s="840" t="s">
        <v>590</v>
      </c>
      <c r="E284" s="826" t="s">
        <v>3533</v>
      </c>
      <c r="F284" s="840" t="s">
        <v>3534</v>
      </c>
      <c r="G284" s="826" t="s">
        <v>3541</v>
      </c>
      <c r="H284" s="826" t="s">
        <v>3542</v>
      </c>
      <c r="I284" s="832">
        <v>16.700000762939453</v>
      </c>
      <c r="J284" s="832">
        <v>200</v>
      </c>
      <c r="K284" s="833">
        <v>3340</v>
      </c>
    </row>
    <row r="285" spans="1:11" ht="14.45" customHeight="1" x14ac:dyDescent="0.2">
      <c r="A285" s="822" t="s">
        <v>575</v>
      </c>
      <c r="B285" s="823" t="s">
        <v>576</v>
      </c>
      <c r="C285" s="826" t="s">
        <v>589</v>
      </c>
      <c r="D285" s="840" t="s">
        <v>590</v>
      </c>
      <c r="E285" s="826" t="s">
        <v>3533</v>
      </c>
      <c r="F285" s="840" t="s">
        <v>3534</v>
      </c>
      <c r="G285" s="826" t="s">
        <v>3539</v>
      </c>
      <c r="H285" s="826" t="s">
        <v>3543</v>
      </c>
      <c r="I285" s="832">
        <v>16.819999694824219</v>
      </c>
      <c r="J285" s="832">
        <v>70</v>
      </c>
      <c r="K285" s="833">
        <v>1177.3999938964844</v>
      </c>
    </row>
    <row r="286" spans="1:11" ht="14.45" customHeight="1" x14ac:dyDescent="0.2">
      <c r="A286" s="822" t="s">
        <v>575</v>
      </c>
      <c r="B286" s="823" t="s">
        <v>576</v>
      </c>
      <c r="C286" s="826" t="s">
        <v>589</v>
      </c>
      <c r="D286" s="840" t="s">
        <v>590</v>
      </c>
      <c r="E286" s="826" t="s">
        <v>3544</v>
      </c>
      <c r="F286" s="840" t="s">
        <v>3545</v>
      </c>
      <c r="G286" s="826" t="s">
        <v>3546</v>
      </c>
      <c r="H286" s="826" t="s">
        <v>3547</v>
      </c>
      <c r="I286" s="832">
        <v>0.47999998927116394</v>
      </c>
      <c r="J286" s="832">
        <v>200</v>
      </c>
      <c r="K286" s="833">
        <v>96</v>
      </c>
    </row>
    <row r="287" spans="1:11" ht="14.45" customHeight="1" x14ac:dyDescent="0.2">
      <c r="A287" s="822" t="s">
        <v>575</v>
      </c>
      <c r="B287" s="823" t="s">
        <v>576</v>
      </c>
      <c r="C287" s="826" t="s">
        <v>589</v>
      </c>
      <c r="D287" s="840" t="s">
        <v>590</v>
      </c>
      <c r="E287" s="826" t="s">
        <v>3544</v>
      </c>
      <c r="F287" s="840" t="s">
        <v>3545</v>
      </c>
      <c r="G287" s="826" t="s">
        <v>3548</v>
      </c>
      <c r="H287" s="826" t="s">
        <v>3549</v>
      </c>
      <c r="I287" s="832">
        <v>0.30375000834465027</v>
      </c>
      <c r="J287" s="832">
        <v>4100</v>
      </c>
      <c r="K287" s="833">
        <v>1248</v>
      </c>
    </row>
    <row r="288" spans="1:11" ht="14.45" customHeight="1" x14ac:dyDescent="0.2">
      <c r="A288" s="822" t="s">
        <v>575</v>
      </c>
      <c r="B288" s="823" t="s">
        <v>576</v>
      </c>
      <c r="C288" s="826" t="s">
        <v>589</v>
      </c>
      <c r="D288" s="840" t="s">
        <v>590</v>
      </c>
      <c r="E288" s="826" t="s">
        <v>3544</v>
      </c>
      <c r="F288" s="840" t="s">
        <v>3545</v>
      </c>
      <c r="G288" s="826" t="s">
        <v>3550</v>
      </c>
      <c r="H288" s="826" t="s">
        <v>3551</v>
      </c>
      <c r="I288" s="832">
        <v>0.30000001192092896</v>
      </c>
      <c r="J288" s="832">
        <v>1900</v>
      </c>
      <c r="K288" s="833">
        <v>570</v>
      </c>
    </row>
    <row r="289" spans="1:11" ht="14.45" customHeight="1" x14ac:dyDescent="0.2">
      <c r="A289" s="822" t="s">
        <v>575</v>
      </c>
      <c r="B289" s="823" t="s">
        <v>576</v>
      </c>
      <c r="C289" s="826" t="s">
        <v>589</v>
      </c>
      <c r="D289" s="840" t="s">
        <v>590</v>
      </c>
      <c r="E289" s="826" t="s">
        <v>3544</v>
      </c>
      <c r="F289" s="840" t="s">
        <v>3545</v>
      </c>
      <c r="G289" s="826" t="s">
        <v>3552</v>
      </c>
      <c r="H289" s="826" t="s">
        <v>3553</v>
      </c>
      <c r="I289" s="832">
        <v>0.30000001192092896</v>
      </c>
      <c r="J289" s="832">
        <v>200</v>
      </c>
      <c r="K289" s="833">
        <v>60</v>
      </c>
    </row>
    <row r="290" spans="1:11" ht="14.45" customHeight="1" x14ac:dyDescent="0.2">
      <c r="A290" s="822" t="s">
        <v>575</v>
      </c>
      <c r="B290" s="823" t="s">
        <v>576</v>
      </c>
      <c r="C290" s="826" t="s">
        <v>589</v>
      </c>
      <c r="D290" s="840" t="s">
        <v>590</v>
      </c>
      <c r="E290" s="826" t="s">
        <v>3544</v>
      </c>
      <c r="F290" s="840" t="s">
        <v>3545</v>
      </c>
      <c r="G290" s="826" t="s">
        <v>3554</v>
      </c>
      <c r="H290" s="826" t="s">
        <v>3555</v>
      </c>
      <c r="I290" s="832">
        <v>0.54700001478195193</v>
      </c>
      <c r="J290" s="832">
        <v>6900</v>
      </c>
      <c r="K290" s="833">
        <v>3771</v>
      </c>
    </row>
    <row r="291" spans="1:11" ht="14.45" customHeight="1" x14ac:dyDescent="0.2">
      <c r="A291" s="822" t="s">
        <v>575</v>
      </c>
      <c r="B291" s="823" t="s">
        <v>576</v>
      </c>
      <c r="C291" s="826" t="s">
        <v>589</v>
      </c>
      <c r="D291" s="840" t="s">
        <v>590</v>
      </c>
      <c r="E291" s="826" t="s">
        <v>3544</v>
      </c>
      <c r="F291" s="840" t="s">
        <v>3545</v>
      </c>
      <c r="G291" s="826" t="s">
        <v>3548</v>
      </c>
      <c r="H291" s="826" t="s">
        <v>3556</v>
      </c>
      <c r="I291" s="832">
        <v>0.30750000476837158</v>
      </c>
      <c r="J291" s="832">
        <v>2400</v>
      </c>
      <c r="K291" s="833">
        <v>738</v>
      </c>
    </row>
    <row r="292" spans="1:11" ht="14.45" customHeight="1" x14ac:dyDescent="0.2">
      <c r="A292" s="822" t="s">
        <v>575</v>
      </c>
      <c r="B292" s="823" t="s">
        <v>576</v>
      </c>
      <c r="C292" s="826" t="s">
        <v>589</v>
      </c>
      <c r="D292" s="840" t="s">
        <v>590</v>
      </c>
      <c r="E292" s="826" t="s">
        <v>3544</v>
      </c>
      <c r="F292" s="840" t="s">
        <v>3545</v>
      </c>
      <c r="G292" s="826" t="s">
        <v>3550</v>
      </c>
      <c r="H292" s="826" t="s">
        <v>3557</v>
      </c>
      <c r="I292" s="832">
        <v>0.30000001192092896</v>
      </c>
      <c r="J292" s="832">
        <v>1800</v>
      </c>
      <c r="K292" s="833">
        <v>540</v>
      </c>
    </row>
    <row r="293" spans="1:11" ht="14.45" customHeight="1" x14ac:dyDescent="0.2">
      <c r="A293" s="822" t="s">
        <v>575</v>
      </c>
      <c r="B293" s="823" t="s">
        <v>576</v>
      </c>
      <c r="C293" s="826" t="s">
        <v>589</v>
      </c>
      <c r="D293" s="840" t="s">
        <v>590</v>
      </c>
      <c r="E293" s="826" t="s">
        <v>3544</v>
      </c>
      <c r="F293" s="840" t="s">
        <v>3545</v>
      </c>
      <c r="G293" s="826" t="s">
        <v>3552</v>
      </c>
      <c r="H293" s="826" t="s">
        <v>3558</v>
      </c>
      <c r="I293" s="832">
        <v>0.30000001192092896</v>
      </c>
      <c r="J293" s="832">
        <v>400</v>
      </c>
      <c r="K293" s="833">
        <v>120</v>
      </c>
    </row>
    <row r="294" spans="1:11" ht="14.45" customHeight="1" x14ac:dyDescent="0.2">
      <c r="A294" s="822" t="s">
        <v>575</v>
      </c>
      <c r="B294" s="823" t="s">
        <v>576</v>
      </c>
      <c r="C294" s="826" t="s">
        <v>589</v>
      </c>
      <c r="D294" s="840" t="s">
        <v>590</v>
      </c>
      <c r="E294" s="826" t="s">
        <v>3544</v>
      </c>
      <c r="F294" s="840" t="s">
        <v>3545</v>
      </c>
      <c r="G294" s="826" t="s">
        <v>3559</v>
      </c>
      <c r="H294" s="826" t="s">
        <v>3560</v>
      </c>
      <c r="I294" s="832">
        <v>0.31000000238418579</v>
      </c>
      <c r="J294" s="832">
        <v>400</v>
      </c>
      <c r="K294" s="833">
        <v>124</v>
      </c>
    </row>
    <row r="295" spans="1:11" ht="14.45" customHeight="1" x14ac:dyDescent="0.2">
      <c r="A295" s="822" t="s">
        <v>575</v>
      </c>
      <c r="B295" s="823" t="s">
        <v>576</v>
      </c>
      <c r="C295" s="826" t="s">
        <v>589</v>
      </c>
      <c r="D295" s="840" t="s">
        <v>590</v>
      </c>
      <c r="E295" s="826" t="s">
        <v>3544</v>
      </c>
      <c r="F295" s="840" t="s">
        <v>3545</v>
      </c>
      <c r="G295" s="826" t="s">
        <v>3561</v>
      </c>
      <c r="H295" s="826" t="s">
        <v>3562</v>
      </c>
      <c r="I295" s="832">
        <v>0.68000000715255737</v>
      </c>
      <c r="J295" s="832">
        <v>100</v>
      </c>
      <c r="K295" s="833">
        <v>68</v>
      </c>
    </row>
    <row r="296" spans="1:11" ht="14.45" customHeight="1" x14ac:dyDescent="0.2">
      <c r="A296" s="822" t="s">
        <v>575</v>
      </c>
      <c r="B296" s="823" t="s">
        <v>576</v>
      </c>
      <c r="C296" s="826" t="s">
        <v>589</v>
      </c>
      <c r="D296" s="840" t="s">
        <v>590</v>
      </c>
      <c r="E296" s="826" t="s">
        <v>3544</v>
      </c>
      <c r="F296" s="840" t="s">
        <v>3545</v>
      </c>
      <c r="G296" s="826" t="s">
        <v>3554</v>
      </c>
      <c r="H296" s="826" t="s">
        <v>3563</v>
      </c>
      <c r="I296" s="832">
        <v>0.54428573165621075</v>
      </c>
      <c r="J296" s="832">
        <v>4900</v>
      </c>
      <c r="K296" s="833">
        <v>2668</v>
      </c>
    </row>
    <row r="297" spans="1:11" ht="14.45" customHeight="1" x14ac:dyDescent="0.2">
      <c r="A297" s="822" t="s">
        <v>575</v>
      </c>
      <c r="B297" s="823" t="s">
        <v>576</v>
      </c>
      <c r="C297" s="826" t="s">
        <v>589</v>
      </c>
      <c r="D297" s="840" t="s">
        <v>590</v>
      </c>
      <c r="E297" s="826" t="s">
        <v>3544</v>
      </c>
      <c r="F297" s="840" t="s">
        <v>3545</v>
      </c>
      <c r="G297" s="826" t="s">
        <v>3564</v>
      </c>
      <c r="H297" s="826" t="s">
        <v>3565</v>
      </c>
      <c r="I297" s="832">
        <v>1.9900000095367432</v>
      </c>
      <c r="J297" s="832">
        <v>100</v>
      </c>
      <c r="K297" s="833">
        <v>198.75</v>
      </c>
    </row>
    <row r="298" spans="1:11" ht="14.45" customHeight="1" x14ac:dyDescent="0.2">
      <c r="A298" s="822" t="s">
        <v>575</v>
      </c>
      <c r="B298" s="823" t="s">
        <v>576</v>
      </c>
      <c r="C298" s="826" t="s">
        <v>589</v>
      </c>
      <c r="D298" s="840" t="s">
        <v>590</v>
      </c>
      <c r="E298" s="826" t="s">
        <v>3544</v>
      </c>
      <c r="F298" s="840" t="s">
        <v>3545</v>
      </c>
      <c r="G298" s="826" t="s">
        <v>3566</v>
      </c>
      <c r="H298" s="826" t="s">
        <v>3567</v>
      </c>
      <c r="I298" s="832">
        <v>1.8024999499320984</v>
      </c>
      <c r="J298" s="832">
        <v>1000</v>
      </c>
      <c r="K298" s="833">
        <v>1801</v>
      </c>
    </row>
    <row r="299" spans="1:11" ht="14.45" customHeight="1" x14ac:dyDescent="0.2">
      <c r="A299" s="822" t="s">
        <v>575</v>
      </c>
      <c r="B299" s="823" t="s">
        <v>576</v>
      </c>
      <c r="C299" s="826" t="s">
        <v>589</v>
      </c>
      <c r="D299" s="840" t="s">
        <v>590</v>
      </c>
      <c r="E299" s="826" t="s">
        <v>3544</v>
      </c>
      <c r="F299" s="840" t="s">
        <v>3545</v>
      </c>
      <c r="G299" s="826" t="s">
        <v>3566</v>
      </c>
      <c r="H299" s="826" t="s">
        <v>3568</v>
      </c>
      <c r="I299" s="832">
        <v>1.8016666173934937</v>
      </c>
      <c r="J299" s="832">
        <v>1800</v>
      </c>
      <c r="K299" s="833">
        <v>3242</v>
      </c>
    </row>
    <row r="300" spans="1:11" ht="14.45" customHeight="1" x14ac:dyDescent="0.2">
      <c r="A300" s="822" t="s">
        <v>575</v>
      </c>
      <c r="B300" s="823" t="s">
        <v>576</v>
      </c>
      <c r="C300" s="826" t="s">
        <v>589</v>
      </c>
      <c r="D300" s="840" t="s">
        <v>590</v>
      </c>
      <c r="E300" s="826" t="s">
        <v>3569</v>
      </c>
      <c r="F300" s="840" t="s">
        <v>3570</v>
      </c>
      <c r="G300" s="826" t="s">
        <v>3571</v>
      </c>
      <c r="H300" s="826" t="s">
        <v>3572</v>
      </c>
      <c r="I300" s="832">
        <v>7.0199999809265137</v>
      </c>
      <c r="J300" s="832">
        <v>50</v>
      </c>
      <c r="K300" s="833">
        <v>351</v>
      </c>
    </row>
    <row r="301" spans="1:11" ht="14.45" customHeight="1" x14ac:dyDescent="0.2">
      <c r="A301" s="822" t="s">
        <v>575</v>
      </c>
      <c r="B301" s="823" t="s">
        <v>576</v>
      </c>
      <c r="C301" s="826" t="s">
        <v>589</v>
      </c>
      <c r="D301" s="840" t="s">
        <v>590</v>
      </c>
      <c r="E301" s="826" t="s">
        <v>3569</v>
      </c>
      <c r="F301" s="840" t="s">
        <v>3570</v>
      </c>
      <c r="G301" s="826" t="s">
        <v>3573</v>
      </c>
      <c r="H301" s="826" t="s">
        <v>3574</v>
      </c>
      <c r="I301" s="832">
        <v>7.0199999809265137</v>
      </c>
      <c r="J301" s="832">
        <v>150</v>
      </c>
      <c r="K301" s="833">
        <v>1053</v>
      </c>
    </row>
    <row r="302" spans="1:11" ht="14.45" customHeight="1" x14ac:dyDescent="0.2">
      <c r="A302" s="822" t="s">
        <v>575</v>
      </c>
      <c r="B302" s="823" t="s">
        <v>576</v>
      </c>
      <c r="C302" s="826" t="s">
        <v>589</v>
      </c>
      <c r="D302" s="840" t="s">
        <v>590</v>
      </c>
      <c r="E302" s="826" t="s">
        <v>3569</v>
      </c>
      <c r="F302" s="840" t="s">
        <v>3570</v>
      </c>
      <c r="G302" s="826" t="s">
        <v>3575</v>
      </c>
      <c r="H302" s="826" t="s">
        <v>3576</v>
      </c>
      <c r="I302" s="832">
        <v>7.0150001049041748</v>
      </c>
      <c r="J302" s="832">
        <v>150</v>
      </c>
      <c r="K302" s="833">
        <v>1052.5</v>
      </c>
    </row>
    <row r="303" spans="1:11" ht="14.45" customHeight="1" x14ac:dyDescent="0.2">
      <c r="A303" s="822" t="s">
        <v>575</v>
      </c>
      <c r="B303" s="823" t="s">
        <v>576</v>
      </c>
      <c r="C303" s="826" t="s">
        <v>589</v>
      </c>
      <c r="D303" s="840" t="s">
        <v>590</v>
      </c>
      <c r="E303" s="826" t="s">
        <v>3569</v>
      </c>
      <c r="F303" s="840" t="s">
        <v>3570</v>
      </c>
      <c r="G303" s="826" t="s">
        <v>3571</v>
      </c>
      <c r="H303" s="826" t="s">
        <v>3577</v>
      </c>
      <c r="I303" s="832">
        <v>7.0199999809265137</v>
      </c>
      <c r="J303" s="832">
        <v>100</v>
      </c>
      <c r="K303" s="833">
        <v>702</v>
      </c>
    </row>
    <row r="304" spans="1:11" ht="14.45" customHeight="1" x14ac:dyDescent="0.2">
      <c r="A304" s="822" t="s">
        <v>575</v>
      </c>
      <c r="B304" s="823" t="s">
        <v>576</v>
      </c>
      <c r="C304" s="826" t="s">
        <v>589</v>
      </c>
      <c r="D304" s="840" t="s">
        <v>590</v>
      </c>
      <c r="E304" s="826" t="s">
        <v>3569</v>
      </c>
      <c r="F304" s="840" t="s">
        <v>3570</v>
      </c>
      <c r="G304" s="826" t="s">
        <v>3573</v>
      </c>
      <c r="H304" s="826" t="s">
        <v>3578</v>
      </c>
      <c r="I304" s="832">
        <v>7.0199999809265137</v>
      </c>
      <c r="J304" s="832">
        <v>50</v>
      </c>
      <c r="K304" s="833">
        <v>351</v>
      </c>
    </row>
    <row r="305" spans="1:11" ht="14.45" customHeight="1" x14ac:dyDescent="0.2">
      <c r="A305" s="822" t="s">
        <v>575</v>
      </c>
      <c r="B305" s="823" t="s">
        <v>576</v>
      </c>
      <c r="C305" s="826" t="s">
        <v>589</v>
      </c>
      <c r="D305" s="840" t="s">
        <v>590</v>
      </c>
      <c r="E305" s="826" t="s">
        <v>3569</v>
      </c>
      <c r="F305" s="840" t="s">
        <v>3570</v>
      </c>
      <c r="G305" s="826" t="s">
        <v>3579</v>
      </c>
      <c r="H305" s="826" t="s">
        <v>3580</v>
      </c>
      <c r="I305" s="832">
        <v>0.64111110899183488</v>
      </c>
      <c r="J305" s="832">
        <v>22000</v>
      </c>
      <c r="K305" s="833">
        <v>14160</v>
      </c>
    </row>
    <row r="306" spans="1:11" ht="14.45" customHeight="1" x14ac:dyDescent="0.2">
      <c r="A306" s="822" t="s">
        <v>575</v>
      </c>
      <c r="B306" s="823" t="s">
        <v>576</v>
      </c>
      <c r="C306" s="826" t="s">
        <v>589</v>
      </c>
      <c r="D306" s="840" t="s">
        <v>590</v>
      </c>
      <c r="E306" s="826" t="s">
        <v>3569</v>
      </c>
      <c r="F306" s="840" t="s">
        <v>3570</v>
      </c>
      <c r="G306" s="826" t="s">
        <v>3581</v>
      </c>
      <c r="H306" s="826" t="s">
        <v>3582</v>
      </c>
      <c r="I306" s="832">
        <v>0.63916666309038794</v>
      </c>
      <c r="J306" s="832">
        <v>39600</v>
      </c>
      <c r="K306" s="833">
        <v>25124</v>
      </c>
    </row>
    <row r="307" spans="1:11" ht="14.45" customHeight="1" x14ac:dyDescent="0.2">
      <c r="A307" s="822" t="s">
        <v>575</v>
      </c>
      <c r="B307" s="823" t="s">
        <v>576</v>
      </c>
      <c r="C307" s="826" t="s">
        <v>589</v>
      </c>
      <c r="D307" s="840" t="s">
        <v>590</v>
      </c>
      <c r="E307" s="826" t="s">
        <v>3569</v>
      </c>
      <c r="F307" s="840" t="s">
        <v>3570</v>
      </c>
      <c r="G307" s="826" t="s">
        <v>3583</v>
      </c>
      <c r="H307" s="826" t="s">
        <v>3584</v>
      </c>
      <c r="I307" s="832">
        <v>0.64199999570846555</v>
      </c>
      <c r="J307" s="832">
        <v>10800</v>
      </c>
      <c r="K307" s="833">
        <v>6854</v>
      </c>
    </row>
    <row r="308" spans="1:11" ht="14.45" customHeight="1" x14ac:dyDescent="0.2">
      <c r="A308" s="822" t="s">
        <v>575</v>
      </c>
      <c r="B308" s="823" t="s">
        <v>576</v>
      </c>
      <c r="C308" s="826" t="s">
        <v>589</v>
      </c>
      <c r="D308" s="840" t="s">
        <v>590</v>
      </c>
      <c r="E308" s="826" t="s">
        <v>3569</v>
      </c>
      <c r="F308" s="840" t="s">
        <v>3570</v>
      </c>
      <c r="G308" s="826" t="s">
        <v>3585</v>
      </c>
      <c r="H308" s="826" t="s">
        <v>3586</v>
      </c>
      <c r="I308" s="832">
        <v>0.74000000953674316</v>
      </c>
      <c r="J308" s="832">
        <v>2000</v>
      </c>
      <c r="K308" s="833">
        <v>1480</v>
      </c>
    </row>
    <row r="309" spans="1:11" ht="14.45" customHeight="1" x14ac:dyDescent="0.2">
      <c r="A309" s="822" t="s">
        <v>575</v>
      </c>
      <c r="B309" s="823" t="s">
        <v>576</v>
      </c>
      <c r="C309" s="826" t="s">
        <v>589</v>
      </c>
      <c r="D309" s="840" t="s">
        <v>590</v>
      </c>
      <c r="E309" s="826" t="s">
        <v>3569</v>
      </c>
      <c r="F309" s="840" t="s">
        <v>3570</v>
      </c>
      <c r="G309" s="826" t="s">
        <v>3587</v>
      </c>
      <c r="H309" s="826" t="s">
        <v>3588</v>
      </c>
      <c r="I309" s="832">
        <v>0.74000000953674316</v>
      </c>
      <c r="J309" s="832">
        <v>5000</v>
      </c>
      <c r="K309" s="833">
        <v>3690.5</v>
      </c>
    </row>
    <row r="310" spans="1:11" ht="14.45" customHeight="1" x14ac:dyDescent="0.2">
      <c r="A310" s="822" t="s">
        <v>575</v>
      </c>
      <c r="B310" s="823" t="s">
        <v>576</v>
      </c>
      <c r="C310" s="826" t="s">
        <v>589</v>
      </c>
      <c r="D310" s="840" t="s">
        <v>590</v>
      </c>
      <c r="E310" s="826" t="s">
        <v>3569</v>
      </c>
      <c r="F310" s="840" t="s">
        <v>3570</v>
      </c>
      <c r="G310" s="826" t="s">
        <v>3589</v>
      </c>
      <c r="H310" s="826" t="s">
        <v>3590</v>
      </c>
      <c r="I310" s="832">
        <v>0.74000000953674316</v>
      </c>
      <c r="J310" s="832">
        <v>5000</v>
      </c>
      <c r="K310" s="833">
        <v>3690.5</v>
      </c>
    </row>
    <row r="311" spans="1:11" ht="14.45" customHeight="1" x14ac:dyDescent="0.2">
      <c r="A311" s="822" t="s">
        <v>575</v>
      </c>
      <c r="B311" s="823" t="s">
        <v>576</v>
      </c>
      <c r="C311" s="826" t="s">
        <v>589</v>
      </c>
      <c r="D311" s="840" t="s">
        <v>590</v>
      </c>
      <c r="E311" s="826" t="s">
        <v>3569</v>
      </c>
      <c r="F311" s="840" t="s">
        <v>3570</v>
      </c>
      <c r="G311" s="826" t="s">
        <v>3579</v>
      </c>
      <c r="H311" s="826" t="s">
        <v>3591</v>
      </c>
      <c r="I311" s="832">
        <v>0.62833333015441895</v>
      </c>
      <c r="J311" s="832">
        <v>11000</v>
      </c>
      <c r="K311" s="833">
        <v>6910</v>
      </c>
    </row>
    <row r="312" spans="1:11" ht="14.45" customHeight="1" x14ac:dyDescent="0.2">
      <c r="A312" s="822" t="s">
        <v>575</v>
      </c>
      <c r="B312" s="823" t="s">
        <v>576</v>
      </c>
      <c r="C312" s="826" t="s">
        <v>589</v>
      </c>
      <c r="D312" s="840" t="s">
        <v>590</v>
      </c>
      <c r="E312" s="826" t="s">
        <v>3569</v>
      </c>
      <c r="F312" s="840" t="s">
        <v>3570</v>
      </c>
      <c r="G312" s="826" t="s">
        <v>3581</v>
      </c>
      <c r="H312" s="826" t="s">
        <v>3592</v>
      </c>
      <c r="I312" s="832">
        <v>0.62999999523162842</v>
      </c>
      <c r="J312" s="832">
        <v>22000</v>
      </c>
      <c r="K312" s="833">
        <v>13860</v>
      </c>
    </row>
    <row r="313" spans="1:11" ht="14.45" customHeight="1" x14ac:dyDescent="0.2">
      <c r="A313" s="822" t="s">
        <v>575</v>
      </c>
      <c r="B313" s="823" t="s">
        <v>576</v>
      </c>
      <c r="C313" s="826" t="s">
        <v>589</v>
      </c>
      <c r="D313" s="840" t="s">
        <v>590</v>
      </c>
      <c r="E313" s="826" t="s">
        <v>3569</v>
      </c>
      <c r="F313" s="840" t="s">
        <v>3570</v>
      </c>
      <c r="G313" s="826" t="s">
        <v>3583</v>
      </c>
      <c r="H313" s="826" t="s">
        <v>3593</v>
      </c>
      <c r="I313" s="832">
        <v>0.62999999523162842</v>
      </c>
      <c r="J313" s="832">
        <v>9000</v>
      </c>
      <c r="K313" s="833">
        <v>5670</v>
      </c>
    </row>
    <row r="314" spans="1:11" ht="14.45" customHeight="1" x14ac:dyDescent="0.2">
      <c r="A314" s="822" t="s">
        <v>575</v>
      </c>
      <c r="B314" s="823" t="s">
        <v>576</v>
      </c>
      <c r="C314" s="826" t="s">
        <v>589</v>
      </c>
      <c r="D314" s="840" t="s">
        <v>590</v>
      </c>
      <c r="E314" s="826" t="s">
        <v>3594</v>
      </c>
      <c r="F314" s="840" t="s">
        <v>3595</v>
      </c>
      <c r="G314" s="826" t="s">
        <v>3596</v>
      </c>
      <c r="H314" s="826" t="s">
        <v>3597</v>
      </c>
      <c r="I314" s="832">
        <v>289.83999633789063</v>
      </c>
      <c r="J314" s="832">
        <v>10</v>
      </c>
      <c r="K314" s="833">
        <v>2898.429931640625</v>
      </c>
    </row>
    <row r="315" spans="1:11" ht="14.45" customHeight="1" x14ac:dyDescent="0.2">
      <c r="A315" s="822" t="s">
        <v>575</v>
      </c>
      <c r="B315" s="823" t="s">
        <v>576</v>
      </c>
      <c r="C315" s="826" t="s">
        <v>589</v>
      </c>
      <c r="D315" s="840" t="s">
        <v>590</v>
      </c>
      <c r="E315" s="826" t="s">
        <v>3598</v>
      </c>
      <c r="F315" s="840" t="s">
        <v>3599</v>
      </c>
      <c r="G315" s="826" t="s">
        <v>3600</v>
      </c>
      <c r="H315" s="826" t="s">
        <v>3601</v>
      </c>
      <c r="I315" s="832">
        <v>23.479999542236328</v>
      </c>
      <c r="J315" s="832">
        <v>30</v>
      </c>
      <c r="K315" s="833">
        <v>704.4000244140625</v>
      </c>
    </row>
    <row r="316" spans="1:11" ht="14.45" customHeight="1" x14ac:dyDescent="0.2">
      <c r="A316" s="822" t="s">
        <v>575</v>
      </c>
      <c r="B316" s="823" t="s">
        <v>576</v>
      </c>
      <c r="C316" s="826" t="s">
        <v>589</v>
      </c>
      <c r="D316" s="840" t="s">
        <v>590</v>
      </c>
      <c r="E316" s="826" t="s">
        <v>3598</v>
      </c>
      <c r="F316" s="840" t="s">
        <v>3599</v>
      </c>
      <c r="G316" s="826" t="s">
        <v>3600</v>
      </c>
      <c r="H316" s="826" t="s">
        <v>3602</v>
      </c>
      <c r="I316" s="832">
        <v>23.47499942779541</v>
      </c>
      <c r="J316" s="832">
        <v>60</v>
      </c>
      <c r="K316" s="833">
        <v>1408.5</v>
      </c>
    </row>
    <row r="317" spans="1:11" ht="14.45" customHeight="1" x14ac:dyDescent="0.2">
      <c r="A317" s="822" t="s">
        <v>575</v>
      </c>
      <c r="B317" s="823" t="s">
        <v>576</v>
      </c>
      <c r="C317" s="826" t="s">
        <v>589</v>
      </c>
      <c r="D317" s="840" t="s">
        <v>590</v>
      </c>
      <c r="E317" s="826" t="s">
        <v>3598</v>
      </c>
      <c r="F317" s="840" t="s">
        <v>3599</v>
      </c>
      <c r="G317" s="826" t="s">
        <v>3603</v>
      </c>
      <c r="H317" s="826" t="s">
        <v>3604</v>
      </c>
      <c r="I317" s="832">
        <v>41.770000457763672</v>
      </c>
      <c r="J317" s="832">
        <v>50</v>
      </c>
      <c r="K317" s="833">
        <v>2088.4599609375</v>
      </c>
    </row>
    <row r="318" spans="1:11" ht="14.45" customHeight="1" x14ac:dyDescent="0.2">
      <c r="A318" s="822" t="s">
        <v>575</v>
      </c>
      <c r="B318" s="823" t="s">
        <v>576</v>
      </c>
      <c r="C318" s="826" t="s">
        <v>589</v>
      </c>
      <c r="D318" s="840" t="s">
        <v>590</v>
      </c>
      <c r="E318" s="826" t="s">
        <v>3598</v>
      </c>
      <c r="F318" s="840" t="s">
        <v>3599</v>
      </c>
      <c r="G318" s="826" t="s">
        <v>3603</v>
      </c>
      <c r="H318" s="826" t="s">
        <v>3605</v>
      </c>
      <c r="I318" s="832">
        <v>41.770000457763672</v>
      </c>
      <c r="J318" s="832">
        <v>50</v>
      </c>
      <c r="K318" s="833">
        <v>2088.4599609375</v>
      </c>
    </row>
    <row r="319" spans="1:11" ht="14.45" customHeight="1" x14ac:dyDescent="0.2">
      <c r="A319" s="822" t="s">
        <v>575</v>
      </c>
      <c r="B319" s="823" t="s">
        <v>576</v>
      </c>
      <c r="C319" s="826" t="s">
        <v>589</v>
      </c>
      <c r="D319" s="840" t="s">
        <v>590</v>
      </c>
      <c r="E319" s="826" t="s">
        <v>3598</v>
      </c>
      <c r="F319" s="840" t="s">
        <v>3599</v>
      </c>
      <c r="G319" s="826" t="s">
        <v>3606</v>
      </c>
      <c r="H319" s="826" t="s">
        <v>3607</v>
      </c>
      <c r="I319" s="832">
        <v>273.45999145507813</v>
      </c>
      <c r="J319" s="832">
        <v>10</v>
      </c>
      <c r="K319" s="833">
        <v>2734.60009765625</v>
      </c>
    </row>
    <row r="320" spans="1:11" ht="14.45" customHeight="1" x14ac:dyDescent="0.2">
      <c r="A320" s="822" t="s">
        <v>575</v>
      </c>
      <c r="B320" s="823" t="s">
        <v>576</v>
      </c>
      <c r="C320" s="826" t="s">
        <v>589</v>
      </c>
      <c r="D320" s="840" t="s">
        <v>590</v>
      </c>
      <c r="E320" s="826" t="s">
        <v>3598</v>
      </c>
      <c r="F320" s="840" t="s">
        <v>3599</v>
      </c>
      <c r="G320" s="826" t="s">
        <v>3608</v>
      </c>
      <c r="H320" s="826" t="s">
        <v>3609</v>
      </c>
      <c r="I320" s="832">
        <v>695.75</v>
      </c>
      <c r="J320" s="832">
        <v>8</v>
      </c>
      <c r="K320" s="833">
        <v>5566</v>
      </c>
    </row>
    <row r="321" spans="1:11" ht="14.45" customHeight="1" x14ac:dyDescent="0.2">
      <c r="A321" s="822" t="s">
        <v>575</v>
      </c>
      <c r="B321" s="823" t="s">
        <v>576</v>
      </c>
      <c r="C321" s="826" t="s">
        <v>3062</v>
      </c>
      <c r="D321" s="840" t="s">
        <v>3063</v>
      </c>
      <c r="E321" s="826" t="s">
        <v>3264</v>
      </c>
      <c r="F321" s="840" t="s">
        <v>3265</v>
      </c>
      <c r="G321" s="826" t="s">
        <v>3610</v>
      </c>
      <c r="H321" s="826" t="s">
        <v>3611</v>
      </c>
      <c r="I321" s="832">
        <v>11380.990234375</v>
      </c>
      <c r="J321" s="832">
        <v>2</v>
      </c>
      <c r="K321" s="833">
        <v>22761.98046875</v>
      </c>
    </row>
    <row r="322" spans="1:11" ht="14.45" customHeight="1" x14ac:dyDescent="0.2">
      <c r="A322" s="822" t="s">
        <v>575</v>
      </c>
      <c r="B322" s="823" t="s">
        <v>576</v>
      </c>
      <c r="C322" s="826" t="s">
        <v>3062</v>
      </c>
      <c r="D322" s="840" t="s">
        <v>3063</v>
      </c>
      <c r="E322" s="826" t="s">
        <v>3264</v>
      </c>
      <c r="F322" s="840" t="s">
        <v>3265</v>
      </c>
      <c r="G322" s="826" t="s">
        <v>3612</v>
      </c>
      <c r="H322" s="826" t="s">
        <v>3613</v>
      </c>
      <c r="I322" s="832">
        <v>11381</v>
      </c>
      <c r="J322" s="832">
        <v>2</v>
      </c>
      <c r="K322" s="833">
        <v>22761.990234375</v>
      </c>
    </row>
    <row r="323" spans="1:11" ht="14.45" customHeight="1" x14ac:dyDescent="0.2">
      <c r="A323" s="822" t="s">
        <v>575</v>
      </c>
      <c r="B323" s="823" t="s">
        <v>576</v>
      </c>
      <c r="C323" s="826" t="s">
        <v>3062</v>
      </c>
      <c r="D323" s="840" t="s">
        <v>3063</v>
      </c>
      <c r="E323" s="826" t="s">
        <v>3264</v>
      </c>
      <c r="F323" s="840" t="s">
        <v>3265</v>
      </c>
      <c r="G323" s="826" t="s">
        <v>3614</v>
      </c>
      <c r="H323" s="826" t="s">
        <v>3615</v>
      </c>
      <c r="I323" s="832">
        <v>11381</v>
      </c>
      <c r="J323" s="832">
        <v>2</v>
      </c>
      <c r="K323" s="833">
        <v>22761.990234375</v>
      </c>
    </row>
    <row r="324" spans="1:11" ht="14.45" customHeight="1" x14ac:dyDescent="0.2">
      <c r="A324" s="822" t="s">
        <v>575</v>
      </c>
      <c r="B324" s="823" t="s">
        <v>576</v>
      </c>
      <c r="C324" s="826" t="s">
        <v>3062</v>
      </c>
      <c r="D324" s="840" t="s">
        <v>3063</v>
      </c>
      <c r="E324" s="826" t="s">
        <v>3264</v>
      </c>
      <c r="F324" s="840" t="s">
        <v>3265</v>
      </c>
      <c r="G324" s="826" t="s">
        <v>3616</v>
      </c>
      <c r="H324" s="826" t="s">
        <v>3617</v>
      </c>
      <c r="I324" s="832">
        <v>13850.990234375</v>
      </c>
      <c r="J324" s="832">
        <v>2</v>
      </c>
      <c r="K324" s="833">
        <v>27701.98046875</v>
      </c>
    </row>
    <row r="325" spans="1:11" ht="14.45" customHeight="1" x14ac:dyDescent="0.2">
      <c r="A325" s="822" t="s">
        <v>575</v>
      </c>
      <c r="B325" s="823" t="s">
        <v>576</v>
      </c>
      <c r="C325" s="826" t="s">
        <v>3062</v>
      </c>
      <c r="D325" s="840" t="s">
        <v>3063</v>
      </c>
      <c r="E325" s="826" t="s">
        <v>3264</v>
      </c>
      <c r="F325" s="840" t="s">
        <v>3265</v>
      </c>
      <c r="G325" s="826" t="s">
        <v>3618</v>
      </c>
      <c r="H325" s="826" t="s">
        <v>3619</v>
      </c>
      <c r="I325" s="832">
        <v>13850.990234375</v>
      </c>
      <c r="J325" s="832">
        <v>3</v>
      </c>
      <c r="K325" s="833">
        <v>41552.970703125</v>
      </c>
    </row>
    <row r="326" spans="1:11" ht="14.45" customHeight="1" x14ac:dyDescent="0.2">
      <c r="A326" s="822" t="s">
        <v>575</v>
      </c>
      <c r="B326" s="823" t="s">
        <v>576</v>
      </c>
      <c r="C326" s="826" t="s">
        <v>3062</v>
      </c>
      <c r="D326" s="840" t="s">
        <v>3063</v>
      </c>
      <c r="E326" s="826" t="s">
        <v>3264</v>
      </c>
      <c r="F326" s="840" t="s">
        <v>3265</v>
      </c>
      <c r="G326" s="826" t="s">
        <v>3620</v>
      </c>
      <c r="H326" s="826" t="s">
        <v>3621</v>
      </c>
      <c r="I326" s="832">
        <v>13850.990234375</v>
      </c>
      <c r="J326" s="832">
        <v>2</v>
      </c>
      <c r="K326" s="833">
        <v>27701.98046875</v>
      </c>
    </row>
    <row r="327" spans="1:11" ht="14.45" customHeight="1" x14ac:dyDescent="0.2">
      <c r="A327" s="822" t="s">
        <v>575</v>
      </c>
      <c r="B327" s="823" t="s">
        <v>576</v>
      </c>
      <c r="C327" s="826" t="s">
        <v>3062</v>
      </c>
      <c r="D327" s="840" t="s">
        <v>3063</v>
      </c>
      <c r="E327" s="826" t="s">
        <v>3264</v>
      </c>
      <c r="F327" s="840" t="s">
        <v>3265</v>
      </c>
      <c r="G327" s="826" t="s">
        <v>3622</v>
      </c>
      <c r="H327" s="826" t="s">
        <v>3623</v>
      </c>
      <c r="I327" s="832">
        <v>66799.8984375</v>
      </c>
      <c r="J327" s="832">
        <v>2</v>
      </c>
      <c r="K327" s="833">
        <v>133599.796875</v>
      </c>
    </row>
    <row r="328" spans="1:11" ht="14.45" customHeight="1" x14ac:dyDescent="0.2">
      <c r="A328" s="822" t="s">
        <v>575</v>
      </c>
      <c r="B328" s="823" t="s">
        <v>576</v>
      </c>
      <c r="C328" s="826" t="s">
        <v>3062</v>
      </c>
      <c r="D328" s="840" t="s">
        <v>3063</v>
      </c>
      <c r="E328" s="826" t="s">
        <v>3264</v>
      </c>
      <c r="F328" s="840" t="s">
        <v>3265</v>
      </c>
      <c r="G328" s="826" t="s">
        <v>3624</v>
      </c>
      <c r="H328" s="826" t="s">
        <v>3625</v>
      </c>
      <c r="I328" s="832">
        <v>66799.8984375</v>
      </c>
      <c r="J328" s="832">
        <v>4</v>
      </c>
      <c r="K328" s="833">
        <v>267199.59375</v>
      </c>
    </row>
    <row r="329" spans="1:11" ht="14.45" customHeight="1" x14ac:dyDescent="0.2">
      <c r="A329" s="822" t="s">
        <v>575</v>
      </c>
      <c r="B329" s="823" t="s">
        <v>576</v>
      </c>
      <c r="C329" s="826" t="s">
        <v>3062</v>
      </c>
      <c r="D329" s="840" t="s">
        <v>3063</v>
      </c>
      <c r="E329" s="826" t="s">
        <v>3264</v>
      </c>
      <c r="F329" s="840" t="s">
        <v>3265</v>
      </c>
      <c r="G329" s="826" t="s">
        <v>3622</v>
      </c>
      <c r="H329" s="826" t="s">
        <v>3626</v>
      </c>
      <c r="I329" s="832">
        <v>66799.8984375</v>
      </c>
      <c r="J329" s="832">
        <v>3</v>
      </c>
      <c r="K329" s="833">
        <v>200399.6953125</v>
      </c>
    </row>
    <row r="330" spans="1:11" ht="14.45" customHeight="1" x14ac:dyDescent="0.2">
      <c r="A330" s="822" t="s">
        <v>575</v>
      </c>
      <c r="B330" s="823" t="s">
        <v>576</v>
      </c>
      <c r="C330" s="826" t="s">
        <v>3062</v>
      </c>
      <c r="D330" s="840" t="s">
        <v>3063</v>
      </c>
      <c r="E330" s="826" t="s">
        <v>3264</v>
      </c>
      <c r="F330" s="840" t="s">
        <v>3265</v>
      </c>
      <c r="G330" s="826" t="s">
        <v>3624</v>
      </c>
      <c r="H330" s="826" t="s">
        <v>3627</v>
      </c>
      <c r="I330" s="832">
        <v>66799.8984375</v>
      </c>
      <c r="J330" s="832">
        <v>8</v>
      </c>
      <c r="K330" s="833">
        <v>534399.1875</v>
      </c>
    </row>
    <row r="331" spans="1:11" ht="14.45" customHeight="1" x14ac:dyDescent="0.2">
      <c r="A331" s="822" t="s">
        <v>575</v>
      </c>
      <c r="B331" s="823" t="s">
        <v>576</v>
      </c>
      <c r="C331" s="826" t="s">
        <v>3062</v>
      </c>
      <c r="D331" s="840" t="s">
        <v>3063</v>
      </c>
      <c r="E331" s="826" t="s">
        <v>3533</v>
      </c>
      <c r="F331" s="840" t="s">
        <v>3534</v>
      </c>
      <c r="G331" s="826" t="s">
        <v>3628</v>
      </c>
      <c r="H331" s="826" t="s">
        <v>3629</v>
      </c>
      <c r="I331" s="832">
        <v>1652.8599853515625</v>
      </c>
      <c r="J331" s="832">
        <v>3</v>
      </c>
      <c r="K331" s="833">
        <v>4958.580078125</v>
      </c>
    </row>
    <row r="332" spans="1:11" ht="14.45" customHeight="1" x14ac:dyDescent="0.2">
      <c r="A332" s="822" t="s">
        <v>575</v>
      </c>
      <c r="B332" s="823" t="s">
        <v>576</v>
      </c>
      <c r="C332" s="826" t="s">
        <v>3062</v>
      </c>
      <c r="D332" s="840" t="s">
        <v>3063</v>
      </c>
      <c r="E332" s="826" t="s">
        <v>3533</v>
      </c>
      <c r="F332" s="840" t="s">
        <v>3534</v>
      </c>
      <c r="G332" s="826" t="s">
        <v>3628</v>
      </c>
      <c r="H332" s="826" t="s">
        <v>3630</v>
      </c>
      <c r="I332" s="832">
        <v>1652.8599853515625</v>
      </c>
      <c r="J332" s="832">
        <v>1</v>
      </c>
      <c r="K332" s="833">
        <v>1652.8599853515625</v>
      </c>
    </row>
    <row r="333" spans="1:11" ht="14.45" customHeight="1" x14ac:dyDescent="0.2">
      <c r="A333" s="822" t="s">
        <v>575</v>
      </c>
      <c r="B333" s="823" t="s">
        <v>576</v>
      </c>
      <c r="C333" s="826" t="s">
        <v>594</v>
      </c>
      <c r="D333" s="840" t="s">
        <v>595</v>
      </c>
      <c r="E333" s="826" t="s">
        <v>3081</v>
      </c>
      <c r="F333" s="840" t="s">
        <v>3082</v>
      </c>
      <c r="G333" s="826" t="s">
        <v>3631</v>
      </c>
      <c r="H333" s="826" t="s">
        <v>3632</v>
      </c>
      <c r="I333" s="832">
        <v>4.0999999046325684</v>
      </c>
      <c r="J333" s="832">
        <v>20</v>
      </c>
      <c r="K333" s="833">
        <v>82</v>
      </c>
    </row>
    <row r="334" spans="1:11" ht="14.45" customHeight="1" x14ac:dyDescent="0.2">
      <c r="A334" s="822" t="s">
        <v>575</v>
      </c>
      <c r="B334" s="823" t="s">
        <v>576</v>
      </c>
      <c r="C334" s="826" t="s">
        <v>594</v>
      </c>
      <c r="D334" s="840" t="s">
        <v>595</v>
      </c>
      <c r="E334" s="826" t="s">
        <v>3081</v>
      </c>
      <c r="F334" s="840" t="s">
        <v>3082</v>
      </c>
      <c r="G334" s="826" t="s">
        <v>3631</v>
      </c>
      <c r="H334" s="826" t="s">
        <v>3633</v>
      </c>
      <c r="I334" s="832">
        <v>4.1100001335144043</v>
      </c>
      <c r="J334" s="832">
        <v>20</v>
      </c>
      <c r="K334" s="833">
        <v>82.199996948242188</v>
      </c>
    </row>
    <row r="335" spans="1:11" ht="14.45" customHeight="1" x14ac:dyDescent="0.2">
      <c r="A335" s="822" t="s">
        <v>575</v>
      </c>
      <c r="B335" s="823" t="s">
        <v>576</v>
      </c>
      <c r="C335" s="826" t="s">
        <v>594</v>
      </c>
      <c r="D335" s="840" t="s">
        <v>595</v>
      </c>
      <c r="E335" s="826" t="s">
        <v>3081</v>
      </c>
      <c r="F335" s="840" t="s">
        <v>3082</v>
      </c>
      <c r="G335" s="826" t="s">
        <v>3092</v>
      </c>
      <c r="H335" s="826" t="s">
        <v>3093</v>
      </c>
      <c r="I335" s="832">
        <v>6.25</v>
      </c>
      <c r="J335" s="832">
        <v>20</v>
      </c>
      <c r="K335" s="833">
        <v>125</v>
      </c>
    </row>
    <row r="336" spans="1:11" ht="14.45" customHeight="1" x14ac:dyDescent="0.2">
      <c r="A336" s="822" t="s">
        <v>575</v>
      </c>
      <c r="B336" s="823" t="s">
        <v>576</v>
      </c>
      <c r="C336" s="826" t="s">
        <v>594</v>
      </c>
      <c r="D336" s="840" t="s">
        <v>595</v>
      </c>
      <c r="E336" s="826" t="s">
        <v>3081</v>
      </c>
      <c r="F336" s="840" t="s">
        <v>3082</v>
      </c>
      <c r="G336" s="826" t="s">
        <v>3092</v>
      </c>
      <c r="H336" s="826" t="s">
        <v>3094</v>
      </c>
      <c r="I336" s="832">
        <v>6.2399997711181641</v>
      </c>
      <c r="J336" s="832">
        <v>20</v>
      </c>
      <c r="K336" s="833">
        <v>124.80000305175781</v>
      </c>
    </row>
    <row r="337" spans="1:11" ht="14.45" customHeight="1" x14ac:dyDescent="0.2">
      <c r="A337" s="822" t="s">
        <v>575</v>
      </c>
      <c r="B337" s="823" t="s">
        <v>576</v>
      </c>
      <c r="C337" s="826" t="s">
        <v>594</v>
      </c>
      <c r="D337" s="840" t="s">
        <v>595</v>
      </c>
      <c r="E337" s="826" t="s">
        <v>3081</v>
      </c>
      <c r="F337" s="840" t="s">
        <v>3082</v>
      </c>
      <c r="G337" s="826" t="s">
        <v>3102</v>
      </c>
      <c r="H337" s="826" t="s">
        <v>3103</v>
      </c>
      <c r="I337" s="832">
        <v>0.97000002861022949</v>
      </c>
      <c r="J337" s="832">
        <v>100</v>
      </c>
      <c r="K337" s="833">
        <v>97</v>
      </c>
    </row>
    <row r="338" spans="1:11" ht="14.45" customHeight="1" x14ac:dyDescent="0.2">
      <c r="A338" s="822" t="s">
        <v>575</v>
      </c>
      <c r="B338" s="823" t="s">
        <v>576</v>
      </c>
      <c r="C338" s="826" t="s">
        <v>594</v>
      </c>
      <c r="D338" s="840" t="s">
        <v>595</v>
      </c>
      <c r="E338" s="826" t="s">
        <v>3081</v>
      </c>
      <c r="F338" s="840" t="s">
        <v>3082</v>
      </c>
      <c r="G338" s="826" t="s">
        <v>3105</v>
      </c>
      <c r="H338" s="826" t="s">
        <v>3107</v>
      </c>
      <c r="I338" s="832">
        <v>1.2899999618530273</v>
      </c>
      <c r="J338" s="832">
        <v>100</v>
      </c>
      <c r="K338" s="833">
        <v>129</v>
      </c>
    </row>
    <row r="339" spans="1:11" ht="14.45" customHeight="1" x14ac:dyDescent="0.2">
      <c r="A339" s="822" t="s">
        <v>575</v>
      </c>
      <c r="B339" s="823" t="s">
        <v>576</v>
      </c>
      <c r="C339" s="826" t="s">
        <v>594</v>
      </c>
      <c r="D339" s="840" t="s">
        <v>595</v>
      </c>
      <c r="E339" s="826" t="s">
        <v>3081</v>
      </c>
      <c r="F339" s="840" t="s">
        <v>3082</v>
      </c>
      <c r="G339" s="826" t="s">
        <v>3110</v>
      </c>
      <c r="H339" s="826" t="s">
        <v>3111</v>
      </c>
      <c r="I339" s="832">
        <v>0.4699999988079071</v>
      </c>
      <c r="J339" s="832">
        <v>200</v>
      </c>
      <c r="K339" s="833">
        <v>94</v>
      </c>
    </row>
    <row r="340" spans="1:11" ht="14.45" customHeight="1" x14ac:dyDescent="0.2">
      <c r="A340" s="822" t="s">
        <v>575</v>
      </c>
      <c r="B340" s="823" t="s">
        <v>576</v>
      </c>
      <c r="C340" s="826" t="s">
        <v>594</v>
      </c>
      <c r="D340" s="840" t="s">
        <v>595</v>
      </c>
      <c r="E340" s="826" t="s">
        <v>3081</v>
      </c>
      <c r="F340" s="840" t="s">
        <v>3082</v>
      </c>
      <c r="G340" s="826" t="s">
        <v>3110</v>
      </c>
      <c r="H340" s="826" t="s">
        <v>3112</v>
      </c>
      <c r="I340" s="832">
        <v>0.4699999988079071</v>
      </c>
      <c r="J340" s="832">
        <v>50</v>
      </c>
      <c r="K340" s="833">
        <v>23.5</v>
      </c>
    </row>
    <row r="341" spans="1:11" ht="14.45" customHeight="1" x14ac:dyDescent="0.2">
      <c r="A341" s="822" t="s">
        <v>575</v>
      </c>
      <c r="B341" s="823" t="s">
        <v>576</v>
      </c>
      <c r="C341" s="826" t="s">
        <v>594</v>
      </c>
      <c r="D341" s="840" t="s">
        <v>595</v>
      </c>
      <c r="E341" s="826" t="s">
        <v>3081</v>
      </c>
      <c r="F341" s="840" t="s">
        <v>3082</v>
      </c>
      <c r="G341" s="826" t="s">
        <v>3113</v>
      </c>
      <c r="H341" s="826" t="s">
        <v>3114</v>
      </c>
      <c r="I341" s="832">
        <v>1.1699999570846558</v>
      </c>
      <c r="J341" s="832">
        <v>150</v>
      </c>
      <c r="K341" s="833">
        <v>175.5</v>
      </c>
    </row>
    <row r="342" spans="1:11" ht="14.45" customHeight="1" x14ac:dyDescent="0.2">
      <c r="A342" s="822" t="s">
        <v>575</v>
      </c>
      <c r="B342" s="823" t="s">
        <v>576</v>
      </c>
      <c r="C342" s="826" t="s">
        <v>594</v>
      </c>
      <c r="D342" s="840" t="s">
        <v>595</v>
      </c>
      <c r="E342" s="826" t="s">
        <v>3081</v>
      </c>
      <c r="F342" s="840" t="s">
        <v>3082</v>
      </c>
      <c r="G342" s="826" t="s">
        <v>3113</v>
      </c>
      <c r="H342" s="826" t="s">
        <v>3115</v>
      </c>
      <c r="I342" s="832">
        <v>1.1799999475479126</v>
      </c>
      <c r="J342" s="832">
        <v>70</v>
      </c>
      <c r="K342" s="833">
        <v>82.600000381469727</v>
      </c>
    </row>
    <row r="343" spans="1:11" ht="14.45" customHeight="1" x14ac:dyDescent="0.2">
      <c r="A343" s="822" t="s">
        <v>575</v>
      </c>
      <c r="B343" s="823" t="s">
        <v>576</v>
      </c>
      <c r="C343" s="826" t="s">
        <v>594</v>
      </c>
      <c r="D343" s="840" t="s">
        <v>595</v>
      </c>
      <c r="E343" s="826" t="s">
        <v>3081</v>
      </c>
      <c r="F343" s="840" t="s">
        <v>3082</v>
      </c>
      <c r="G343" s="826" t="s">
        <v>3120</v>
      </c>
      <c r="H343" s="826" t="s">
        <v>3121</v>
      </c>
      <c r="I343" s="832">
        <v>428.14999389648438</v>
      </c>
      <c r="J343" s="832">
        <v>1</v>
      </c>
      <c r="K343" s="833">
        <v>428.14999389648438</v>
      </c>
    </row>
    <row r="344" spans="1:11" ht="14.45" customHeight="1" x14ac:dyDescent="0.2">
      <c r="A344" s="822" t="s">
        <v>575</v>
      </c>
      <c r="B344" s="823" t="s">
        <v>576</v>
      </c>
      <c r="C344" s="826" t="s">
        <v>594</v>
      </c>
      <c r="D344" s="840" t="s">
        <v>595</v>
      </c>
      <c r="E344" s="826" t="s">
        <v>3081</v>
      </c>
      <c r="F344" s="840" t="s">
        <v>3082</v>
      </c>
      <c r="G344" s="826" t="s">
        <v>3634</v>
      </c>
      <c r="H344" s="826" t="s">
        <v>3635</v>
      </c>
      <c r="I344" s="832">
        <v>127.99499893188477</v>
      </c>
      <c r="J344" s="832">
        <v>20</v>
      </c>
      <c r="K344" s="833">
        <v>2559.8599853515625</v>
      </c>
    </row>
    <row r="345" spans="1:11" ht="14.45" customHeight="1" x14ac:dyDescent="0.2">
      <c r="A345" s="822" t="s">
        <v>575</v>
      </c>
      <c r="B345" s="823" t="s">
        <v>576</v>
      </c>
      <c r="C345" s="826" t="s">
        <v>594</v>
      </c>
      <c r="D345" s="840" t="s">
        <v>595</v>
      </c>
      <c r="E345" s="826" t="s">
        <v>3081</v>
      </c>
      <c r="F345" s="840" t="s">
        <v>3082</v>
      </c>
      <c r="G345" s="826" t="s">
        <v>3129</v>
      </c>
      <c r="H345" s="826" t="s">
        <v>3130</v>
      </c>
      <c r="I345" s="832">
        <v>790.8699951171875</v>
      </c>
      <c r="J345" s="832">
        <v>1</v>
      </c>
      <c r="K345" s="833">
        <v>790.8699951171875</v>
      </c>
    </row>
    <row r="346" spans="1:11" ht="14.45" customHeight="1" x14ac:dyDescent="0.2">
      <c r="A346" s="822" t="s">
        <v>575</v>
      </c>
      <c r="B346" s="823" t="s">
        <v>576</v>
      </c>
      <c r="C346" s="826" t="s">
        <v>594</v>
      </c>
      <c r="D346" s="840" t="s">
        <v>595</v>
      </c>
      <c r="E346" s="826" t="s">
        <v>3081</v>
      </c>
      <c r="F346" s="840" t="s">
        <v>3082</v>
      </c>
      <c r="G346" s="826" t="s">
        <v>3168</v>
      </c>
      <c r="H346" s="826" t="s">
        <v>3636</v>
      </c>
      <c r="I346" s="832">
        <v>704.36502075195313</v>
      </c>
      <c r="J346" s="832">
        <v>2</v>
      </c>
      <c r="K346" s="833">
        <v>1408.7300415039063</v>
      </c>
    </row>
    <row r="347" spans="1:11" ht="14.45" customHeight="1" x14ac:dyDescent="0.2">
      <c r="A347" s="822" t="s">
        <v>575</v>
      </c>
      <c r="B347" s="823" t="s">
        <v>576</v>
      </c>
      <c r="C347" s="826" t="s">
        <v>594</v>
      </c>
      <c r="D347" s="840" t="s">
        <v>595</v>
      </c>
      <c r="E347" s="826" t="s">
        <v>3081</v>
      </c>
      <c r="F347" s="840" t="s">
        <v>3082</v>
      </c>
      <c r="G347" s="826" t="s">
        <v>3135</v>
      </c>
      <c r="H347" s="826" t="s">
        <v>3136</v>
      </c>
      <c r="I347" s="832">
        <v>22.149999618530273</v>
      </c>
      <c r="J347" s="832">
        <v>50</v>
      </c>
      <c r="K347" s="833">
        <v>1107.5</v>
      </c>
    </row>
    <row r="348" spans="1:11" ht="14.45" customHeight="1" x14ac:dyDescent="0.2">
      <c r="A348" s="822" t="s">
        <v>575</v>
      </c>
      <c r="B348" s="823" t="s">
        <v>576</v>
      </c>
      <c r="C348" s="826" t="s">
        <v>594</v>
      </c>
      <c r="D348" s="840" t="s">
        <v>595</v>
      </c>
      <c r="E348" s="826" t="s">
        <v>3081</v>
      </c>
      <c r="F348" s="840" t="s">
        <v>3082</v>
      </c>
      <c r="G348" s="826" t="s">
        <v>3637</v>
      </c>
      <c r="H348" s="826" t="s">
        <v>3638</v>
      </c>
      <c r="I348" s="832">
        <v>156.8800048828125</v>
      </c>
      <c r="J348" s="832">
        <v>10</v>
      </c>
      <c r="K348" s="833">
        <v>1568.780029296875</v>
      </c>
    </row>
    <row r="349" spans="1:11" ht="14.45" customHeight="1" x14ac:dyDescent="0.2">
      <c r="A349" s="822" t="s">
        <v>575</v>
      </c>
      <c r="B349" s="823" t="s">
        <v>576</v>
      </c>
      <c r="C349" s="826" t="s">
        <v>594</v>
      </c>
      <c r="D349" s="840" t="s">
        <v>595</v>
      </c>
      <c r="E349" s="826" t="s">
        <v>3081</v>
      </c>
      <c r="F349" s="840" t="s">
        <v>3082</v>
      </c>
      <c r="G349" s="826" t="s">
        <v>3639</v>
      </c>
      <c r="H349" s="826" t="s">
        <v>3640</v>
      </c>
      <c r="I349" s="832">
        <v>128</v>
      </c>
      <c r="J349" s="832">
        <v>10</v>
      </c>
      <c r="K349" s="833">
        <v>1279.949951171875</v>
      </c>
    </row>
    <row r="350" spans="1:11" ht="14.45" customHeight="1" x14ac:dyDescent="0.2">
      <c r="A350" s="822" t="s">
        <v>575</v>
      </c>
      <c r="B350" s="823" t="s">
        <v>576</v>
      </c>
      <c r="C350" s="826" t="s">
        <v>594</v>
      </c>
      <c r="D350" s="840" t="s">
        <v>595</v>
      </c>
      <c r="E350" s="826" t="s">
        <v>3081</v>
      </c>
      <c r="F350" s="840" t="s">
        <v>3082</v>
      </c>
      <c r="G350" s="826" t="s">
        <v>3641</v>
      </c>
      <c r="H350" s="826" t="s">
        <v>3642</v>
      </c>
      <c r="I350" s="832">
        <v>124.19999694824219</v>
      </c>
      <c r="J350" s="832">
        <v>10</v>
      </c>
      <c r="K350" s="833">
        <v>1242</v>
      </c>
    </row>
    <row r="351" spans="1:11" ht="14.45" customHeight="1" x14ac:dyDescent="0.2">
      <c r="A351" s="822" t="s">
        <v>575</v>
      </c>
      <c r="B351" s="823" t="s">
        <v>576</v>
      </c>
      <c r="C351" s="826" t="s">
        <v>594</v>
      </c>
      <c r="D351" s="840" t="s">
        <v>595</v>
      </c>
      <c r="E351" s="826" t="s">
        <v>3081</v>
      </c>
      <c r="F351" s="840" t="s">
        <v>3082</v>
      </c>
      <c r="G351" s="826" t="s">
        <v>3643</v>
      </c>
      <c r="H351" s="826" t="s">
        <v>3644</v>
      </c>
      <c r="I351" s="832">
        <v>58.529998779296875</v>
      </c>
      <c r="J351" s="832">
        <v>10</v>
      </c>
      <c r="K351" s="833">
        <v>585.34002685546875</v>
      </c>
    </row>
    <row r="352" spans="1:11" ht="14.45" customHeight="1" x14ac:dyDescent="0.2">
      <c r="A352" s="822" t="s">
        <v>575</v>
      </c>
      <c r="B352" s="823" t="s">
        <v>576</v>
      </c>
      <c r="C352" s="826" t="s">
        <v>594</v>
      </c>
      <c r="D352" s="840" t="s">
        <v>595</v>
      </c>
      <c r="E352" s="826" t="s">
        <v>3081</v>
      </c>
      <c r="F352" s="840" t="s">
        <v>3082</v>
      </c>
      <c r="G352" s="826" t="s">
        <v>3645</v>
      </c>
      <c r="H352" s="826" t="s">
        <v>3646</v>
      </c>
      <c r="I352" s="832">
        <v>26.020000457763672</v>
      </c>
      <c r="J352" s="832">
        <v>110</v>
      </c>
      <c r="K352" s="833">
        <v>2861.6600036621094</v>
      </c>
    </row>
    <row r="353" spans="1:11" ht="14.45" customHeight="1" x14ac:dyDescent="0.2">
      <c r="A353" s="822" t="s">
        <v>575</v>
      </c>
      <c r="B353" s="823" t="s">
        <v>576</v>
      </c>
      <c r="C353" s="826" t="s">
        <v>594</v>
      </c>
      <c r="D353" s="840" t="s">
        <v>595</v>
      </c>
      <c r="E353" s="826" t="s">
        <v>3081</v>
      </c>
      <c r="F353" s="840" t="s">
        <v>3082</v>
      </c>
      <c r="G353" s="826" t="s">
        <v>3181</v>
      </c>
      <c r="H353" s="826" t="s">
        <v>3647</v>
      </c>
      <c r="I353" s="832">
        <v>21.200000762939453</v>
      </c>
      <c r="J353" s="832">
        <v>30</v>
      </c>
      <c r="K353" s="833">
        <v>636.11997985839844</v>
      </c>
    </row>
    <row r="354" spans="1:11" ht="14.45" customHeight="1" x14ac:dyDescent="0.2">
      <c r="A354" s="822" t="s">
        <v>575</v>
      </c>
      <c r="B354" s="823" t="s">
        <v>576</v>
      </c>
      <c r="C354" s="826" t="s">
        <v>594</v>
      </c>
      <c r="D354" s="840" t="s">
        <v>595</v>
      </c>
      <c r="E354" s="826" t="s">
        <v>3081</v>
      </c>
      <c r="F354" s="840" t="s">
        <v>3082</v>
      </c>
      <c r="G354" s="826" t="s">
        <v>3648</v>
      </c>
      <c r="H354" s="826" t="s">
        <v>3649</v>
      </c>
      <c r="I354" s="832">
        <v>61.560001373291016</v>
      </c>
      <c r="J354" s="832">
        <v>5</v>
      </c>
      <c r="K354" s="833">
        <v>307.79998779296875</v>
      </c>
    </row>
    <row r="355" spans="1:11" ht="14.45" customHeight="1" x14ac:dyDescent="0.2">
      <c r="A355" s="822" t="s">
        <v>575</v>
      </c>
      <c r="B355" s="823" t="s">
        <v>576</v>
      </c>
      <c r="C355" s="826" t="s">
        <v>594</v>
      </c>
      <c r="D355" s="840" t="s">
        <v>595</v>
      </c>
      <c r="E355" s="826" t="s">
        <v>3081</v>
      </c>
      <c r="F355" s="840" t="s">
        <v>3082</v>
      </c>
      <c r="G355" s="826" t="s">
        <v>3120</v>
      </c>
      <c r="H355" s="826" t="s">
        <v>3165</v>
      </c>
      <c r="I355" s="832">
        <v>428.14999389648438</v>
      </c>
      <c r="J355" s="832">
        <v>1</v>
      </c>
      <c r="K355" s="833">
        <v>428.14999389648438</v>
      </c>
    </row>
    <row r="356" spans="1:11" ht="14.45" customHeight="1" x14ac:dyDescent="0.2">
      <c r="A356" s="822" t="s">
        <v>575</v>
      </c>
      <c r="B356" s="823" t="s">
        <v>576</v>
      </c>
      <c r="C356" s="826" t="s">
        <v>594</v>
      </c>
      <c r="D356" s="840" t="s">
        <v>595</v>
      </c>
      <c r="E356" s="826" t="s">
        <v>3081</v>
      </c>
      <c r="F356" s="840" t="s">
        <v>3082</v>
      </c>
      <c r="G356" s="826" t="s">
        <v>3127</v>
      </c>
      <c r="H356" s="826" t="s">
        <v>3650</v>
      </c>
      <c r="I356" s="832">
        <v>48.380001068115234</v>
      </c>
      <c r="J356" s="832">
        <v>10</v>
      </c>
      <c r="K356" s="833">
        <v>483.80999755859375</v>
      </c>
    </row>
    <row r="357" spans="1:11" ht="14.45" customHeight="1" x14ac:dyDescent="0.2">
      <c r="A357" s="822" t="s">
        <v>575</v>
      </c>
      <c r="B357" s="823" t="s">
        <v>576</v>
      </c>
      <c r="C357" s="826" t="s">
        <v>594</v>
      </c>
      <c r="D357" s="840" t="s">
        <v>595</v>
      </c>
      <c r="E357" s="826" t="s">
        <v>3081</v>
      </c>
      <c r="F357" s="840" t="s">
        <v>3082</v>
      </c>
      <c r="G357" s="826" t="s">
        <v>3129</v>
      </c>
      <c r="H357" s="826" t="s">
        <v>3167</v>
      </c>
      <c r="I357" s="832">
        <v>790.8800048828125</v>
      </c>
      <c r="J357" s="832">
        <v>2</v>
      </c>
      <c r="K357" s="833">
        <v>1581.760009765625</v>
      </c>
    </row>
    <row r="358" spans="1:11" ht="14.45" customHeight="1" x14ac:dyDescent="0.2">
      <c r="A358" s="822" t="s">
        <v>575</v>
      </c>
      <c r="B358" s="823" t="s">
        <v>576</v>
      </c>
      <c r="C358" s="826" t="s">
        <v>594</v>
      </c>
      <c r="D358" s="840" t="s">
        <v>595</v>
      </c>
      <c r="E358" s="826" t="s">
        <v>3081</v>
      </c>
      <c r="F358" s="840" t="s">
        <v>3082</v>
      </c>
      <c r="G358" s="826" t="s">
        <v>3168</v>
      </c>
      <c r="H358" s="826" t="s">
        <v>3169</v>
      </c>
      <c r="I358" s="832">
        <v>642.08001708984375</v>
      </c>
      <c r="J358" s="832">
        <v>1</v>
      </c>
      <c r="K358" s="833">
        <v>642.08001708984375</v>
      </c>
    </row>
    <row r="359" spans="1:11" ht="14.45" customHeight="1" x14ac:dyDescent="0.2">
      <c r="A359" s="822" t="s">
        <v>575</v>
      </c>
      <c r="B359" s="823" t="s">
        <v>576</v>
      </c>
      <c r="C359" s="826" t="s">
        <v>594</v>
      </c>
      <c r="D359" s="840" t="s">
        <v>595</v>
      </c>
      <c r="E359" s="826" t="s">
        <v>3081</v>
      </c>
      <c r="F359" s="840" t="s">
        <v>3082</v>
      </c>
      <c r="G359" s="826" t="s">
        <v>3135</v>
      </c>
      <c r="H359" s="826" t="s">
        <v>3173</v>
      </c>
      <c r="I359" s="832">
        <v>22.149999618530273</v>
      </c>
      <c r="J359" s="832">
        <v>25</v>
      </c>
      <c r="K359" s="833">
        <v>553.75</v>
      </c>
    </row>
    <row r="360" spans="1:11" ht="14.45" customHeight="1" x14ac:dyDescent="0.2">
      <c r="A360" s="822" t="s">
        <v>575</v>
      </c>
      <c r="B360" s="823" t="s">
        <v>576</v>
      </c>
      <c r="C360" s="826" t="s">
        <v>594</v>
      </c>
      <c r="D360" s="840" t="s">
        <v>595</v>
      </c>
      <c r="E360" s="826" t="s">
        <v>3081</v>
      </c>
      <c r="F360" s="840" t="s">
        <v>3082</v>
      </c>
      <c r="G360" s="826" t="s">
        <v>3137</v>
      </c>
      <c r="H360" s="826" t="s">
        <v>3174</v>
      </c>
      <c r="I360" s="832">
        <v>30.175000190734863</v>
      </c>
      <c r="J360" s="832">
        <v>50</v>
      </c>
      <c r="K360" s="833">
        <v>1508.75</v>
      </c>
    </row>
    <row r="361" spans="1:11" ht="14.45" customHeight="1" x14ac:dyDescent="0.2">
      <c r="A361" s="822" t="s">
        <v>575</v>
      </c>
      <c r="B361" s="823" t="s">
        <v>576</v>
      </c>
      <c r="C361" s="826" t="s">
        <v>594</v>
      </c>
      <c r="D361" s="840" t="s">
        <v>595</v>
      </c>
      <c r="E361" s="826" t="s">
        <v>3081</v>
      </c>
      <c r="F361" s="840" t="s">
        <v>3082</v>
      </c>
      <c r="G361" s="826" t="s">
        <v>3149</v>
      </c>
      <c r="H361" s="826" t="s">
        <v>3179</v>
      </c>
      <c r="I361" s="832">
        <v>139.16999816894531</v>
      </c>
      <c r="J361" s="832">
        <v>2</v>
      </c>
      <c r="K361" s="833">
        <v>278.33999633789063</v>
      </c>
    </row>
    <row r="362" spans="1:11" ht="14.45" customHeight="1" x14ac:dyDescent="0.2">
      <c r="A362" s="822" t="s">
        <v>575</v>
      </c>
      <c r="B362" s="823" t="s">
        <v>576</v>
      </c>
      <c r="C362" s="826" t="s">
        <v>594</v>
      </c>
      <c r="D362" s="840" t="s">
        <v>595</v>
      </c>
      <c r="E362" s="826" t="s">
        <v>3081</v>
      </c>
      <c r="F362" s="840" t="s">
        <v>3082</v>
      </c>
      <c r="G362" s="826" t="s">
        <v>3643</v>
      </c>
      <c r="H362" s="826" t="s">
        <v>3651</v>
      </c>
      <c r="I362" s="832">
        <v>58.520000457763672</v>
      </c>
      <c r="J362" s="832">
        <v>10</v>
      </c>
      <c r="K362" s="833">
        <v>585.239990234375</v>
      </c>
    </row>
    <row r="363" spans="1:11" ht="14.45" customHeight="1" x14ac:dyDescent="0.2">
      <c r="A363" s="822" t="s">
        <v>575</v>
      </c>
      <c r="B363" s="823" t="s">
        <v>576</v>
      </c>
      <c r="C363" s="826" t="s">
        <v>594</v>
      </c>
      <c r="D363" s="840" t="s">
        <v>595</v>
      </c>
      <c r="E363" s="826" t="s">
        <v>3081</v>
      </c>
      <c r="F363" s="840" t="s">
        <v>3082</v>
      </c>
      <c r="G363" s="826" t="s">
        <v>3645</v>
      </c>
      <c r="H363" s="826" t="s">
        <v>3652</v>
      </c>
      <c r="I363" s="832">
        <v>26.010000228881836</v>
      </c>
      <c r="J363" s="832">
        <v>10</v>
      </c>
      <c r="K363" s="833">
        <v>260.1099853515625</v>
      </c>
    </row>
    <row r="364" spans="1:11" ht="14.45" customHeight="1" x14ac:dyDescent="0.2">
      <c r="A364" s="822" t="s">
        <v>575</v>
      </c>
      <c r="B364" s="823" t="s">
        <v>576</v>
      </c>
      <c r="C364" s="826" t="s">
        <v>594</v>
      </c>
      <c r="D364" s="840" t="s">
        <v>595</v>
      </c>
      <c r="E364" s="826" t="s">
        <v>3081</v>
      </c>
      <c r="F364" s="840" t="s">
        <v>3082</v>
      </c>
      <c r="G364" s="826" t="s">
        <v>3184</v>
      </c>
      <c r="H364" s="826" t="s">
        <v>3185</v>
      </c>
      <c r="I364" s="832">
        <v>1.3799999952316284</v>
      </c>
      <c r="J364" s="832">
        <v>50</v>
      </c>
      <c r="K364" s="833">
        <v>69</v>
      </c>
    </row>
    <row r="365" spans="1:11" ht="14.45" customHeight="1" x14ac:dyDescent="0.2">
      <c r="A365" s="822" t="s">
        <v>575</v>
      </c>
      <c r="B365" s="823" t="s">
        <v>576</v>
      </c>
      <c r="C365" s="826" t="s">
        <v>594</v>
      </c>
      <c r="D365" s="840" t="s">
        <v>595</v>
      </c>
      <c r="E365" s="826" t="s">
        <v>3081</v>
      </c>
      <c r="F365" s="840" t="s">
        <v>3082</v>
      </c>
      <c r="G365" s="826" t="s">
        <v>3186</v>
      </c>
      <c r="H365" s="826" t="s">
        <v>3187</v>
      </c>
      <c r="I365" s="832">
        <v>0.85500001907348633</v>
      </c>
      <c r="J365" s="832">
        <v>150</v>
      </c>
      <c r="K365" s="833">
        <v>128.5</v>
      </c>
    </row>
    <row r="366" spans="1:11" ht="14.45" customHeight="1" x14ac:dyDescent="0.2">
      <c r="A366" s="822" t="s">
        <v>575</v>
      </c>
      <c r="B366" s="823" t="s">
        <v>576</v>
      </c>
      <c r="C366" s="826" t="s">
        <v>594</v>
      </c>
      <c r="D366" s="840" t="s">
        <v>595</v>
      </c>
      <c r="E366" s="826" t="s">
        <v>3081</v>
      </c>
      <c r="F366" s="840" t="s">
        <v>3082</v>
      </c>
      <c r="G366" s="826" t="s">
        <v>3188</v>
      </c>
      <c r="H366" s="826" t="s">
        <v>3189</v>
      </c>
      <c r="I366" s="832">
        <v>1.5199999809265137</v>
      </c>
      <c r="J366" s="832">
        <v>100</v>
      </c>
      <c r="K366" s="833">
        <v>152</v>
      </c>
    </row>
    <row r="367" spans="1:11" ht="14.45" customHeight="1" x14ac:dyDescent="0.2">
      <c r="A367" s="822" t="s">
        <v>575</v>
      </c>
      <c r="B367" s="823" t="s">
        <v>576</v>
      </c>
      <c r="C367" s="826" t="s">
        <v>594</v>
      </c>
      <c r="D367" s="840" t="s">
        <v>595</v>
      </c>
      <c r="E367" s="826" t="s">
        <v>3081</v>
      </c>
      <c r="F367" s="840" t="s">
        <v>3082</v>
      </c>
      <c r="G367" s="826" t="s">
        <v>3190</v>
      </c>
      <c r="H367" s="826" t="s">
        <v>3191</v>
      </c>
      <c r="I367" s="832">
        <v>2.059999942779541</v>
      </c>
      <c r="J367" s="832">
        <v>100</v>
      </c>
      <c r="K367" s="833">
        <v>206</v>
      </c>
    </row>
    <row r="368" spans="1:11" ht="14.45" customHeight="1" x14ac:dyDescent="0.2">
      <c r="A368" s="822" t="s">
        <v>575</v>
      </c>
      <c r="B368" s="823" t="s">
        <v>576</v>
      </c>
      <c r="C368" s="826" t="s">
        <v>594</v>
      </c>
      <c r="D368" s="840" t="s">
        <v>595</v>
      </c>
      <c r="E368" s="826" t="s">
        <v>3081</v>
      </c>
      <c r="F368" s="840" t="s">
        <v>3082</v>
      </c>
      <c r="G368" s="826" t="s">
        <v>3192</v>
      </c>
      <c r="H368" s="826" t="s">
        <v>3193</v>
      </c>
      <c r="I368" s="832">
        <v>3.3599998950958252</v>
      </c>
      <c r="J368" s="832">
        <v>50</v>
      </c>
      <c r="K368" s="833">
        <v>168</v>
      </c>
    </row>
    <row r="369" spans="1:11" ht="14.45" customHeight="1" x14ac:dyDescent="0.2">
      <c r="A369" s="822" t="s">
        <v>575</v>
      </c>
      <c r="B369" s="823" t="s">
        <v>576</v>
      </c>
      <c r="C369" s="826" t="s">
        <v>594</v>
      </c>
      <c r="D369" s="840" t="s">
        <v>595</v>
      </c>
      <c r="E369" s="826" t="s">
        <v>3081</v>
      </c>
      <c r="F369" s="840" t="s">
        <v>3082</v>
      </c>
      <c r="G369" s="826" t="s">
        <v>3198</v>
      </c>
      <c r="H369" s="826" t="s">
        <v>3199</v>
      </c>
      <c r="I369" s="832">
        <v>46</v>
      </c>
      <c r="J369" s="832">
        <v>1</v>
      </c>
      <c r="K369" s="833">
        <v>46</v>
      </c>
    </row>
    <row r="370" spans="1:11" ht="14.45" customHeight="1" x14ac:dyDescent="0.2">
      <c r="A370" s="822" t="s">
        <v>575</v>
      </c>
      <c r="B370" s="823" t="s">
        <v>576</v>
      </c>
      <c r="C370" s="826" t="s">
        <v>594</v>
      </c>
      <c r="D370" s="840" t="s">
        <v>595</v>
      </c>
      <c r="E370" s="826" t="s">
        <v>3081</v>
      </c>
      <c r="F370" s="840" t="s">
        <v>3082</v>
      </c>
      <c r="G370" s="826" t="s">
        <v>3212</v>
      </c>
      <c r="H370" s="826" t="s">
        <v>3213</v>
      </c>
      <c r="I370" s="832">
        <v>19.139999389648438</v>
      </c>
      <c r="J370" s="832">
        <v>24</v>
      </c>
      <c r="K370" s="833">
        <v>459.36000061035156</v>
      </c>
    </row>
    <row r="371" spans="1:11" ht="14.45" customHeight="1" x14ac:dyDescent="0.2">
      <c r="A371" s="822" t="s">
        <v>575</v>
      </c>
      <c r="B371" s="823" t="s">
        <v>576</v>
      </c>
      <c r="C371" s="826" t="s">
        <v>594</v>
      </c>
      <c r="D371" s="840" t="s">
        <v>595</v>
      </c>
      <c r="E371" s="826" t="s">
        <v>3081</v>
      </c>
      <c r="F371" s="840" t="s">
        <v>3082</v>
      </c>
      <c r="G371" s="826" t="s">
        <v>3184</v>
      </c>
      <c r="H371" s="826" t="s">
        <v>3214</v>
      </c>
      <c r="I371" s="832">
        <v>1.3799999952316284</v>
      </c>
      <c r="J371" s="832">
        <v>50</v>
      </c>
      <c r="K371" s="833">
        <v>69</v>
      </c>
    </row>
    <row r="372" spans="1:11" ht="14.45" customHeight="1" x14ac:dyDescent="0.2">
      <c r="A372" s="822" t="s">
        <v>575</v>
      </c>
      <c r="B372" s="823" t="s">
        <v>576</v>
      </c>
      <c r="C372" s="826" t="s">
        <v>594</v>
      </c>
      <c r="D372" s="840" t="s">
        <v>595</v>
      </c>
      <c r="E372" s="826" t="s">
        <v>3081</v>
      </c>
      <c r="F372" s="840" t="s">
        <v>3082</v>
      </c>
      <c r="G372" s="826" t="s">
        <v>3186</v>
      </c>
      <c r="H372" s="826" t="s">
        <v>3215</v>
      </c>
      <c r="I372" s="832">
        <v>0.85000002384185791</v>
      </c>
      <c r="J372" s="832">
        <v>25</v>
      </c>
      <c r="K372" s="833">
        <v>21.25</v>
      </c>
    </row>
    <row r="373" spans="1:11" ht="14.45" customHeight="1" x14ac:dyDescent="0.2">
      <c r="A373" s="822" t="s">
        <v>575</v>
      </c>
      <c r="B373" s="823" t="s">
        <v>576</v>
      </c>
      <c r="C373" s="826" t="s">
        <v>594</v>
      </c>
      <c r="D373" s="840" t="s">
        <v>595</v>
      </c>
      <c r="E373" s="826" t="s">
        <v>3081</v>
      </c>
      <c r="F373" s="840" t="s">
        <v>3082</v>
      </c>
      <c r="G373" s="826" t="s">
        <v>3194</v>
      </c>
      <c r="H373" s="826" t="s">
        <v>3219</v>
      </c>
      <c r="I373" s="832">
        <v>5.880000114440918</v>
      </c>
      <c r="J373" s="832">
        <v>50</v>
      </c>
      <c r="K373" s="833">
        <v>294</v>
      </c>
    </row>
    <row r="374" spans="1:11" ht="14.45" customHeight="1" x14ac:dyDescent="0.2">
      <c r="A374" s="822" t="s">
        <v>575</v>
      </c>
      <c r="B374" s="823" t="s">
        <v>576</v>
      </c>
      <c r="C374" s="826" t="s">
        <v>594</v>
      </c>
      <c r="D374" s="840" t="s">
        <v>595</v>
      </c>
      <c r="E374" s="826" t="s">
        <v>3081</v>
      </c>
      <c r="F374" s="840" t="s">
        <v>3082</v>
      </c>
      <c r="G374" s="826" t="s">
        <v>3653</v>
      </c>
      <c r="H374" s="826" t="s">
        <v>3654</v>
      </c>
      <c r="I374" s="832">
        <v>42.630001068115234</v>
      </c>
      <c r="J374" s="832">
        <v>27</v>
      </c>
      <c r="K374" s="833">
        <v>1151</v>
      </c>
    </row>
    <row r="375" spans="1:11" ht="14.45" customHeight="1" x14ac:dyDescent="0.2">
      <c r="A375" s="822" t="s">
        <v>575</v>
      </c>
      <c r="B375" s="823" t="s">
        <v>576</v>
      </c>
      <c r="C375" s="826" t="s">
        <v>594</v>
      </c>
      <c r="D375" s="840" t="s">
        <v>595</v>
      </c>
      <c r="E375" s="826" t="s">
        <v>3081</v>
      </c>
      <c r="F375" s="840" t="s">
        <v>3082</v>
      </c>
      <c r="G375" s="826" t="s">
        <v>3253</v>
      </c>
      <c r="H375" s="826" t="s">
        <v>3254</v>
      </c>
      <c r="I375" s="832">
        <v>0.67500001937150955</v>
      </c>
      <c r="J375" s="832">
        <v>450</v>
      </c>
      <c r="K375" s="833">
        <v>303.80000019073486</v>
      </c>
    </row>
    <row r="376" spans="1:11" ht="14.45" customHeight="1" x14ac:dyDescent="0.2">
      <c r="A376" s="822" t="s">
        <v>575</v>
      </c>
      <c r="B376" s="823" t="s">
        <v>576</v>
      </c>
      <c r="C376" s="826" t="s">
        <v>594</v>
      </c>
      <c r="D376" s="840" t="s">
        <v>595</v>
      </c>
      <c r="E376" s="826" t="s">
        <v>3081</v>
      </c>
      <c r="F376" s="840" t="s">
        <v>3082</v>
      </c>
      <c r="G376" s="826" t="s">
        <v>3253</v>
      </c>
      <c r="H376" s="826" t="s">
        <v>3255</v>
      </c>
      <c r="I376" s="832">
        <v>0.66666668653488159</v>
      </c>
      <c r="J376" s="832">
        <v>480</v>
      </c>
      <c r="K376" s="833">
        <v>320.29999923706055</v>
      </c>
    </row>
    <row r="377" spans="1:11" ht="14.45" customHeight="1" x14ac:dyDescent="0.2">
      <c r="A377" s="822" t="s">
        <v>575</v>
      </c>
      <c r="B377" s="823" t="s">
        <v>576</v>
      </c>
      <c r="C377" s="826" t="s">
        <v>594</v>
      </c>
      <c r="D377" s="840" t="s">
        <v>595</v>
      </c>
      <c r="E377" s="826" t="s">
        <v>3081</v>
      </c>
      <c r="F377" s="840" t="s">
        <v>3082</v>
      </c>
      <c r="G377" s="826" t="s">
        <v>3256</v>
      </c>
      <c r="H377" s="826" t="s">
        <v>3257</v>
      </c>
      <c r="I377" s="832">
        <v>30.5</v>
      </c>
      <c r="J377" s="832">
        <v>3</v>
      </c>
      <c r="K377" s="833">
        <v>91.5</v>
      </c>
    </row>
    <row r="378" spans="1:11" ht="14.45" customHeight="1" x14ac:dyDescent="0.2">
      <c r="A378" s="822" t="s">
        <v>575</v>
      </c>
      <c r="B378" s="823" t="s">
        <v>576</v>
      </c>
      <c r="C378" s="826" t="s">
        <v>594</v>
      </c>
      <c r="D378" s="840" t="s">
        <v>595</v>
      </c>
      <c r="E378" s="826" t="s">
        <v>3081</v>
      </c>
      <c r="F378" s="840" t="s">
        <v>3082</v>
      </c>
      <c r="G378" s="826" t="s">
        <v>3258</v>
      </c>
      <c r="H378" s="826" t="s">
        <v>3259</v>
      </c>
      <c r="I378" s="832">
        <v>30.043635801835492</v>
      </c>
      <c r="J378" s="832">
        <v>76</v>
      </c>
      <c r="K378" s="833">
        <v>2285.2599945068359</v>
      </c>
    </row>
    <row r="379" spans="1:11" ht="14.45" customHeight="1" x14ac:dyDescent="0.2">
      <c r="A379" s="822" t="s">
        <v>575</v>
      </c>
      <c r="B379" s="823" t="s">
        <v>576</v>
      </c>
      <c r="C379" s="826" t="s">
        <v>594</v>
      </c>
      <c r="D379" s="840" t="s">
        <v>595</v>
      </c>
      <c r="E379" s="826" t="s">
        <v>3081</v>
      </c>
      <c r="F379" s="840" t="s">
        <v>3082</v>
      </c>
      <c r="G379" s="826" t="s">
        <v>3256</v>
      </c>
      <c r="H379" s="826" t="s">
        <v>3260</v>
      </c>
      <c r="I379" s="832">
        <v>30.329999923706055</v>
      </c>
      <c r="J379" s="832">
        <v>2</v>
      </c>
      <c r="K379" s="833">
        <v>60.659999847412109</v>
      </c>
    </row>
    <row r="380" spans="1:11" ht="14.45" customHeight="1" x14ac:dyDescent="0.2">
      <c r="A380" s="822" t="s">
        <v>575</v>
      </c>
      <c r="B380" s="823" t="s">
        <v>576</v>
      </c>
      <c r="C380" s="826" t="s">
        <v>594</v>
      </c>
      <c r="D380" s="840" t="s">
        <v>595</v>
      </c>
      <c r="E380" s="826" t="s">
        <v>3081</v>
      </c>
      <c r="F380" s="840" t="s">
        <v>3082</v>
      </c>
      <c r="G380" s="826" t="s">
        <v>3258</v>
      </c>
      <c r="H380" s="826" t="s">
        <v>3261</v>
      </c>
      <c r="I380" s="832">
        <v>29.283332824707031</v>
      </c>
      <c r="J380" s="832">
        <v>36</v>
      </c>
      <c r="K380" s="833">
        <v>1055.3500061035156</v>
      </c>
    </row>
    <row r="381" spans="1:11" ht="14.45" customHeight="1" x14ac:dyDescent="0.2">
      <c r="A381" s="822" t="s">
        <v>575</v>
      </c>
      <c r="B381" s="823" t="s">
        <v>576</v>
      </c>
      <c r="C381" s="826" t="s">
        <v>594</v>
      </c>
      <c r="D381" s="840" t="s">
        <v>595</v>
      </c>
      <c r="E381" s="826" t="s">
        <v>3264</v>
      </c>
      <c r="F381" s="840" t="s">
        <v>3265</v>
      </c>
      <c r="G381" s="826" t="s">
        <v>3278</v>
      </c>
      <c r="H381" s="826" t="s">
        <v>3279</v>
      </c>
      <c r="I381" s="832">
        <v>1.0909090665253725E-2</v>
      </c>
      <c r="J381" s="832">
        <v>820</v>
      </c>
      <c r="K381" s="833">
        <v>8.4000000059604645</v>
      </c>
    </row>
    <row r="382" spans="1:11" ht="14.45" customHeight="1" x14ac:dyDescent="0.2">
      <c r="A382" s="822" t="s">
        <v>575</v>
      </c>
      <c r="B382" s="823" t="s">
        <v>576</v>
      </c>
      <c r="C382" s="826" t="s">
        <v>594</v>
      </c>
      <c r="D382" s="840" t="s">
        <v>595</v>
      </c>
      <c r="E382" s="826" t="s">
        <v>3264</v>
      </c>
      <c r="F382" s="840" t="s">
        <v>3265</v>
      </c>
      <c r="G382" s="826" t="s">
        <v>3278</v>
      </c>
      <c r="H382" s="826" t="s">
        <v>3282</v>
      </c>
      <c r="I382" s="832">
        <v>1.1666666405896345E-2</v>
      </c>
      <c r="J382" s="832">
        <v>580</v>
      </c>
      <c r="K382" s="833">
        <v>6.800000011920929</v>
      </c>
    </row>
    <row r="383" spans="1:11" ht="14.45" customHeight="1" x14ac:dyDescent="0.2">
      <c r="A383" s="822" t="s">
        <v>575</v>
      </c>
      <c r="B383" s="823" t="s">
        <v>576</v>
      </c>
      <c r="C383" s="826" t="s">
        <v>594</v>
      </c>
      <c r="D383" s="840" t="s">
        <v>595</v>
      </c>
      <c r="E383" s="826" t="s">
        <v>3264</v>
      </c>
      <c r="F383" s="840" t="s">
        <v>3265</v>
      </c>
      <c r="G383" s="826" t="s">
        <v>3289</v>
      </c>
      <c r="H383" s="826" t="s">
        <v>3290</v>
      </c>
      <c r="I383" s="832">
        <v>4.3600001335144043</v>
      </c>
      <c r="J383" s="832">
        <v>300</v>
      </c>
      <c r="K383" s="833">
        <v>1307</v>
      </c>
    </row>
    <row r="384" spans="1:11" ht="14.45" customHeight="1" x14ac:dyDescent="0.2">
      <c r="A384" s="822" t="s">
        <v>575</v>
      </c>
      <c r="B384" s="823" t="s">
        <v>576</v>
      </c>
      <c r="C384" s="826" t="s">
        <v>594</v>
      </c>
      <c r="D384" s="840" t="s">
        <v>595</v>
      </c>
      <c r="E384" s="826" t="s">
        <v>3264</v>
      </c>
      <c r="F384" s="840" t="s">
        <v>3265</v>
      </c>
      <c r="G384" s="826" t="s">
        <v>3289</v>
      </c>
      <c r="H384" s="826" t="s">
        <v>3291</v>
      </c>
      <c r="I384" s="832">
        <v>4.3600001335144043</v>
      </c>
      <c r="J384" s="832">
        <v>300</v>
      </c>
      <c r="K384" s="833">
        <v>1306.800048828125</v>
      </c>
    </row>
    <row r="385" spans="1:11" ht="14.45" customHeight="1" x14ac:dyDescent="0.2">
      <c r="A385" s="822" t="s">
        <v>575</v>
      </c>
      <c r="B385" s="823" t="s">
        <v>576</v>
      </c>
      <c r="C385" s="826" t="s">
        <v>594</v>
      </c>
      <c r="D385" s="840" t="s">
        <v>595</v>
      </c>
      <c r="E385" s="826" t="s">
        <v>3264</v>
      </c>
      <c r="F385" s="840" t="s">
        <v>3265</v>
      </c>
      <c r="G385" s="826" t="s">
        <v>3655</v>
      </c>
      <c r="H385" s="826" t="s">
        <v>3656</v>
      </c>
      <c r="I385" s="832">
        <v>26</v>
      </c>
      <c r="J385" s="832">
        <v>40</v>
      </c>
      <c r="K385" s="833">
        <v>1039.800048828125</v>
      </c>
    </row>
    <row r="386" spans="1:11" ht="14.45" customHeight="1" x14ac:dyDescent="0.2">
      <c r="A386" s="822" t="s">
        <v>575</v>
      </c>
      <c r="B386" s="823" t="s">
        <v>576</v>
      </c>
      <c r="C386" s="826" t="s">
        <v>594</v>
      </c>
      <c r="D386" s="840" t="s">
        <v>595</v>
      </c>
      <c r="E386" s="826" t="s">
        <v>3264</v>
      </c>
      <c r="F386" s="840" t="s">
        <v>3265</v>
      </c>
      <c r="G386" s="826" t="s">
        <v>3324</v>
      </c>
      <c r="H386" s="826" t="s">
        <v>3657</v>
      </c>
      <c r="I386" s="832">
        <v>17.979999542236328</v>
      </c>
      <c r="J386" s="832">
        <v>20</v>
      </c>
      <c r="K386" s="833">
        <v>359.60000610351563</v>
      </c>
    </row>
    <row r="387" spans="1:11" ht="14.45" customHeight="1" x14ac:dyDescent="0.2">
      <c r="A387" s="822" t="s">
        <v>575</v>
      </c>
      <c r="B387" s="823" t="s">
        <v>576</v>
      </c>
      <c r="C387" s="826" t="s">
        <v>594</v>
      </c>
      <c r="D387" s="840" t="s">
        <v>595</v>
      </c>
      <c r="E387" s="826" t="s">
        <v>3264</v>
      </c>
      <c r="F387" s="840" t="s">
        <v>3265</v>
      </c>
      <c r="G387" s="826" t="s">
        <v>3324</v>
      </c>
      <c r="H387" s="826" t="s">
        <v>3325</v>
      </c>
      <c r="I387" s="832">
        <v>17.983332951863606</v>
      </c>
      <c r="J387" s="832">
        <v>50</v>
      </c>
      <c r="K387" s="833">
        <v>899.19999694824219</v>
      </c>
    </row>
    <row r="388" spans="1:11" ht="14.45" customHeight="1" x14ac:dyDescent="0.2">
      <c r="A388" s="822" t="s">
        <v>575</v>
      </c>
      <c r="B388" s="823" t="s">
        <v>576</v>
      </c>
      <c r="C388" s="826" t="s">
        <v>594</v>
      </c>
      <c r="D388" s="840" t="s">
        <v>595</v>
      </c>
      <c r="E388" s="826" t="s">
        <v>3264</v>
      </c>
      <c r="F388" s="840" t="s">
        <v>3265</v>
      </c>
      <c r="G388" s="826" t="s">
        <v>3658</v>
      </c>
      <c r="H388" s="826" t="s">
        <v>3659</v>
      </c>
      <c r="I388" s="832">
        <v>3.1483334302902222</v>
      </c>
      <c r="J388" s="832">
        <v>28</v>
      </c>
      <c r="K388" s="833">
        <v>88.170000076293945</v>
      </c>
    </row>
    <row r="389" spans="1:11" ht="14.45" customHeight="1" x14ac:dyDescent="0.2">
      <c r="A389" s="822" t="s">
        <v>575</v>
      </c>
      <c r="B389" s="823" t="s">
        <v>576</v>
      </c>
      <c r="C389" s="826" t="s">
        <v>594</v>
      </c>
      <c r="D389" s="840" t="s">
        <v>595</v>
      </c>
      <c r="E389" s="826" t="s">
        <v>3264</v>
      </c>
      <c r="F389" s="840" t="s">
        <v>3265</v>
      </c>
      <c r="G389" s="826" t="s">
        <v>3658</v>
      </c>
      <c r="H389" s="826" t="s">
        <v>3660</v>
      </c>
      <c r="I389" s="832">
        <v>3.1500000953674316</v>
      </c>
      <c r="J389" s="832">
        <v>10</v>
      </c>
      <c r="K389" s="833">
        <v>31.5</v>
      </c>
    </row>
    <row r="390" spans="1:11" ht="14.45" customHeight="1" x14ac:dyDescent="0.2">
      <c r="A390" s="822" t="s">
        <v>575</v>
      </c>
      <c r="B390" s="823" t="s">
        <v>576</v>
      </c>
      <c r="C390" s="826" t="s">
        <v>594</v>
      </c>
      <c r="D390" s="840" t="s">
        <v>595</v>
      </c>
      <c r="E390" s="826" t="s">
        <v>3264</v>
      </c>
      <c r="F390" s="840" t="s">
        <v>3265</v>
      </c>
      <c r="G390" s="826" t="s">
        <v>3364</v>
      </c>
      <c r="H390" s="826" t="s">
        <v>3365</v>
      </c>
      <c r="I390" s="832">
        <v>11.742499828338623</v>
      </c>
      <c r="J390" s="832">
        <v>12</v>
      </c>
      <c r="K390" s="833">
        <v>140.90999984741211</v>
      </c>
    </row>
    <row r="391" spans="1:11" ht="14.45" customHeight="1" x14ac:dyDescent="0.2">
      <c r="A391" s="822" t="s">
        <v>575</v>
      </c>
      <c r="B391" s="823" t="s">
        <v>576</v>
      </c>
      <c r="C391" s="826" t="s">
        <v>594</v>
      </c>
      <c r="D391" s="840" t="s">
        <v>595</v>
      </c>
      <c r="E391" s="826" t="s">
        <v>3264</v>
      </c>
      <c r="F391" s="840" t="s">
        <v>3265</v>
      </c>
      <c r="G391" s="826" t="s">
        <v>3366</v>
      </c>
      <c r="H391" s="826" t="s">
        <v>3367</v>
      </c>
      <c r="I391" s="832">
        <v>13.310000419616699</v>
      </c>
      <c r="J391" s="832">
        <v>3</v>
      </c>
      <c r="K391" s="833">
        <v>39.930000305175781</v>
      </c>
    </row>
    <row r="392" spans="1:11" ht="14.45" customHeight="1" x14ac:dyDescent="0.2">
      <c r="A392" s="822" t="s">
        <v>575</v>
      </c>
      <c r="B392" s="823" t="s">
        <v>576</v>
      </c>
      <c r="C392" s="826" t="s">
        <v>594</v>
      </c>
      <c r="D392" s="840" t="s">
        <v>595</v>
      </c>
      <c r="E392" s="826" t="s">
        <v>3264</v>
      </c>
      <c r="F392" s="840" t="s">
        <v>3265</v>
      </c>
      <c r="G392" s="826" t="s">
        <v>3364</v>
      </c>
      <c r="H392" s="826" t="s">
        <v>3373</v>
      </c>
      <c r="I392" s="832">
        <v>11.733332951863607</v>
      </c>
      <c r="J392" s="832">
        <v>9</v>
      </c>
      <c r="K392" s="833">
        <v>105.59999847412109</v>
      </c>
    </row>
    <row r="393" spans="1:11" ht="14.45" customHeight="1" x14ac:dyDescent="0.2">
      <c r="A393" s="822" t="s">
        <v>575</v>
      </c>
      <c r="B393" s="823" t="s">
        <v>576</v>
      </c>
      <c r="C393" s="826" t="s">
        <v>594</v>
      </c>
      <c r="D393" s="840" t="s">
        <v>595</v>
      </c>
      <c r="E393" s="826" t="s">
        <v>3264</v>
      </c>
      <c r="F393" s="840" t="s">
        <v>3265</v>
      </c>
      <c r="G393" s="826" t="s">
        <v>3385</v>
      </c>
      <c r="H393" s="826" t="s">
        <v>3386</v>
      </c>
      <c r="I393" s="832">
        <v>1.5</v>
      </c>
      <c r="J393" s="832">
        <v>85</v>
      </c>
      <c r="K393" s="833">
        <v>127.5</v>
      </c>
    </row>
    <row r="394" spans="1:11" ht="14.45" customHeight="1" x14ac:dyDescent="0.2">
      <c r="A394" s="822" t="s">
        <v>575</v>
      </c>
      <c r="B394" s="823" t="s">
        <v>576</v>
      </c>
      <c r="C394" s="826" t="s">
        <v>594</v>
      </c>
      <c r="D394" s="840" t="s">
        <v>595</v>
      </c>
      <c r="E394" s="826" t="s">
        <v>3264</v>
      </c>
      <c r="F394" s="840" t="s">
        <v>3265</v>
      </c>
      <c r="G394" s="826" t="s">
        <v>3385</v>
      </c>
      <c r="H394" s="826" t="s">
        <v>3387</v>
      </c>
      <c r="I394" s="832">
        <v>1.5</v>
      </c>
      <c r="J394" s="832">
        <v>40</v>
      </c>
      <c r="K394" s="833">
        <v>60</v>
      </c>
    </row>
    <row r="395" spans="1:11" ht="14.45" customHeight="1" x14ac:dyDescent="0.2">
      <c r="A395" s="822" t="s">
        <v>575</v>
      </c>
      <c r="B395" s="823" t="s">
        <v>576</v>
      </c>
      <c r="C395" s="826" t="s">
        <v>594</v>
      </c>
      <c r="D395" s="840" t="s">
        <v>595</v>
      </c>
      <c r="E395" s="826" t="s">
        <v>3264</v>
      </c>
      <c r="F395" s="840" t="s">
        <v>3265</v>
      </c>
      <c r="G395" s="826" t="s">
        <v>3390</v>
      </c>
      <c r="H395" s="826" t="s">
        <v>3391</v>
      </c>
      <c r="I395" s="832">
        <v>9.1999998092651367</v>
      </c>
      <c r="J395" s="832">
        <v>450</v>
      </c>
      <c r="K395" s="833">
        <v>4140</v>
      </c>
    </row>
    <row r="396" spans="1:11" ht="14.45" customHeight="1" x14ac:dyDescent="0.2">
      <c r="A396" s="822" t="s">
        <v>575</v>
      </c>
      <c r="B396" s="823" t="s">
        <v>576</v>
      </c>
      <c r="C396" s="826" t="s">
        <v>594</v>
      </c>
      <c r="D396" s="840" t="s">
        <v>595</v>
      </c>
      <c r="E396" s="826" t="s">
        <v>3264</v>
      </c>
      <c r="F396" s="840" t="s">
        <v>3265</v>
      </c>
      <c r="G396" s="826" t="s">
        <v>3390</v>
      </c>
      <c r="H396" s="826" t="s">
        <v>3392</v>
      </c>
      <c r="I396" s="832">
        <v>9.1999998092651367</v>
      </c>
      <c r="J396" s="832">
        <v>150</v>
      </c>
      <c r="K396" s="833">
        <v>1380</v>
      </c>
    </row>
    <row r="397" spans="1:11" ht="14.45" customHeight="1" x14ac:dyDescent="0.2">
      <c r="A397" s="822" t="s">
        <v>575</v>
      </c>
      <c r="B397" s="823" t="s">
        <v>576</v>
      </c>
      <c r="C397" s="826" t="s">
        <v>594</v>
      </c>
      <c r="D397" s="840" t="s">
        <v>595</v>
      </c>
      <c r="E397" s="826" t="s">
        <v>3264</v>
      </c>
      <c r="F397" s="840" t="s">
        <v>3265</v>
      </c>
      <c r="G397" s="826" t="s">
        <v>3399</v>
      </c>
      <c r="H397" s="826" t="s">
        <v>3401</v>
      </c>
      <c r="I397" s="832">
        <v>172.5</v>
      </c>
      <c r="J397" s="832">
        <v>1</v>
      </c>
      <c r="K397" s="833">
        <v>172.5</v>
      </c>
    </row>
    <row r="398" spans="1:11" ht="14.45" customHeight="1" x14ac:dyDescent="0.2">
      <c r="A398" s="822" t="s">
        <v>575</v>
      </c>
      <c r="B398" s="823" t="s">
        <v>576</v>
      </c>
      <c r="C398" s="826" t="s">
        <v>594</v>
      </c>
      <c r="D398" s="840" t="s">
        <v>595</v>
      </c>
      <c r="E398" s="826" t="s">
        <v>3264</v>
      </c>
      <c r="F398" s="840" t="s">
        <v>3265</v>
      </c>
      <c r="G398" s="826" t="s">
        <v>3436</v>
      </c>
      <c r="H398" s="826" t="s">
        <v>3437</v>
      </c>
      <c r="I398" s="832">
        <v>0.67000001668930054</v>
      </c>
      <c r="J398" s="832">
        <v>100</v>
      </c>
      <c r="K398" s="833">
        <v>67</v>
      </c>
    </row>
    <row r="399" spans="1:11" ht="14.45" customHeight="1" x14ac:dyDescent="0.2">
      <c r="A399" s="822" t="s">
        <v>575</v>
      </c>
      <c r="B399" s="823" t="s">
        <v>576</v>
      </c>
      <c r="C399" s="826" t="s">
        <v>594</v>
      </c>
      <c r="D399" s="840" t="s">
        <v>595</v>
      </c>
      <c r="E399" s="826" t="s">
        <v>3264</v>
      </c>
      <c r="F399" s="840" t="s">
        <v>3265</v>
      </c>
      <c r="G399" s="826" t="s">
        <v>3436</v>
      </c>
      <c r="H399" s="826" t="s">
        <v>3661</v>
      </c>
      <c r="I399" s="832">
        <v>0.67000001668930054</v>
      </c>
      <c r="J399" s="832">
        <v>100</v>
      </c>
      <c r="K399" s="833">
        <v>67</v>
      </c>
    </row>
    <row r="400" spans="1:11" ht="14.45" customHeight="1" x14ac:dyDescent="0.2">
      <c r="A400" s="822" t="s">
        <v>575</v>
      </c>
      <c r="B400" s="823" t="s">
        <v>576</v>
      </c>
      <c r="C400" s="826" t="s">
        <v>594</v>
      </c>
      <c r="D400" s="840" t="s">
        <v>595</v>
      </c>
      <c r="E400" s="826" t="s">
        <v>3264</v>
      </c>
      <c r="F400" s="840" t="s">
        <v>3265</v>
      </c>
      <c r="G400" s="826" t="s">
        <v>3419</v>
      </c>
      <c r="H400" s="826" t="s">
        <v>3454</v>
      </c>
      <c r="I400" s="832">
        <v>1.0900000333786011</v>
      </c>
      <c r="J400" s="832">
        <v>100</v>
      </c>
      <c r="K400" s="833">
        <v>109</v>
      </c>
    </row>
    <row r="401" spans="1:11" ht="14.45" customHeight="1" x14ac:dyDescent="0.2">
      <c r="A401" s="822" t="s">
        <v>575</v>
      </c>
      <c r="B401" s="823" t="s">
        <v>576</v>
      </c>
      <c r="C401" s="826" t="s">
        <v>594</v>
      </c>
      <c r="D401" s="840" t="s">
        <v>595</v>
      </c>
      <c r="E401" s="826" t="s">
        <v>3264</v>
      </c>
      <c r="F401" s="840" t="s">
        <v>3265</v>
      </c>
      <c r="G401" s="826" t="s">
        <v>3425</v>
      </c>
      <c r="H401" s="826" t="s">
        <v>3455</v>
      </c>
      <c r="I401" s="832">
        <v>0.47499999403953552</v>
      </c>
      <c r="J401" s="832">
        <v>200</v>
      </c>
      <c r="K401" s="833">
        <v>95</v>
      </c>
    </row>
    <row r="402" spans="1:11" ht="14.45" customHeight="1" x14ac:dyDescent="0.2">
      <c r="A402" s="822" t="s">
        <v>575</v>
      </c>
      <c r="B402" s="823" t="s">
        <v>576</v>
      </c>
      <c r="C402" s="826" t="s">
        <v>594</v>
      </c>
      <c r="D402" s="840" t="s">
        <v>595</v>
      </c>
      <c r="E402" s="826" t="s">
        <v>3264</v>
      </c>
      <c r="F402" s="840" t="s">
        <v>3265</v>
      </c>
      <c r="G402" s="826" t="s">
        <v>3436</v>
      </c>
      <c r="H402" s="826" t="s">
        <v>3458</v>
      </c>
      <c r="I402" s="832">
        <v>0.67000001668930054</v>
      </c>
      <c r="J402" s="832">
        <v>100</v>
      </c>
      <c r="K402" s="833">
        <v>67</v>
      </c>
    </row>
    <row r="403" spans="1:11" ht="14.45" customHeight="1" x14ac:dyDescent="0.2">
      <c r="A403" s="822" t="s">
        <v>575</v>
      </c>
      <c r="B403" s="823" t="s">
        <v>576</v>
      </c>
      <c r="C403" s="826" t="s">
        <v>594</v>
      </c>
      <c r="D403" s="840" t="s">
        <v>595</v>
      </c>
      <c r="E403" s="826" t="s">
        <v>3264</v>
      </c>
      <c r="F403" s="840" t="s">
        <v>3265</v>
      </c>
      <c r="G403" s="826" t="s">
        <v>3349</v>
      </c>
      <c r="H403" s="826" t="s">
        <v>3477</v>
      </c>
      <c r="I403" s="832">
        <v>35.090000152587891</v>
      </c>
      <c r="J403" s="832">
        <v>1</v>
      </c>
      <c r="K403" s="833">
        <v>35.090000152587891</v>
      </c>
    </row>
    <row r="404" spans="1:11" ht="14.45" customHeight="1" x14ac:dyDescent="0.2">
      <c r="A404" s="822" t="s">
        <v>575</v>
      </c>
      <c r="B404" s="823" t="s">
        <v>576</v>
      </c>
      <c r="C404" s="826" t="s">
        <v>594</v>
      </c>
      <c r="D404" s="840" t="s">
        <v>595</v>
      </c>
      <c r="E404" s="826" t="s">
        <v>3264</v>
      </c>
      <c r="F404" s="840" t="s">
        <v>3265</v>
      </c>
      <c r="G404" s="826" t="s">
        <v>3662</v>
      </c>
      <c r="H404" s="826" t="s">
        <v>3663</v>
      </c>
      <c r="I404" s="832">
        <v>75.019996643066406</v>
      </c>
      <c r="J404" s="832">
        <v>1</v>
      </c>
      <c r="K404" s="833">
        <v>75.019996643066406</v>
      </c>
    </row>
    <row r="405" spans="1:11" ht="14.45" customHeight="1" x14ac:dyDescent="0.2">
      <c r="A405" s="822" t="s">
        <v>575</v>
      </c>
      <c r="B405" s="823" t="s">
        <v>576</v>
      </c>
      <c r="C405" s="826" t="s">
        <v>594</v>
      </c>
      <c r="D405" s="840" t="s">
        <v>595</v>
      </c>
      <c r="E405" s="826" t="s">
        <v>3264</v>
      </c>
      <c r="F405" s="840" t="s">
        <v>3265</v>
      </c>
      <c r="G405" s="826" t="s">
        <v>3664</v>
      </c>
      <c r="H405" s="826" t="s">
        <v>3665</v>
      </c>
      <c r="I405" s="832">
        <v>75.019996643066406</v>
      </c>
      <c r="J405" s="832">
        <v>1</v>
      </c>
      <c r="K405" s="833">
        <v>75.019996643066406</v>
      </c>
    </row>
    <row r="406" spans="1:11" ht="14.45" customHeight="1" x14ac:dyDescent="0.2">
      <c r="A406" s="822" t="s">
        <v>575</v>
      </c>
      <c r="B406" s="823" t="s">
        <v>576</v>
      </c>
      <c r="C406" s="826" t="s">
        <v>594</v>
      </c>
      <c r="D406" s="840" t="s">
        <v>595</v>
      </c>
      <c r="E406" s="826" t="s">
        <v>3264</v>
      </c>
      <c r="F406" s="840" t="s">
        <v>3265</v>
      </c>
      <c r="G406" s="826" t="s">
        <v>3506</v>
      </c>
      <c r="H406" s="826" t="s">
        <v>3507</v>
      </c>
      <c r="I406" s="832">
        <v>1.9840000152587891</v>
      </c>
      <c r="J406" s="832">
        <v>450</v>
      </c>
      <c r="K406" s="833">
        <v>892.5</v>
      </c>
    </row>
    <row r="407" spans="1:11" ht="14.45" customHeight="1" x14ac:dyDescent="0.2">
      <c r="A407" s="822" t="s">
        <v>575</v>
      </c>
      <c r="B407" s="823" t="s">
        <v>576</v>
      </c>
      <c r="C407" s="826" t="s">
        <v>594</v>
      </c>
      <c r="D407" s="840" t="s">
        <v>595</v>
      </c>
      <c r="E407" s="826" t="s">
        <v>3264</v>
      </c>
      <c r="F407" s="840" t="s">
        <v>3265</v>
      </c>
      <c r="G407" s="826" t="s">
        <v>3506</v>
      </c>
      <c r="H407" s="826" t="s">
        <v>3508</v>
      </c>
      <c r="I407" s="832">
        <v>1.9850000143051147</v>
      </c>
      <c r="J407" s="832">
        <v>700</v>
      </c>
      <c r="K407" s="833">
        <v>1389.5</v>
      </c>
    </row>
    <row r="408" spans="1:11" ht="14.45" customHeight="1" x14ac:dyDescent="0.2">
      <c r="A408" s="822" t="s">
        <v>575</v>
      </c>
      <c r="B408" s="823" t="s">
        <v>576</v>
      </c>
      <c r="C408" s="826" t="s">
        <v>594</v>
      </c>
      <c r="D408" s="840" t="s">
        <v>595</v>
      </c>
      <c r="E408" s="826" t="s">
        <v>3264</v>
      </c>
      <c r="F408" s="840" t="s">
        <v>3265</v>
      </c>
      <c r="G408" s="826" t="s">
        <v>3509</v>
      </c>
      <c r="H408" s="826" t="s">
        <v>3510</v>
      </c>
      <c r="I408" s="832">
        <v>2.0399999618530273</v>
      </c>
      <c r="J408" s="832">
        <v>300</v>
      </c>
      <c r="K408" s="833">
        <v>612.5</v>
      </c>
    </row>
    <row r="409" spans="1:11" ht="14.45" customHeight="1" x14ac:dyDescent="0.2">
      <c r="A409" s="822" t="s">
        <v>575</v>
      </c>
      <c r="B409" s="823" t="s">
        <v>576</v>
      </c>
      <c r="C409" s="826" t="s">
        <v>594</v>
      </c>
      <c r="D409" s="840" t="s">
        <v>595</v>
      </c>
      <c r="E409" s="826" t="s">
        <v>3264</v>
      </c>
      <c r="F409" s="840" t="s">
        <v>3265</v>
      </c>
      <c r="G409" s="826" t="s">
        <v>3509</v>
      </c>
      <c r="H409" s="826" t="s">
        <v>3511</v>
      </c>
      <c r="I409" s="832">
        <v>2.0433332920074463</v>
      </c>
      <c r="J409" s="832">
        <v>550</v>
      </c>
      <c r="K409" s="833">
        <v>1123.5</v>
      </c>
    </row>
    <row r="410" spans="1:11" ht="14.45" customHeight="1" x14ac:dyDescent="0.2">
      <c r="A410" s="822" t="s">
        <v>575</v>
      </c>
      <c r="B410" s="823" t="s">
        <v>576</v>
      </c>
      <c r="C410" s="826" t="s">
        <v>594</v>
      </c>
      <c r="D410" s="840" t="s">
        <v>595</v>
      </c>
      <c r="E410" s="826" t="s">
        <v>3264</v>
      </c>
      <c r="F410" s="840" t="s">
        <v>3265</v>
      </c>
      <c r="G410" s="826" t="s">
        <v>3666</v>
      </c>
      <c r="H410" s="826" t="s">
        <v>3667</v>
      </c>
      <c r="I410" s="832">
        <v>2.0299999713897705</v>
      </c>
      <c r="J410" s="832">
        <v>100</v>
      </c>
      <c r="K410" s="833">
        <v>203</v>
      </c>
    </row>
    <row r="411" spans="1:11" ht="14.45" customHeight="1" x14ac:dyDescent="0.2">
      <c r="A411" s="822" t="s">
        <v>575</v>
      </c>
      <c r="B411" s="823" t="s">
        <v>576</v>
      </c>
      <c r="C411" s="826" t="s">
        <v>594</v>
      </c>
      <c r="D411" s="840" t="s">
        <v>595</v>
      </c>
      <c r="E411" s="826" t="s">
        <v>3264</v>
      </c>
      <c r="F411" s="840" t="s">
        <v>3265</v>
      </c>
      <c r="G411" s="826" t="s">
        <v>3517</v>
      </c>
      <c r="H411" s="826" t="s">
        <v>3668</v>
      </c>
      <c r="I411" s="832">
        <v>1.9299999475479126</v>
      </c>
      <c r="J411" s="832">
        <v>150</v>
      </c>
      <c r="K411" s="833">
        <v>289.5</v>
      </c>
    </row>
    <row r="412" spans="1:11" ht="14.45" customHeight="1" x14ac:dyDescent="0.2">
      <c r="A412" s="822" t="s">
        <v>575</v>
      </c>
      <c r="B412" s="823" t="s">
        <v>576</v>
      </c>
      <c r="C412" s="826" t="s">
        <v>594</v>
      </c>
      <c r="D412" s="840" t="s">
        <v>595</v>
      </c>
      <c r="E412" s="826" t="s">
        <v>3264</v>
      </c>
      <c r="F412" s="840" t="s">
        <v>3265</v>
      </c>
      <c r="G412" s="826" t="s">
        <v>3514</v>
      </c>
      <c r="H412" s="826" t="s">
        <v>3515</v>
      </c>
      <c r="I412" s="832">
        <v>3.0981817245483398</v>
      </c>
      <c r="J412" s="832">
        <v>750</v>
      </c>
      <c r="K412" s="833">
        <v>2324</v>
      </c>
    </row>
    <row r="413" spans="1:11" ht="14.45" customHeight="1" x14ac:dyDescent="0.2">
      <c r="A413" s="822" t="s">
        <v>575</v>
      </c>
      <c r="B413" s="823" t="s">
        <v>576</v>
      </c>
      <c r="C413" s="826" t="s">
        <v>594</v>
      </c>
      <c r="D413" s="840" t="s">
        <v>595</v>
      </c>
      <c r="E413" s="826" t="s">
        <v>3264</v>
      </c>
      <c r="F413" s="840" t="s">
        <v>3265</v>
      </c>
      <c r="G413" s="826" t="s">
        <v>3517</v>
      </c>
      <c r="H413" s="826" t="s">
        <v>3518</v>
      </c>
      <c r="I413" s="832">
        <v>1.9199999570846558</v>
      </c>
      <c r="J413" s="832">
        <v>200</v>
      </c>
      <c r="K413" s="833">
        <v>384</v>
      </c>
    </row>
    <row r="414" spans="1:11" ht="14.45" customHeight="1" x14ac:dyDescent="0.2">
      <c r="A414" s="822" t="s">
        <v>575</v>
      </c>
      <c r="B414" s="823" t="s">
        <v>576</v>
      </c>
      <c r="C414" s="826" t="s">
        <v>594</v>
      </c>
      <c r="D414" s="840" t="s">
        <v>595</v>
      </c>
      <c r="E414" s="826" t="s">
        <v>3264</v>
      </c>
      <c r="F414" s="840" t="s">
        <v>3265</v>
      </c>
      <c r="G414" s="826" t="s">
        <v>3514</v>
      </c>
      <c r="H414" s="826" t="s">
        <v>3669</v>
      </c>
      <c r="I414" s="832">
        <v>3.0966665744781494</v>
      </c>
      <c r="J414" s="832">
        <v>450</v>
      </c>
      <c r="K414" s="833">
        <v>1393</v>
      </c>
    </row>
    <row r="415" spans="1:11" ht="14.45" customHeight="1" x14ac:dyDescent="0.2">
      <c r="A415" s="822" t="s">
        <v>575</v>
      </c>
      <c r="B415" s="823" t="s">
        <v>576</v>
      </c>
      <c r="C415" s="826" t="s">
        <v>594</v>
      </c>
      <c r="D415" s="840" t="s">
        <v>595</v>
      </c>
      <c r="E415" s="826" t="s">
        <v>3264</v>
      </c>
      <c r="F415" s="840" t="s">
        <v>3265</v>
      </c>
      <c r="G415" s="826" t="s">
        <v>3519</v>
      </c>
      <c r="H415" s="826" t="s">
        <v>3520</v>
      </c>
      <c r="I415" s="832">
        <v>2.1650000810623169</v>
      </c>
      <c r="J415" s="832">
        <v>400</v>
      </c>
      <c r="K415" s="833">
        <v>866</v>
      </c>
    </row>
    <row r="416" spans="1:11" ht="14.45" customHeight="1" x14ac:dyDescent="0.2">
      <c r="A416" s="822" t="s">
        <v>575</v>
      </c>
      <c r="B416" s="823" t="s">
        <v>576</v>
      </c>
      <c r="C416" s="826" t="s">
        <v>594</v>
      </c>
      <c r="D416" s="840" t="s">
        <v>595</v>
      </c>
      <c r="E416" s="826" t="s">
        <v>3264</v>
      </c>
      <c r="F416" s="840" t="s">
        <v>3265</v>
      </c>
      <c r="G416" s="826" t="s">
        <v>3519</v>
      </c>
      <c r="H416" s="826" t="s">
        <v>3521</v>
      </c>
      <c r="I416" s="832">
        <v>2.1671429361615862</v>
      </c>
      <c r="J416" s="832">
        <v>500</v>
      </c>
      <c r="K416" s="833">
        <v>1083.5</v>
      </c>
    </row>
    <row r="417" spans="1:11" ht="14.45" customHeight="1" x14ac:dyDescent="0.2">
      <c r="A417" s="822" t="s">
        <v>575</v>
      </c>
      <c r="B417" s="823" t="s">
        <v>576</v>
      </c>
      <c r="C417" s="826" t="s">
        <v>594</v>
      </c>
      <c r="D417" s="840" t="s">
        <v>595</v>
      </c>
      <c r="E417" s="826" t="s">
        <v>3264</v>
      </c>
      <c r="F417" s="840" t="s">
        <v>3265</v>
      </c>
      <c r="G417" s="826" t="s">
        <v>3530</v>
      </c>
      <c r="H417" s="826" t="s">
        <v>3531</v>
      </c>
      <c r="I417" s="832">
        <v>23.469999313354492</v>
      </c>
      <c r="J417" s="832">
        <v>36</v>
      </c>
      <c r="K417" s="833">
        <v>844.91998291015625</v>
      </c>
    </row>
    <row r="418" spans="1:11" ht="14.45" customHeight="1" x14ac:dyDescent="0.2">
      <c r="A418" s="822" t="s">
        <v>575</v>
      </c>
      <c r="B418" s="823" t="s">
        <v>576</v>
      </c>
      <c r="C418" s="826" t="s">
        <v>594</v>
      </c>
      <c r="D418" s="840" t="s">
        <v>595</v>
      </c>
      <c r="E418" s="826" t="s">
        <v>3544</v>
      </c>
      <c r="F418" s="840" t="s">
        <v>3545</v>
      </c>
      <c r="G418" s="826" t="s">
        <v>3566</v>
      </c>
      <c r="H418" s="826" t="s">
        <v>3568</v>
      </c>
      <c r="I418" s="832">
        <v>1.7999999523162842</v>
      </c>
      <c r="J418" s="832">
        <v>100</v>
      </c>
      <c r="K418" s="833">
        <v>180</v>
      </c>
    </row>
    <row r="419" spans="1:11" ht="14.45" customHeight="1" x14ac:dyDescent="0.2">
      <c r="A419" s="822" t="s">
        <v>575</v>
      </c>
      <c r="B419" s="823" t="s">
        <v>576</v>
      </c>
      <c r="C419" s="826" t="s">
        <v>594</v>
      </c>
      <c r="D419" s="840" t="s">
        <v>595</v>
      </c>
      <c r="E419" s="826" t="s">
        <v>3569</v>
      </c>
      <c r="F419" s="840" t="s">
        <v>3570</v>
      </c>
      <c r="G419" s="826" t="s">
        <v>3573</v>
      </c>
      <c r="H419" s="826" t="s">
        <v>3574</v>
      </c>
      <c r="I419" s="832">
        <v>7.0199999809265137</v>
      </c>
      <c r="J419" s="832">
        <v>3</v>
      </c>
      <c r="K419" s="833">
        <v>21.059999465942383</v>
      </c>
    </row>
    <row r="420" spans="1:11" ht="14.45" customHeight="1" x14ac:dyDescent="0.2">
      <c r="A420" s="822" t="s">
        <v>575</v>
      </c>
      <c r="B420" s="823" t="s">
        <v>576</v>
      </c>
      <c r="C420" s="826" t="s">
        <v>594</v>
      </c>
      <c r="D420" s="840" t="s">
        <v>595</v>
      </c>
      <c r="E420" s="826" t="s">
        <v>3569</v>
      </c>
      <c r="F420" s="840" t="s">
        <v>3570</v>
      </c>
      <c r="G420" s="826" t="s">
        <v>3573</v>
      </c>
      <c r="H420" s="826" t="s">
        <v>3578</v>
      </c>
      <c r="I420" s="832">
        <v>7.0150001049041748</v>
      </c>
      <c r="J420" s="832">
        <v>7</v>
      </c>
      <c r="K420" s="833">
        <v>49.110000610351563</v>
      </c>
    </row>
    <row r="421" spans="1:11" ht="14.45" customHeight="1" x14ac:dyDescent="0.2">
      <c r="A421" s="822" t="s">
        <v>575</v>
      </c>
      <c r="B421" s="823" t="s">
        <v>576</v>
      </c>
      <c r="C421" s="826" t="s">
        <v>594</v>
      </c>
      <c r="D421" s="840" t="s">
        <v>595</v>
      </c>
      <c r="E421" s="826" t="s">
        <v>3569</v>
      </c>
      <c r="F421" s="840" t="s">
        <v>3570</v>
      </c>
      <c r="G421" s="826" t="s">
        <v>3579</v>
      </c>
      <c r="H421" s="826" t="s">
        <v>3580</v>
      </c>
      <c r="I421" s="832">
        <v>0.64428571292332237</v>
      </c>
      <c r="J421" s="832">
        <v>1400</v>
      </c>
      <c r="K421" s="833">
        <v>902</v>
      </c>
    </row>
    <row r="422" spans="1:11" ht="14.45" customHeight="1" x14ac:dyDescent="0.2">
      <c r="A422" s="822" t="s">
        <v>575</v>
      </c>
      <c r="B422" s="823" t="s">
        <v>576</v>
      </c>
      <c r="C422" s="826" t="s">
        <v>594</v>
      </c>
      <c r="D422" s="840" t="s">
        <v>595</v>
      </c>
      <c r="E422" s="826" t="s">
        <v>3569</v>
      </c>
      <c r="F422" s="840" t="s">
        <v>3570</v>
      </c>
      <c r="G422" s="826" t="s">
        <v>3583</v>
      </c>
      <c r="H422" s="826" t="s">
        <v>3584</v>
      </c>
      <c r="I422" s="832">
        <v>0.62666666507720947</v>
      </c>
      <c r="J422" s="832">
        <v>1200</v>
      </c>
      <c r="K422" s="833">
        <v>752</v>
      </c>
    </row>
    <row r="423" spans="1:11" ht="14.45" customHeight="1" x14ac:dyDescent="0.2">
      <c r="A423" s="822" t="s">
        <v>575</v>
      </c>
      <c r="B423" s="823" t="s">
        <v>576</v>
      </c>
      <c r="C423" s="826" t="s">
        <v>594</v>
      </c>
      <c r="D423" s="840" t="s">
        <v>595</v>
      </c>
      <c r="E423" s="826" t="s">
        <v>3569</v>
      </c>
      <c r="F423" s="840" t="s">
        <v>3570</v>
      </c>
      <c r="G423" s="826" t="s">
        <v>3579</v>
      </c>
      <c r="H423" s="826" t="s">
        <v>3591</v>
      </c>
      <c r="I423" s="832">
        <v>0.62666666507720947</v>
      </c>
      <c r="J423" s="832">
        <v>600</v>
      </c>
      <c r="K423" s="833">
        <v>376</v>
      </c>
    </row>
    <row r="424" spans="1:11" ht="14.45" customHeight="1" x14ac:dyDescent="0.2">
      <c r="A424" s="822" t="s">
        <v>575</v>
      </c>
      <c r="B424" s="823" t="s">
        <v>576</v>
      </c>
      <c r="C424" s="826" t="s">
        <v>594</v>
      </c>
      <c r="D424" s="840" t="s">
        <v>595</v>
      </c>
      <c r="E424" s="826" t="s">
        <v>3569</v>
      </c>
      <c r="F424" s="840" t="s">
        <v>3570</v>
      </c>
      <c r="G424" s="826" t="s">
        <v>3583</v>
      </c>
      <c r="H424" s="826" t="s">
        <v>3593</v>
      </c>
      <c r="I424" s="832">
        <v>0.62999999523162842</v>
      </c>
      <c r="J424" s="832">
        <v>600</v>
      </c>
      <c r="K424" s="833">
        <v>378</v>
      </c>
    </row>
    <row r="425" spans="1:11" ht="14.45" customHeight="1" x14ac:dyDescent="0.2">
      <c r="A425" s="822" t="s">
        <v>575</v>
      </c>
      <c r="B425" s="823" t="s">
        <v>576</v>
      </c>
      <c r="C425" s="826" t="s">
        <v>597</v>
      </c>
      <c r="D425" s="840" t="s">
        <v>598</v>
      </c>
      <c r="E425" s="826" t="s">
        <v>3065</v>
      </c>
      <c r="F425" s="840" t="s">
        <v>3066</v>
      </c>
      <c r="G425" s="826" t="s">
        <v>3670</v>
      </c>
      <c r="H425" s="826" t="s">
        <v>3671</v>
      </c>
      <c r="I425" s="832">
        <v>2210.719970703125</v>
      </c>
      <c r="J425" s="832">
        <v>3</v>
      </c>
      <c r="K425" s="833">
        <v>6632.159912109375</v>
      </c>
    </row>
    <row r="426" spans="1:11" ht="14.45" customHeight="1" x14ac:dyDescent="0.2">
      <c r="A426" s="822" t="s">
        <v>575</v>
      </c>
      <c r="B426" s="823" t="s">
        <v>576</v>
      </c>
      <c r="C426" s="826" t="s">
        <v>597</v>
      </c>
      <c r="D426" s="840" t="s">
        <v>598</v>
      </c>
      <c r="E426" s="826" t="s">
        <v>3065</v>
      </c>
      <c r="F426" s="840" t="s">
        <v>3066</v>
      </c>
      <c r="G426" s="826" t="s">
        <v>3672</v>
      </c>
      <c r="H426" s="826" t="s">
        <v>3673</v>
      </c>
      <c r="I426" s="832">
        <v>5445</v>
      </c>
      <c r="J426" s="832">
        <v>7</v>
      </c>
      <c r="K426" s="833">
        <v>38115</v>
      </c>
    </row>
    <row r="427" spans="1:11" ht="14.45" customHeight="1" x14ac:dyDescent="0.2">
      <c r="A427" s="822" t="s">
        <v>575</v>
      </c>
      <c r="B427" s="823" t="s">
        <v>576</v>
      </c>
      <c r="C427" s="826" t="s">
        <v>597</v>
      </c>
      <c r="D427" s="840" t="s">
        <v>598</v>
      </c>
      <c r="E427" s="826" t="s">
        <v>3065</v>
      </c>
      <c r="F427" s="840" t="s">
        <v>3066</v>
      </c>
      <c r="G427" s="826" t="s">
        <v>3674</v>
      </c>
      <c r="H427" s="826" t="s">
        <v>3675</v>
      </c>
      <c r="I427" s="832">
        <v>5445</v>
      </c>
      <c r="J427" s="832">
        <v>5</v>
      </c>
      <c r="K427" s="833">
        <v>27225</v>
      </c>
    </row>
    <row r="428" spans="1:11" ht="14.45" customHeight="1" x14ac:dyDescent="0.2">
      <c r="A428" s="822" t="s">
        <v>575</v>
      </c>
      <c r="B428" s="823" t="s">
        <v>576</v>
      </c>
      <c r="C428" s="826" t="s">
        <v>597</v>
      </c>
      <c r="D428" s="840" t="s">
        <v>598</v>
      </c>
      <c r="E428" s="826" t="s">
        <v>3065</v>
      </c>
      <c r="F428" s="840" t="s">
        <v>3066</v>
      </c>
      <c r="G428" s="826" t="s">
        <v>3676</v>
      </c>
      <c r="H428" s="826" t="s">
        <v>3677</v>
      </c>
      <c r="I428" s="832">
        <v>5445</v>
      </c>
      <c r="J428" s="832">
        <v>5</v>
      </c>
      <c r="K428" s="833">
        <v>27225</v>
      </c>
    </row>
    <row r="429" spans="1:11" ht="14.45" customHeight="1" x14ac:dyDescent="0.2">
      <c r="A429" s="822" t="s">
        <v>575</v>
      </c>
      <c r="B429" s="823" t="s">
        <v>576</v>
      </c>
      <c r="C429" s="826" t="s">
        <v>597</v>
      </c>
      <c r="D429" s="840" t="s">
        <v>598</v>
      </c>
      <c r="E429" s="826" t="s">
        <v>3065</v>
      </c>
      <c r="F429" s="840" t="s">
        <v>3066</v>
      </c>
      <c r="G429" s="826" t="s">
        <v>3678</v>
      </c>
      <c r="H429" s="826" t="s">
        <v>3679</v>
      </c>
      <c r="I429" s="832">
        <v>5445</v>
      </c>
      <c r="J429" s="832">
        <v>3</v>
      </c>
      <c r="K429" s="833">
        <v>16335</v>
      </c>
    </row>
    <row r="430" spans="1:11" ht="14.45" customHeight="1" x14ac:dyDescent="0.2">
      <c r="A430" s="822" t="s">
        <v>575</v>
      </c>
      <c r="B430" s="823" t="s">
        <v>576</v>
      </c>
      <c r="C430" s="826" t="s">
        <v>597</v>
      </c>
      <c r="D430" s="840" t="s">
        <v>598</v>
      </c>
      <c r="E430" s="826" t="s">
        <v>3065</v>
      </c>
      <c r="F430" s="840" t="s">
        <v>3066</v>
      </c>
      <c r="G430" s="826" t="s">
        <v>3067</v>
      </c>
      <c r="H430" s="826" t="s">
        <v>3068</v>
      </c>
      <c r="I430" s="832">
        <v>147.18023300170898</v>
      </c>
      <c r="J430" s="832">
        <v>185</v>
      </c>
      <c r="K430" s="833">
        <v>27228.589965820313</v>
      </c>
    </row>
    <row r="431" spans="1:11" ht="14.45" customHeight="1" x14ac:dyDescent="0.2">
      <c r="A431" s="822" t="s">
        <v>575</v>
      </c>
      <c r="B431" s="823" t="s">
        <v>576</v>
      </c>
      <c r="C431" s="826" t="s">
        <v>597</v>
      </c>
      <c r="D431" s="840" t="s">
        <v>598</v>
      </c>
      <c r="E431" s="826" t="s">
        <v>3065</v>
      </c>
      <c r="F431" s="840" t="s">
        <v>3066</v>
      </c>
      <c r="G431" s="826" t="s">
        <v>3069</v>
      </c>
      <c r="H431" s="826" t="s">
        <v>3070</v>
      </c>
      <c r="I431" s="832">
        <v>147.18003551776593</v>
      </c>
      <c r="J431" s="832">
        <v>167</v>
      </c>
      <c r="K431" s="833">
        <v>24579.250091552734</v>
      </c>
    </row>
    <row r="432" spans="1:11" ht="14.45" customHeight="1" x14ac:dyDescent="0.2">
      <c r="A432" s="822" t="s">
        <v>575</v>
      </c>
      <c r="B432" s="823" t="s">
        <v>576</v>
      </c>
      <c r="C432" s="826" t="s">
        <v>597</v>
      </c>
      <c r="D432" s="840" t="s">
        <v>598</v>
      </c>
      <c r="E432" s="826" t="s">
        <v>3065</v>
      </c>
      <c r="F432" s="840" t="s">
        <v>3066</v>
      </c>
      <c r="G432" s="826" t="s">
        <v>3071</v>
      </c>
      <c r="H432" s="826" t="s">
        <v>3072</v>
      </c>
      <c r="I432" s="832">
        <v>141.58000183105469</v>
      </c>
      <c r="J432" s="832">
        <v>28</v>
      </c>
      <c r="K432" s="833">
        <v>3964.2400054931641</v>
      </c>
    </row>
    <row r="433" spans="1:11" ht="14.45" customHeight="1" x14ac:dyDescent="0.2">
      <c r="A433" s="822" t="s">
        <v>575</v>
      </c>
      <c r="B433" s="823" t="s">
        <v>576</v>
      </c>
      <c r="C433" s="826" t="s">
        <v>597</v>
      </c>
      <c r="D433" s="840" t="s">
        <v>598</v>
      </c>
      <c r="E433" s="826" t="s">
        <v>3065</v>
      </c>
      <c r="F433" s="840" t="s">
        <v>3066</v>
      </c>
      <c r="G433" s="826" t="s">
        <v>3071</v>
      </c>
      <c r="H433" s="826" t="s">
        <v>3073</v>
      </c>
      <c r="I433" s="832">
        <v>161.27642713274275</v>
      </c>
      <c r="J433" s="832">
        <v>43</v>
      </c>
      <c r="K433" s="833">
        <v>6915.179931640625</v>
      </c>
    </row>
    <row r="434" spans="1:11" ht="14.45" customHeight="1" x14ac:dyDescent="0.2">
      <c r="A434" s="822" t="s">
        <v>575</v>
      </c>
      <c r="B434" s="823" t="s">
        <v>576</v>
      </c>
      <c r="C434" s="826" t="s">
        <v>597</v>
      </c>
      <c r="D434" s="840" t="s">
        <v>598</v>
      </c>
      <c r="E434" s="826" t="s">
        <v>3065</v>
      </c>
      <c r="F434" s="840" t="s">
        <v>3066</v>
      </c>
      <c r="G434" s="826" t="s">
        <v>3680</v>
      </c>
      <c r="H434" s="826" t="s">
        <v>3681</v>
      </c>
      <c r="I434" s="832">
        <v>150</v>
      </c>
      <c r="J434" s="832">
        <v>6</v>
      </c>
      <c r="K434" s="833">
        <v>900</v>
      </c>
    </row>
    <row r="435" spans="1:11" ht="14.45" customHeight="1" x14ac:dyDescent="0.2">
      <c r="A435" s="822" t="s">
        <v>575</v>
      </c>
      <c r="B435" s="823" t="s">
        <v>576</v>
      </c>
      <c r="C435" s="826" t="s">
        <v>597</v>
      </c>
      <c r="D435" s="840" t="s">
        <v>598</v>
      </c>
      <c r="E435" s="826" t="s">
        <v>3065</v>
      </c>
      <c r="F435" s="840" t="s">
        <v>3066</v>
      </c>
      <c r="G435" s="826" t="s">
        <v>3682</v>
      </c>
      <c r="H435" s="826" t="s">
        <v>3683</v>
      </c>
      <c r="I435" s="832">
        <v>9228.1904296875</v>
      </c>
      <c r="J435" s="832">
        <v>2</v>
      </c>
      <c r="K435" s="833">
        <v>18456.380859375</v>
      </c>
    </row>
    <row r="436" spans="1:11" ht="14.45" customHeight="1" x14ac:dyDescent="0.2">
      <c r="A436" s="822" t="s">
        <v>575</v>
      </c>
      <c r="B436" s="823" t="s">
        <v>576</v>
      </c>
      <c r="C436" s="826" t="s">
        <v>597</v>
      </c>
      <c r="D436" s="840" t="s">
        <v>598</v>
      </c>
      <c r="E436" s="826" t="s">
        <v>3065</v>
      </c>
      <c r="F436" s="840" t="s">
        <v>3066</v>
      </c>
      <c r="G436" s="826" t="s">
        <v>3682</v>
      </c>
      <c r="H436" s="826" t="s">
        <v>3684</v>
      </c>
      <c r="I436" s="832">
        <v>9228.1904296875</v>
      </c>
      <c r="J436" s="832">
        <v>1</v>
      </c>
      <c r="K436" s="833">
        <v>9228.1904296875</v>
      </c>
    </row>
    <row r="437" spans="1:11" ht="14.45" customHeight="1" x14ac:dyDescent="0.2">
      <c r="A437" s="822" t="s">
        <v>575</v>
      </c>
      <c r="B437" s="823" t="s">
        <v>576</v>
      </c>
      <c r="C437" s="826" t="s">
        <v>597</v>
      </c>
      <c r="D437" s="840" t="s">
        <v>598</v>
      </c>
      <c r="E437" s="826" t="s">
        <v>3065</v>
      </c>
      <c r="F437" s="840" t="s">
        <v>3066</v>
      </c>
      <c r="G437" s="826" t="s">
        <v>3074</v>
      </c>
      <c r="H437" s="826" t="s">
        <v>3075</v>
      </c>
      <c r="I437" s="832">
        <v>13.005384811988243</v>
      </c>
      <c r="J437" s="832">
        <v>130</v>
      </c>
      <c r="K437" s="833">
        <v>1690.7000350952148</v>
      </c>
    </row>
    <row r="438" spans="1:11" ht="14.45" customHeight="1" x14ac:dyDescent="0.2">
      <c r="A438" s="822" t="s">
        <v>575</v>
      </c>
      <c r="B438" s="823" t="s">
        <v>576</v>
      </c>
      <c r="C438" s="826" t="s">
        <v>597</v>
      </c>
      <c r="D438" s="840" t="s">
        <v>598</v>
      </c>
      <c r="E438" s="826" t="s">
        <v>3065</v>
      </c>
      <c r="F438" s="840" t="s">
        <v>3066</v>
      </c>
      <c r="G438" s="826" t="s">
        <v>3074</v>
      </c>
      <c r="H438" s="826" t="s">
        <v>3076</v>
      </c>
      <c r="I438" s="832">
        <v>12.17899980545044</v>
      </c>
      <c r="J438" s="832">
        <v>100</v>
      </c>
      <c r="K438" s="833">
        <v>1217.859992980957</v>
      </c>
    </row>
    <row r="439" spans="1:11" ht="14.45" customHeight="1" x14ac:dyDescent="0.2">
      <c r="A439" s="822" t="s">
        <v>575</v>
      </c>
      <c r="B439" s="823" t="s">
        <v>576</v>
      </c>
      <c r="C439" s="826" t="s">
        <v>597</v>
      </c>
      <c r="D439" s="840" t="s">
        <v>598</v>
      </c>
      <c r="E439" s="826" t="s">
        <v>3065</v>
      </c>
      <c r="F439" s="840" t="s">
        <v>3066</v>
      </c>
      <c r="G439" s="826" t="s">
        <v>3685</v>
      </c>
      <c r="H439" s="826" t="s">
        <v>3686</v>
      </c>
      <c r="I439" s="832">
        <v>3035.31005859375</v>
      </c>
      <c r="J439" s="832">
        <v>12</v>
      </c>
      <c r="K439" s="833">
        <v>36423.720703125</v>
      </c>
    </row>
    <row r="440" spans="1:11" ht="14.45" customHeight="1" x14ac:dyDescent="0.2">
      <c r="A440" s="822" t="s">
        <v>575</v>
      </c>
      <c r="B440" s="823" t="s">
        <v>576</v>
      </c>
      <c r="C440" s="826" t="s">
        <v>597</v>
      </c>
      <c r="D440" s="840" t="s">
        <v>598</v>
      </c>
      <c r="E440" s="826" t="s">
        <v>3065</v>
      </c>
      <c r="F440" s="840" t="s">
        <v>3066</v>
      </c>
      <c r="G440" s="826" t="s">
        <v>3687</v>
      </c>
      <c r="H440" s="826" t="s">
        <v>3688</v>
      </c>
      <c r="I440" s="832">
        <v>3035.31005859375</v>
      </c>
      <c r="J440" s="832">
        <v>8</v>
      </c>
      <c r="K440" s="833">
        <v>24282.48046875</v>
      </c>
    </row>
    <row r="441" spans="1:11" ht="14.45" customHeight="1" x14ac:dyDescent="0.2">
      <c r="A441" s="822" t="s">
        <v>575</v>
      </c>
      <c r="B441" s="823" t="s">
        <v>576</v>
      </c>
      <c r="C441" s="826" t="s">
        <v>597</v>
      </c>
      <c r="D441" s="840" t="s">
        <v>598</v>
      </c>
      <c r="E441" s="826" t="s">
        <v>3065</v>
      </c>
      <c r="F441" s="840" t="s">
        <v>3066</v>
      </c>
      <c r="G441" s="826" t="s">
        <v>3689</v>
      </c>
      <c r="H441" s="826" t="s">
        <v>3690</v>
      </c>
      <c r="I441" s="832">
        <v>2277.849187677557</v>
      </c>
      <c r="J441" s="832">
        <v>12</v>
      </c>
      <c r="K441" s="833">
        <v>27334.191162109375</v>
      </c>
    </row>
    <row r="442" spans="1:11" ht="14.45" customHeight="1" x14ac:dyDescent="0.2">
      <c r="A442" s="822" t="s">
        <v>575</v>
      </c>
      <c r="B442" s="823" t="s">
        <v>576</v>
      </c>
      <c r="C442" s="826" t="s">
        <v>597</v>
      </c>
      <c r="D442" s="840" t="s">
        <v>598</v>
      </c>
      <c r="E442" s="826" t="s">
        <v>3065</v>
      </c>
      <c r="F442" s="840" t="s">
        <v>3066</v>
      </c>
      <c r="G442" s="826" t="s">
        <v>3691</v>
      </c>
      <c r="H442" s="826" t="s">
        <v>3692</v>
      </c>
      <c r="I442" s="832">
        <v>2277.85009765625</v>
      </c>
      <c r="J442" s="832">
        <v>8</v>
      </c>
      <c r="K442" s="833">
        <v>18222.80078125</v>
      </c>
    </row>
    <row r="443" spans="1:11" ht="14.45" customHeight="1" x14ac:dyDescent="0.2">
      <c r="A443" s="822" t="s">
        <v>575</v>
      </c>
      <c r="B443" s="823" t="s">
        <v>576</v>
      </c>
      <c r="C443" s="826" t="s">
        <v>597</v>
      </c>
      <c r="D443" s="840" t="s">
        <v>598</v>
      </c>
      <c r="E443" s="826" t="s">
        <v>3065</v>
      </c>
      <c r="F443" s="840" t="s">
        <v>3066</v>
      </c>
      <c r="G443" s="826" t="s">
        <v>3685</v>
      </c>
      <c r="H443" s="826" t="s">
        <v>3693</v>
      </c>
      <c r="I443" s="832">
        <v>3035.31005859375</v>
      </c>
      <c r="J443" s="832">
        <v>5</v>
      </c>
      <c r="K443" s="833">
        <v>15176.55029296875</v>
      </c>
    </row>
    <row r="444" spans="1:11" ht="14.45" customHeight="1" x14ac:dyDescent="0.2">
      <c r="A444" s="822" t="s">
        <v>575</v>
      </c>
      <c r="B444" s="823" t="s">
        <v>576</v>
      </c>
      <c r="C444" s="826" t="s">
        <v>597</v>
      </c>
      <c r="D444" s="840" t="s">
        <v>598</v>
      </c>
      <c r="E444" s="826" t="s">
        <v>3065</v>
      </c>
      <c r="F444" s="840" t="s">
        <v>3066</v>
      </c>
      <c r="G444" s="826" t="s">
        <v>3687</v>
      </c>
      <c r="H444" s="826" t="s">
        <v>3694</v>
      </c>
      <c r="I444" s="832">
        <v>3035.31005859375</v>
      </c>
      <c r="J444" s="832">
        <v>1</v>
      </c>
      <c r="K444" s="833">
        <v>3035.31005859375</v>
      </c>
    </row>
    <row r="445" spans="1:11" ht="14.45" customHeight="1" x14ac:dyDescent="0.2">
      <c r="A445" s="822" t="s">
        <v>575</v>
      </c>
      <c r="B445" s="823" t="s">
        <v>576</v>
      </c>
      <c r="C445" s="826" t="s">
        <v>597</v>
      </c>
      <c r="D445" s="840" t="s">
        <v>598</v>
      </c>
      <c r="E445" s="826" t="s">
        <v>3065</v>
      </c>
      <c r="F445" s="840" t="s">
        <v>3066</v>
      </c>
      <c r="G445" s="826" t="s">
        <v>3695</v>
      </c>
      <c r="H445" s="826" t="s">
        <v>3696</v>
      </c>
      <c r="I445" s="832">
        <v>9228.1904296875</v>
      </c>
      <c r="J445" s="832">
        <v>3</v>
      </c>
      <c r="K445" s="833">
        <v>27684.5712890625</v>
      </c>
    </row>
    <row r="446" spans="1:11" ht="14.45" customHeight="1" x14ac:dyDescent="0.2">
      <c r="A446" s="822" t="s">
        <v>575</v>
      </c>
      <c r="B446" s="823" t="s">
        <v>576</v>
      </c>
      <c r="C446" s="826" t="s">
        <v>597</v>
      </c>
      <c r="D446" s="840" t="s">
        <v>598</v>
      </c>
      <c r="E446" s="826" t="s">
        <v>3065</v>
      </c>
      <c r="F446" s="840" t="s">
        <v>3066</v>
      </c>
      <c r="G446" s="826" t="s">
        <v>3695</v>
      </c>
      <c r="H446" s="826" t="s">
        <v>3697</v>
      </c>
      <c r="I446" s="832">
        <v>9228.1904296875</v>
      </c>
      <c r="J446" s="832">
        <v>1</v>
      </c>
      <c r="K446" s="833">
        <v>9228.1904296875</v>
      </c>
    </row>
    <row r="447" spans="1:11" ht="14.45" customHeight="1" x14ac:dyDescent="0.2">
      <c r="A447" s="822" t="s">
        <v>575</v>
      </c>
      <c r="B447" s="823" t="s">
        <v>576</v>
      </c>
      <c r="C447" s="826" t="s">
        <v>597</v>
      </c>
      <c r="D447" s="840" t="s">
        <v>598</v>
      </c>
      <c r="E447" s="826" t="s">
        <v>3065</v>
      </c>
      <c r="F447" s="840" t="s">
        <v>3066</v>
      </c>
      <c r="G447" s="826" t="s">
        <v>3698</v>
      </c>
      <c r="H447" s="826" t="s">
        <v>3699</v>
      </c>
      <c r="I447" s="832">
        <v>22994.599609375</v>
      </c>
      <c r="J447" s="832">
        <v>1</v>
      </c>
      <c r="K447" s="833">
        <v>22994.599609375</v>
      </c>
    </row>
    <row r="448" spans="1:11" ht="14.45" customHeight="1" x14ac:dyDescent="0.2">
      <c r="A448" s="822" t="s">
        <v>575</v>
      </c>
      <c r="B448" s="823" t="s">
        <v>576</v>
      </c>
      <c r="C448" s="826" t="s">
        <v>597</v>
      </c>
      <c r="D448" s="840" t="s">
        <v>598</v>
      </c>
      <c r="E448" s="826" t="s">
        <v>3065</v>
      </c>
      <c r="F448" s="840" t="s">
        <v>3066</v>
      </c>
      <c r="G448" s="826" t="s">
        <v>3698</v>
      </c>
      <c r="H448" s="826" t="s">
        <v>3700</v>
      </c>
      <c r="I448" s="832">
        <v>22994.599609375</v>
      </c>
      <c r="J448" s="832">
        <v>1</v>
      </c>
      <c r="K448" s="833">
        <v>22994.599609375</v>
      </c>
    </row>
    <row r="449" spans="1:11" ht="14.45" customHeight="1" x14ac:dyDescent="0.2">
      <c r="A449" s="822" t="s">
        <v>575</v>
      </c>
      <c r="B449" s="823" t="s">
        <v>576</v>
      </c>
      <c r="C449" s="826" t="s">
        <v>597</v>
      </c>
      <c r="D449" s="840" t="s">
        <v>598</v>
      </c>
      <c r="E449" s="826" t="s">
        <v>3065</v>
      </c>
      <c r="F449" s="840" t="s">
        <v>3066</v>
      </c>
      <c r="G449" s="826" t="s">
        <v>3701</v>
      </c>
      <c r="H449" s="826" t="s">
        <v>3702</v>
      </c>
      <c r="I449" s="832">
        <v>22994.58984375</v>
      </c>
      <c r="J449" s="832">
        <v>1</v>
      </c>
      <c r="K449" s="833">
        <v>22994.58984375</v>
      </c>
    </row>
    <row r="450" spans="1:11" ht="14.45" customHeight="1" x14ac:dyDescent="0.2">
      <c r="A450" s="822" t="s">
        <v>575</v>
      </c>
      <c r="B450" s="823" t="s">
        <v>576</v>
      </c>
      <c r="C450" s="826" t="s">
        <v>597</v>
      </c>
      <c r="D450" s="840" t="s">
        <v>598</v>
      </c>
      <c r="E450" s="826" t="s">
        <v>3065</v>
      </c>
      <c r="F450" s="840" t="s">
        <v>3066</v>
      </c>
      <c r="G450" s="826" t="s">
        <v>3703</v>
      </c>
      <c r="H450" s="826" t="s">
        <v>3704</v>
      </c>
      <c r="I450" s="832">
        <v>22994.599609375</v>
      </c>
      <c r="J450" s="832">
        <v>1</v>
      </c>
      <c r="K450" s="833">
        <v>22994.599609375</v>
      </c>
    </row>
    <row r="451" spans="1:11" ht="14.45" customHeight="1" x14ac:dyDescent="0.2">
      <c r="A451" s="822" t="s">
        <v>575</v>
      </c>
      <c r="B451" s="823" t="s">
        <v>576</v>
      </c>
      <c r="C451" s="826" t="s">
        <v>597</v>
      </c>
      <c r="D451" s="840" t="s">
        <v>598</v>
      </c>
      <c r="E451" s="826" t="s">
        <v>3065</v>
      </c>
      <c r="F451" s="840" t="s">
        <v>3066</v>
      </c>
      <c r="G451" s="826" t="s">
        <v>3705</v>
      </c>
      <c r="H451" s="826" t="s">
        <v>3706</v>
      </c>
      <c r="I451" s="832">
        <v>22994.599609375</v>
      </c>
      <c r="J451" s="832">
        <v>1</v>
      </c>
      <c r="K451" s="833">
        <v>22994.599609375</v>
      </c>
    </row>
    <row r="452" spans="1:11" ht="14.45" customHeight="1" x14ac:dyDescent="0.2">
      <c r="A452" s="822" t="s">
        <v>575</v>
      </c>
      <c r="B452" s="823" t="s">
        <v>576</v>
      </c>
      <c r="C452" s="826" t="s">
        <v>597</v>
      </c>
      <c r="D452" s="840" t="s">
        <v>598</v>
      </c>
      <c r="E452" s="826" t="s">
        <v>3065</v>
      </c>
      <c r="F452" s="840" t="s">
        <v>3066</v>
      </c>
      <c r="G452" s="826" t="s">
        <v>3707</v>
      </c>
      <c r="H452" s="826" t="s">
        <v>3708</v>
      </c>
      <c r="I452" s="832">
        <v>16187.7197265625</v>
      </c>
      <c r="J452" s="832">
        <v>1</v>
      </c>
      <c r="K452" s="833">
        <v>16187.7197265625</v>
      </c>
    </row>
    <row r="453" spans="1:11" ht="14.45" customHeight="1" x14ac:dyDescent="0.2">
      <c r="A453" s="822" t="s">
        <v>575</v>
      </c>
      <c r="B453" s="823" t="s">
        <v>576</v>
      </c>
      <c r="C453" s="826" t="s">
        <v>597</v>
      </c>
      <c r="D453" s="840" t="s">
        <v>598</v>
      </c>
      <c r="E453" s="826" t="s">
        <v>3065</v>
      </c>
      <c r="F453" s="840" t="s">
        <v>3066</v>
      </c>
      <c r="G453" s="826" t="s">
        <v>3709</v>
      </c>
      <c r="H453" s="826" t="s">
        <v>3710</v>
      </c>
      <c r="I453" s="832">
        <v>16187.71484375</v>
      </c>
      <c r="J453" s="832">
        <v>2</v>
      </c>
      <c r="K453" s="833">
        <v>32375.4296875</v>
      </c>
    </row>
    <row r="454" spans="1:11" ht="14.45" customHeight="1" x14ac:dyDescent="0.2">
      <c r="A454" s="822" t="s">
        <v>575</v>
      </c>
      <c r="B454" s="823" t="s">
        <v>576</v>
      </c>
      <c r="C454" s="826" t="s">
        <v>597</v>
      </c>
      <c r="D454" s="840" t="s">
        <v>598</v>
      </c>
      <c r="E454" s="826" t="s">
        <v>3065</v>
      </c>
      <c r="F454" s="840" t="s">
        <v>3066</v>
      </c>
      <c r="G454" s="826" t="s">
        <v>3711</v>
      </c>
      <c r="H454" s="826" t="s">
        <v>3712</v>
      </c>
      <c r="I454" s="832">
        <v>3709.669921875</v>
      </c>
      <c r="J454" s="832">
        <v>1</v>
      </c>
      <c r="K454" s="833">
        <v>3709.669921875</v>
      </c>
    </row>
    <row r="455" spans="1:11" ht="14.45" customHeight="1" x14ac:dyDescent="0.2">
      <c r="A455" s="822" t="s">
        <v>575</v>
      </c>
      <c r="B455" s="823" t="s">
        <v>576</v>
      </c>
      <c r="C455" s="826" t="s">
        <v>597</v>
      </c>
      <c r="D455" s="840" t="s">
        <v>598</v>
      </c>
      <c r="E455" s="826" t="s">
        <v>3065</v>
      </c>
      <c r="F455" s="840" t="s">
        <v>3066</v>
      </c>
      <c r="G455" s="826" t="s">
        <v>3711</v>
      </c>
      <c r="H455" s="826" t="s">
        <v>3713</v>
      </c>
      <c r="I455" s="832">
        <v>3709.6724243164063</v>
      </c>
      <c r="J455" s="832">
        <v>2.75</v>
      </c>
      <c r="K455" s="833">
        <v>10201.589782714844</v>
      </c>
    </row>
    <row r="456" spans="1:11" ht="14.45" customHeight="1" x14ac:dyDescent="0.2">
      <c r="A456" s="822" t="s">
        <v>575</v>
      </c>
      <c r="B456" s="823" t="s">
        <v>576</v>
      </c>
      <c r="C456" s="826" t="s">
        <v>597</v>
      </c>
      <c r="D456" s="840" t="s">
        <v>598</v>
      </c>
      <c r="E456" s="826" t="s">
        <v>3065</v>
      </c>
      <c r="F456" s="840" t="s">
        <v>3066</v>
      </c>
      <c r="G456" s="826" t="s">
        <v>3714</v>
      </c>
      <c r="H456" s="826" t="s">
        <v>3715</v>
      </c>
      <c r="I456" s="832">
        <v>3130.7514299665177</v>
      </c>
      <c r="J456" s="832">
        <v>8</v>
      </c>
      <c r="K456" s="833">
        <v>25046.009765625</v>
      </c>
    </row>
    <row r="457" spans="1:11" ht="14.45" customHeight="1" x14ac:dyDescent="0.2">
      <c r="A457" s="822" t="s">
        <v>575</v>
      </c>
      <c r="B457" s="823" t="s">
        <v>576</v>
      </c>
      <c r="C457" s="826" t="s">
        <v>597</v>
      </c>
      <c r="D457" s="840" t="s">
        <v>598</v>
      </c>
      <c r="E457" s="826" t="s">
        <v>3065</v>
      </c>
      <c r="F457" s="840" t="s">
        <v>3066</v>
      </c>
      <c r="G457" s="826" t="s">
        <v>3714</v>
      </c>
      <c r="H457" s="826" t="s">
        <v>3716</v>
      </c>
      <c r="I457" s="832">
        <v>3130.75</v>
      </c>
      <c r="J457" s="832">
        <v>4</v>
      </c>
      <c r="K457" s="833">
        <v>12523</v>
      </c>
    </row>
    <row r="458" spans="1:11" ht="14.45" customHeight="1" x14ac:dyDescent="0.2">
      <c r="A458" s="822" t="s">
        <v>575</v>
      </c>
      <c r="B458" s="823" t="s">
        <v>576</v>
      </c>
      <c r="C458" s="826" t="s">
        <v>597</v>
      </c>
      <c r="D458" s="840" t="s">
        <v>598</v>
      </c>
      <c r="E458" s="826" t="s">
        <v>3065</v>
      </c>
      <c r="F458" s="840" t="s">
        <v>3066</v>
      </c>
      <c r="G458" s="826" t="s">
        <v>3717</v>
      </c>
      <c r="H458" s="826" t="s">
        <v>3718</v>
      </c>
      <c r="I458" s="832">
        <v>213.35000610351563</v>
      </c>
      <c r="J458" s="832">
        <v>58</v>
      </c>
      <c r="K458" s="833">
        <v>12374.140106201172</v>
      </c>
    </row>
    <row r="459" spans="1:11" ht="14.45" customHeight="1" x14ac:dyDescent="0.2">
      <c r="A459" s="822" t="s">
        <v>575</v>
      </c>
      <c r="B459" s="823" t="s">
        <v>576</v>
      </c>
      <c r="C459" s="826" t="s">
        <v>597</v>
      </c>
      <c r="D459" s="840" t="s">
        <v>598</v>
      </c>
      <c r="E459" s="826" t="s">
        <v>3065</v>
      </c>
      <c r="F459" s="840" t="s">
        <v>3066</v>
      </c>
      <c r="G459" s="826" t="s">
        <v>3719</v>
      </c>
      <c r="H459" s="826" t="s">
        <v>3720</v>
      </c>
      <c r="I459" s="832">
        <v>5942.083333333333</v>
      </c>
      <c r="J459" s="832">
        <v>20</v>
      </c>
      <c r="K459" s="833">
        <v>119710</v>
      </c>
    </row>
    <row r="460" spans="1:11" ht="14.45" customHeight="1" x14ac:dyDescent="0.2">
      <c r="A460" s="822" t="s">
        <v>575</v>
      </c>
      <c r="B460" s="823" t="s">
        <v>576</v>
      </c>
      <c r="C460" s="826" t="s">
        <v>597</v>
      </c>
      <c r="D460" s="840" t="s">
        <v>598</v>
      </c>
      <c r="E460" s="826" t="s">
        <v>3065</v>
      </c>
      <c r="F460" s="840" t="s">
        <v>3066</v>
      </c>
      <c r="G460" s="826" t="s">
        <v>3721</v>
      </c>
      <c r="H460" s="826" t="s">
        <v>3722</v>
      </c>
      <c r="I460" s="832">
        <v>2722.4994099934897</v>
      </c>
      <c r="J460" s="832">
        <v>66</v>
      </c>
      <c r="K460" s="833">
        <v>179684.970703125</v>
      </c>
    </row>
    <row r="461" spans="1:11" ht="14.45" customHeight="1" x14ac:dyDescent="0.2">
      <c r="A461" s="822" t="s">
        <v>575</v>
      </c>
      <c r="B461" s="823" t="s">
        <v>576</v>
      </c>
      <c r="C461" s="826" t="s">
        <v>597</v>
      </c>
      <c r="D461" s="840" t="s">
        <v>598</v>
      </c>
      <c r="E461" s="826" t="s">
        <v>3065</v>
      </c>
      <c r="F461" s="840" t="s">
        <v>3066</v>
      </c>
      <c r="G461" s="826" t="s">
        <v>3721</v>
      </c>
      <c r="H461" s="826" t="s">
        <v>3723</v>
      </c>
      <c r="I461" s="832">
        <v>2722.500244140625</v>
      </c>
      <c r="J461" s="832">
        <v>30</v>
      </c>
      <c r="K461" s="833">
        <v>81675</v>
      </c>
    </row>
    <row r="462" spans="1:11" ht="14.45" customHeight="1" x14ac:dyDescent="0.2">
      <c r="A462" s="822" t="s">
        <v>575</v>
      </c>
      <c r="B462" s="823" t="s">
        <v>576</v>
      </c>
      <c r="C462" s="826" t="s">
        <v>597</v>
      </c>
      <c r="D462" s="840" t="s">
        <v>598</v>
      </c>
      <c r="E462" s="826" t="s">
        <v>3065</v>
      </c>
      <c r="F462" s="840" t="s">
        <v>3066</v>
      </c>
      <c r="G462" s="826" t="s">
        <v>3724</v>
      </c>
      <c r="H462" s="826" t="s">
        <v>3725</v>
      </c>
      <c r="I462" s="832">
        <v>125.83999633789063</v>
      </c>
      <c r="J462" s="832">
        <v>2</v>
      </c>
      <c r="K462" s="833">
        <v>251.67999267578125</v>
      </c>
    </row>
    <row r="463" spans="1:11" ht="14.45" customHeight="1" x14ac:dyDescent="0.2">
      <c r="A463" s="822" t="s">
        <v>575</v>
      </c>
      <c r="B463" s="823" t="s">
        <v>576</v>
      </c>
      <c r="C463" s="826" t="s">
        <v>597</v>
      </c>
      <c r="D463" s="840" t="s">
        <v>598</v>
      </c>
      <c r="E463" s="826" t="s">
        <v>3065</v>
      </c>
      <c r="F463" s="840" t="s">
        <v>3066</v>
      </c>
      <c r="G463" s="826" t="s">
        <v>3726</v>
      </c>
      <c r="H463" s="826" t="s">
        <v>3727</v>
      </c>
      <c r="I463" s="832">
        <v>3839.7099609375</v>
      </c>
      <c r="J463" s="832">
        <v>2</v>
      </c>
      <c r="K463" s="833">
        <v>7679.419921875</v>
      </c>
    </row>
    <row r="464" spans="1:11" ht="14.45" customHeight="1" x14ac:dyDescent="0.2">
      <c r="A464" s="822" t="s">
        <v>575</v>
      </c>
      <c r="B464" s="823" t="s">
        <v>576</v>
      </c>
      <c r="C464" s="826" t="s">
        <v>597</v>
      </c>
      <c r="D464" s="840" t="s">
        <v>598</v>
      </c>
      <c r="E464" s="826" t="s">
        <v>3065</v>
      </c>
      <c r="F464" s="840" t="s">
        <v>3066</v>
      </c>
      <c r="G464" s="826" t="s">
        <v>3728</v>
      </c>
      <c r="H464" s="826" t="s">
        <v>3729</v>
      </c>
      <c r="I464" s="832">
        <v>2624.5400390625</v>
      </c>
      <c r="J464" s="832">
        <v>2</v>
      </c>
      <c r="K464" s="833">
        <v>5249.080078125</v>
      </c>
    </row>
    <row r="465" spans="1:11" ht="14.45" customHeight="1" x14ac:dyDescent="0.2">
      <c r="A465" s="822" t="s">
        <v>575</v>
      </c>
      <c r="B465" s="823" t="s">
        <v>576</v>
      </c>
      <c r="C465" s="826" t="s">
        <v>597</v>
      </c>
      <c r="D465" s="840" t="s">
        <v>598</v>
      </c>
      <c r="E465" s="826" t="s">
        <v>3065</v>
      </c>
      <c r="F465" s="840" t="s">
        <v>3066</v>
      </c>
      <c r="G465" s="826" t="s">
        <v>3728</v>
      </c>
      <c r="H465" s="826" t="s">
        <v>3730</v>
      </c>
      <c r="I465" s="832">
        <v>2624.5400390625</v>
      </c>
      <c r="J465" s="832">
        <v>1</v>
      </c>
      <c r="K465" s="833">
        <v>2624.5400390625</v>
      </c>
    </row>
    <row r="466" spans="1:11" ht="14.45" customHeight="1" x14ac:dyDescent="0.2">
      <c r="A466" s="822" t="s">
        <v>575</v>
      </c>
      <c r="B466" s="823" t="s">
        <v>576</v>
      </c>
      <c r="C466" s="826" t="s">
        <v>597</v>
      </c>
      <c r="D466" s="840" t="s">
        <v>598</v>
      </c>
      <c r="E466" s="826" t="s">
        <v>3065</v>
      </c>
      <c r="F466" s="840" t="s">
        <v>3066</v>
      </c>
      <c r="G466" s="826" t="s">
        <v>3731</v>
      </c>
      <c r="H466" s="826" t="s">
        <v>3732</v>
      </c>
      <c r="I466" s="832">
        <v>4855.465087890625</v>
      </c>
      <c r="J466" s="832">
        <v>2</v>
      </c>
      <c r="K466" s="833">
        <v>9710.93017578125</v>
      </c>
    </row>
    <row r="467" spans="1:11" ht="14.45" customHeight="1" x14ac:dyDescent="0.2">
      <c r="A467" s="822" t="s">
        <v>575</v>
      </c>
      <c r="B467" s="823" t="s">
        <v>576</v>
      </c>
      <c r="C467" s="826" t="s">
        <v>597</v>
      </c>
      <c r="D467" s="840" t="s">
        <v>598</v>
      </c>
      <c r="E467" s="826" t="s">
        <v>3065</v>
      </c>
      <c r="F467" s="840" t="s">
        <v>3066</v>
      </c>
      <c r="G467" s="826" t="s">
        <v>3733</v>
      </c>
      <c r="H467" s="826" t="s">
        <v>3734</v>
      </c>
      <c r="I467" s="832">
        <v>11883.16259765625</v>
      </c>
      <c r="J467" s="832">
        <v>4</v>
      </c>
      <c r="K467" s="833">
        <v>47532.650390625</v>
      </c>
    </row>
    <row r="468" spans="1:11" ht="14.45" customHeight="1" x14ac:dyDescent="0.2">
      <c r="A468" s="822" t="s">
        <v>575</v>
      </c>
      <c r="B468" s="823" t="s">
        <v>576</v>
      </c>
      <c r="C468" s="826" t="s">
        <v>597</v>
      </c>
      <c r="D468" s="840" t="s">
        <v>598</v>
      </c>
      <c r="E468" s="826" t="s">
        <v>3077</v>
      </c>
      <c r="F468" s="840" t="s">
        <v>3078</v>
      </c>
      <c r="G468" s="826" t="s">
        <v>3079</v>
      </c>
      <c r="H468" s="826" t="s">
        <v>3080</v>
      </c>
      <c r="I468" s="832">
        <v>21.239999771118164</v>
      </c>
      <c r="J468" s="832">
        <v>28</v>
      </c>
      <c r="K468" s="833">
        <v>594.719970703125</v>
      </c>
    </row>
    <row r="469" spans="1:11" ht="14.45" customHeight="1" x14ac:dyDescent="0.2">
      <c r="A469" s="822" t="s">
        <v>575</v>
      </c>
      <c r="B469" s="823" t="s">
        <v>576</v>
      </c>
      <c r="C469" s="826" t="s">
        <v>597</v>
      </c>
      <c r="D469" s="840" t="s">
        <v>598</v>
      </c>
      <c r="E469" s="826" t="s">
        <v>3735</v>
      </c>
      <c r="F469" s="840" t="s">
        <v>3736</v>
      </c>
      <c r="G469" s="826" t="s">
        <v>3737</v>
      </c>
      <c r="H469" s="826" t="s">
        <v>3738</v>
      </c>
      <c r="I469" s="832">
        <v>50.580001831054688</v>
      </c>
      <c r="J469" s="832">
        <v>3</v>
      </c>
      <c r="K469" s="833">
        <v>151.72999572753906</v>
      </c>
    </row>
    <row r="470" spans="1:11" ht="14.45" customHeight="1" x14ac:dyDescent="0.2">
      <c r="A470" s="822" t="s">
        <v>575</v>
      </c>
      <c r="B470" s="823" t="s">
        <v>576</v>
      </c>
      <c r="C470" s="826" t="s">
        <v>597</v>
      </c>
      <c r="D470" s="840" t="s">
        <v>598</v>
      </c>
      <c r="E470" s="826" t="s">
        <v>3735</v>
      </c>
      <c r="F470" s="840" t="s">
        <v>3736</v>
      </c>
      <c r="G470" s="826" t="s">
        <v>3739</v>
      </c>
      <c r="H470" s="826" t="s">
        <v>3740</v>
      </c>
      <c r="I470" s="832">
        <v>40.900001525878906</v>
      </c>
      <c r="J470" s="832">
        <v>10</v>
      </c>
      <c r="K470" s="833">
        <v>408.97000122070313</v>
      </c>
    </row>
    <row r="471" spans="1:11" ht="14.45" customHeight="1" x14ac:dyDescent="0.2">
      <c r="A471" s="822" t="s">
        <v>575</v>
      </c>
      <c r="B471" s="823" t="s">
        <v>576</v>
      </c>
      <c r="C471" s="826" t="s">
        <v>597</v>
      </c>
      <c r="D471" s="840" t="s">
        <v>598</v>
      </c>
      <c r="E471" s="826" t="s">
        <v>3735</v>
      </c>
      <c r="F471" s="840" t="s">
        <v>3736</v>
      </c>
      <c r="G471" s="826" t="s">
        <v>3739</v>
      </c>
      <c r="H471" s="826" t="s">
        <v>3741</v>
      </c>
      <c r="I471" s="832">
        <v>40.900001525878906</v>
      </c>
      <c r="J471" s="832">
        <v>4</v>
      </c>
      <c r="K471" s="833">
        <v>163.58999633789063</v>
      </c>
    </row>
    <row r="472" spans="1:11" ht="14.45" customHeight="1" x14ac:dyDescent="0.2">
      <c r="A472" s="822" t="s">
        <v>575</v>
      </c>
      <c r="B472" s="823" t="s">
        <v>576</v>
      </c>
      <c r="C472" s="826" t="s">
        <v>597</v>
      </c>
      <c r="D472" s="840" t="s">
        <v>598</v>
      </c>
      <c r="E472" s="826" t="s">
        <v>3081</v>
      </c>
      <c r="F472" s="840" t="s">
        <v>3082</v>
      </c>
      <c r="G472" s="826" t="s">
        <v>3090</v>
      </c>
      <c r="H472" s="826" t="s">
        <v>3091</v>
      </c>
      <c r="I472" s="832">
        <v>1568</v>
      </c>
      <c r="J472" s="832">
        <v>4</v>
      </c>
      <c r="K472" s="833">
        <v>6272</v>
      </c>
    </row>
    <row r="473" spans="1:11" ht="14.45" customHeight="1" x14ac:dyDescent="0.2">
      <c r="A473" s="822" t="s">
        <v>575</v>
      </c>
      <c r="B473" s="823" t="s">
        <v>576</v>
      </c>
      <c r="C473" s="826" t="s">
        <v>597</v>
      </c>
      <c r="D473" s="840" t="s">
        <v>598</v>
      </c>
      <c r="E473" s="826" t="s">
        <v>3081</v>
      </c>
      <c r="F473" s="840" t="s">
        <v>3082</v>
      </c>
      <c r="G473" s="826" t="s">
        <v>3631</v>
      </c>
      <c r="H473" s="826" t="s">
        <v>3632</v>
      </c>
      <c r="I473" s="832">
        <v>4.1000000635782881</v>
      </c>
      <c r="J473" s="832">
        <v>100</v>
      </c>
      <c r="K473" s="833">
        <v>410.30000305175781</v>
      </c>
    </row>
    <row r="474" spans="1:11" ht="14.45" customHeight="1" x14ac:dyDescent="0.2">
      <c r="A474" s="822" t="s">
        <v>575</v>
      </c>
      <c r="B474" s="823" t="s">
        <v>576</v>
      </c>
      <c r="C474" s="826" t="s">
        <v>597</v>
      </c>
      <c r="D474" s="840" t="s">
        <v>598</v>
      </c>
      <c r="E474" s="826" t="s">
        <v>3081</v>
      </c>
      <c r="F474" s="840" t="s">
        <v>3082</v>
      </c>
      <c r="G474" s="826" t="s">
        <v>3631</v>
      </c>
      <c r="H474" s="826" t="s">
        <v>3633</v>
      </c>
      <c r="I474" s="832">
        <v>4.1100001335144043</v>
      </c>
      <c r="J474" s="832">
        <v>50</v>
      </c>
      <c r="K474" s="833">
        <v>205.5</v>
      </c>
    </row>
    <row r="475" spans="1:11" ht="14.45" customHeight="1" x14ac:dyDescent="0.2">
      <c r="A475" s="822" t="s">
        <v>575</v>
      </c>
      <c r="B475" s="823" t="s">
        <v>576</v>
      </c>
      <c r="C475" s="826" t="s">
        <v>597</v>
      </c>
      <c r="D475" s="840" t="s">
        <v>598</v>
      </c>
      <c r="E475" s="826" t="s">
        <v>3081</v>
      </c>
      <c r="F475" s="840" t="s">
        <v>3082</v>
      </c>
      <c r="G475" s="826" t="s">
        <v>3092</v>
      </c>
      <c r="H475" s="826" t="s">
        <v>3093</v>
      </c>
      <c r="I475" s="832">
        <v>6.2433331807454424</v>
      </c>
      <c r="J475" s="832">
        <v>110</v>
      </c>
      <c r="K475" s="833">
        <v>686.69999694824219</v>
      </c>
    </row>
    <row r="476" spans="1:11" ht="14.45" customHeight="1" x14ac:dyDescent="0.2">
      <c r="A476" s="822" t="s">
        <v>575</v>
      </c>
      <c r="B476" s="823" t="s">
        <v>576</v>
      </c>
      <c r="C476" s="826" t="s">
        <v>597</v>
      </c>
      <c r="D476" s="840" t="s">
        <v>598</v>
      </c>
      <c r="E476" s="826" t="s">
        <v>3081</v>
      </c>
      <c r="F476" s="840" t="s">
        <v>3082</v>
      </c>
      <c r="G476" s="826" t="s">
        <v>3092</v>
      </c>
      <c r="H476" s="826" t="s">
        <v>3094</v>
      </c>
      <c r="I476" s="832">
        <v>6.244999885559082</v>
      </c>
      <c r="J476" s="832">
        <v>128</v>
      </c>
      <c r="K476" s="833">
        <v>799.39999389648438</v>
      </c>
    </row>
    <row r="477" spans="1:11" ht="14.45" customHeight="1" x14ac:dyDescent="0.2">
      <c r="A477" s="822" t="s">
        <v>575</v>
      </c>
      <c r="B477" s="823" t="s">
        <v>576</v>
      </c>
      <c r="C477" s="826" t="s">
        <v>597</v>
      </c>
      <c r="D477" s="840" t="s">
        <v>598</v>
      </c>
      <c r="E477" s="826" t="s">
        <v>3081</v>
      </c>
      <c r="F477" s="840" t="s">
        <v>3082</v>
      </c>
      <c r="G477" s="826" t="s">
        <v>3097</v>
      </c>
      <c r="H477" s="826" t="s">
        <v>3742</v>
      </c>
      <c r="I477" s="832">
        <v>8.6733334859212246</v>
      </c>
      <c r="J477" s="832">
        <v>90</v>
      </c>
      <c r="K477" s="833">
        <v>780.60003662109375</v>
      </c>
    </row>
    <row r="478" spans="1:11" ht="14.45" customHeight="1" x14ac:dyDescent="0.2">
      <c r="A478" s="822" t="s">
        <v>575</v>
      </c>
      <c r="B478" s="823" t="s">
        <v>576</v>
      </c>
      <c r="C478" s="826" t="s">
        <v>597</v>
      </c>
      <c r="D478" s="840" t="s">
        <v>598</v>
      </c>
      <c r="E478" s="826" t="s">
        <v>3081</v>
      </c>
      <c r="F478" s="840" t="s">
        <v>3082</v>
      </c>
      <c r="G478" s="826" t="s">
        <v>3097</v>
      </c>
      <c r="H478" s="826" t="s">
        <v>3098</v>
      </c>
      <c r="I478" s="832">
        <v>8.5900001525878906</v>
      </c>
      <c r="J478" s="832">
        <v>150</v>
      </c>
      <c r="K478" s="833">
        <v>1288.5</v>
      </c>
    </row>
    <row r="479" spans="1:11" ht="14.45" customHeight="1" x14ac:dyDescent="0.2">
      <c r="A479" s="822" t="s">
        <v>575</v>
      </c>
      <c r="B479" s="823" t="s">
        <v>576</v>
      </c>
      <c r="C479" s="826" t="s">
        <v>597</v>
      </c>
      <c r="D479" s="840" t="s">
        <v>598</v>
      </c>
      <c r="E479" s="826" t="s">
        <v>3081</v>
      </c>
      <c r="F479" s="840" t="s">
        <v>3082</v>
      </c>
      <c r="G479" s="826" t="s">
        <v>3743</v>
      </c>
      <c r="H479" s="826" t="s">
        <v>3744</v>
      </c>
      <c r="I479" s="832">
        <v>13.235000133514404</v>
      </c>
      <c r="J479" s="832">
        <v>60</v>
      </c>
      <c r="K479" s="833">
        <v>794.10000610351563</v>
      </c>
    </row>
    <row r="480" spans="1:11" ht="14.45" customHeight="1" x14ac:dyDescent="0.2">
      <c r="A480" s="822" t="s">
        <v>575</v>
      </c>
      <c r="B480" s="823" t="s">
        <v>576</v>
      </c>
      <c r="C480" s="826" t="s">
        <v>597</v>
      </c>
      <c r="D480" s="840" t="s">
        <v>598</v>
      </c>
      <c r="E480" s="826" t="s">
        <v>3081</v>
      </c>
      <c r="F480" s="840" t="s">
        <v>3082</v>
      </c>
      <c r="G480" s="826" t="s">
        <v>3743</v>
      </c>
      <c r="H480" s="826" t="s">
        <v>3745</v>
      </c>
      <c r="I480" s="832">
        <v>13.043333371480307</v>
      </c>
      <c r="J480" s="832">
        <v>60</v>
      </c>
      <c r="K480" s="833">
        <v>782.5</v>
      </c>
    </row>
    <row r="481" spans="1:11" ht="14.45" customHeight="1" x14ac:dyDescent="0.2">
      <c r="A481" s="822" t="s">
        <v>575</v>
      </c>
      <c r="B481" s="823" t="s">
        <v>576</v>
      </c>
      <c r="C481" s="826" t="s">
        <v>597</v>
      </c>
      <c r="D481" s="840" t="s">
        <v>598</v>
      </c>
      <c r="E481" s="826" t="s">
        <v>3081</v>
      </c>
      <c r="F481" s="840" t="s">
        <v>3082</v>
      </c>
      <c r="G481" s="826" t="s">
        <v>3099</v>
      </c>
      <c r="H481" s="826" t="s">
        <v>3100</v>
      </c>
      <c r="I481" s="832">
        <v>0.43166667222976685</v>
      </c>
      <c r="J481" s="832">
        <v>3200</v>
      </c>
      <c r="K481" s="833">
        <v>1382</v>
      </c>
    </row>
    <row r="482" spans="1:11" ht="14.45" customHeight="1" x14ac:dyDescent="0.2">
      <c r="A482" s="822" t="s">
        <v>575</v>
      </c>
      <c r="B482" s="823" t="s">
        <v>576</v>
      </c>
      <c r="C482" s="826" t="s">
        <v>597</v>
      </c>
      <c r="D482" s="840" t="s">
        <v>598</v>
      </c>
      <c r="E482" s="826" t="s">
        <v>3081</v>
      </c>
      <c r="F482" s="840" t="s">
        <v>3082</v>
      </c>
      <c r="G482" s="826" t="s">
        <v>3099</v>
      </c>
      <c r="H482" s="826" t="s">
        <v>3101</v>
      </c>
      <c r="I482" s="832">
        <v>0.43166667222976685</v>
      </c>
      <c r="J482" s="832">
        <v>4000</v>
      </c>
      <c r="K482" s="833">
        <v>1725</v>
      </c>
    </row>
    <row r="483" spans="1:11" ht="14.45" customHeight="1" x14ac:dyDescent="0.2">
      <c r="A483" s="822" t="s">
        <v>575</v>
      </c>
      <c r="B483" s="823" t="s">
        <v>576</v>
      </c>
      <c r="C483" s="826" t="s">
        <v>597</v>
      </c>
      <c r="D483" s="840" t="s">
        <v>598</v>
      </c>
      <c r="E483" s="826" t="s">
        <v>3081</v>
      </c>
      <c r="F483" s="840" t="s">
        <v>3082</v>
      </c>
      <c r="G483" s="826" t="s">
        <v>3746</v>
      </c>
      <c r="H483" s="826" t="s">
        <v>3747</v>
      </c>
      <c r="I483" s="832">
        <v>0.6281818151473999</v>
      </c>
      <c r="J483" s="832">
        <v>9500</v>
      </c>
      <c r="K483" s="833">
        <v>5965</v>
      </c>
    </row>
    <row r="484" spans="1:11" ht="14.45" customHeight="1" x14ac:dyDescent="0.2">
      <c r="A484" s="822" t="s">
        <v>575</v>
      </c>
      <c r="B484" s="823" t="s">
        <v>576</v>
      </c>
      <c r="C484" s="826" t="s">
        <v>597</v>
      </c>
      <c r="D484" s="840" t="s">
        <v>598</v>
      </c>
      <c r="E484" s="826" t="s">
        <v>3081</v>
      </c>
      <c r="F484" s="840" t="s">
        <v>3082</v>
      </c>
      <c r="G484" s="826" t="s">
        <v>3746</v>
      </c>
      <c r="H484" s="826" t="s">
        <v>3748</v>
      </c>
      <c r="I484" s="832">
        <v>0.62666666507720947</v>
      </c>
      <c r="J484" s="832">
        <v>7500</v>
      </c>
      <c r="K484" s="833">
        <v>4700</v>
      </c>
    </row>
    <row r="485" spans="1:11" ht="14.45" customHeight="1" x14ac:dyDescent="0.2">
      <c r="A485" s="822" t="s">
        <v>575</v>
      </c>
      <c r="B485" s="823" t="s">
        <v>576</v>
      </c>
      <c r="C485" s="826" t="s">
        <v>597</v>
      </c>
      <c r="D485" s="840" t="s">
        <v>598</v>
      </c>
      <c r="E485" s="826" t="s">
        <v>3081</v>
      </c>
      <c r="F485" s="840" t="s">
        <v>3082</v>
      </c>
      <c r="G485" s="826" t="s">
        <v>3105</v>
      </c>
      <c r="H485" s="826" t="s">
        <v>3106</v>
      </c>
      <c r="I485" s="832">
        <v>1.2999999622503917</v>
      </c>
      <c r="J485" s="832">
        <v>8900</v>
      </c>
      <c r="K485" s="833">
        <v>11541</v>
      </c>
    </row>
    <row r="486" spans="1:11" ht="14.45" customHeight="1" x14ac:dyDescent="0.2">
      <c r="A486" s="822" t="s">
        <v>575</v>
      </c>
      <c r="B486" s="823" t="s">
        <v>576</v>
      </c>
      <c r="C486" s="826" t="s">
        <v>597</v>
      </c>
      <c r="D486" s="840" t="s">
        <v>598</v>
      </c>
      <c r="E486" s="826" t="s">
        <v>3081</v>
      </c>
      <c r="F486" s="840" t="s">
        <v>3082</v>
      </c>
      <c r="G486" s="826" t="s">
        <v>3105</v>
      </c>
      <c r="H486" s="826" t="s">
        <v>3107</v>
      </c>
      <c r="I486" s="832">
        <v>1.2899999618530273</v>
      </c>
      <c r="J486" s="832">
        <v>6700</v>
      </c>
      <c r="K486" s="833">
        <v>8644.3300170898438</v>
      </c>
    </row>
    <row r="487" spans="1:11" ht="14.45" customHeight="1" x14ac:dyDescent="0.2">
      <c r="A487" s="822" t="s">
        <v>575</v>
      </c>
      <c r="B487" s="823" t="s">
        <v>576</v>
      </c>
      <c r="C487" s="826" t="s">
        <v>597</v>
      </c>
      <c r="D487" s="840" t="s">
        <v>598</v>
      </c>
      <c r="E487" s="826" t="s">
        <v>3081</v>
      </c>
      <c r="F487" s="840" t="s">
        <v>3082</v>
      </c>
      <c r="G487" s="826" t="s">
        <v>3108</v>
      </c>
      <c r="H487" s="826" t="s">
        <v>3749</v>
      </c>
      <c r="I487" s="832">
        <v>0.15000000596046448</v>
      </c>
      <c r="J487" s="832">
        <v>1100</v>
      </c>
      <c r="K487" s="833">
        <v>165</v>
      </c>
    </row>
    <row r="488" spans="1:11" ht="14.45" customHeight="1" x14ac:dyDescent="0.2">
      <c r="A488" s="822" t="s">
        <v>575</v>
      </c>
      <c r="B488" s="823" t="s">
        <v>576</v>
      </c>
      <c r="C488" s="826" t="s">
        <v>597</v>
      </c>
      <c r="D488" s="840" t="s">
        <v>598</v>
      </c>
      <c r="E488" s="826" t="s">
        <v>3081</v>
      </c>
      <c r="F488" s="840" t="s">
        <v>3082</v>
      </c>
      <c r="G488" s="826" t="s">
        <v>3110</v>
      </c>
      <c r="H488" s="826" t="s">
        <v>3111</v>
      </c>
      <c r="I488" s="832">
        <v>0.4699999988079071</v>
      </c>
      <c r="J488" s="832">
        <v>3706</v>
      </c>
      <c r="K488" s="833">
        <v>1741.8199999332428</v>
      </c>
    </row>
    <row r="489" spans="1:11" ht="14.45" customHeight="1" x14ac:dyDescent="0.2">
      <c r="A489" s="822" t="s">
        <v>575</v>
      </c>
      <c r="B489" s="823" t="s">
        <v>576</v>
      </c>
      <c r="C489" s="826" t="s">
        <v>597</v>
      </c>
      <c r="D489" s="840" t="s">
        <v>598</v>
      </c>
      <c r="E489" s="826" t="s">
        <v>3081</v>
      </c>
      <c r="F489" s="840" t="s">
        <v>3082</v>
      </c>
      <c r="G489" s="826" t="s">
        <v>3110</v>
      </c>
      <c r="H489" s="826" t="s">
        <v>3112</v>
      </c>
      <c r="I489" s="832">
        <v>0.4699999988079071</v>
      </c>
      <c r="J489" s="832">
        <v>2300</v>
      </c>
      <c r="K489" s="833">
        <v>1081</v>
      </c>
    </row>
    <row r="490" spans="1:11" ht="14.45" customHeight="1" x14ac:dyDescent="0.2">
      <c r="A490" s="822" t="s">
        <v>575</v>
      </c>
      <c r="B490" s="823" t="s">
        <v>576</v>
      </c>
      <c r="C490" s="826" t="s">
        <v>597</v>
      </c>
      <c r="D490" s="840" t="s">
        <v>598</v>
      </c>
      <c r="E490" s="826" t="s">
        <v>3081</v>
      </c>
      <c r="F490" s="840" t="s">
        <v>3082</v>
      </c>
      <c r="G490" s="826" t="s">
        <v>3750</v>
      </c>
      <c r="H490" s="826" t="s">
        <v>3751</v>
      </c>
      <c r="I490" s="832">
        <v>0.27600000500679017</v>
      </c>
      <c r="J490" s="832">
        <v>1300</v>
      </c>
      <c r="K490" s="833">
        <v>359</v>
      </c>
    </row>
    <row r="491" spans="1:11" ht="14.45" customHeight="1" x14ac:dyDescent="0.2">
      <c r="A491" s="822" t="s">
        <v>575</v>
      </c>
      <c r="B491" s="823" t="s">
        <v>576</v>
      </c>
      <c r="C491" s="826" t="s">
        <v>597</v>
      </c>
      <c r="D491" s="840" t="s">
        <v>598</v>
      </c>
      <c r="E491" s="826" t="s">
        <v>3081</v>
      </c>
      <c r="F491" s="840" t="s">
        <v>3082</v>
      </c>
      <c r="G491" s="826" t="s">
        <v>3750</v>
      </c>
      <c r="H491" s="826" t="s">
        <v>3752</v>
      </c>
      <c r="I491" s="832">
        <v>0.27600000500679017</v>
      </c>
      <c r="J491" s="832">
        <v>1700</v>
      </c>
      <c r="K491" s="833">
        <v>468</v>
      </c>
    </row>
    <row r="492" spans="1:11" ht="14.45" customHeight="1" x14ac:dyDescent="0.2">
      <c r="A492" s="822" t="s">
        <v>575</v>
      </c>
      <c r="B492" s="823" t="s">
        <v>576</v>
      </c>
      <c r="C492" s="826" t="s">
        <v>597</v>
      </c>
      <c r="D492" s="840" t="s">
        <v>598</v>
      </c>
      <c r="E492" s="826" t="s">
        <v>3081</v>
      </c>
      <c r="F492" s="840" t="s">
        <v>3082</v>
      </c>
      <c r="G492" s="826" t="s">
        <v>3113</v>
      </c>
      <c r="H492" s="826" t="s">
        <v>3114</v>
      </c>
      <c r="I492" s="832">
        <v>1.1733332872390747</v>
      </c>
      <c r="J492" s="832">
        <v>1800</v>
      </c>
      <c r="K492" s="833">
        <v>2112</v>
      </c>
    </row>
    <row r="493" spans="1:11" ht="14.45" customHeight="1" x14ac:dyDescent="0.2">
      <c r="A493" s="822" t="s">
        <v>575</v>
      </c>
      <c r="B493" s="823" t="s">
        <v>576</v>
      </c>
      <c r="C493" s="826" t="s">
        <v>597</v>
      </c>
      <c r="D493" s="840" t="s">
        <v>598</v>
      </c>
      <c r="E493" s="826" t="s">
        <v>3081</v>
      </c>
      <c r="F493" s="840" t="s">
        <v>3082</v>
      </c>
      <c r="G493" s="826" t="s">
        <v>3113</v>
      </c>
      <c r="H493" s="826" t="s">
        <v>3115</v>
      </c>
      <c r="I493" s="832">
        <v>1.1699999570846558</v>
      </c>
      <c r="J493" s="832">
        <v>1600</v>
      </c>
      <c r="K493" s="833">
        <v>1872</v>
      </c>
    </row>
    <row r="494" spans="1:11" ht="14.45" customHeight="1" x14ac:dyDescent="0.2">
      <c r="A494" s="822" t="s">
        <v>575</v>
      </c>
      <c r="B494" s="823" t="s">
        <v>576</v>
      </c>
      <c r="C494" s="826" t="s">
        <v>597</v>
      </c>
      <c r="D494" s="840" t="s">
        <v>598</v>
      </c>
      <c r="E494" s="826" t="s">
        <v>3081</v>
      </c>
      <c r="F494" s="840" t="s">
        <v>3082</v>
      </c>
      <c r="G494" s="826" t="s">
        <v>3116</v>
      </c>
      <c r="H494" s="826" t="s">
        <v>3753</v>
      </c>
      <c r="I494" s="832">
        <v>0.43999999761581421</v>
      </c>
      <c r="J494" s="832">
        <v>8300</v>
      </c>
      <c r="K494" s="833">
        <v>3652</v>
      </c>
    </row>
    <row r="495" spans="1:11" ht="14.45" customHeight="1" x14ac:dyDescent="0.2">
      <c r="A495" s="822" t="s">
        <v>575</v>
      </c>
      <c r="B495" s="823" t="s">
        <v>576</v>
      </c>
      <c r="C495" s="826" t="s">
        <v>597</v>
      </c>
      <c r="D495" s="840" t="s">
        <v>598</v>
      </c>
      <c r="E495" s="826" t="s">
        <v>3081</v>
      </c>
      <c r="F495" s="840" t="s">
        <v>3082</v>
      </c>
      <c r="G495" s="826" t="s">
        <v>3116</v>
      </c>
      <c r="H495" s="826" t="s">
        <v>3117</v>
      </c>
      <c r="I495" s="832">
        <v>0.43999999761581421</v>
      </c>
      <c r="J495" s="832">
        <v>6000</v>
      </c>
      <c r="K495" s="833">
        <v>2640</v>
      </c>
    </row>
    <row r="496" spans="1:11" ht="14.45" customHeight="1" x14ac:dyDescent="0.2">
      <c r="A496" s="822" t="s">
        <v>575</v>
      </c>
      <c r="B496" s="823" t="s">
        <v>576</v>
      </c>
      <c r="C496" s="826" t="s">
        <v>597</v>
      </c>
      <c r="D496" s="840" t="s">
        <v>598</v>
      </c>
      <c r="E496" s="826" t="s">
        <v>3081</v>
      </c>
      <c r="F496" s="840" t="s">
        <v>3082</v>
      </c>
      <c r="G496" s="826" t="s">
        <v>3118</v>
      </c>
      <c r="H496" s="826" t="s">
        <v>3119</v>
      </c>
      <c r="I496" s="832">
        <v>157.52000427246094</v>
      </c>
      <c r="J496" s="832">
        <v>20</v>
      </c>
      <c r="K496" s="833">
        <v>3150.0000305175781</v>
      </c>
    </row>
    <row r="497" spans="1:11" ht="14.45" customHeight="1" x14ac:dyDescent="0.2">
      <c r="A497" s="822" t="s">
        <v>575</v>
      </c>
      <c r="B497" s="823" t="s">
        <v>576</v>
      </c>
      <c r="C497" s="826" t="s">
        <v>597</v>
      </c>
      <c r="D497" s="840" t="s">
        <v>598</v>
      </c>
      <c r="E497" s="826" t="s">
        <v>3081</v>
      </c>
      <c r="F497" s="840" t="s">
        <v>3082</v>
      </c>
      <c r="G497" s="826" t="s">
        <v>3118</v>
      </c>
      <c r="H497" s="826" t="s">
        <v>3754</v>
      </c>
      <c r="I497" s="832">
        <v>157.91999816894531</v>
      </c>
      <c r="J497" s="832">
        <v>2</v>
      </c>
      <c r="K497" s="833">
        <v>315.83999633789063</v>
      </c>
    </row>
    <row r="498" spans="1:11" ht="14.45" customHeight="1" x14ac:dyDescent="0.2">
      <c r="A498" s="822" t="s">
        <v>575</v>
      </c>
      <c r="B498" s="823" t="s">
        <v>576</v>
      </c>
      <c r="C498" s="826" t="s">
        <v>597</v>
      </c>
      <c r="D498" s="840" t="s">
        <v>598</v>
      </c>
      <c r="E498" s="826" t="s">
        <v>3081</v>
      </c>
      <c r="F498" s="840" t="s">
        <v>3082</v>
      </c>
      <c r="G498" s="826" t="s">
        <v>3118</v>
      </c>
      <c r="H498" s="826" t="s">
        <v>3755</v>
      </c>
      <c r="I498" s="832">
        <v>157.31250381469727</v>
      </c>
      <c r="J498" s="832">
        <v>10</v>
      </c>
      <c r="K498" s="833">
        <v>1573.1100158691406</v>
      </c>
    </row>
    <row r="499" spans="1:11" ht="14.45" customHeight="1" x14ac:dyDescent="0.2">
      <c r="A499" s="822" t="s">
        <v>575</v>
      </c>
      <c r="B499" s="823" t="s">
        <v>576</v>
      </c>
      <c r="C499" s="826" t="s">
        <v>597</v>
      </c>
      <c r="D499" s="840" t="s">
        <v>598</v>
      </c>
      <c r="E499" s="826" t="s">
        <v>3081</v>
      </c>
      <c r="F499" s="840" t="s">
        <v>3082</v>
      </c>
      <c r="G499" s="826" t="s">
        <v>3122</v>
      </c>
      <c r="H499" s="826" t="s">
        <v>3123</v>
      </c>
      <c r="I499" s="832">
        <v>6.3271428516932895</v>
      </c>
      <c r="J499" s="832">
        <v>1300</v>
      </c>
      <c r="K499" s="833">
        <v>8224</v>
      </c>
    </row>
    <row r="500" spans="1:11" ht="14.45" customHeight="1" x14ac:dyDescent="0.2">
      <c r="A500" s="822" t="s">
        <v>575</v>
      </c>
      <c r="B500" s="823" t="s">
        <v>576</v>
      </c>
      <c r="C500" s="826" t="s">
        <v>597</v>
      </c>
      <c r="D500" s="840" t="s">
        <v>598</v>
      </c>
      <c r="E500" s="826" t="s">
        <v>3081</v>
      </c>
      <c r="F500" s="840" t="s">
        <v>3082</v>
      </c>
      <c r="G500" s="826" t="s">
        <v>3634</v>
      </c>
      <c r="H500" s="826" t="s">
        <v>3635</v>
      </c>
      <c r="I500" s="832">
        <v>64</v>
      </c>
      <c r="J500" s="832">
        <v>10</v>
      </c>
      <c r="K500" s="833">
        <v>1280.7799511551857</v>
      </c>
    </row>
    <row r="501" spans="1:11" ht="14.45" customHeight="1" x14ac:dyDescent="0.2">
      <c r="A501" s="822" t="s">
        <v>575</v>
      </c>
      <c r="B501" s="823" t="s">
        <v>576</v>
      </c>
      <c r="C501" s="826" t="s">
        <v>597</v>
      </c>
      <c r="D501" s="840" t="s">
        <v>598</v>
      </c>
      <c r="E501" s="826" t="s">
        <v>3081</v>
      </c>
      <c r="F501" s="840" t="s">
        <v>3082</v>
      </c>
      <c r="G501" s="826" t="s">
        <v>3756</v>
      </c>
      <c r="H501" s="826" t="s">
        <v>3757</v>
      </c>
      <c r="I501" s="832">
        <v>2.5399999618530273</v>
      </c>
      <c r="J501" s="832">
        <v>70</v>
      </c>
      <c r="K501" s="833">
        <v>177.80000305175781</v>
      </c>
    </row>
    <row r="502" spans="1:11" ht="14.45" customHeight="1" x14ac:dyDescent="0.2">
      <c r="A502" s="822" t="s">
        <v>575</v>
      </c>
      <c r="B502" s="823" t="s">
        <v>576</v>
      </c>
      <c r="C502" s="826" t="s">
        <v>597</v>
      </c>
      <c r="D502" s="840" t="s">
        <v>598</v>
      </c>
      <c r="E502" s="826" t="s">
        <v>3081</v>
      </c>
      <c r="F502" s="840" t="s">
        <v>3082</v>
      </c>
      <c r="G502" s="826" t="s">
        <v>3758</v>
      </c>
      <c r="H502" s="826" t="s">
        <v>3759</v>
      </c>
      <c r="I502" s="832">
        <v>109.875</v>
      </c>
      <c r="J502" s="832">
        <v>3</v>
      </c>
      <c r="K502" s="833">
        <v>329.41000366210938</v>
      </c>
    </row>
    <row r="503" spans="1:11" ht="14.45" customHeight="1" x14ac:dyDescent="0.2">
      <c r="A503" s="822" t="s">
        <v>575</v>
      </c>
      <c r="B503" s="823" t="s">
        <v>576</v>
      </c>
      <c r="C503" s="826" t="s">
        <v>597</v>
      </c>
      <c r="D503" s="840" t="s">
        <v>598</v>
      </c>
      <c r="E503" s="826" t="s">
        <v>3081</v>
      </c>
      <c r="F503" s="840" t="s">
        <v>3082</v>
      </c>
      <c r="G503" s="826" t="s">
        <v>3760</v>
      </c>
      <c r="H503" s="826" t="s">
        <v>3761</v>
      </c>
      <c r="I503" s="832">
        <v>355.35000610351563</v>
      </c>
      <c r="J503" s="832">
        <v>9</v>
      </c>
      <c r="K503" s="833">
        <v>3198.1500854492188</v>
      </c>
    </row>
    <row r="504" spans="1:11" ht="14.45" customHeight="1" x14ac:dyDescent="0.2">
      <c r="A504" s="822" t="s">
        <v>575</v>
      </c>
      <c r="B504" s="823" t="s">
        <v>576</v>
      </c>
      <c r="C504" s="826" t="s">
        <v>597</v>
      </c>
      <c r="D504" s="840" t="s">
        <v>598</v>
      </c>
      <c r="E504" s="826" t="s">
        <v>3081</v>
      </c>
      <c r="F504" s="840" t="s">
        <v>3082</v>
      </c>
      <c r="G504" s="826" t="s">
        <v>3131</v>
      </c>
      <c r="H504" s="826" t="s">
        <v>3132</v>
      </c>
      <c r="I504" s="832">
        <v>64.523333231608078</v>
      </c>
      <c r="J504" s="832">
        <v>40</v>
      </c>
      <c r="K504" s="833">
        <v>2609.780029296875</v>
      </c>
    </row>
    <row r="505" spans="1:11" ht="14.45" customHeight="1" x14ac:dyDescent="0.2">
      <c r="A505" s="822" t="s">
        <v>575</v>
      </c>
      <c r="B505" s="823" t="s">
        <v>576</v>
      </c>
      <c r="C505" s="826" t="s">
        <v>597</v>
      </c>
      <c r="D505" s="840" t="s">
        <v>598</v>
      </c>
      <c r="E505" s="826" t="s">
        <v>3081</v>
      </c>
      <c r="F505" s="840" t="s">
        <v>3082</v>
      </c>
      <c r="G505" s="826" t="s">
        <v>3762</v>
      </c>
      <c r="H505" s="826" t="s">
        <v>3763</v>
      </c>
      <c r="I505" s="832">
        <v>123.27999877929688</v>
      </c>
      <c r="J505" s="832">
        <v>30</v>
      </c>
      <c r="K505" s="833">
        <v>3698.400146484375</v>
      </c>
    </row>
    <row r="506" spans="1:11" ht="14.45" customHeight="1" x14ac:dyDescent="0.2">
      <c r="A506" s="822" t="s">
        <v>575</v>
      </c>
      <c r="B506" s="823" t="s">
        <v>576</v>
      </c>
      <c r="C506" s="826" t="s">
        <v>597</v>
      </c>
      <c r="D506" s="840" t="s">
        <v>598</v>
      </c>
      <c r="E506" s="826" t="s">
        <v>3081</v>
      </c>
      <c r="F506" s="840" t="s">
        <v>3082</v>
      </c>
      <c r="G506" s="826" t="s">
        <v>3133</v>
      </c>
      <c r="H506" s="826" t="s">
        <v>3134</v>
      </c>
      <c r="I506" s="832">
        <v>272.43499755859375</v>
      </c>
      <c r="J506" s="832">
        <v>12</v>
      </c>
      <c r="K506" s="833">
        <v>3269.18994140625</v>
      </c>
    </row>
    <row r="507" spans="1:11" ht="14.45" customHeight="1" x14ac:dyDescent="0.2">
      <c r="A507" s="822" t="s">
        <v>575</v>
      </c>
      <c r="B507" s="823" t="s">
        <v>576</v>
      </c>
      <c r="C507" s="826" t="s">
        <v>597</v>
      </c>
      <c r="D507" s="840" t="s">
        <v>598</v>
      </c>
      <c r="E507" s="826" t="s">
        <v>3081</v>
      </c>
      <c r="F507" s="840" t="s">
        <v>3082</v>
      </c>
      <c r="G507" s="826" t="s">
        <v>3135</v>
      </c>
      <c r="H507" s="826" t="s">
        <v>3136</v>
      </c>
      <c r="I507" s="832">
        <v>22.149999618530273</v>
      </c>
      <c r="J507" s="832">
        <v>100</v>
      </c>
      <c r="K507" s="833">
        <v>2215</v>
      </c>
    </row>
    <row r="508" spans="1:11" ht="14.45" customHeight="1" x14ac:dyDescent="0.2">
      <c r="A508" s="822" t="s">
        <v>575</v>
      </c>
      <c r="B508" s="823" t="s">
        <v>576</v>
      </c>
      <c r="C508" s="826" t="s">
        <v>597</v>
      </c>
      <c r="D508" s="840" t="s">
        <v>598</v>
      </c>
      <c r="E508" s="826" t="s">
        <v>3081</v>
      </c>
      <c r="F508" s="840" t="s">
        <v>3082</v>
      </c>
      <c r="G508" s="826" t="s">
        <v>3137</v>
      </c>
      <c r="H508" s="826" t="s">
        <v>3138</v>
      </c>
      <c r="I508" s="832">
        <v>30.172000122070312</v>
      </c>
      <c r="J508" s="832">
        <v>126</v>
      </c>
      <c r="K508" s="833">
        <v>3801.6699829101563</v>
      </c>
    </row>
    <row r="509" spans="1:11" ht="14.45" customHeight="1" x14ac:dyDescent="0.2">
      <c r="A509" s="822" t="s">
        <v>575</v>
      </c>
      <c r="B509" s="823" t="s">
        <v>576</v>
      </c>
      <c r="C509" s="826" t="s">
        <v>597</v>
      </c>
      <c r="D509" s="840" t="s">
        <v>598</v>
      </c>
      <c r="E509" s="826" t="s">
        <v>3081</v>
      </c>
      <c r="F509" s="840" t="s">
        <v>3082</v>
      </c>
      <c r="G509" s="826" t="s">
        <v>3141</v>
      </c>
      <c r="H509" s="826" t="s">
        <v>3142</v>
      </c>
      <c r="I509" s="832">
        <v>2.872499942779541</v>
      </c>
      <c r="J509" s="832">
        <v>200</v>
      </c>
      <c r="K509" s="833">
        <v>574.5</v>
      </c>
    </row>
    <row r="510" spans="1:11" ht="14.45" customHeight="1" x14ac:dyDescent="0.2">
      <c r="A510" s="822" t="s">
        <v>575</v>
      </c>
      <c r="B510" s="823" t="s">
        <v>576</v>
      </c>
      <c r="C510" s="826" t="s">
        <v>597</v>
      </c>
      <c r="D510" s="840" t="s">
        <v>598</v>
      </c>
      <c r="E510" s="826" t="s">
        <v>3081</v>
      </c>
      <c r="F510" s="840" t="s">
        <v>3082</v>
      </c>
      <c r="G510" s="826" t="s">
        <v>3764</v>
      </c>
      <c r="H510" s="826" t="s">
        <v>3765</v>
      </c>
      <c r="I510" s="832">
        <v>5.2699999809265137</v>
      </c>
      <c r="J510" s="832">
        <v>110</v>
      </c>
      <c r="K510" s="833">
        <v>579.70001602172852</v>
      </c>
    </row>
    <row r="511" spans="1:11" ht="14.45" customHeight="1" x14ac:dyDescent="0.2">
      <c r="A511" s="822" t="s">
        <v>575</v>
      </c>
      <c r="B511" s="823" t="s">
        <v>576</v>
      </c>
      <c r="C511" s="826" t="s">
        <v>597</v>
      </c>
      <c r="D511" s="840" t="s">
        <v>598</v>
      </c>
      <c r="E511" s="826" t="s">
        <v>3081</v>
      </c>
      <c r="F511" s="840" t="s">
        <v>3082</v>
      </c>
      <c r="G511" s="826" t="s">
        <v>3766</v>
      </c>
      <c r="H511" s="826" t="s">
        <v>3767</v>
      </c>
      <c r="I511" s="832">
        <v>129.25999450683594</v>
      </c>
      <c r="J511" s="832">
        <v>10</v>
      </c>
      <c r="K511" s="833">
        <v>1292.5999755859375</v>
      </c>
    </row>
    <row r="512" spans="1:11" ht="14.45" customHeight="1" x14ac:dyDescent="0.2">
      <c r="A512" s="822" t="s">
        <v>575</v>
      </c>
      <c r="B512" s="823" t="s">
        <v>576</v>
      </c>
      <c r="C512" s="826" t="s">
        <v>597</v>
      </c>
      <c r="D512" s="840" t="s">
        <v>598</v>
      </c>
      <c r="E512" s="826" t="s">
        <v>3081</v>
      </c>
      <c r="F512" s="840" t="s">
        <v>3082</v>
      </c>
      <c r="G512" s="826" t="s">
        <v>3155</v>
      </c>
      <c r="H512" s="826" t="s">
        <v>3768</v>
      </c>
      <c r="I512" s="832">
        <v>283.010009765625</v>
      </c>
      <c r="J512" s="832">
        <v>10</v>
      </c>
      <c r="K512" s="833">
        <v>2830.1298828125</v>
      </c>
    </row>
    <row r="513" spans="1:11" ht="14.45" customHeight="1" x14ac:dyDescent="0.2">
      <c r="A513" s="822" t="s">
        <v>575</v>
      </c>
      <c r="B513" s="823" t="s">
        <v>576</v>
      </c>
      <c r="C513" s="826" t="s">
        <v>597</v>
      </c>
      <c r="D513" s="840" t="s">
        <v>598</v>
      </c>
      <c r="E513" s="826" t="s">
        <v>3081</v>
      </c>
      <c r="F513" s="840" t="s">
        <v>3082</v>
      </c>
      <c r="G513" s="826" t="s">
        <v>3149</v>
      </c>
      <c r="H513" s="826" t="s">
        <v>3150</v>
      </c>
      <c r="I513" s="832">
        <v>167.30999755859375</v>
      </c>
      <c r="J513" s="832">
        <v>18</v>
      </c>
      <c r="K513" s="833">
        <v>3180.9900207519531</v>
      </c>
    </row>
    <row r="514" spans="1:11" ht="14.45" customHeight="1" x14ac:dyDescent="0.2">
      <c r="A514" s="822" t="s">
        <v>575</v>
      </c>
      <c r="B514" s="823" t="s">
        <v>576</v>
      </c>
      <c r="C514" s="826" t="s">
        <v>597</v>
      </c>
      <c r="D514" s="840" t="s">
        <v>598</v>
      </c>
      <c r="E514" s="826" t="s">
        <v>3081</v>
      </c>
      <c r="F514" s="840" t="s">
        <v>3082</v>
      </c>
      <c r="G514" s="826" t="s">
        <v>3769</v>
      </c>
      <c r="H514" s="826" t="s">
        <v>3770</v>
      </c>
      <c r="I514" s="832">
        <v>790.280029296875</v>
      </c>
      <c r="J514" s="832">
        <v>1</v>
      </c>
      <c r="K514" s="833">
        <v>790.280029296875</v>
      </c>
    </row>
    <row r="515" spans="1:11" ht="14.45" customHeight="1" x14ac:dyDescent="0.2">
      <c r="A515" s="822" t="s">
        <v>575</v>
      </c>
      <c r="B515" s="823" t="s">
        <v>576</v>
      </c>
      <c r="C515" s="826" t="s">
        <v>597</v>
      </c>
      <c r="D515" s="840" t="s">
        <v>598</v>
      </c>
      <c r="E515" s="826" t="s">
        <v>3081</v>
      </c>
      <c r="F515" s="840" t="s">
        <v>3082</v>
      </c>
      <c r="G515" s="826" t="s">
        <v>3771</v>
      </c>
      <c r="H515" s="826" t="s">
        <v>3772</v>
      </c>
      <c r="I515" s="832">
        <v>5.7300000190734863</v>
      </c>
      <c r="J515" s="832">
        <v>80</v>
      </c>
      <c r="K515" s="833">
        <v>458.20000457763672</v>
      </c>
    </row>
    <row r="516" spans="1:11" ht="14.45" customHeight="1" x14ac:dyDescent="0.2">
      <c r="A516" s="822" t="s">
        <v>575</v>
      </c>
      <c r="B516" s="823" t="s">
        <v>576</v>
      </c>
      <c r="C516" s="826" t="s">
        <v>597</v>
      </c>
      <c r="D516" s="840" t="s">
        <v>598</v>
      </c>
      <c r="E516" s="826" t="s">
        <v>3081</v>
      </c>
      <c r="F516" s="840" t="s">
        <v>3082</v>
      </c>
      <c r="G516" s="826" t="s">
        <v>3766</v>
      </c>
      <c r="H516" s="826" t="s">
        <v>3773</v>
      </c>
      <c r="I516" s="832">
        <v>129.25999450683594</v>
      </c>
      <c r="J516" s="832">
        <v>10</v>
      </c>
      <c r="K516" s="833">
        <v>1292.5999755859375</v>
      </c>
    </row>
    <row r="517" spans="1:11" ht="14.45" customHeight="1" x14ac:dyDescent="0.2">
      <c r="A517" s="822" t="s">
        <v>575</v>
      </c>
      <c r="B517" s="823" t="s">
        <v>576</v>
      </c>
      <c r="C517" s="826" t="s">
        <v>597</v>
      </c>
      <c r="D517" s="840" t="s">
        <v>598</v>
      </c>
      <c r="E517" s="826" t="s">
        <v>3081</v>
      </c>
      <c r="F517" s="840" t="s">
        <v>3082</v>
      </c>
      <c r="G517" s="826" t="s">
        <v>3155</v>
      </c>
      <c r="H517" s="826" t="s">
        <v>3156</v>
      </c>
      <c r="I517" s="832">
        <v>283.01998901367188</v>
      </c>
      <c r="J517" s="832">
        <v>10</v>
      </c>
      <c r="K517" s="833">
        <v>2830.159912109375</v>
      </c>
    </row>
    <row r="518" spans="1:11" ht="14.45" customHeight="1" x14ac:dyDescent="0.2">
      <c r="A518" s="822" t="s">
        <v>575</v>
      </c>
      <c r="B518" s="823" t="s">
        <v>576</v>
      </c>
      <c r="C518" s="826" t="s">
        <v>597</v>
      </c>
      <c r="D518" s="840" t="s">
        <v>598</v>
      </c>
      <c r="E518" s="826" t="s">
        <v>3081</v>
      </c>
      <c r="F518" s="840" t="s">
        <v>3082</v>
      </c>
      <c r="G518" s="826" t="s">
        <v>3774</v>
      </c>
      <c r="H518" s="826" t="s">
        <v>3775</v>
      </c>
      <c r="I518" s="832">
        <v>380.8800048828125</v>
      </c>
      <c r="J518" s="832">
        <v>5</v>
      </c>
      <c r="K518" s="833">
        <v>1904.4000244140625</v>
      </c>
    </row>
    <row r="519" spans="1:11" ht="14.45" customHeight="1" x14ac:dyDescent="0.2">
      <c r="A519" s="822" t="s">
        <v>575</v>
      </c>
      <c r="B519" s="823" t="s">
        <v>576</v>
      </c>
      <c r="C519" s="826" t="s">
        <v>597</v>
      </c>
      <c r="D519" s="840" t="s">
        <v>598</v>
      </c>
      <c r="E519" s="826" t="s">
        <v>3081</v>
      </c>
      <c r="F519" s="840" t="s">
        <v>3082</v>
      </c>
      <c r="G519" s="826" t="s">
        <v>3645</v>
      </c>
      <c r="H519" s="826" t="s">
        <v>3646</v>
      </c>
      <c r="I519" s="832">
        <v>26.020000457763672</v>
      </c>
      <c r="J519" s="832">
        <v>40</v>
      </c>
      <c r="K519" s="833">
        <v>1040.5999755859375</v>
      </c>
    </row>
    <row r="520" spans="1:11" ht="14.45" customHeight="1" x14ac:dyDescent="0.2">
      <c r="A520" s="822" t="s">
        <v>575</v>
      </c>
      <c r="B520" s="823" t="s">
        <v>576</v>
      </c>
      <c r="C520" s="826" t="s">
        <v>597</v>
      </c>
      <c r="D520" s="840" t="s">
        <v>598</v>
      </c>
      <c r="E520" s="826" t="s">
        <v>3081</v>
      </c>
      <c r="F520" s="840" t="s">
        <v>3082</v>
      </c>
      <c r="G520" s="826" t="s">
        <v>3159</v>
      </c>
      <c r="H520" s="826" t="s">
        <v>3160</v>
      </c>
      <c r="I520" s="832">
        <v>656.6400146484375</v>
      </c>
      <c r="J520" s="832">
        <v>1</v>
      </c>
      <c r="K520" s="833">
        <v>656.6400146484375</v>
      </c>
    </row>
    <row r="521" spans="1:11" ht="14.45" customHeight="1" x14ac:dyDescent="0.2">
      <c r="A521" s="822" t="s">
        <v>575</v>
      </c>
      <c r="B521" s="823" t="s">
        <v>576</v>
      </c>
      <c r="C521" s="826" t="s">
        <v>597</v>
      </c>
      <c r="D521" s="840" t="s">
        <v>598</v>
      </c>
      <c r="E521" s="826" t="s">
        <v>3081</v>
      </c>
      <c r="F521" s="840" t="s">
        <v>3082</v>
      </c>
      <c r="G521" s="826" t="s">
        <v>3181</v>
      </c>
      <c r="H521" s="826" t="s">
        <v>3647</v>
      </c>
      <c r="I521" s="832">
        <v>21.200000762939453</v>
      </c>
      <c r="J521" s="832">
        <v>10</v>
      </c>
      <c r="K521" s="833">
        <v>212.03999328613281</v>
      </c>
    </row>
    <row r="522" spans="1:11" ht="14.45" customHeight="1" x14ac:dyDescent="0.2">
      <c r="A522" s="822" t="s">
        <v>575</v>
      </c>
      <c r="B522" s="823" t="s">
        <v>576</v>
      </c>
      <c r="C522" s="826" t="s">
        <v>597</v>
      </c>
      <c r="D522" s="840" t="s">
        <v>598</v>
      </c>
      <c r="E522" s="826" t="s">
        <v>3081</v>
      </c>
      <c r="F522" s="840" t="s">
        <v>3082</v>
      </c>
      <c r="G522" s="826" t="s">
        <v>3776</v>
      </c>
      <c r="H522" s="826" t="s">
        <v>3777</v>
      </c>
      <c r="I522" s="832">
        <v>37.279998779296875</v>
      </c>
      <c r="J522" s="832">
        <v>10</v>
      </c>
      <c r="K522" s="833">
        <v>372.77999877929688</v>
      </c>
    </row>
    <row r="523" spans="1:11" ht="14.45" customHeight="1" x14ac:dyDescent="0.2">
      <c r="A523" s="822" t="s">
        <v>575</v>
      </c>
      <c r="B523" s="823" t="s">
        <v>576</v>
      </c>
      <c r="C523" s="826" t="s">
        <v>597</v>
      </c>
      <c r="D523" s="840" t="s">
        <v>598</v>
      </c>
      <c r="E523" s="826" t="s">
        <v>3081</v>
      </c>
      <c r="F523" s="840" t="s">
        <v>3082</v>
      </c>
      <c r="G523" s="826" t="s">
        <v>3778</v>
      </c>
      <c r="H523" s="826" t="s">
        <v>3779</v>
      </c>
      <c r="I523" s="832">
        <v>895.17999267578125</v>
      </c>
      <c r="J523" s="832">
        <v>1</v>
      </c>
      <c r="K523" s="833">
        <v>895.17999267578125</v>
      </c>
    </row>
    <row r="524" spans="1:11" ht="14.45" customHeight="1" x14ac:dyDescent="0.2">
      <c r="A524" s="822" t="s">
        <v>575</v>
      </c>
      <c r="B524" s="823" t="s">
        <v>576</v>
      </c>
      <c r="C524" s="826" t="s">
        <v>597</v>
      </c>
      <c r="D524" s="840" t="s">
        <v>598</v>
      </c>
      <c r="E524" s="826" t="s">
        <v>3081</v>
      </c>
      <c r="F524" s="840" t="s">
        <v>3082</v>
      </c>
      <c r="G524" s="826" t="s">
        <v>3780</v>
      </c>
      <c r="H524" s="826" t="s">
        <v>3781</v>
      </c>
      <c r="I524" s="832">
        <v>72.680000305175781</v>
      </c>
      <c r="J524" s="832">
        <v>10</v>
      </c>
      <c r="K524" s="833">
        <v>726.75</v>
      </c>
    </row>
    <row r="525" spans="1:11" ht="14.45" customHeight="1" x14ac:dyDescent="0.2">
      <c r="A525" s="822" t="s">
        <v>575</v>
      </c>
      <c r="B525" s="823" t="s">
        <v>576</v>
      </c>
      <c r="C525" s="826" t="s">
        <v>597</v>
      </c>
      <c r="D525" s="840" t="s">
        <v>598</v>
      </c>
      <c r="E525" s="826" t="s">
        <v>3081</v>
      </c>
      <c r="F525" s="840" t="s">
        <v>3082</v>
      </c>
      <c r="G525" s="826" t="s">
        <v>3782</v>
      </c>
      <c r="H525" s="826" t="s">
        <v>3783</v>
      </c>
      <c r="I525" s="832">
        <v>6.7730001449584964</v>
      </c>
      <c r="J525" s="832">
        <v>1000</v>
      </c>
      <c r="K525" s="833">
        <v>6773</v>
      </c>
    </row>
    <row r="526" spans="1:11" ht="14.45" customHeight="1" x14ac:dyDescent="0.2">
      <c r="A526" s="822" t="s">
        <v>575</v>
      </c>
      <c r="B526" s="823" t="s">
        <v>576</v>
      </c>
      <c r="C526" s="826" t="s">
        <v>597</v>
      </c>
      <c r="D526" s="840" t="s">
        <v>598</v>
      </c>
      <c r="E526" s="826" t="s">
        <v>3081</v>
      </c>
      <c r="F526" s="840" t="s">
        <v>3082</v>
      </c>
      <c r="G526" s="826" t="s">
        <v>3161</v>
      </c>
      <c r="H526" s="826" t="s">
        <v>3162</v>
      </c>
      <c r="I526" s="832">
        <v>22.946667035420734</v>
      </c>
      <c r="J526" s="832">
        <v>500</v>
      </c>
      <c r="K526" s="833">
        <v>11472.920043945313</v>
      </c>
    </row>
    <row r="527" spans="1:11" ht="14.45" customHeight="1" x14ac:dyDescent="0.2">
      <c r="A527" s="822" t="s">
        <v>575</v>
      </c>
      <c r="B527" s="823" t="s">
        <v>576</v>
      </c>
      <c r="C527" s="826" t="s">
        <v>597</v>
      </c>
      <c r="D527" s="840" t="s">
        <v>598</v>
      </c>
      <c r="E527" s="826" t="s">
        <v>3081</v>
      </c>
      <c r="F527" s="840" t="s">
        <v>3082</v>
      </c>
      <c r="G527" s="826" t="s">
        <v>3163</v>
      </c>
      <c r="H527" s="826" t="s">
        <v>3164</v>
      </c>
      <c r="I527" s="832">
        <v>227.55500030517578</v>
      </c>
      <c r="J527" s="832">
        <v>50</v>
      </c>
      <c r="K527" s="833">
        <v>11377.77978515625</v>
      </c>
    </row>
    <row r="528" spans="1:11" ht="14.45" customHeight="1" x14ac:dyDescent="0.2">
      <c r="A528" s="822" t="s">
        <v>575</v>
      </c>
      <c r="B528" s="823" t="s">
        <v>576</v>
      </c>
      <c r="C528" s="826" t="s">
        <v>597</v>
      </c>
      <c r="D528" s="840" t="s">
        <v>598</v>
      </c>
      <c r="E528" s="826" t="s">
        <v>3081</v>
      </c>
      <c r="F528" s="840" t="s">
        <v>3082</v>
      </c>
      <c r="G528" s="826" t="s">
        <v>3122</v>
      </c>
      <c r="H528" s="826" t="s">
        <v>3166</v>
      </c>
      <c r="I528" s="832">
        <v>6.3250000476837158</v>
      </c>
      <c r="J528" s="832">
        <v>1400</v>
      </c>
      <c r="K528" s="833">
        <v>8856</v>
      </c>
    </row>
    <row r="529" spans="1:11" ht="14.45" customHeight="1" x14ac:dyDescent="0.2">
      <c r="A529" s="822" t="s">
        <v>575</v>
      </c>
      <c r="B529" s="823" t="s">
        <v>576</v>
      </c>
      <c r="C529" s="826" t="s">
        <v>597</v>
      </c>
      <c r="D529" s="840" t="s">
        <v>598</v>
      </c>
      <c r="E529" s="826" t="s">
        <v>3081</v>
      </c>
      <c r="F529" s="840" t="s">
        <v>3082</v>
      </c>
      <c r="G529" s="826" t="s">
        <v>3784</v>
      </c>
      <c r="H529" s="826" t="s">
        <v>3785</v>
      </c>
      <c r="I529" s="832">
        <v>2.4125000834465027</v>
      </c>
      <c r="J529" s="832">
        <v>400</v>
      </c>
      <c r="K529" s="833">
        <v>965</v>
      </c>
    </row>
    <row r="530" spans="1:11" ht="14.45" customHeight="1" x14ac:dyDescent="0.2">
      <c r="A530" s="822" t="s">
        <v>575</v>
      </c>
      <c r="B530" s="823" t="s">
        <v>576</v>
      </c>
      <c r="C530" s="826" t="s">
        <v>597</v>
      </c>
      <c r="D530" s="840" t="s">
        <v>598</v>
      </c>
      <c r="E530" s="826" t="s">
        <v>3081</v>
      </c>
      <c r="F530" s="840" t="s">
        <v>3082</v>
      </c>
      <c r="G530" s="826" t="s">
        <v>3129</v>
      </c>
      <c r="H530" s="826" t="s">
        <v>3167</v>
      </c>
      <c r="I530" s="832">
        <v>790.8800048828125</v>
      </c>
      <c r="J530" s="832">
        <v>1</v>
      </c>
      <c r="K530" s="833">
        <v>790.8800048828125</v>
      </c>
    </row>
    <row r="531" spans="1:11" ht="14.45" customHeight="1" x14ac:dyDescent="0.2">
      <c r="A531" s="822" t="s">
        <v>575</v>
      </c>
      <c r="B531" s="823" t="s">
        <v>576</v>
      </c>
      <c r="C531" s="826" t="s">
        <v>597</v>
      </c>
      <c r="D531" s="840" t="s">
        <v>598</v>
      </c>
      <c r="E531" s="826" t="s">
        <v>3081</v>
      </c>
      <c r="F531" s="840" t="s">
        <v>3082</v>
      </c>
      <c r="G531" s="826" t="s">
        <v>3760</v>
      </c>
      <c r="H531" s="826" t="s">
        <v>3786</v>
      </c>
      <c r="I531" s="832">
        <v>355.35000610351563</v>
      </c>
      <c r="J531" s="832">
        <v>2</v>
      </c>
      <c r="K531" s="833">
        <v>710.70001220703125</v>
      </c>
    </row>
    <row r="532" spans="1:11" ht="14.45" customHeight="1" x14ac:dyDescent="0.2">
      <c r="A532" s="822" t="s">
        <v>575</v>
      </c>
      <c r="B532" s="823" t="s">
        <v>576</v>
      </c>
      <c r="C532" s="826" t="s">
        <v>597</v>
      </c>
      <c r="D532" s="840" t="s">
        <v>598</v>
      </c>
      <c r="E532" s="826" t="s">
        <v>3081</v>
      </c>
      <c r="F532" s="840" t="s">
        <v>3082</v>
      </c>
      <c r="G532" s="826" t="s">
        <v>3131</v>
      </c>
      <c r="H532" s="826" t="s">
        <v>3170</v>
      </c>
      <c r="I532" s="832">
        <v>63.479999542236328</v>
      </c>
      <c r="J532" s="832">
        <v>20</v>
      </c>
      <c r="K532" s="833">
        <v>1269.5700073242188</v>
      </c>
    </row>
    <row r="533" spans="1:11" ht="14.45" customHeight="1" x14ac:dyDescent="0.2">
      <c r="A533" s="822" t="s">
        <v>575</v>
      </c>
      <c r="B533" s="823" t="s">
        <v>576</v>
      </c>
      <c r="C533" s="826" t="s">
        <v>597</v>
      </c>
      <c r="D533" s="840" t="s">
        <v>598</v>
      </c>
      <c r="E533" s="826" t="s">
        <v>3081</v>
      </c>
      <c r="F533" s="840" t="s">
        <v>3082</v>
      </c>
      <c r="G533" s="826" t="s">
        <v>3133</v>
      </c>
      <c r="H533" s="826" t="s">
        <v>3787</v>
      </c>
      <c r="I533" s="832">
        <v>272.4375</v>
      </c>
      <c r="J533" s="832">
        <v>24</v>
      </c>
      <c r="K533" s="833">
        <v>6538.4599609375</v>
      </c>
    </row>
    <row r="534" spans="1:11" ht="14.45" customHeight="1" x14ac:dyDescent="0.2">
      <c r="A534" s="822" t="s">
        <v>575</v>
      </c>
      <c r="B534" s="823" t="s">
        <v>576</v>
      </c>
      <c r="C534" s="826" t="s">
        <v>597</v>
      </c>
      <c r="D534" s="840" t="s">
        <v>598</v>
      </c>
      <c r="E534" s="826" t="s">
        <v>3081</v>
      </c>
      <c r="F534" s="840" t="s">
        <v>3082</v>
      </c>
      <c r="G534" s="826" t="s">
        <v>3135</v>
      </c>
      <c r="H534" s="826" t="s">
        <v>3173</v>
      </c>
      <c r="I534" s="832">
        <v>22.149999618530273</v>
      </c>
      <c r="J534" s="832">
        <v>150</v>
      </c>
      <c r="K534" s="833">
        <v>3322.5</v>
      </c>
    </row>
    <row r="535" spans="1:11" ht="14.45" customHeight="1" x14ac:dyDescent="0.2">
      <c r="A535" s="822" t="s">
        <v>575</v>
      </c>
      <c r="B535" s="823" t="s">
        <v>576</v>
      </c>
      <c r="C535" s="826" t="s">
        <v>597</v>
      </c>
      <c r="D535" s="840" t="s">
        <v>598</v>
      </c>
      <c r="E535" s="826" t="s">
        <v>3081</v>
      </c>
      <c r="F535" s="840" t="s">
        <v>3082</v>
      </c>
      <c r="G535" s="826" t="s">
        <v>3137</v>
      </c>
      <c r="H535" s="826" t="s">
        <v>3174</v>
      </c>
      <c r="I535" s="832">
        <v>30.180000305175781</v>
      </c>
      <c r="J535" s="832">
        <v>25</v>
      </c>
      <c r="K535" s="833">
        <v>754.5</v>
      </c>
    </row>
    <row r="536" spans="1:11" ht="14.45" customHeight="1" x14ac:dyDescent="0.2">
      <c r="A536" s="822" t="s">
        <v>575</v>
      </c>
      <c r="B536" s="823" t="s">
        <v>576</v>
      </c>
      <c r="C536" s="826" t="s">
        <v>597</v>
      </c>
      <c r="D536" s="840" t="s">
        <v>598</v>
      </c>
      <c r="E536" s="826" t="s">
        <v>3081</v>
      </c>
      <c r="F536" s="840" t="s">
        <v>3082</v>
      </c>
      <c r="G536" s="826" t="s">
        <v>3141</v>
      </c>
      <c r="H536" s="826" t="s">
        <v>3788</v>
      </c>
      <c r="I536" s="832">
        <v>2.8766667048136392</v>
      </c>
      <c r="J536" s="832">
        <v>150</v>
      </c>
      <c r="K536" s="833">
        <v>431.5</v>
      </c>
    </row>
    <row r="537" spans="1:11" ht="14.45" customHeight="1" x14ac:dyDescent="0.2">
      <c r="A537" s="822" t="s">
        <v>575</v>
      </c>
      <c r="B537" s="823" t="s">
        <v>576</v>
      </c>
      <c r="C537" s="826" t="s">
        <v>597</v>
      </c>
      <c r="D537" s="840" t="s">
        <v>598</v>
      </c>
      <c r="E537" s="826" t="s">
        <v>3081</v>
      </c>
      <c r="F537" s="840" t="s">
        <v>3082</v>
      </c>
      <c r="G537" s="826" t="s">
        <v>3764</v>
      </c>
      <c r="H537" s="826" t="s">
        <v>3789</v>
      </c>
      <c r="I537" s="832">
        <v>5.2699999809265137</v>
      </c>
      <c r="J537" s="832">
        <v>140</v>
      </c>
      <c r="K537" s="833">
        <v>737.80002212524414</v>
      </c>
    </row>
    <row r="538" spans="1:11" ht="14.45" customHeight="1" x14ac:dyDescent="0.2">
      <c r="A538" s="822" t="s">
        <v>575</v>
      </c>
      <c r="B538" s="823" t="s">
        <v>576</v>
      </c>
      <c r="C538" s="826" t="s">
        <v>597</v>
      </c>
      <c r="D538" s="840" t="s">
        <v>598</v>
      </c>
      <c r="E538" s="826" t="s">
        <v>3081</v>
      </c>
      <c r="F538" s="840" t="s">
        <v>3082</v>
      </c>
      <c r="G538" s="826" t="s">
        <v>3766</v>
      </c>
      <c r="H538" s="826" t="s">
        <v>3790</v>
      </c>
      <c r="I538" s="832">
        <v>129.25999450683594</v>
      </c>
      <c r="J538" s="832">
        <v>20</v>
      </c>
      <c r="K538" s="833">
        <v>2585.199951171875</v>
      </c>
    </row>
    <row r="539" spans="1:11" ht="14.45" customHeight="1" x14ac:dyDescent="0.2">
      <c r="A539" s="822" t="s">
        <v>575</v>
      </c>
      <c r="B539" s="823" t="s">
        <v>576</v>
      </c>
      <c r="C539" s="826" t="s">
        <v>597</v>
      </c>
      <c r="D539" s="840" t="s">
        <v>598</v>
      </c>
      <c r="E539" s="826" t="s">
        <v>3081</v>
      </c>
      <c r="F539" s="840" t="s">
        <v>3082</v>
      </c>
      <c r="G539" s="826" t="s">
        <v>3155</v>
      </c>
      <c r="H539" s="826" t="s">
        <v>3791</v>
      </c>
      <c r="I539" s="832">
        <v>283.01998901367188</v>
      </c>
      <c r="J539" s="832">
        <v>15</v>
      </c>
      <c r="K539" s="833">
        <v>4245.2999267578125</v>
      </c>
    </row>
    <row r="540" spans="1:11" ht="14.45" customHeight="1" x14ac:dyDescent="0.2">
      <c r="A540" s="822" t="s">
        <v>575</v>
      </c>
      <c r="B540" s="823" t="s">
        <v>576</v>
      </c>
      <c r="C540" s="826" t="s">
        <v>597</v>
      </c>
      <c r="D540" s="840" t="s">
        <v>598</v>
      </c>
      <c r="E540" s="826" t="s">
        <v>3081</v>
      </c>
      <c r="F540" s="840" t="s">
        <v>3082</v>
      </c>
      <c r="G540" s="826" t="s">
        <v>3774</v>
      </c>
      <c r="H540" s="826" t="s">
        <v>3792</v>
      </c>
      <c r="I540" s="832">
        <v>380.8800048828125</v>
      </c>
      <c r="J540" s="832">
        <v>15</v>
      </c>
      <c r="K540" s="833">
        <v>5713.2000732421875</v>
      </c>
    </row>
    <row r="541" spans="1:11" ht="14.45" customHeight="1" x14ac:dyDescent="0.2">
      <c r="A541" s="822" t="s">
        <v>575</v>
      </c>
      <c r="B541" s="823" t="s">
        <v>576</v>
      </c>
      <c r="C541" s="826" t="s">
        <v>597</v>
      </c>
      <c r="D541" s="840" t="s">
        <v>598</v>
      </c>
      <c r="E541" s="826" t="s">
        <v>3081</v>
      </c>
      <c r="F541" s="840" t="s">
        <v>3082</v>
      </c>
      <c r="G541" s="826" t="s">
        <v>3149</v>
      </c>
      <c r="H541" s="826" t="s">
        <v>3179</v>
      </c>
      <c r="I541" s="832">
        <v>139.16999816894531</v>
      </c>
      <c r="J541" s="832">
        <v>18</v>
      </c>
      <c r="K541" s="833">
        <v>2505.0599517822266</v>
      </c>
    </row>
    <row r="542" spans="1:11" ht="14.45" customHeight="1" x14ac:dyDescent="0.2">
      <c r="A542" s="822" t="s">
        <v>575</v>
      </c>
      <c r="B542" s="823" t="s">
        <v>576</v>
      </c>
      <c r="C542" s="826" t="s">
        <v>597</v>
      </c>
      <c r="D542" s="840" t="s">
        <v>598</v>
      </c>
      <c r="E542" s="826" t="s">
        <v>3081</v>
      </c>
      <c r="F542" s="840" t="s">
        <v>3082</v>
      </c>
      <c r="G542" s="826" t="s">
        <v>3771</v>
      </c>
      <c r="H542" s="826" t="s">
        <v>3793</v>
      </c>
      <c r="I542" s="832">
        <v>5.7300000190734863</v>
      </c>
      <c r="J542" s="832">
        <v>90</v>
      </c>
      <c r="K542" s="833">
        <v>515.48000335693359</v>
      </c>
    </row>
    <row r="543" spans="1:11" ht="14.45" customHeight="1" x14ac:dyDescent="0.2">
      <c r="A543" s="822" t="s">
        <v>575</v>
      </c>
      <c r="B543" s="823" t="s">
        <v>576</v>
      </c>
      <c r="C543" s="826" t="s">
        <v>597</v>
      </c>
      <c r="D543" s="840" t="s">
        <v>598</v>
      </c>
      <c r="E543" s="826" t="s">
        <v>3081</v>
      </c>
      <c r="F543" s="840" t="s">
        <v>3082</v>
      </c>
      <c r="G543" s="826" t="s">
        <v>3159</v>
      </c>
      <c r="H543" s="826" t="s">
        <v>3794</v>
      </c>
      <c r="I543" s="832">
        <v>656.6400146484375</v>
      </c>
      <c r="J543" s="832">
        <v>2</v>
      </c>
      <c r="K543" s="833">
        <v>1313.280029296875</v>
      </c>
    </row>
    <row r="544" spans="1:11" ht="14.45" customHeight="1" x14ac:dyDescent="0.2">
      <c r="A544" s="822" t="s">
        <v>575</v>
      </c>
      <c r="B544" s="823" t="s">
        <v>576</v>
      </c>
      <c r="C544" s="826" t="s">
        <v>597</v>
      </c>
      <c r="D544" s="840" t="s">
        <v>598</v>
      </c>
      <c r="E544" s="826" t="s">
        <v>3081</v>
      </c>
      <c r="F544" s="840" t="s">
        <v>3082</v>
      </c>
      <c r="G544" s="826" t="s">
        <v>3181</v>
      </c>
      <c r="H544" s="826" t="s">
        <v>3182</v>
      </c>
      <c r="I544" s="832">
        <v>21.200000762939453</v>
      </c>
      <c r="J544" s="832">
        <v>10</v>
      </c>
      <c r="K544" s="833">
        <v>212.03999328613281</v>
      </c>
    </row>
    <row r="545" spans="1:11" ht="14.45" customHeight="1" x14ac:dyDescent="0.2">
      <c r="A545" s="822" t="s">
        <v>575</v>
      </c>
      <c r="B545" s="823" t="s">
        <v>576</v>
      </c>
      <c r="C545" s="826" t="s">
        <v>597</v>
      </c>
      <c r="D545" s="840" t="s">
        <v>598</v>
      </c>
      <c r="E545" s="826" t="s">
        <v>3081</v>
      </c>
      <c r="F545" s="840" t="s">
        <v>3082</v>
      </c>
      <c r="G545" s="826" t="s">
        <v>3776</v>
      </c>
      <c r="H545" s="826" t="s">
        <v>3795</v>
      </c>
      <c r="I545" s="832">
        <v>37.279998779296875</v>
      </c>
      <c r="J545" s="832">
        <v>10</v>
      </c>
      <c r="K545" s="833">
        <v>372.79000854492188</v>
      </c>
    </row>
    <row r="546" spans="1:11" ht="14.45" customHeight="1" x14ac:dyDescent="0.2">
      <c r="A546" s="822" t="s">
        <v>575</v>
      </c>
      <c r="B546" s="823" t="s">
        <v>576</v>
      </c>
      <c r="C546" s="826" t="s">
        <v>597</v>
      </c>
      <c r="D546" s="840" t="s">
        <v>598</v>
      </c>
      <c r="E546" s="826" t="s">
        <v>3081</v>
      </c>
      <c r="F546" s="840" t="s">
        <v>3082</v>
      </c>
      <c r="G546" s="826" t="s">
        <v>3796</v>
      </c>
      <c r="H546" s="826" t="s">
        <v>3797</v>
      </c>
      <c r="I546" s="832">
        <v>82.080001831054688</v>
      </c>
      <c r="J546" s="832">
        <v>30</v>
      </c>
      <c r="K546" s="833">
        <v>2462.3999633789063</v>
      </c>
    </row>
    <row r="547" spans="1:11" ht="14.45" customHeight="1" x14ac:dyDescent="0.2">
      <c r="A547" s="822" t="s">
        <v>575</v>
      </c>
      <c r="B547" s="823" t="s">
        <v>576</v>
      </c>
      <c r="C547" s="826" t="s">
        <v>597</v>
      </c>
      <c r="D547" s="840" t="s">
        <v>598</v>
      </c>
      <c r="E547" s="826" t="s">
        <v>3081</v>
      </c>
      <c r="F547" s="840" t="s">
        <v>3082</v>
      </c>
      <c r="G547" s="826" t="s">
        <v>3798</v>
      </c>
      <c r="H547" s="826" t="s">
        <v>3799</v>
      </c>
      <c r="I547" s="832">
        <v>269.32998657226563</v>
      </c>
      <c r="J547" s="832">
        <v>5</v>
      </c>
      <c r="K547" s="833">
        <v>1346.6300048828125</v>
      </c>
    </row>
    <row r="548" spans="1:11" ht="14.45" customHeight="1" x14ac:dyDescent="0.2">
      <c r="A548" s="822" t="s">
        <v>575</v>
      </c>
      <c r="B548" s="823" t="s">
        <v>576</v>
      </c>
      <c r="C548" s="826" t="s">
        <v>597</v>
      </c>
      <c r="D548" s="840" t="s">
        <v>598</v>
      </c>
      <c r="E548" s="826" t="s">
        <v>3081</v>
      </c>
      <c r="F548" s="840" t="s">
        <v>3082</v>
      </c>
      <c r="G548" s="826" t="s">
        <v>3780</v>
      </c>
      <c r="H548" s="826" t="s">
        <v>3800</v>
      </c>
      <c r="I548" s="832">
        <v>72.680000305175781</v>
      </c>
      <c r="J548" s="832">
        <v>10</v>
      </c>
      <c r="K548" s="833">
        <v>726.75</v>
      </c>
    </row>
    <row r="549" spans="1:11" ht="14.45" customHeight="1" x14ac:dyDescent="0.2">
      <c r="A549" s="822" t="s">
        <v>575</v>
      </c>
      <c r="B549" s="823" t="s">
        <v>576</v>
      </c>
      <c r="C549" s="826" t="s">
        <v>597</v>
      </c>
      <c r="D549" s="840" t="s">
        <v>598</v>
      </c>
      <c r="E549" s="826" t="s">
        <v>3081</v>
      </c>
      <c r="F549" s="840" t="s">
        <v>3082</v>
      </c>
      <c r="G549" s="826" t="s">
        <v>3163</v>
      </c>
      <c r="H549" s="826" t="s">
        <v>3183</v>
      </c>
      <c r="I549" s="832">
        <v>227.24000549316406</v>
      </c>
      <c r="J549" s="832">
        <v>50</v>
      </c>
      <c r="K549" s="833">
        <v>11362</v>
      </c>
    </row>
    <row r="550" spans="1:11" ht="14.45" customHeight="1" x14ac:dyDescent="0.2">
      <c r="A550" s="822" t="s">
        <v>575</v>
      </c>
      <c r="B550" s="823" t="s">
        <v>576</v>
      </c>
      <c r="C550" s="826" t="s">
        <v>597</v>
      </c>
      <c r="D550" s="840" t="s">
        <v>598</v>
      </c>
      <c r="E550" s="826" t="s">
        <v>3081</v>
      </c>
      <c r="F550" s="840" t="s">
        <v>3082</v>
      </c>
      <c r="G550" s="826" t="s">
        <v>3186</v>
      </c>
      <c r="H550" s="826" t="s">
        <v>3187</v>
      </c>
      <c r="I550" s="832">
        <v>0.85500001907348633</v>
      </c>
      <c r="J550" s="832">
        <v>1100</v>
      </c>
      <c r="K550" s="833">
        <v>940</v>
      </c>
    </row>
    <row r="551" spans="1:11" ht="14.45" customHeight="1" x14ac:dyDescent="0.2">
      <c r="A551" s="822" t="s">
        <v>575</v>
      </c>
      <c r="B551" s="823" t="s">
        <v>576</v>
      </c>
      <c r="C551" s="826" t="s">
        <v>597</v>
      </c>
      <c r="D551" s="840" t="s">
        <v>598</v>
      </c>
      <c r="E551" s="826" t="s">
        <v>3081</v>
      </c>
      <c r="F551" s="840" t="s">
        <v>3082</v>
      </c>
      <c r="G551" s="826" t="s">
        <v>3190</v>
      </c>
      <c r="H551" s="826" t="s">
        <v>3191</v>
      </c>
      <c r="I551" s="832">
        <v>2.0627272129058838</v>
      </c>
      <c r="J551" s="832">
        <v>2550</v>
      </c>
      <c r="K551" s="833">
        <v>5260</v>
      </c>
    </row>
    <row r="552" spans="1:11" ht="14.45" customHeight="1" x14ac:dyDescent="0.2">
      <c r="A552" s="822" t="s">
        <v>575</v>
      </c>
      <c r="B552" s="823" t="s">
        <v>576</v>
      </c>
      <c r="C552" s="826" t="s">
        <v>597</v>
      </c>
      <c r="D552" s="840" t="s">
        <v>598</v>
      </c>
      <c r="E552" s="826" t="s">
        <v>3081</v>
      </c>
      <c r="F552" s="840" t="s">
        <v>3082</v>
      </c>
      <c r="G552" s="826" t="s">
        <v>3194</v>
      </c>
      <c r="H552" s="826" t="s">
        <v>3195</v>
      </c>
      <c r="I552" s="832">
        <v>5.880000114440918</v>
      </c>
      <c r="J552" s="832">
        <v>1500</v>
      </c>
      <c r="K552" s="833">
        <v>8820</v>
      </c>
    </row>
    <row r="553" spans="1:11" ht="14.45" customHeight="1" x14ac:dyDescent="0.2">
      <c r="A553" s="822" t="s">
        <v>575</v>
      </c>
      <c r="B553" s="823" t="s">
        <v>576</v>
      </c>
      <c r="C553" s="826" t="s">
        <v>597</v>
      </c>
      <c r="D553" s="840" t="s">
        <v>598</v>
      </c>
      <c r="E553" s="826" t="s">
        <v>3081</v>
      </c>
      <c r="F553" s="840" t="s">
        <v>3082</v>
      </c>
      <c r="G553" s="826" t="s">
        <v>3801</v>
      </c>
      <c r="H553" s="826" t="s">
        <v>3802</v>
      </c>
      <c r="I553" s="832">
        <v>24.984999656677246</v>
      </c>
      <c r="J553" s="832">
        <v>48</v>
      </c>
      <c r="K553" s="833">
        <v>1199.22998046875</v>
      </c>
    </row>
    <row r="554" spans="1:11" ht="14.45" customHeight="1" x14ac:dyDescent="0.2">
      <c r="A554" s="822" t="s">
        <v>575</v>
      </c>
      <c r="B554" s="823" t="s">
        <v>576</v>
      </c>
      <c r="C554" s="826" t="s">
        <v>597</v>
      </c>
      <c r="D554" s="840" t="s">
        <v>598</v>
      </c>
      <c r="E554" s="826" t="s">
        <v>3081</v>
      </c>
      <c r="F554" s="840" t="s">
        <v>3082</v>
      </c>
      <c r="G554" s="826" t="s">
        <v>3803</v>
      </c>
      <c r="H554" s="826" t="s">
        <v>3804</v>
      </c>
      <c r="I554" s="832">
        <v>9.2975001335144043</v>
      </c>
      <c r="J554" s="832">
        <v>200</v>
      </c>
      <c r="K554" s="833">
        <v>1859.5</v>
      </c>
    </row>
    <row r="555" spans="1:11" ht="14.45" customHeight="1" x14ac:dyDescent="0.2">
      <c r="A555" s="822" t="s">
        <v>575</v>
      </c>
      <c r="B555" s="823" t="s">
        <v>576</v>
      </c>
      <c r="C555" s="826" t="s">
        <v>597</v>
      </c>
      <c r="D555" s="840" t="s">
        <v>598</v>
      </c>
      <c r="E555" s="826" t="s">
        <v>3081</v>
      </c>
      <c r="F555" s="840" t="s">
        <v>3082</v>
      </c>
      <c r="G555" s="826" t="s">
        <v>3196</v>
      </c>
      <c r="H555" s="826" t="s">
        <v>3197</v>
      </c>
      <c r="I555" s="832">
        <v>10.236666679382324</v>
      </c>
      <c r="J555" s="832">
        <v>36</v>
      </c>
      <c r="K555" s="833">
        <v>368.52000427246094</v>
      </c>
    </row>
    <row r="556" spans="1:11" ht="14.45" customHeight="1" x14ac:dyDescent="0.2">
      <c r="A556" s="822" t="s">
        <v>575</v>
      </c>
      <c r="B556" s="823" t="s">
        <v>576</v>
      </c>
      <c r="C556" s="826" t="s">
        <v>597</v>
      </c>
      <c r="D556" s="840" t="s">
        <v>598</v>
      </c>
      <c r="E556" s="826" t="s">
        <v>3081</v>
      </c>
      <c r="F556" s="840" t="s">
        <v>3082</v>
      </c>
      <c r="G556" s="826" t="s">
        <v>3198</v>
      </c>
      <c r="H556" s="826" t="s">
        <v>3199</v>
      </c>
      <c r="I556" s="832">
        <v>46</v>
      </c>
      <c r="J556" s="832">
        <v>3</v>
      </c>
      <c r="K556" s="833">
        <v>138</v>
      </c>
    </row>
    <row r="557" spans="1:11" ht="14.45" customHeight="1" x14ac:dyDescent="0.2">
      <c r="A557" s="822" t="s">
        <v>575</v>
      </c>
      <c r="B557" s="823" t="s">
        <v>576</v>
      </c>
      <c r="C557" s="826" t="s">
        <v>597</v>
      </c>
      <c r="D557" s="840" t="s">
        <v>598</v>
      </c>
      <c r="E557" s="826" t="s">
        <v>3081</v>
      </c>
      <c r="F557" s="840" t="s">
        <v>3082</v>
      </c>
      <c r="G557" s="826" t="s">
        <v>3200</v>
      </c>
      <c r="H557" s="826" t="s">
        <v>3201</v>
      </c>
      <c r="I557" s="832">
        <v>61.209999084472656</v>
      </c>
      <c r="J557" s="832">
        <v>1</v>
      </c>
      <c r="K557" s="833">
        <v>61.209999084472656</v>
      </c>
    </row>
    <row r="558" spans="1:11" ht="14.45" customHeight="1" x14ac:dyDescent="0.2">
      <c r="A558" s="822" t="s">
        <v>575</v>
      </c>
      <c r="B558" s="823" t="s">
        <v>576</v>
      </c>
      <c r="C558" s="826" t="s">
        <v>597</v>
      </c>
      <c r="D558" s="840" t="s">
        <v>598</v>
      </c>
      <c r="E558" s="826" t="s">
        <v>3081</v>
      </c>
      <c r="F558" s="840" t="s">
        <v>3082</v>
      </c>
      <c r="G558" s="826" t="s">
        <v>3204</v>
      </c>
      <c r="H558" s="826" t="s">
        <v>3205</v>
      </c>
      <c r="I558" s="832">
        <v>98.375</v>
      </c>
      <c r="J558" s="832">
        <v>20</v>
      </c>
      <c r="K558" s="833">
        <v>1967.5</v>
      </c>
    </row>
    <row r="559" spans="1:11" ht="14.45" customHeight="1" x14ac:dyDescent="0.2">
      <c r="A559" s="822" t="s">
        <v>575</v>
      </c>
      <c r="B559" s="823" t="s">
        <v>576</v>
      </c>
      <c r="C559" s="826" t="s">
        <v>597</v>
      </c>
      <c r="D559" s="840" t="s">
        <v>598</v>
      </c>
      <c r="E559" s="826" t="s">
        <v>3081</v>
      </c>
      <c r="F559" s="840" t="s">
        <v>3082</v>
      </c>
      <c r="G559" s="826" t="s">
        <v>3805</v>
      </c>
      <c r="H559" s="826" t="s">
        <v>3806</v>
      </c>
      <c r="I559" s="832">
        <v>8.3949999809265137</v>
      </c>
      <c r="J559" s="832">
        <v>72</v>
      </c>
      <c r="K559" s="833">
        <v>604.44001007080078</v>
      </c>
    </row>
    <row r="560" spans="1:11" ht="14.45" customHeight="1" x14ac:dyDescent="0.2">
      <c r="A560" s="822" t="s">
        <v>575</v>
      </c>
      <c r="B560" s="823" t="s">
        <v>576</v>
      </c>
      <c r="C560" s="826" t="s">
        <v>597</v>
      </c>
      <c r="D560" s="840" t="s">
        <v>598</v>
      </c>
      <c r="E560" s="826" t="s">
        <v>3081</v>
      </c>
      <c r="F560" s="840" t="s">
        <v>3082</v>
      </c>
      <c r="G560" s="826" t="s">
        <v>3210</v>
      </c>
      <c r="H560" s="826" t="s">
        <v>3211</v>
      </c>
      <c r="I560" s="832">
        <v>7.7999999523162842</v>
      </c>
      <c r="J560" s="832">
        <v>48</v>
      </c>
      <c r="K560" s="833">
        <v>374.39999389648438</v>
      </c>
    </row>
    <row r="561" spans="1:11" ht="14.45" customHeight="1" x14ac:dyDescent="0.2">
      <c r="A561" s="822" t="s">
        <v>575</v>
      </c>
      <c r="B561" s="823" t="s">
        <v>576</v>
      </c>
      <c r="C561" s="826" t="s">
        <v>597</v>
      </c>
      <c r="D561" s="840" t="s">
        <v>598</v>
      </c>
      <c r="E561" s="826" t="s">
        <v>3081</v>
      </c>
      <c r="F561" s="840" t="s">
        <v>3082</v>
      </c>
      <c r="G561" s="826" t="s">
        <v>3212</v>
      </c>
      <c r="H561" s="826" t="s">
        <v>3213</v>
      </c>
      <c r="I561" s="832">
        <v>19.049999237060547</v>
      </c>
      <c r="J561" s="832">
        <v>48</v>
      </c>
      <c r="K561" s="833">
        <v>914.40000915527344</v>
      </c>
    </row>
    <row r="562" spans="1:11" ht="14.45" customHeight="1" x14ac:dyDescent="0.2">
      <c r="A562" s="822" t="s">
        <v>575</v>
      </c>
      <c r="B562" s="823" t="s">
        <v>576</v>
      </c>
      <c r="C562" s="826" t="s">
        <v>597</v>
      </c>
      <c r="D562" s="840" t="s">
        <v>598</v>
      </c>
      <c r="E562" s="826" t="s">
        <v>3081</v>
      </c>
      <c r="F562" s="840" t="s">
        <v>3082</v>
      </c>
      <c r="G562" s="826" t="s">
        <v>3807</v>
      </c>
      <c r="H562" s="826" t="s">
        <v>3808</v>
      </c>
      <c r="I562" s="832">
        <v>1.9749999403953553</v>
      </c>
      <c r="J562" s="832">
        <v>220</v>
      </c>
      <c r="K562" s="833">
        <v>432.45999526977539</v>
      </c>
    </row>
    <row r="563" spans="1:11" ht="14.45" customHeight="1" x14ac:dyDescent="0.2">
      <c r="A563" s="822" t="s">
        <v>575</v>
      </c>
      <c r="B563" s="823" t="s">
        <v>576</v>
      </c>
      <c r="C563" s="826" t="s">
        <v>597</v>
      </c>
      <c r="D563" s="840" t="s">
        <v>598</v>
      </c>
      <c r="E563" s="826" t="s">
        <v>3081</v>
      </c>
      <c r="F563" s="840" t="s">
        <v>3082</v>
      </c>
      <c r="G563" s="826" t="s">
        <v>3809</v>
      </c>
      <c r="H563" s="826" t="s">
        <v>3810</v>
      </c>
      <c r="I563" s="832">
        <v>25.559999465942383</v>
      </c>
      <c r="J563" s="832">
        <v>48</v>
      </c>
      <c r="K563" s="833">
        <v>1226.9199829101563</v>
      </c>
    </row>
    <row r="564" spans="1:11" ht="14.45" customHeight="1" x14ac:dyDescent="0.2">
      <c r="A564" s="822" t="s">
        <v>575</v>
      </c>
      <c r="B564" s="823" t="s">
        <v>576</v>
      </c>
      <c r="C564" s="826" t="s">
        <v>597</v>
      </c>
      <c r="D564" s="840" t="s">
        <v>598</v>
      </c>
      <c r="E564" s="826" t="s">
        <v>3081</v>
      </c>
      <c r="F564" s="840" t="s">
        <v>3082</v>
      </c>
      <c r="G564" s="826" t="s">
        <v>3186</v>
      </c>
      <c r="H564" s="826" t="s">
        <v>3215</v>
      </c>
      <c r="I564" s="832">
        <v>0.85833334922790527</v>
      </c>
      <c r="J564" s="832">
        <v>700</v>
      </c>
      <c r="K564" s="833">
        <v>601</v>
      </c>
    </row>
    <row r="565" spans="1:11" ht="14.45" customHeight="1" x14ac:dyDescent="0.2">
      <c r="A565" s="822" t="s">
        <v>575</v>
      </c>
      <c r="B565" s="823" t="s">
        <v>576</v>
      </c>
      <c r="C565" s="826" t="s">
        <v>597</v>
      </c>
      <c r="D565" s="840" t="s">
        <v>598</v>
      </c>
      <c r="E565" s="826" t="s">
        <v>3081</v>
      </c>
      <c r="F565" s="840" t="s">
        <v>3082</v>
      </c>
      <c r="G565" s="826" t="s">
        <v>3190</v>
      </c>
      <c r="H565" s="826" t="s">
        <v>3217</v>
      </c>
      <c r="I565" s="832">
        <v>2.0616666078567505</v>
      </c>
      <c r="J565" s="832">
        <v>1900</v>
      </c>
      <c r="K565" s="833">
        <v>3917</v>
      </c>
    </row>
    <row r="566" spans="1:11" ht="14.45" customHeight="1" x14ac:dyDescent="0.2">
      <c r="A566" s="822" t="s">
        <v>575</v>
      </c>
      <c r="B566" s="823" t="s">
        <v>576</v>
      </c>
      <c r="C566" s="826" t="s">
        <v>597</v>
      </c>
      <c r="D566" s="840" t="s">
        <v>598</v>
      </c>
      <c r="E566" s="826" t="s">
        <v>3081</v>
      </c>
      <c r="F566" s="840" t="s">
        <v>3082</v>
      </c>
      <c r="G566" s="826" t="s">
        <v>3194</v>
      </c>
      <c r="H566" s="826" t="s">
        <v>3219</v>
      </c>
      <c r="I566" s="832">
        <v>5.8757143020629883</v>
      </c>
      <c r="J566" s="832">
        <v>950</v>
      </c>
      <c r="K566" s="833">
        <v>5580.5</v>
      </c>
    </row>
    <row r="567" spans="1:11" ht="14.45" customHeight="1" x14ac:dyDescent="0.2">
      <c r="A567" s="822" t="s">
        <v>575</v>
      </c>
      <c r="B567" s="823" t="s">
        <v>576</v>
      </c>
      <c r="C567" s="826" t="s">
        <v>597</v>
      </c>
      <c r="D567" s="840" t="s">
        <v>598</v>
      </c>
      <c r="E567" s="826" t="s">
        <v>3081</v>
      </c>
      <c r="F567" s="840" t="s">
        <v>3082</v>
      </c>
      <c r="G567" s="826" t="s">
        <v>3801</v>
      </c>
      <c r="H567" s="826" t="s">
        <v>3811</v>
      </c>
      <c r="I567" s="832">
        <v>25.129999160766602</v>
      </c>
      <c r="J567" s="832">
        <v>36</v>
      </c>
      <c r="K567" s="833">
        <v>904.58001708984375</v>
      </c>
    </row>
    <row r="568" spans="1:11" ht="14.45" customHeight="1" x14ac:dyDescent="0.2">
      <c r="A568" s="822" t="s">
        <v>575</v>
      </c>
      <c r="B568" s="823" t="s">
        <v>576</v>
      </c>
      <c r="C568" s="826" t="s">
        <v>597</v>
      </c>
      <c r="D568" s="840" t="s">
        <v>598</v>
      </c>
      <c r="E568" s="826" t="s">
        <v>3081</v>
      </c>
      <c r="F568" s="840" t="s">
        <v>3082</v>
      </c>
      <c r="G568" s="826" t="s">
        <v>3803</v>
      </c>
      <c r="H568" s="826" t="s">
        <v>3812</v>
      </c>
      <c r="I568" s="832">
        <v>9.3000001907348633</v>
      </c>
      <c r="J568" s="832">
        <v>150</v>
      </c>
      <c r="K568" s="833">
        <v>1395</v>
      </c>
    </row>
    <row r="569" spans="1:11" ht="14.45" customHeight="1" x14ac:dyDescent="0.2">
      <c r="A569" s="822" t="s">
        <v>575</v>
      </c>
      <c r="B569" s="823" t="s">
        <v>576</v>
      </c>
      <c r="C569" s="826" t="s">
        <v>597</v>
      </c>
      <c r="D569" s="840" t="s">
        <v>598</v>
      </c>
      <c r="E569" s="826" t="s">
        <v>3081</v>
      </c>
      <c r="F569" s="840" t="s">
        <v>3082</v>
      </c>
      <c r="G569" s="826" t="s">
        <v>3196</v>
      </c>
      <c r="H569" s="826" t="s">
        <v>3813</v>
      </c>
      <c r="I569" s="832">
        <v>8.119999885559082</v>
      </c>
      <c r="J569" s="832">
        <v>16</v>
      </c>
      <c r="K569" s="833">
        <v>129.91999816894531</v>
      </c>
    </row>
    <row r="570" spans="1:11" ht="14.45" customHeight="1" x14ac:dyDescent="0.2">
      <c r="A570" s="822" t="s">
        <v>575</v>
      </c>
      <c r="B570" s="823" t="s">
        <v>576</v>
      </c>
      <c r="C570" s="826" t="s">
        <v>597</v>
      </c>
      <c r="D570" s="840" t="s">
        <v>598</v>
      </c>
      <c r="E570" s="826" t="s">
        <v>3081</v>
      </c>
      <c r="F570" s="840" t="s">
        <v>3082</v>
      </c>
      <c r="G570" s="826" t="s">
        <v>3198</v>
      </c>
      <c r="H570" s="826" t="s">
        <v>3814</v>
      </c>
      <c r="I570" s="832">
        <v>46</v>
      </c>
      <c r="J570" s="832">
        <v>3</v>
      </c>
      <c r="K570" s="833">
        <v>138</v>
      </c>
    </row>
    <row r="571" spans="1:11" ht="14.45" customHeight="1" x14ac:dyDescent="0.2">
      <c r="A571" s="822" t="s">
        <v>575</v>
      </c>
      <c r="B571" s="823" t="s">
        <v>576</v>
      </c>
      <c r="C571" s="826" t="s">
        <v>597</v>
      </c>
      <c r="D571" s="840" t="s">
        <v>598</v>
      </c>
      <c r="E571" s="826" t="s">
        <v>3081</v>
      </c>
      <c r="F571" s="840" t="s">
        <v>3082</v>
      </c>
      <c r="G571" s="826" t="s">
        <v>3200</v>
      </c>
      <c r="H571" s="826" t="s">
        <v>3220</v>
      </c>
      <c r="I571" s="832">
        <v>61.209999084472656</v>
      </c>
      <c r="J571" s="832">
        <v>1</v>
      </c>
      <c r="K571" s="833">
        <v>61.209999084472656</v>
      </c>
    </row>
    <row r="572" spans="1:11" ht="14.45" customHeight="1" x14ac:dyDescent="0.2">
      <c r="A572" s="822" t="s">
        <v>575</v>
      </c>
      <c r="B572" s="823" t="s">
        <v>576</v>
      </c>
      <c r="C572" s="826" t="s">
        <v>597</v>
      </c>
      <c r="D572" s="840" t="s">
        <v>598</v>
      </c>
      <c r="E572" s="826" t="s">
        <v>3081</v>
      </c>
      <c r="F572" s="840" t="s">
        <v>3082</v>
      </c>
      <c r="G572" s="826" t="s">
        <v>3204</v>
      </c>
      <c r="H572" s="826" t="s">
        <v>3221</v>
      </c>
      <c r="I572" s="832">
        <v>98.377498626708984</v>
      </c>
      <c r="J572" s="832">
        <v>20</v>
      </c>
      <c r="K572" s="833">
        <v>1967.5499877929688</v>
      </c>
    </row>
    <row r="573" spans="1:11" ht="14.45" customHeight="1" x14ac:dyDescent="0.2">
      <c r="A573" s="822" t="s">
        <v>575</v>
      </c>
      <c r="B573" s="823" t="s">
        <v>576</v>
      </c>
      <c r="C573" s="826" t="s">
        <v>597</v>
      </c>
      <c r="D573" s="840" t="s">
        <v>598</v>
      </c>
      <c r="E573" s="826" t="s">
        <v>3081</v>
      </c>
      <c r="F573" s="840" t="s">
        <v>3082</v>
      </c>
      <c r="G573" s="826" t="s">
        <v>3805</v>
      </c>
      <c r="H573" s="826" t="s">
        <v>3815</v>
      </c>
      <c r="I573" s="832">
        <v>8.3949999809265137</v>
      </c>
      <c r="J573" s="832">
        <v>48</v>
      </c>
      <c r="K573" s="833">
        <v>402.96000671386719</v>
      </c>
    </row>
    <row r="574" spans="1:11" ht="14.45" customHeight="1" x14ac:dyDescent="0.2">
      <c r="A574" s="822" t="s">
        <v>575</v>
      </c>
      <c r="B574" s="823" t="s">
        <v>576</v>
      </c>
      <c r="C574" s="826" t="s">
        <v>597</v>
      </c>
      <c r="D574" s="840" t="s">
        <v>598</v>
      </c>
      <c r="E574" s="826" t="s">
        <v>3081</v>
      </c>
      <c r="F574" s="840" t="s">
        <v>3082</v>
      </c>
      <c r="G574" s="826" t="s">
        <v>3210</v>
      </c>
      <c r="H574" s="826" t="s">
        <v>3816</v>
      </c>
      <c r="I574" s="832">
        <v>7.630000114440918</v>
      </c>
      <c r="J574" s="832">
        <v>72</v>
      </c>
      <c r="K574" s="833">
        <v>549.3599853515625</v>
      </c>
    </row>
    <row r="575" spans="1:11" ht="14.45" customHeight="1" x14ac:dyDescent="0.2">
      <c r="A575" s="822" t="s">
        <v>575</v>
      </c>
      <c r="B575" s="823" t="s">
        <v>576</v>
      </c>
      <c r="C575" s="826" t="s">
        <v>597</v>
      </c>
      <c r="D575" s="840" t="s">
        <v>598</v>
      </c>
      <c r="E575" s="826" t="s">
        <v>3081</v>
      </c>
      <c r="F575" s="840" t="s">
        <v>3082</v>
      </c>
      <c r="G575" s="826" t="s">
        <v>3212</v>
      </c>
      <c r="H575" s="826" t="s">
        <v>3817</v>
      </c>
      <c r="I575" s="832">
        <v>18.959999084472656</v>
      </c>
      <c r="J575" s="832">
        <v>36</v>
      </c>
      <c r="K575" s="833">
        <v>682.59001159667969</v>
      </c>
    </row>
    <row r="576" spans="1:11" ht="14.45" customHeight="1" x14ac:dyDescent="0.2">
      <c r="A576" s="822" t="s">
        <v>575</v>
      </c>
      <c r="B576" s="823" t="s">
        <v>576</v>
      </c>
      <c r="C576" s="826" t="s">
        <v>597</v>
      </c>
      <c r="D576" s="840" t="s">
        <v>598</v>
      </c>
      <c r="E576" s="826" t="s">
        <v>3081</v>
      </c>
      <c r="F576" s="840" t="s">
        <v>3082</v>
      </c>
      <c r="G576" s="826" t="s">
        <v>3807</v>
      </c>
      <c r="H576" s="826" t="s">
        <v>3818</v>
      </c>
      <c r="I576" s="832">
        <v>1.8249999682108562</v>
      </c>
      <c r="J576" s="832">
        <v>120</v>
      </c>
      <c r="K576" s="833">
        <v>218.65999603271484</v>
      </c>
    </row>
    <row r="577" spans="1:11" ht="14.45" customHeight="1" x14ac:dyDescent="0.2">
      <c r="A577" s="822" t="s">
        <v>575</v>
      </c>
      <c r="B577" s="823" t="s">
        <v>576</v>
      </c>
      <c r="C577" s="826" t="s">
        <v>597</v>
      </c>
      <c r="D577" s="840" t="s">
        <v>598</v>
      </c>
      <c r="E577" s="826" t="s">
        <v>3081</v>
      </c>
      <c r="F577" s="840" t="s">
        <v>3082</v>
      </c>
      <c r="G577" s="826" t="s">
        <v>3809</v>
      </c>
      <c r="H577" s="826" t="s">
        <v>3819</v>
      </c>
      <c r="I577" s="832">
        <v>25.552499294281006</v>
      </c>
      <c r="J577" s="832">
        <v>96</v>
      </c>
      <c r="K577" s="833">
        <v>2453.0800170898438</v>
      </c>
    </row>
    <row r="578" spans="1:11" ht="14.45" customHeight="1" x14ac:dyDescent="0.2">
      <c r="A578" s="822" t="s">
        <v>575</v>
      </c>
      <c r="B578" s="823" t="s">
        <v>576</v>
      </c>
      <c r="C578" s="826" t="s">
        <v>597</v>
      </c>
      <c r="D578" s="840" t="s">
        <v>598</v>
      </c>
      <c r="E578" s="826" t="s">
        <v>3081</v>
      </c>
      <c r="F578" s="840" t="s">
        <v>3082</v>
      </c>
      <c r="G578" s="826" t="s">
        <v>3820</v>
      </c>
      <c r="H578" s="826" t="s">
        <v>3821</v>
      </c>
      <c r="I578" s="832">
        <v>15.757272893732244</v>
      </c>
      <c r="J578" s="832">
        <v>1100</v>
      </c>
      <c r="K578" s="833">
        <v>17330.099975585938</v>
      </c>
    </row>
    <row r="579" spans="1:11" ht="14.45" customHeight="1" x14ac:dyDescent="0.2">
      <c r="A579" s="822" t="s">
        <v>575</v>
      </c>
      <c r="B579" s="823" t="s">
        <v>576</v>
      </c>
      <c r="C579" s="826" t="s">
        <v>597</v>
      </c>
      <c r="D579" s="840" t="s">
        <v>598</v>
      </c>
      <c r="E579" s="826" t="s">
        <v>3081</v>
      </c>
      <c r="F579" s="840" t="s">
        <v>3082</v>
      </c>
      <c r="G579" s="826" t="s">
        <v>3820</v>
      </c>
      <c r="H579" s="826" t="s">
        <v>3822</v>
      </c>
      <c r="I579" s="832">
        <v>15.760000228881836</v>
      </c>
      <c r="J579" s="832">
        <v>560</v>
      </c>
      <c r="K579" s="833">
        <v>8823.3500366210938</v>
      </c>
    </row>
    <row r="580" spans="1:11" ht="14.45" customHeight="1" x14ac:dyDescent="0.2">
      <c r="A580" s="822" t="s">
        <v>575</v>
      </c>
      <c r="B580" s="823" t="s">
        <v>576</v>
      </c>
      <c r="C580" s="826" t="s">
        <v>597</v>
      </c>
      <c r="D580" s="840" t="s">
        <v>598</v>
      </c>
      <c r="E580" s="826" t="s">
        <v>3081</v>
      </c>
      <c r="F580" s="840" t="s">
        <v>3082</v>
      </c>
      <c r="G580" s="826" t="s">
        <v>3224</v>
      </c>
      <c r="H580" s="826" t="s">
        <v>3225</v>
      </c>
      <c r="I580" s="832">
        <v>2.5074999928474426</v>
      </c>
      <c r="J580" s="832">
        <v>240</v>
      </c>
      <c r="K580" s="833">
        <v>601.80000305175781</v>
      </c>
    </row>
    <row r="581" spans="1:11" ht="14.45" customHeight="1" x14ac:dyDescent="0.2">
      <c r="A581" s="822" t="s">
        <v>575</v>
      </c>
      <c r="B581" s="823" t="s">
        <v>576</v>
      </c>
      <c r="C581" s="826" t="s">
        <v>597</v>
      </c>
      <c r="D581" s="840" t="s">
        <v>598</v>
      </c>
      <c r="E581" s="826" t="s">
        <v>3081</v>
      </c>
      <c r="F581" s="840" t="s">
        <v>3082</v>
      </c>
      <c r="G581" s="826" t="s">
        <v>3226</v>
      </c>
      <c r="H581" s="826" t="s">
        <v>3227</v>
      </c>
      <c r="I581" s="832">
        <v>3.9688889185587564</v>
      </c>
      <c r="J581" s="832">
        <v>180</v>
      </c>
      <c r="K581" s="833">
        <v>714.40000915527344</v>
      </c>
    </row>
    <row r="582" spans="1:11" ht="14.45" customHeight="1" x14ac:dyDescent="0.2">
      <c r="A582" s="822" t="s">
        <v>575</v>
      </c>
      <c r="B582" s="823" t="s">
        <v>576</v>
      </c>
      <c r="C582" s="826" t="s">
        <v>597</v>
      </c>
      <c r="D582" s="840" t="s">
        <v>598</v>
      </c>
      <c r="E582" s="826" t="s">
        <v>3081</v>
      </c>
      <c r="F582" s="840" t="s">
        <v>3082</v>
      </c>
      <c r="G582" s="826" t="s">
        <v>3236</v>
      </c>
      <c r="H582" s="826" t="s">
        <v>3823</v>
      </c>
      <c r="I582" s="832">
        <v>1490.4000244140625</v>
      </c>
      <c r="J582" s="832">
        <v>3</v>
      </c>
      <c r="K582" s="833">
        <v>4471.2001953125</v>
      </c>
    </row>
    <row r="583" spans="1:11" ht="14.45" customHeight="1" x14ac:dyDescent="0.2">
      <c r="A583" s="822" t="s">
        <v>575</v>
      </c>
      <c r="B583" s="823" t="s">
        <v>576</v>
      </c>
      <c r="C583" s="826" t="s">
        <v>597</v>
      </c>
      <c r="D583" s="840" t="s">
        <v>598</v>
      </c>
      <c r="E583" s="826" t="s">
        <v>3081</v>
      </c>
      <c r="F583" s="840" t="s">
        <v>3082</v>
      </c>
      <c r="G583" s="826" t="s">
        <v>3238</v>
      </c>
      <c r="H583" s="826" t="s">
        <v>3239</v>
      </c>
      <c r="I583" s="832">
        <v>67.319999694824219</v>
      </c>
      <c r="J583" s="832">
        <v>140</v>
      </c>
      <c r="K583" s="833">
        <v>9424.9404296875</v>
      </c>
    </row>
    <row r="584" spans="1:11" ht="14.45" customHeight="1" x14ac:dyDescent="0.2">
      <c r="A584" s="822" t="s">
        <v>575</v>
      </c>
      <c r="B584" s="823" t="s">
        <v>576</v>
      </c>
      <c r="C584" s="826" t="s">
        <v>597</v>
      </c>
      <c r="D584" s="840" t="s">
        <v>598</v>
      </c>
      <c r="E584" s="826" t="s">
        <v>3081</v>
      </c>
      <c r="F584" s="840" t="s">
        <v>3082</v>
      </c>
      <c r="G584" s="826" t="s">
        <v>3238</v>
      </c>
      <c r="H584" s="826" t="s">
        <v>3240</v>
      </c>
      <c r="I584" s="832">
        <v>77.419998168945313</v>
      </c>
      <c r="J584" s="832">
        <v>35</v>
      </c>
      <c r="K584" s="833">
        <v>2709.6298828125</v>
      </c>
    </row>
    <row r="585" spans="1:11" ht="14.45" customHeight="1" x14ac:dyDescent="0.2">
      <c r="A585" s="822" t="s">
        <v>575</v>
      </c>
      <c r="B585" s="823" t="s">
        <v>576</v>
      </c>
      <c r="C585" s="826" t="s">
        <v>597</v>
      </c>
      <c r="D585" s="840" t="s">
        <v>598</v>
      </c>
      <c r="E585" s="826" t="s">
        <v>3081</v>
      </c>
      <c r="F585" s="840" t="s">
        <v>3082</v>
      </c>
      <c r="G585" s="826" t="s">
        <v>3250</v>
      </c>
      <c r="H585" s="826" t="s">
        <v>3251</v>
      </c>
      <c r="I585" s="832">
        <v>0.5</v>
      </c>
      <c r="J585" s="832">
        <v>1600</v>
      </c>
      <c r="K585" s="833">
        <v>798</v>
      </c>
    </row>
    <row r="586" spans="1:11" ht="14.45" customHeight="1" x14ac:dyDescent="0.2">
      <c r="A586" s="822" t="s">
        <v>575</v>
      </c>
      <c r="B586" s="823" t="s">
        <v>576</v>
      </c>
      <c r="C586" s="826" t="s">
        <v>597</v>
      </c>
      <c r="D586" s="840" t="s">
        <v>598</v>
      </c>
      <c r="E586" s="826" t="s">
        <v>3081</v>
      </c>
      <c r="F586" s="840" t="s">
        <v>3082</v>
      </c>
      <c r="G586" s="826" t="s">
        <v>3250</v>
      </c>
      <c r="H586" s="826" t="s">
        <v>3252</v>
      </c>
      <c r="I586" s="832">
        <v>0.49600000381469728</v>
      </c>
      <c r="J586" s="832">
        <v>1900</v>
      </c>
      <c r="K586" s="833">
        <v>943</v>
      </c>
    </row>
    <row r="587" spans="1:11" ht="14.45" customHeight="1" x14ac:dyDescent="0.2">
      <c r="A587" s="822" t="s">
        <v>575</v>
      </c>
      <c r="B587" s="823" t="s">
        <v>576</v>
      </c>
      <c r="C587" s="826" t="s">
        <v>597</v>
      </c>
      <c r="D587" s="840" t="s">
        <v>598</v>
      </c>
      <c r="E587" s="826" t="s">
        <v>3081</v>
      </c>
      <c r="F587" s="840" t="s">
        <v>3082</v>
      </c>
      <c r="G587" s="826" t="s">
        <v>3253</v>
      </c>
      <c r="H587" s="826" t="s">
        <v>3254</v>
      </c>
      <c r="I587" s="832">
        <v>0.67000001668930054</v>
      </c>
      <c r="J587" s="832">
        <v>4000</v>
      </c>
      <c r="K587" s="833">
        <v>2680</v>
      </c>
    </row>
    <row r="588" spans="1:11" ht="14.45" customHeight="1" x14ac:dyDescent="0.2">
      <c r="A588" s="822" t="s">
        <v>575</v>
      </c>
      <c r="B588" s="823" t="s">
        <v>576</v>
      </c>
      <c r="C588" s="826" t="s">
        <v>597</v>
      </c>
      <c r="D588" s="840" t="s">
        <v>598</v>
      </c>
      <c r="E588" s="826" t="s">
        <v>3081</v>
      </c>
      <c r="F588" s="840" t="s">
        <v>3082</v>
      </c>
      <c r="G588" s="826" t="s">
        <v>3824</v>
      </c>
      <c r="H588" s="826" t="s">
        <v>3825</v>
      </c>
      <c r="I588" s="832">
        <v>1.2016666332880657</v>
      </c>
      <c r="J588" s="832">
        <v>9000</v>
      </c>
      <c r="K588" s="833">
        <v>10827.150024414063</v>
      </c>
    </row>
    <row r="589" spans="1:11" ht="14.45" customHeight="1" x14ac:dyDescent="0.2">
      <c r="A589" s="822" t="s">
        <v>575</v>
      </c>
      <c r="B589" s="823" t="s">
        <v>576</v>
      </c>
      <c r="C589" s="826" t="s">
        <v>597</v>
      </c>
      <c r="D589" s="840" t="s">
        <v>598</v>
      </c>
      <c r="E589" s="826" t="s">
        <v>3081</v>
      </c>
      <c r="F589" s="840" t="s">
        <v>3082</v>
      </c>
      <c r="G589" s="826" t="s">
        <v>3253</v>
      </c>
      <c r="H589" s="826" t="s">
        <v>3255</v>
      </c>
      <c r="I589" s="832">
        <v>0.66833335161209106</v>
      </c>
      <c r="J589" s="832">
        <v>4000</v>
      </c>
      <c r="K589" s="833">
        <v>2675</v>
      </c>
    </row>
    <row r="590" spans="1:11" ht="14.45" customHeight="1" x14ac:dyDescent="0.2">
      <c r="A590" s="822" t="s">
        <v>575</v>
      </c>
      <c r="B590" s="823" t="s">
        <v>576</v>
      </c>
      <c r="C590" s="826" t="s">
        <v>597</v>
      </c>
      <c r="D590" s="840" t="s">
        <v>598</v>
      </c>
      <c r="E590" s="826" t="s">
        <v>3081</v>
      </c>
      <c r="F590" s="840" t="s">
        <v>3082</v>
      </c>
      <c r="G590" s="826" t="s">
        <v>3824</v>
      </c>
      <c r="H590" s="826" t="s">
        <v>3826</v>
      </c>
      <c r="I590" s="832">
        <v>1.1699999570846558</v>
      </c>
      <c r="J590" s="832">
        <v>6000</v>
      </c>
      <c r="K590" s="833">
        <v>7033.5</v>
      </c>
    </row>
    <row r="591" spans="1:11" ht="14.45" customHeight="1" x14ac:dyDescent="0.2">
      <c r="A591" s="822" t="s">
        <v>575</v>
      </c>
      <c r="B591" s="823" t="s">
        <v>576</v>
      </c>
      <c r="C591" s="826" t="s">
        <v>597</v>
      </c>
      <c r="D591" s="840" t="s">
        <v>598</v>
      </c>
      <c r="E591" s="826" t="s">
        <v>3081</v>
      </c>
      <c r="F591" s="840" t="s">
        <v>3082</v>
      </c>
      <c r="G591" s="826" t="s">
        <v>3827</v>
      </c>
      <c r="H591" s="826" t="s">
        <v>3828</v>
      </c>
      <c r="I591" s="832">
        <v>3.9462500512599945</v>
      </c>
      <c r="J591" s="832">
        <v>2000</v>
      </c>
      <c r="K591" s="833">
        <v>7895.3500366210938</v>
      </c>
    </row>
    <row r="592" spans="1:11" ht="14.45" customHeight="1" x14ac:dyDescent="0.2">
      <c r="A592" s="822" t="s">
        <v>575</v>
      </c>
      <c r="B592" s="823" t="s">
        <v>576</v>
      </c>
      <c r="C592" s="826" t="s">
        <v>597</v>
      </c>
      <c r="D592" s="840" t="s">
        <v>598</v>
      </c>
      <c r="E592" s="826" t="s">
        <v>3081</v>
      </c>
      <c r="F592" s="840" t="s">
        <v>3082</v>
      </c>
      <c r="G592" s="826" t="s">
        <v>3827</v>
      </c>
      <c r="H592" s="826" t="s">
        <v>3829</v>
      </c>
      <c r="I592" s="832">
        <v>3.9466667175292969</v>
      </c>
      <c r="J592" s="832">
        <v>1500</v>
      </c>
      <c r="K592" s="833">
        <v>5919.5999755859375</v>
      </c>
    </row>
    <row r="593" spans="1:11" ht="14.45" customHeight="1" x14ac:dyDescent="0.2">
      <c r="A593" s="822" t="s">
        <v>575</v>
      </c>
      <c r="B593" s="823" t="s">
        <v>576</v>
      </c>
      <c r="C593" s="826" t="s">
        <v>597</v>
      </c>
      <c r="D593" s="840" t="s">
        <v>598</v>
      </c>
      <c r="E593" s="826" t="s">
        <v>3081</v>
      </c>
      <c r="F593" s="840" t="s">
        <v>3082</v>
      </c>
      <c r="G593" s="826" t="s">
        <v>3830</v>
      </c>
      <c r="H593" s="826" t="s">
        <v>3831</v>
      </c>
      <c r="I593" s="832">
        <v>0.14000000059604645</v>
      </c>
      <c r="J593" s="832">
        <v>200</v>
      </c>
      <c r="K593" s="833">
        <v>28</v>
      </c>
    </row>
    <row r="594" spans="1:11" ht="14.45" customHeight="1" x14ac:dyDescent="0.2">
      <c r="A594" s="822" t="s">
        <v>575</v>
      </c>
      <c r="B594" s="823" t="s">
        <v>576</v>
      </c>
      <c r="C594" s="826" t="s">
        <v>597</v>
      </c>
      <c r="D594" s="840" t="s">
        <v>598</v>
      </c>
      <c r="E594" s="826" t="s">
        <v>3081</v>
      </c>
      <c r="F594" s="840" t="s">
        <v>3082</v>
      </c>
      <c r="G594" s="826" t="s">
        <v>3832</v>
      </c>
      <c r="H594" s="826" t="s">
        <v>3833</v>
      </c>
      <c r="I594" s="832">
        <v>1.2100000381469727</v>
      </c>
      <c r="J594" s="832">
        <v>1000</v>
      </c>
      <c r="K594" s="833">
        <v>1210</v>
      </c>
    </row>
    <row r="595" spans="1:11" ht="14.45" customHeight="1" x14ac:dyDescent="0.2">
      <c r="A595" s="822" t="s">
        <v>575</v>
      </c>
      <c r="B595" s="823" t="s">
        <v>576</v>
      </c>
      <c r="C595" s="826" t="s">
        <v>597</v>
      </c>
      <c r="D595" s="840" t="s">
        <v>598</v>
      </c>
      <c r="E595" s="826" t="s">
        <v>3081</v>
      </c>
      <c r="F595" s="840" t="s">
        <v>3082</v>
      </c>
      <c r="G595" s="826" t="s">
        <v>3256</v>
      </c>
      <c r="H595" s="826" t="s">
        <v>3257</v>
      </c>
      <c r="I595" s="832">
        <v>30.732500076293945</v>
      </c>
      <c r="J595" s="832">
        <v>9</v>
      </c>
      <c r="K595" s="833">
        <v>276.35000038146973</v>
      </c>
    </row>
    <row r="596" spans="1:11" ht="14.45" customHeight="1" x14ac:dyDescent="0.2">
      <c r="A596" s="822" t="s">
        <v>575</v>
      </c>
      <c r="B596" s="823" t="s">
        <v>576</v>
      </c>
      <c r="C596" s="826" t="s">
        <v>597</v>
      </c>
      <c r="D596" s="840" t="s">
        <v>598</v>
      </c>
      <c r="E596" s="826" t="s">
        <v>3081</v>
      </c>
      <c r="F596" s="840" t="s">
        <v>3082</v>
      </c>
      <c r="G596" s="826" t="s">
        <v>3258</v>
      </c>
      <c r="H596" s="826" t="s">
        <v>3259</v>
      </c>
      <c r="I596" s="832">
        <v>30.044544913552024</v>
      </c>
      <c r="J596" s="832">
        <v>432</v>
      </c>
      <c r="K596" s="833">
        <v>12951.83984375</v>
      </c>
    </row>
    <row r="597" spans="1:11" ht="14.45" customHeight="1" x14ac:dyDescent="0.2">
      <c r="A597" s="822" t="s">
        <v>575</v>
      </c>
      <c r="B597" s="823" t="s">
        <v>576</v>
      </c>
      <c r="C597" s="826" t="s">
        <v>597</v>
      </c>
      <c r="D597" s="840" t="s">
        <v>598</v>
      </c>
      <c r="E597" s="826" t="s">
        <v>3081</v>
      </c>
      <c r="F597" s="840" t="s">
        <v>3082</v>
      </c>
      <c r="G597" s="826" t="s">
        <v>3258</v>
      </c>
      <c r="H597" s="826" t="s">
        <v>3261</v>
      </c>
      <c r="I597" s="832">
        <v>29.281666119893391</v>
      </c>
      <c r="J597" s="832">
        <v>264</v>
      </c>
      <c r="K597" s="833">
        <v>7716.0001220703125</v>
      </c>
    </row>
    <row r="598" spans="1:11" ht="14.45" customHeight="1" x14ac:dyDescent="0.2">
      <c r="A598" s="822" t="s">
        <v>575</v>
      </c>
      <c r="B598" s="823" t="s">
        <v>576</v>
      </c>
      <c r="C598" s="826" t="s">
        <v>597</v>
      </c>
      <c r="D598" s="840" t="s">
        <v>598</v>
      </c>
      <c r="E598" s="826" t="s">
        <v>3264</v>
      </c>
      <c r="F598" s="840" t="s">
        <v>3265</v>
      </c>
      <c r="G598" s="826" t="s">
        <v>3266</v>
      </c>
      <c r="H598" s="826" t="s">
        <v>3267</v>
      </c>
      <c r="I598" s="832">
        <v>2.04749995470047</v>
      </c>
      <c r="J598" s="832">
        <v>400</v>
      </c>
      <c r="K598" s="833">
        <v>819</v>
      </c>
    </row>
    <row r="599" spans="1:11" ht="14.45" customHeight="1" x14ac:dyDescent="0.2">
      <c r="A599" s="822" t="s">
        <v>575</v>
      </c>
      <c r="B599" s="823" t="s">
        <v>576</v>
      </c>
      <c r="C599" s="826" t="s">
        <v>597</v>
      </c>
      <c r="D599" s="840" t="s">
        <v>598</v>
      </c>
      <c r="E599" s="826" t="s">
        <v>3264</v>
      </c>
      <c r="F599" s="840" t="s">
        <v>3265</v>
      </c>
      <c r="G599" s="826" t="s">
        <v>3266</v>
      </c>
      <c r="H599" s="826" t="s">
        <v>3268</v>
      </c>
      <c r="I599" s="832">
        <v>2.0499999523162842</v>
      </c>
      <c r="J599" s="832">
        <v>200</v>
      </c>
      <c r="K599" s="833">
        <v>410</v>
      </c>
    </row>
    <row r="600" spans="1:11" ht="14.45" customHeight="1" x14ac:dyDescent="0.2">
      <c r="A600" s="822" t="s">
        <v>575</v>
      </c>
      <c r="B600" s="823" t="s">
        <v>576</v>
      </c>
      <c r="C600" s="826" t="s">
        <v>597</v>
      </c>
      <c r="D600" s="840" t="s">
        <v>598</v>
      </c>
      <c r="E600" s="826" t="s">
        <v>3264</v>
      </c>
      <c r="F600" s="840" t="s">
        <v>3265</v>
      </c>
      <c r="G600" s="826" t="s">
        <v>3834</v>
      </c>
      <c r="H600" s="826" t="s">
        <v>3835</v>
      </c>
      <c r="I600" s="832">
        <v>650.33001708984375</v>
      </c>
      <c r="J600" s="832">
        <v>2</v>
      </c>
      <c r="K600" s="833">
        <v>1300.6500244140625</v>
      </c>
    </row>
    <row r="601" spans="1:11" ht="14.45" customHeight="1" x14ac:dyDescent="0.2">
      <c r="A601" s="822" t="s">
        <v>575</v>
      </c>
      <c r="B601" s="823" t="s">
        <v>576</v>
      </c>
      <c r="C601" s="826" t="s">
        <v>597</v>
      </c>
      <c r="D601" s="840" t="s">
        <v>598</v>
      </c>
      <c r="E601" s="826" t="s">
        <v>3264</v>
      </c>
      <c r="F601" s="840" t="s">
        <v>3265</v>
      </c>
      <c r="G601" s="826" t="s">
        <v>3834</v>
      </c>
      <c r="H601" s="826" t="s">
        <v>3836</v>
      </c>
      <c r="I601" s="832">
        <v>650.32000732421875</v>
      </c>
      <c r="J601" s="832">
        <v>1</v>
      </c>
      <c r="K601" s="833">
        <v>650.32000732421875</v>
      </c>
    </row>
    <row r="602" spans="1:11" ht="14.45" customHeight="1" x14ac:dyDescent="0.2">
      <c r="A602" s="822" t="s">
        <v>575</v>
      </c>
      <c r="B602" s="823" t="s">
        <v>576</v>
      </c>
      <c r="C602" s="826" t="s">
        <v>597</v>
      </c>
      <c r="D602" s="840" t="s">
        <v>598</v>
      </c>
      <c r="E602" s="826" t="s">
        <v>3264</v>
      </c>
      <c r="F602" s="840" t="s">
        <v>3265</v>
      </c>
      <c r="G602" s="826" t="s">
        <v>3269</v>
      </c>
      <c r="H602" s="826" t="s">
        <v>3270</v>
      </c>
      <c r="I602" s="832">
        <v>47.189998626708984</v>
      </c>
      <c r="J602" s="832">
        <v>652</v>
      </c>
      <c r="K602" s="833">
        <v>30767.879028320313</v>
      </c>
    </row>
    <row r="603" spans="1:11" ht="14.45" customHeight="1" x14ac:dyDescent="0.2">
      <c r="A603" s="822" t="s">
        <v>575</v>
      </c>
      <c r="B603" s="823" t="s">
        <v>576</v>
      </c>
      <c r="C603" s="826" t="s">
        <v>597</v>
      </c>
      <c r="D603" s="840" t="s">
        <v>598</v>
      </c>
      <c r="E603" s="826" t="s">
        <v>3264</v>
      </c>
      <c r="F603" s="840" t="s">
        <v>3265</v>
      </c>
      <c r="G603" s="826" t="s">
        <v>3269</v>
      </c>
      <c r="H603" s="826" t="s">
        <v>3271</v>
      </c>
      <c r="I603" s="832">
        <v>47.189998626708984</v>
      </c>
      <c r="J603" s="832">
        <v>353</v>
      </c>
      <c r="K603" s="833">
        <v>16658.069580078125</v>
      </c>
    </row>
    <row r="604" spans="1:11" ht="14.45" customHeight="1" x14ac:dyDescent="0.2">
      <c r="A604" s="822" t="s">
        <v>575</v>
      </c>
      <c r="B604" s="823" t="s">
        <v>576</v>
      </c>
      <c r="C604" s="826" t="s">
        <v>597</v>
      </c>
      <c r="D604" s="840" t="s">
        <v>598</v>
      </c>
      <c r="E604" s="826" t="s">
        <v>3264</v>
      </c>
      <c r="F604" s="840" t="s">
        <v>3265</v>
      </c>
      <c r="G604" s="826" t="s">
        <v>3272</v>
      </c>
      <c r="H604" s="826" t="s">
        <v>3273</v>
      </c>
      <c r="I604" s="832">
        <v>2.9050000905990601</v>
      </c>
      <c r="J604" s="832">
        <v>600</v>
      </c>
      <c r="K604" s="833">
        <v>1743</v>
      </c>
    </row>
    <row r="605" spans="1:11" ht="14.45" customHeight="1" x14ac:dyDescent="0.2">
      <c r="A605" s="822" t="s">
        <v>575</v>
      </c>
      <c r="B605" s="823" t="s">
        <v>576</v>
      </c>
      <c r="C605" s="826" t="s">
        <v>597</v>
      </c>
      <c r="D605" s="840" t="s">
        <v>598</v>
      </c>
      <c r="E605" s="826" t="s">
        <v>3264</v>
      </c>
      <c r="F605" s="840" t="s">
        <v>3265</v>
      </c>
      <c r="G605" s="826" t="s">
        <v>3837</v>
      </c>
      <c r="H605" s="826" t="s">
        <v>3838</v>
      </c>
      <c r="I605" s="832">
        <v>13.810000419616699</v>
      </c>
      <c r="J605" s="832">
        <v>600</v>
      </c>
      <c r="K605" s="833">
        <v>8283.8199462890625</v>
      </c>
    </row>
    <row r="606" spans="1:11" ht="14.45" customHeight="1" x14ac:dyDescent="0.2">
      <c r="A606" s="822" t="s">
        <v>575</v>
      </c>
      <c r="B606" s="823" t="s">
        <v>576</v>
      </c>
      <c r="C606" s="826" t="s">
        <v>597</v>
      </c>
      <c r="D606" s="840" t="s">
        <v>598</v>
      </c>
      <c r="E606" s="826" t="s">
        <v>3264</v>
      </c>
      <c r="F606" s="840" t="s">
        <v>3265</v>
      </c>
      <c r="G606" s="826" t="s">
        <v>3837</v>
      </c>
      <c r="H606" s="826" t="s">
        <v>3839</v>
      </c>
      <c r="I606" s="832">
        <v>13.808571815490723</v>
      </c>
      <c r="J606" s="832">
        <v>350</v>
      </c>
      <c r="K606" s="833">
        <v>4831.9299926757813</v>
      </c>
    </row>
    <row r="607" spans="1:11" ht="14.45" customHeight="1" x14ac:dyDescent="0.2">
      <c r="A607" s="822" t="s">
        <v>575</v>
      </c>
      <c r="B607" s="823" t="s">
        <v>576</v>
      </c>
      <c r="C607" s="826" t="s">
        <v>597</v>
      </c>
      <c r="D607" s="840" t="s">
        <v>598</v>
      </c>
      <c r="E607" s="826" t="s">
        <v>3264</v>
      </c>
      <c r="F607" s="840" t="s">
        <v>3265</v>
      </c>
      <c r="G607" s="826" t="s">
        <v>3840</v>
      </c>
      <c r="H607" s="826" t="s">
        <v>3841</v>
      </c>
      <c r="I607" s="832">
        <v>2.3599998950958252</v>
      </c>
      <c r="J607" s="832">
        <v>800</v>
      </c>
      <c r="K607" s="833">
        <v>1888</v>
      </c>
    </row>
    <row r="608" spans="1:11" ht="14.45" customHeight="1" x14ac:dyDescent="0.2">
      <c r="A608" s="822" t="s">
        <v>575</v>
      </c>
      <c r="B608" s="823" t="s">
        <v>576</v>
      </c>
      <c r="C608" s="826" t="s">
        <v>597</v>
      </c>
      <c r="D608" s="840" t="s">
        <v>598</v>
      </c>
      <c r="E608" s="826" t="s">
        <v>3264</v>
      </c>
      <c r="F608" s="840" t="s">
        <v>3265</v>
      </c>
      <c r="G608" s="826" t="s">
        <v>3842</v>
      </c>
      <c r="H608" s="826" t="s">
        <v>3843</v>
      </c>
      <c r="I608" s="832">
        <v>2.3599998950958252</v>
      </c>
      <c r="J608" s="832">
        <v>1850</v>
      </c>
      <c r="K608" s="833">
        <v>4366</v>
      </c>
    </row>
    <row r="609" spans="1:11" ht="14.45" customHeight="1" x14ac:dyDescent="0.2">
      <c r="A609" s="822" t="s">
        <v>575</v>
      </c>
      <c r="B609" s="823" t="s">
        <v>576</v>
      </c>
      <c r="C609" s="826" t="s">
        <v>597</v>
      </c>
      <c r="D609" s="840" t="s">
        <v>598</v>
      </c>
      <c r="E609" s="826" t="s">
        <v>3264</v>
      </c>
      <c r="F609" s="840" t="s">
        <v>3265</v>
      </c>
      <c r="G609" s="826" t="s">
        <v>3844</v>
      </c>
      <c r="H609" s="826" t="s">
        <v>3845</v>
      </c>
      <c r="I609" s="832">
        <v>2.3587498962879181</v>
      </c>
      <c r="J609" s="832">
        <v>1200</v>
      </c>
      <c r="K609" s="833">
        <v>2831</v>
      </c>
    </row>
    <row r="610" spans="1:11" ht="14.45" customHeight="1" x14ac:dyDescent="0.2">
      <c r="A610" s="822" t="s">
        <v>575</v>
      </c>
      <c r="B610" s="823" t="s">
        <v>576</v>
      </c>
      <c r="C610" s="826" t="s">
        <v>597</v>
      </c>
      <c r="D610" s="840" t="s">
        <v>598</v>
      </c>
      <c r="E610" s="826" t="s">
        <v>3264</v>
      </c>
      <c r="F610" s="840" t="s">
        <v>3265</v>
      </c>
      <c r="G610" s="826" t="s">
        <v>3840</v>
      </c>
      <c r="H610" s="826" t="s">
        <v>3846</v>
      </c>
      <c r="I610" s="832">
        <v>2.3599998950958252</v>
      </c>
      <c r="J610" s="832">
        <v>600</v>
      </c>
      <c r="K610" s="833">
        <v>1416</v>
      </c>
    </row>
    <row r="611" spans="1:11" ht="14.45" customHeight="1" x14ac:dyDescent="0.2">
      <c r="A611" s="822" t="s">
        <v>575</v>
      </c>
      <c r="B611" s="823" t="s">
        <v>576</v>
      </c>
      <c r="C611" s="826" t="s">
        <v>597</v>
      </c>
      <c r="D611" s="840" t="s">
        <v>598</v>
      </c>
      <c r="E611" s="826" t="s">
        <v>3264</v>
      </c>
      <c r="F611" s="840" t="s">
        <v>3265</v>
      </c>
      <c r="G611" s="826" t="s">
        <v>3842</v>
      </c>
      <c r="H611" s="826" t="s">
        <v>3847</v>
      </c>
      <c r="I611" s="832">
        <v>2.3599998950958252</v>
      </c>
      <c r="J611" s="832">
        <v>2400</v>
      </c>
      <c r="K611" s="833">
        <v>5663.7000007629395</v>
      </c>
    </row>
    <row r="612" spans="1:11" ht="14.45" customHeight="1" x14ac:dyDescent="0.2">
      <c r="A612" s="822" t="s">
        <v>575</v>
      </c>
      <c r="B612" s="823" t="s">
        <v>576</v>
      </c>
      <c r="C612" s="826" t="s">
        <v>597</v>
      </c>
      <c r="D612" s="840" t="s">
        <v>598</v>
      </c>
      <c r="E612" s="826" t="s">
        <v>3264</v>
      </c>
      <c r="F612" s="840" t="s">
        <v>3265</v>
      </c>
      <c r="G612" s="826" t="s">
        <v>3844</v>
      </c>
      <c r="H612" s="826" t="s">
        <v>3848</v>
      </c>
      <c r="I612" s="832">
        <v>2.3599998950958252</v>
      </c>
      <c r="J612" s="832">
        <v>900</v>
      </c>
      <c r="K612" s="833">
        <v>2124</v>
      </c>
    </row>
    <row r="613" spans="1:11" ht="14.45" customHeight="1" x14ac:dyDescent="0.2">
      <c r="A613" s="822" t="s">
        <v>575</v>
      </c>
      <c r="B613" s="823" t="s">
        <v>576</v>
      </c>
      <c r="C613" s="826" t="s">
        <v>597</v>
      </c>
      <c r="D613" s="840" t="s">
        <v>598</v>
      </c>
      <c r="E613" s="826" t="s">
        <v>3264</v>
      </c>
      <c r="F613" s="840" t="s">
        <v>3265</v>
      </c>
      <c r="G613" s="826" t="s">
        <v>3272</v>
      </c>
      <c r="H613" s="826" t="s">
        <v>3277</v>
      </c>
      <c r="I613" s="832">
        <v>2.9050000905990601</v>
      </c>
      <c r="J613" s="832">
        <v>400</v>
      </c>
      <c r="K613" s="833">
        <v>1162</v>
      </c>
    </row>
    <row r="614" spans="1:11" ht="14.45" customHeight="1" x14ac:dyDescent="0.2">
      <c r="A614" s="822" t="s">
        <v>575</v>
      </c>
      <c r="B614" s="823" t="s">
        <v>576</v>
      </c>
      <c r="C614" s="826" t="s">
        <v>597</v>
      </c>
      <c r="D614" s="840" t="s">
        <v>598</v>
      </c>
      <c r="E614" s="826" t="s">
        <v>3264</v>
      </c>
      <c r="F614" s="840" t="s">
        <v>3265</v>
      </c>
      <c r="G614" s="826" t="s">
        <v>3849</v>
      </c>
      <c r="H614" s="826" t="s">
        <v>3850</v>
      </c>
      <c r="I614" s="832">
        <v>150.64999389648438</v>
      </c>
      <c r="J614" s="832">
        <v>2</v>
      </c>
      <c r="K614" s="833">
        <v>301.29000854492188</v>
      </c>
    </row>
    <row r="615" spans="1:11" ht="14.45" customHeight="1" x14ac:dyDescent="0.2">
      <c r="A615" s="822" t="s">
        <v>575</v>
      </c>
      <c r="B615" s="823" t="s">
        <v>576</v>
      </c>
      <c r="C615" s="826" t="s">
        <v>597</v>
      </c>
      <c r="D615" s="840" t="s">
        <v>598</v>
      </c>
      <c r="E615" s="826" t="s">
        <v>3264</v>
      </c>
      <c r="F615" s="840" t="s">
        <v>3265</v>
      </c>
      <c r="G615" s="826" t="s">
        <v>3849</v>
      </c>
      <c r="H615" s="826" t="s">
        <v>3851</v>
      </c>
      <c r="I615" s="832">
        <v>150.58999633789063</v>
      </c>
      <c r="J615" s="832">
        <v>2</v>
      </c>
      <c r="K615" s="833">
        <v>301.17999267578125</v>
      </c>
    </row>
    <row r="616" spans="1:11" ht="14.45" customHeight="1" x14ac:dyDescent="0.2">
      <c r="A616" s="822" t="s">
        <v>575</v>
      </c>
      <c r="B616" s="823" t="s">
        <v>576</v>
      </c>
      <c r="C616" s="826" t="s">
        <v>597</v>
      </c>
      <c r="D616" s="840" t="s">
        <v>598</v>
      </c>
      <c r="E616" s="826" t="s">
        <v>3264</v>
      </c>
      <c r="F616" s="840" t="s">
        <v>3265</v>
      </c>
      <c r="G616" s="826" t="s">
        <v>3278</v>
      </c>
      <c r="H616" s="826" t="s">
        <v>3279</v>
      </c>
      <c r="I616" s="832">
        <v>1.0909090665253725E-2</v>
      </c>
      <c r="J616" s="832">
        <v>3000</v>
      </c>
      <c r="K616" s="833">
        <v>34</v>
      </c>
    </row>
    <row r="617" spans="1:11" ht="14.45" customHeight="1" x14ac:dyDescent="0.2">
      <c r="A617" s="822" t="s">
        <v>575</v>
      </c>
      <c r="B617" s="823" t="s">
        <v>576</v>
      </c>
      <c r="C617" s="826" t="s">
        <v>597</v>
      </c>
      <c r="D617" s="840" t="s">
        <v>598</v>
      </c>
      <c r="E617" s="826" t="s">
        <v>3264</v>
      </c>
      <c r="F617" s="840" t="s">
        <v>3265</v>
      </c>
      <c r="G617" s="826" t="s">
        <v>3852</v>
      </c>
      <c r="H617" s="826" t="s">
        <v>3853</v>
      </c>
      <c r="I617" s="832">
        <v>373.64999389648438</v>
      </c>
      <c r="J617" s="832">
        <v>1</v>
      </c>
      <c r="K617" s="833">
        <v>373.64999389648438</v>
      </c>
    </row>
    <row r="618" spans="1:11" ht="14.45" customHeight="1" x14ac:dyDescent="0.2">
      <c r="A618" s="822" t="s">
        <v>575</v>
      </c>
      <c r="B618" s="823" t="s">
        <v>576</v>
      </c>
      <c r="C618" s="826" t="s">
        <v>597</v>
      </c>
      <c r="D618" s="840" t="s">
        <v>598</v>
      </c>
      <c r="E618" s="826" t="s">
        <v>3264</v>
      </c>
      <c r="F618" s="840" t="s">
        <v>3265</v>
      </c>
      <c r="G618" s="826" t="s">
        <v>3278</v>
      </c>
      <c r="H618" s="826" t="s">
        <v>3282</v>
      </c>
      <c r="I618" s="832">
        <v>1.1666666405896345E-2</v>
      </c>
      <c r="J618" s="832">
        <v>2300</v>
      </c>
      <c r="K618" s="833">
        <v>27</v>
      </c>
    </row>
    <row r="619" spans="1:11" ht="14.45" customHeight="1" x14ac:dyDescent="0.2">
      <c r="A619" s="822" t="s">
        <v>575</v>
      </c>
      <c r="B619" s="823" t="s">
        <v>576</v>
      </c>
      <c r="C619" s="826" t="s">
        <v>597</v>
      </c>
      <c r="D619" s="840" t="s">
        <v>598</v>
      </c>
      <c r="E619" s="826" t="s">
        <v>3264</v>
      </c>
      <c r="F619" s="840" t="s">
        <v>3265</v>
      </c>
      <c r="G619" s="826" t="s">
        <v>3283</v>
      </c>
      <c r="H619" s="826" t="s">
        <v>3284</v>
      </c>
      <c r="I619" s="832">
        <v>1815</v>
      </c>
      <c r="J619" s="832">
        <v>5</v>
      </c>
      <c r="K619" s="833">
        <v>9075</v>
      </c>
    </row>
    <row r="620" spans="1:11" ht="14.45" customHeight="1" x14ac:dyDescent="0.2">
      <c r="A620" s="822" t="s">
        <v>575</v>
      </c>
      <c r="B620" s="823" t="s">
        <v>576</v>
      </c>
      <c r="C620" s="826" t="s">
        <v>597</v>
      </c>
      <c r="D620" s="840" t="s">
        <v>598</v>
      </c>
      <c r="E620" s="826" t="s">
        <v>3264</v>
      </c>
      <c r="F620" s="840" t="s">
        <v>3265</v>
      </c>
      <c r="G620" s="826" t="s">
        <v>3854</v>
      </c>
      <c r="H620" s="826" t="s">
        <v>3855</v>
      </c>
      <c r="I620" s="832">
        <v>601.3699951171875</v>
      </c>
      <c r="J620" s="832">
        <v>2</v>
      </c>
      <c r="K620" s="833">
        <v>1202.739990234375</v>
      </c>
    </row>
    <row r="621" spans="1:11" ht="14.45" customHeight="1" x14ac:dyDescent="0.2">
      <c r="A621" s="822" t="s">
        <v>575</v>
      </c>
      <c r="B621" s="823" t="s">
        <v>576</v>
      </c>
      <c r="C621" s="826" t="s">
        <v>597</v>
      </c>
      <c r="D621" s="840" t="s">
        <v>598</v>
      </c>
      <c r="E621" s="826" t="s">
        <v>3264</v>
      </c>
      <c r="F621" s="840" t="s">
        <v>3265</v>
      </c>
      <c r="G621" s="826" t="s">
        <v>3854</v>
      </c>
      <c r="H621" s="826" t="s">
        <v>3856</v>
      </c>
      <c r="I621" s="832">
        <v>601.3699951171875</v>
      </c>
      <c r="J621" s="832">
        <v>4</v>
      </c>
      <c r="K621" s="833">
        <v>2405.47998046875</v>
      </c>
    </row>
    <row r="622" spans="1:11" ht="14.45" customHeight="1" x14ac:dyDescent="0.2">
      <c r="A622" s="822" t="s">
        <v>575</v>
      </c>
      <c r="B622" s="823" t="s">
        <v>576</v>
      </c>
      <c r="C622" s="826" t="s">
        <v>597</v>
      </c>
      <c r="D622" s="840" t="s">
        <v>598</v>
      </c>
      <c r="E622" s="826" t="s">
        <v>3264</v>
      </c>
      <c r="F622" s="840" t="s">
        <v>3265</v>
      </c>
      <c r="G622" s="826" t="s">
        <v>3854</v>
      </c>
      <c r="H622" s="826" t="s">
        <v>3857</v>
      </c>
      <c r="I622" s="832">
        <v>601.3699951171875</v>
      </c>
      <c r="J622" s="832">
        <v>4</v>
      </c>
      <c r="K622" s="833">
        <v>2405.47998046875</v>
      </c>
    </row>
    <row r="623" spans="1:11" ht="14.45" customHeight="1" x14ac:dyDescent="0.2">
      <c r="A623" s="822" t="s">
        <v>575</v>
      </c>
      <c r="B623" s="823" t="s">
        <v>576</v>
      </c>
      <c r="C623" s="826" t="s">
        <v>597</v>
      </c>
      <c r="D623" s="840" t="s">
        <v>598</v>
      </c>
      <c r="E623" s="826" t="s">
        <v>3264</v>
      </c>
      <c r="F623" s="840" t="s">
        <v>3265</v>
      </c>
      <c r="G623" s="826" t="s">
        <v>3858</v>
      </c>
      <c r="H623" s="826" t="s">
        <v>3859</v>
      </c>
      <c r="I623" s="832">
        <v>2.7281249910593033</v>
      </c>
      <c r="J623" s="832">
        <v>11100</v>
      </c>
      <c r="K623" s="833">
        <v>30128.999938964844</v>
      </c>
    </row>
    <row r="624" spans="1:11" ht="14.45" customHeight="1" x14ac:dyDescent="0.2">
      <c r="A624" s="822" t="s">
        <v>575</v>
      </c>
      <c r="B624" s="823" t="s">
        <v>576</v>
      </c>
      <c r="C624" s="826" t="s">
        <v>597</v>
      </c>
      <c r="D624" s="840" t="s">
        <v>598</v>
      </c>
      <c r="E624" s="826" t="s">
        <v>3264</v>
      </c>
      <c r="F624" s="840" t="s">
        <v>3265</v>
      </c>
      <c r="G624" s="826" t="s">
        <v>3860</v>
      </c>
      <c r="H624" s="826" t="s">
        <v>3861</v>
      </c>
      <c r="I624" s="832">
        <v>1.6950000524520874</v>
      </c>
      <c r="J624" s="832">
        <v>1800</v>
      </c>
      <c r="K624" s="833">
        <v>3051</v>
      </c>
    </row>
    <row r="625" spans="1:11" ht="14.45" customHeight="1" x14ac:dyDescent="0.2">
      <c r="A625" s="822" t="s">
        <v>575</v>
      </c>
      <c r="B625" s="823" t="s">
        <v>576</v>
      </c>
      <c r="C625" s="826" t="s">
        <v>597</v>
      </c>
      <c r="D625" s="840" t="s">
        <v>598</v>
      </c>
      <c r="E625" s="826" t="s">
        <v>3264</v>
      </c>
      <c r="F625" s="840" t="s">
        <v>3265</v>
      </c>
      <c r="G625" s="826" t="s">
        <v>3292</v>
      </c>
      <c r="H625" s="826" t="s">
        <v>3293</v>
      </c>
      <c r="I625" s="832">
        <v>21.22333272298177</v>
      </c>
      <c r="J625" s="832">
        <v>450</v>
      </c>
      <c r="K625" s="833">
        <v>9551.0402221679688</v>
      </c>
    </row>
    <row r="626" spans="1:11" ht="14.45" customHeight="1" x14ac:dyDescent="0.2">
      <c r="A626" s="822" t="s">
        <v>575</v>
      </c>
      <c r="B626" s="823" t="s">
        <v>576</v>
      </c>
      <c r="C626" s="826" t="s">
        <v>597</v>
      </c>
      <c r="D626" s="840" t="s">
        <v>598</v>
      </c>
      <c r="E626" s="826" t="s">
        <v>3264</v>
      </c>
      <c r="F626" s="840" t="s">
        <v>3265</v>
      </c>
      <c r="G626" s="826" t="s">
        <v>3292</v>
      </c>
      <c r="H626" s="826" t="s">
        <v>3862</v>
      </c>
      <c r="I626" s="832">
        <v>21.22499942779541</v>
      </c>
      <c r="J626" s="832">
        <v>400</v>
      </c>
      <c r="K626" s="833">
        <v>8489.4500732421875</v>
      </c>
    </row>
    <row r="627" spans="1:11" ht="14.45" customHeight="1" x14ac:dyDescent="0.2">
      <c r="A627" s="822" t="s">
        <v>575</v>
      </c>
      <c r="B627" s="823" t="s">
        <v>576</v>
      </c>
      <c r="C627" s="826" t="s">
        <v>597</v>
      </c>
      <c r="D627" s="840" t="s">
        <v>598</v>
      </c>
      <c r="E627" s="826" t="s">
        <v>3264</v>
      </c>
      <c r="F627" s="840" t="s">
        <v>3265</v>
      </c>
      <c r="G627" s="826" t="s">
        <v>3863</v>
      </c>
      <c r="H627" s="826" t="s">
        <v>3864</v>
      </c>
      <c r="I627" s="832">
        <v>11.699999809265137</v>
      </c>
      <c r="J627" s="832">
        <v>100</v>
      </c>
      <c r="K627" s="833">
        <v>1170.0699462890625</v>
      </c>
    </row>
    <row r="628" spans="1:11" ht="14.45" customHeight="1" x14ac:dyDescent="0.2">
      <c r="A628" s="822" t="s">
        <v>575</v>
      </c>
      <c r="B628" s="823" t="s">
        <v>576</v>
      </c>
      <c r="C628" s="826" t="s">
        <v>597</v>
      </c>
      <c r="D628" s="840" t="s">
        <v>598</v>
      </c>
      <c r="E628" s="826" t="s">
        <v>3264</v>
      </c>
      <c r="F628" s="840" t="s">
        <v>3265</v>
      </c>
      <c r="G628" s="826" t="s">
        <v>3865</v>
      </c>
      <c r="H628" s="826" t="s">
        <v>3866</v>
      </c>
      <c r="I628" s="832">
        <v>45.5</v>
      </c>
      <c r="J628" s="832">
        <v>580</v>
      </c>
      <c r="K628" s="833">
        <v>26387.679809570313</v>
      </c>
    </row>
    <row r="629" spans="1:11" ht="14.45" customHeight="1" x14ac:dyDescent="0.2">
      <c r="A629" s="822" t="s">
        <v>575</v>
      </c>
      <c r="B629" s="823" t="s">
        <v>576</v>
      </c>
      <c r="C629" s="826" t="s">
        <v>597</v>
      </c>
      <c r="D629" s="840" t="s">
        <v>598</v>
      </c>
      <c r="E629" s="826" t="s">
        <v>3264</v>
      </c>
      <c r="F629" s="840" t="s">
        <v>3265</v>
      </c>
      <c r="G629" s="826" t="s">
        <v>3865</v>
      </c>
      <c r="H629" s="826" t="s">
        <v>3867</v>
      </c>
      <c r="I629" s="832">
        <v>45.498333613077797</v>
      </c>
      <c r="J629" s="832">
        <v>400</v>
      </c>
      <c r="K629" s="833">
        <v>18198.559814453125</v>
      </c>
    </row>
    <row r="630" spans="1:11" ht="14.45" customHeight="1" x14ac:dyDescent="0.2">
      <c r="A630" s="822" t="s">
        <v>575</v>
      </c>
      <c r="B630" s="823" t="s">
        <v>576</v>
      </c>
      <c r="C630" s="826" t="s">
        <v>597</v>
      </c>
      <c r="D630" s="840" t="s">
        <v>598</v>
      </c>
      <c r="E630" s="826" t="s">
        <v>3264</v>
      </c>
      <c r="F630" s="840" t="s">
        <v>3265</v>
      </c>
      <c r="G630" s="826" t="s">
        <v>3294</v>
      </c>
      <c r="H630" s="826" t="s">
        <v>3295</v>
      </c>
      <c r="I630" s="832">
        <v>11.14454546841708</v>
      </c>
      <c r="J630" s="832">
        <v>2700</v>
      </c>
      <c r="K630" s="833">
        <v>30091</v>
      </c>
    </row>
    <row r="631" spans="1:11" ht="14.45" customHeight="1" x14ac:dyDescent="0.2">
      <c r="A631" s="822" t="s">
        <v>575</v>
      </c>
      <c r="B631" s="823" t="s">
        <v>576</v>
      </c>
      <c r="C631" s="826" t="s">
        <v>597</v>
      </c>
      <c r="D631" s="840" t="s">
        <v>598</v>
      </c>
      <c r="E631" s="826" t="s">
        <v>3264</v>
      </c>
      <c r="F631" s="840" t="s">
        <v>3265</v>
      </c>
      <c r="G631" s="826" t="s">
        <v>3294</v>
      </c>
      <c r="H631" s="826" t="s">
        <v>3296</v>
      </c>
      <c r="I631" s="832">
        <v>11.143333435058594</v>
      </c>
      <c r="J631" s="832">
        <v>2000</v>
      </c>
      <c r="K631" s="833">
        <v>22286</v>
      </c>
    </row>
    <row r="632" spans="1:11" ht="14.45" customHeight="1" x14ac:dyDescent="0.2">
      <c r="A632" s="822" t="s">
        <v>575</v>
      </c>
      <c r="B632" s="823" t="s">
        <v>576</v>
      </c>
      <c r="C632" s="826" t="s">
        <v>597</v>
      </c>
      <c r="D632" s="840" t="s">
        <v>598</v>
      </c>
      <c r="E632" s="826" t="s">
        <v>3264</v>
      </c>
      <c r="F632" s="840" t="s">
        <v>3265</v>
      </c>
      <c r="G632" s="826" t="s">
        <v>3868</v>
      </c>
      <c r="H632" s="826" t="s">
        <v>3869</v>
      </c>
      <c r="I632" s="832">
        <v>85.379997253417969</v>
      </c>
      <c r="J632" s="832">
        <v>25</v>
      </c>
      <c r="K632" s="833">
        <v>2134.43994140625</v>
      </c>
    </row>
    <row r="633" spans="1:11" ht="14.45" customHeight="1" x14ac:dyDescent="0.2">
      <c r="A633" s="822" t="s">
        <v>575</v>
      </c>
      <c r="B633" s="823" t="s">
        <v>576</v>
      </c>
      <c r="C633" s="826" t="s">
        <v>597</v>
      </c>
      <c r="D633" s="840" t="s">
        <v>598</v>
      </c>
      <c r="E633" s="826" t="s">
        <v>3264</v>
      </c>
      <c r="F633" s="840" t="s">
        <v>3265</v>
      </c>
      <c r="G633" s="826" t="s">
        <v>3870</v>
      </c>
      <c r="H633" s="826" t="s">
        <v>3871</v>
      </c>
      <c r="I633" s="832">
        <v>40.861818486993961</v>
      </c>
      <c r="J633" s="832">
        <v>240</v>
      </c>
      <c r="K633" s="833">
        <v>9806.8701171875</v>
      </c>
    </row>
    <row r="634" spans="1:11" ht="14.45" customHeight="1" x14ac:dyDescent="0.2">
      <c r="A634" s="822" t="s">
        <v>575</v>
      </c>
      <c r="B634" s="823" t="s">
        <v>576</v>
      </c>
      <c r="C634" s="826" t="s">
        <v>597</v>
      </c>
      <c r="D634" s="840" t="s">
        <v>598</v>
      </c>
      <c r="E634" s="826" t="s">
        <v>3264</v>
      </c>
      <c r="F634" s="840" t="s">
        <v>3265</v>
      </c>
      <c r="G634" s="826" t="s">
        <v>3870</v>
      </c>
      <c r="H634" s="826" t="s">
        <v>3872</v>
      </c>
      <c r="I634" s="832">
        <v>40.865999603271483</v>
      </c>
      <c r="J634" s="832">
        <v>100</v>
      </c>
      <c r="K634" s="833">
        <v>4086.60009765625</v>
      </c>
    </row>
    <row r="635" spans="1:11" ht="14.45" customHeight="1" x14ac:dyDescent="0.2">
      <c r="A635" s="822" t="s">
        <v>575</v>
      </c>
      <c r="B635" s="823" t="s">
        <v>576</v>
      </c>
      <c r="C635" s="826" t="s">
        <v>597</v>
      </c>
      <c r="D635" s="840" t="s">
        <v>598</v>
      </c>
      <c r="E635" s="826" t="s">
        <v>3264</v>
      </c>
      <c r="F635" s="840" t="s">
        <v>3265</v>
      </c>
      <c r="G635" s="826" t="s">
        <v>3873</v>
      </c>
      <c r="H635" s="826" t="s">
        <v>3874</v>
      </c>
      <c r="I635" s="832">
        <v>263.77999877929688</v>
      </c>
      <c r="J635" s="832">
        <v>92</v>
      </c>
      <c r="K635" s="833">
        <v>24267.760162353516</v>
      </c>
    </row>
    <row r="636" spans="1:11" ht="14.45" customHeight="1" x14ac:dyDescent="0.2">
      <c r="A636" s="822" t="s">
        <v>575</v>
      </c>
      <c r="B636" s="823" t="s">
        <v>576</v>
      </c>
      <c r="C636" s="826" t="s">
        <v>597</v>
      </c>
      <c r="D636" s="840" t="s">
        <v>598</v>
      </c>
      <c r="E636" s="826" t="s">
        <v>3264</v>
      </c>
      <c r="F636" s="840" t="s">
        <v>3265</v>
      </c>
      <c r="G636" s="826" t="s">
        <v>3875</v>
      </c>
      <c r="H636" s="826" t="s">
        <v>3876</v>
      </c>
      <c r="I636" s="832">
        <v>396.8800048828125</v>
      </c>
      <c r="J636" s="832">
        <v>1</v>
      </c>
      <c r="K636" s="833">
        <v>396.8800048828125</v>
      </c>
    </row>
    <row r="637" spans="1:11" ht="14.45" customHeight="1" x14ac:dyDescent="0.2">
      <c r="A637" s="822" t="s">
        <v>575</v>
      </c>
      <c r="B637" s="823" t="s">
        <v>576</v>
      </c>
      <c r="C637" s="826" t="s">
        <v>597</v>
      </c>
      <c r="D637" s="840" t="s">
        <v>598</v>
      </c>
      <c r="E637" s="826" t="s">
        <v>3264</v>
      </c>
      <c r="F637" s="840" t="s">
        <v>3265</v>
      </c>
      <c r="G637" s="826" t="s">
        <v>3877</v>
      </c>
      <c r="H637" s="826" t="s">
        <v>3878</v>
      </c>
      <c r="I637" s="832">
        <v>5.2899999618530273</v>
      </c>
      <c r="J637" s="832">
        <v>300</v>
      </c>
      <c r="K637" s="833">
        <v>1587</v>
      </c>
    </row>
    <row r="638" spans="1:11" ht="14.45" customHeight="1" x14ac:dyDescent="0.2">
      <c r="A638" s="822" t="s">
        <v>575</v>
      </c>
      <c r="B638" s="823" t="s">
        <v>576</v>
      </c>
      <c r="C638" s="826" t="s">
        <v>597</v>
      </c>
      <c r="D638" s="840" t="s">
        <v>598</v>
      </c>
      <c r="E638" s="826" t="s">
        <v>3264</v>
      </c>
      <c r="F638" s="840" t="s">
        <v>3265</v>
      </c>
      <c r="G638" s="826" t="s">
        <v>3302</v>
      </c>
      <c r="H638" s="826" t="s">
        <v>3303</v>
      </c>
      <c r="I638" s="832">
        <v>5.2645455707203261</v>
      </c>
      <c r="J638" s="832">
        <v>5400</v>
      </c>
      <c r="K638" s="833">
        <v>28428</v>
      </c>
    </row>
    <row r="639" spans="1:11" ht="14.45" customHeight="1" x14ac:dyDescent="0.2">
      <c r="A639" s="822" t="s">
        <v>575</v>
      </c>
      <c r="B639" s="823" t="s">
        <v>576</v>
      </c>
      <c r="C639" s="826" t="s">
        <v>597</v>
      </c>
      <c r="D639" s="840" t="s">
        <v>598</v>
      </c>
      <c r="E639" s="826" t="s">
        <v>3264</v>
      </c>
      <c r="F639" s="840" t="s">
        <v>3265</v>
      </c>
      <c r="G639" s="826" t="s">
        <v>3306</v>
      </c>
      <c r="H639" s="826" t="s">
        <v>3307</v>
      </c>
      <c r="I639" s="832">
        <v>3.4854545593261719</v>
      </c>
      <c r="J639" s="832">
        <v>3400</v>
      </c>
      <c r="K639" s="833">
        <v>11850.639984130859</v>
      </c>
    </row>
    <row r="640" spans="1:11" ht="14.45" customHeight="1" x14ac:dyDescent="0.2">
      <c r="A640" s="822" t="s">
        <v>575</v>
      </c>
      <c r="B640" s="823" t="s">
        <v>576</v>
      </c>
      <c r="C640" s="826" t="s">
        <v>597</v>
      </c>
      <c r="D640" s="840" t="s">
        <v>598</v>
      </c>
      <c r="E640" s="826" t="s">
        <v>3264</v>
      </c>
      <c r="F640" s="840" t="s">
        <v>3265</v>
      </c>
      <c r="G640" s="826" t="s">
        <v>3879</v>
      </c>
      <c r="H640" s="826" t="s">
        <v>3880</v>
      </c>
      <c r="I640" s="832">
        <v>17.663333257039387</v>
      </c>
      <c r="J640" s="832">
        <v>60</v>
      </c>
      <c r="K640" s="833">
        <v>1059.8000183105469</v>
      </c>
    </row>
    <row r="641" spans="1:11" ht="14.45" customHeight="1" x14ac:dyDescent="0.2">
      <c r="A641" s="822" t="s">
        <v>575</v>
      </c>
      <c r="B641" s="823" t="s">
        <v>576</v>
      </c>
      <c r="C641" s="826" t="s">
        <v>597</v>
      </c>
      <c r="D641" s="840" t="s">
        <v>598</v>
      </c>
      <c r="E641" s="826" t="s">
        <v>3264</v>
      </c>
      <c r="F641" s="840" t="s">
        <v>3265</v>
      </c>
      <c r="G641" s="826" t="s">
        <v>3881</v>
      </c>
      <c r="H641" s="826" t="s">
        <v>3882</v>
      </c>
      <c r="I641" s="832">
        <v>24.409999847412109</v>
      </c>
      <c r="J641" s="832">
        <v>150</v>
      </c>
      <c r="K641" s="833">
        <v>3660.8701171875</v>
      </c>
    </row>
    <row r="642" spans="1:11" ht="14.45" customHeight="1" x14ac:dyDescent="0.2">
      <c r="A642" s="822" t="s">
        <v>575</v>
      </c>
      <c r="B642" s="823" t="s">
        <v>576</v>
      </c>
      <c r="C642" s="826" t="s">
        <v>597</v>
      </c>
      <c r="D642" s="840" t="s">
        <v>598</v>
      </c>
      <c r="E642" s="826" t="s">
        <v>3264</v>
      </c>
      <c r="F642" s="840" t="s">
        <v>3265</v>
      </c>
      <c r="G642" s="826" t="s">
        <v>3881</v>
      </c>
      <c r="H642" s="826" t="s">
        <v>3883</v>
      </c>
      <c r="I642" s="832">
        <v>24.409999847412109</v>
      </c>
      <c r="J642" s="832">
        <v>150</v>
      </c>
      <c r="K642" s="833">
        <v>3660.860107421875</v>
      </c>
    </row>
    <row r="643" spans="1:11" ht="14.45" customHeight="1" x14ac:dyDescent="0.2">
      <c r="A643" s="822" t="s">
        <v>575</v>
      </c>
      <c r="B643" s="823" t="s">
        <v>576</v>
      </c>
      <c r="C643" s="826" t="s">
        <v>597</v>
      </c>
      <c r="D643" s="840" t="s">
        <v>598</v>
      </c>
      <c r="E643" s="826" t="s">
        <v>3264</v>
      </c>
      <c r="F643" s="840" t="s">
        <v>3265</v>
      </c>
      <c r="G643" s="826" t="s">
        <v>3884</v>
      </c>
      <c r="H643" s="826" t="s">
        <v>3885</v>
      </c>
      <c r="I643" s="832">
        <v>49.909999847412109</v>
      </c>
      <c r="J643" s="832">
        <v>50</v>
      </c>
      <c r="K643" s="833">
        <v>2495.6298828125</v>
      </c>
    </row>
    <row r="644" spans="1:11" ht="14.45" customHeight="1" x14ac:dyDescent="0.2">
      <c r="A644" s="822" t="s">
        <v>575</v>
      </c>
      <c r="B644" s="823" t="s">
        <v>576</v>
      </c>
      <c r="C644" s="826" t="s">
        <v>597</v>
      </c>
      <c r="D644" s="840" t="s">
        <v>598</v>
      </c>
      <c r="E644" s="826" t="s">
        <v>3264</v>
      </c>
      <c r="F644" s="840" t="s">
        <v>3265</v>
      </c>
      <c r="G644" s="826" t="s">
        <v>3302</v>
      </c>
      <c r="H644" s="826" t="s">
        <v>3313</v>
      </c>
      <c r="I644" s="832">
        <v>5.4116667111714678</v>
      </c>
      <c r="J644" s="832">
        <v>3600</v>
      </c>
      <c r="K644" s="833">
        <v>19444</v>
      </c>
    </row>
    <row r="645" spans="1:11" ht="14.45" customHeight="1" x14ac:dyDescent="0.2">
      <c r="A645" s="822" t="s">
        <v>575</v>
      </c>
      <c r="B645" s="823" t="s">
        <v>576</v>
      </c>
      <c r="C645" s="826" t="s">
        <v>597</v>
      </c>
      <c r="D645" s="840" t="s">
        <v>598</v>
      </c>
      <c r="E645" s="826" t="s">
        <v>3264</v>
      </c>
      <c r="F645" s="840" t="s">
        <v>3265</v>
      </c>
      <c r="G645" s="826" t="s">
        <v>3306</v>
      </c>
      <c r="H645" s="826" t="s">
        <v>3886</v>
      </c>
      <c r="I645" s="832">
        <v>3.4050000905990601</v>
      </c>
      <c r="J645" s="832">
        <v>2400</v>
      </c>
      <c r="K645" s="833">
        <v>8172</v>
      </c>
    </row>
    <row r="646" spans="1:11" ht="14.45" customHeight="1" x14ac:dyDescent="0.2">
      <c r="A646" s="822" t="s">
        <v>575</v>
      </c>
      <c r="B646" s="823" t="s">
        <v>576</v>
      </c>
      <c r="C646" s="826" t="s">
        <v>597</v>
      </c>
      <c r="D646" s="840" t="s">
        <v>598</v>
      </c>
      <c r="E646" s="826" t="s">
        <v>3264</v>
      </c>
      <c r="F646" s="840" t="s">
        <v>3265</v>
      </c>
      <c r="G646" s="826" t="s">
        <v>3881</v>
      </c>
      <c r="H646" s="826" t="s">
        <v>3887</v>
      </c>
      <c r="I646" s="832">
        <v>24.409999847412109</v>
      </c>
      <c r="J646" s="832">
        <v>200</v>
      </c>
      <c r="K646" s="833">
        <v>4881.16015625</v>
      </c>
    </row>
    <row r="647" spans="1:11" ht="14.45" customHeight="1" x14ac:dyDescent="0.2">
      <c r="A647" s="822" t="s">
        <v>575</v>
      </c>
      <c r="B647" s="823" t="s">
        <v>576</v>
      </c>
      <c r="C647" s="826" t="s">
        <v>597</v>
      </c>
      <c r="D647" s="840" t="s">
        <v>598</v>
      </c>
      <c r="E647" s="826" t="s">
        <v>3264</v>
      </c>
      <c r="F647" s="840" t="s">
        <v>3265</v>
      </c>
      <c r="G647" s="826" t="s">
        <v>3879</v>
      </c>
      <c r="H647" s="826" t="s">
        <v>3888</v>
      </c>
      <c r="I647" s="832">
        <v>16.700000762939453</v>
      </c>
      <c r="J647" s="832">
        <v>20</v>
      </c>
      <c r="K647" s="833">
        <v>334</v>
      </c>
    </row>
    <row r="648" spans="1:11" ht="14.45" customHeight="1" x14ac:dyDescent="0.2">
      <c r="A648" s="822" t="s">
        <v>575</v>
      </c>
      <c r="B648" s="823" t="s">
        <v>576</v>
      </c>
      <c r="C648" s="826" t="s">
        <v>597</v>
      </c>
      <c r="D648" s="840" t="s">
        <v>598</v>
      </c>
      <c r="E648" s="826" t="s">
        <v>3264</v>
      </c>
      <c r="F648" s="840" t="s">
        <v>3265</v>
      </c>
      <c r="G648" s="826" t="s">
        <v>3889</v>
      </c>
      <c r="H648" s="826" t="s">
        <v>3890</v>
      </c>
      <c r="I648" s="832">
        <v>3500</v>
      </c>
      <c r="J648" s="832">
        <v>1</v>
      </c>
      <c r="K648" s="833">
        <v>3500</v>
      </c>
    </row>
    <row r="649" spans="1:11" ht="14.45" customHeight="1" x14ac:dyDescent="0.2">
      <c r="A649" s="822" t="s">
        <v>575</v>
      </c>
      <c r="B649" s="823" t="s">
        <v>576</v>
      </c>
      <c r="C649" s="826" t="s">
        <v>597</v>
      </c>
      <c r="D649" s="840" t="s">
        <v>598</v>
      </c>
      <c r="E649" s="826" t="s">
        <v>3264</v>
      </c>
      <c r="F649" s="840" t="s">
        <v>3265</v>
      </c>
      <c r="G649" s="826" t="s">
        <v>3891</v>
      </c>
      <c r="H649" s="826" t="s">
        <v>3892</v>
      </c>
      <c r="I649" s="832">
        <v>32.900001525878906</v>
      </c>
      <c r="J649" s="832">
        <v>90</v>
      </c>
      <c r="K649" s="833">
        <v>2960.989990234375</v>
      </c>
    </row>
    <row r="650" spans="1:11" ht="14.45" customHeight="1" x14ac:dyDescent="0.2">
      <c r="A650" s="822" t="s">
        <v>575</v>
      </c>
      <c r="B650" s="823" t="s">
        <v>576</v>
      </c>
      <c r="C650" s="826" t="s">
        <v>597</v>
      </c>
      <c r="D650" s="840" t="s">
        <v>598</v>
      </c>
      <c r="E650" s="826" t="s">
        <v>3264</v>
      </c>
      <c r="F650" s="840" t="s">
        <v>3265</v>
      </c>
      <c r="G650" s="826" t="s">
        <v>3891</v>
      </c>
      <c r="H650" s="826" t="s">
        <v>3893</v>
      </c>
      <c r="I650" s="832">
        <v>32.900001525878906</v>
      </c>
      <c r="J650" s="832">
        <v>30</v>
      </c>
      <c r="K650" s="833">
        <v>986.989990234375</v>
      </c>
    </row>
    <row r="651" spans="1:11" ht="14.45" customHeight="1" x14ac:dyDescent="0.2">
      <c r="A651" s="822" t="s">
        <v>575</v>
      </c>
      <c r="B651" s="823" t="s">
        <v>576</v>
      </c>
      <c r="C651" s="826" t="s">
        <v>597</v>
      </c>
      <c r="D651" s="840" t="s">
        <v>598</v>
      </c>
      <c r="E651" s="826" t="s">
        <v>3264</v>
      </c>
      <c r="F651" s="840" t="s">
        <v>3265</v>
      </c>
      <c r="G651" s="826" t="s">
        <v>3894</v>
      </c>
      <c r="H651" s="826" t="s">
        <v>3895</v>
      </c>
      <c r="I651" s="832">
        <v>45.979999542236328</v>
      </c>
      <c r="J651" s="832">
        <v>20</v>
      </c>
      <c r="K651" s="833">
        <v>919.5999755859375</v>
      </c>
    </row>
    <row r="652" spans="1:11" ht="14.45" customHeight="1" x14ac:dyDescent="0.2">
      <c r="A652" s="822" t="s">
        <v>575</v>
      </c>
      <c r="B652" s="823" t="s">
        <v>576</v>
      </c>
      <c r="C652" s="826" t="s">
        <v>597</v>
      </c>
      <c r="D652" s="840" t="s">
        <v>598</v>
      </c>
      <c r="E652" s="826" t="s">
        <v>3264</v>
      </c>
      <c r="F652" s="840" t="s">
        <v>3265</v>
      </c>
      <c r="G652" s="826" t="s">
        <v>3896</v>
      </c>
      <c r="H652" s="826" t="s">
        <v>3897</v>
      </c>
      <c r="I652" s="832">
        <v>171.82000732421875</v>
      </c>
      <c r="J652" s="832">
        <v>10</v>
      </c>
      <c r="K652" s="833">
        <v>1718.199951171875</v>
      </c>
    </row>
    <row r="653" spans="1:11" ht="14.45" customHeight="1" x14ac:dyDescent="0.2">
      <c r="A653" s="822" t="s">
        <v>575</v>
      </c>
      <c r="B653" s="823" t="s">
        <v>576</v>
      </c>
      <c r="C653" s="826" t="s">
        <v>597</v>
      </c>
      <c r="D653" s="840" t="s">
        <v>598</v>
      </c>
      <c r="E653" s="826" t="s">
        <v>3264</v>
      </c>
      <c r="F653" s="840" t="s">
        <v>3265</v>
      </c>
      <c r="G653" s="826" t="s">
        <v>3898</v>
      </c>
      <c r="H653" s="826" t="s">
        <v>3899</v>
      </c>
      <c r="I653" s="832">
        <v>45.979999542236328</v>
      </c>
      <c r="J653" s="832">
        <v>20</v>
      </c>
      <c r="K653" s="833">
        <v>919.5999755859375</v>
      </c>
    </row>
    <row r="654" spans="1:11" ht="14.45" customHeight="1" x14ac:dyDescent="0.2">
      <c r="A654" s="822" t="s">
        <v>575</v>
      </c>
      <c r="B654" s="823" t="s">
        <v>576</v>
      </c>
      <c r="C654" s="826" t="s">
        <v>597</v>
      </c>
      <c r="D654" s="840" t="s">
        <v>598</v>
      </c>
      <c r="E654" s="826" t="s">
        <v>3264</v>
      </c>
      <c r="F654" s="840" t="s">
        <v>3265</v>
      </c>
      <c r="G654" s="826" t="s">
        <v>3900</v>
      </c>
      <c r="H654" s="826" t="s">
        <v>3901</v>
      </c>
      <c r="I654" s="832">
        <v>171.82000732421875</v>
      </c>
      <c r="J654" s="832">
        <v>10</v>
      </c>
      <c r="K654" s="833">
        <v>1718.199951171875</v>
      </c>
    </row>
    <row r="655" spans="1:11" ht="14.45" customHeight="1" x14ac:dyDescent="0.2">
      <c r="A655" s="822" t="s">
        <v>575</v>
      </c>
      <c r="B655" s="823" t="s">
        <v>576</v>
      </c>
      <c r="C655" s="826" t="s">
        <v>597</v>
      </c>
      <c r="D655" s="840" t="s">
        <v>598</v>
      </c>
      <c r="E655" s="826" t="s">
        <v>3264</v>
      </c>
      <c r="F655" s="840" t="s">
        <v>3265</v>
      </c>
      <c r="G655" s="826" t="s">
        <v>3902</v>
      </c>
      <c r="H655" s="826" t="s">
        <v>3903</v>
      </c>
      <c r="I655" s="832">
        <v>45.979999542236328</v>
      </c>
      <c r="J655" s="832">
        <v>40</v>
      </c>
      <c r="K655" s="833">
        <v>1839.199951171875</v>
      </c>
    </row>
    <row r="656" spans="1:11" ht="14.45" customHeight="1" x14ac:dyDescent="0.2">
      <c r="A656" s="822" t="s">
        <v>575</v>
      </c>
      <c r="B656" s="823" t="s">
        <v>576</v>
      </c>
      <c r="C656" s="826" t="s">
        <v>597</v>
      </c>
      <c r="D656" s="840" t="s">
        <v>598</v>
      </c>
      <c r="E656" s="826" t="s">
        <v>3264</v>
      </c>
      <c r="F656" s="840" t="s">
        <v>3265</v>
      </c>
      <c r="G656" s="826" t="s">
        <v>3902</v>
      </c>
      <c r="H656" s="826" t="s">
        <v>3904</v>
      </c>
      <c r="I656" s="832">
        <v>45.979999542236328</v>
      </c>
      <c r="J656" s="832">
        <v>20</v>
      </c>
      <c r="K656" s="833">
        <v>919.5999755859375</v>
      </c>
    </row>
    <row r="657" spans="1:11" ht="14.45" customHeight="1" x14ac:dyDescent="0.2">
      <c r="A657" s="822" t="s">
        <v>575</v>
      </c>
      <c r="B657" s="823" t="s">
        <v>576</v>
      </c>
      <c r="C657" s="826" t="s">
        <v>597</v>
      </c>
      <c r="D657" s="840" t="s">
        <v>598</v>
      </c>
      <c r="E657" s="826" t="s">
        <v>3264</v>
      </c>
      <c r="F657" s="840" t="s">
        <v>3265</v>
      </c>
      <c r="G657" s="826" t="s">
        <v>3905</v>
      </c>
      <c r="H657" s="826" t="s">
        <v>3906</v>
      </c>
      <c r="I657" s="832">
        <v>171.82000732421875</v>
      </c>
      <c r="J657" s="832">
        <v>10</v>
      </c>
      <c r="K657" s="833">
        <v>1718.199951171875</v>
      </c>
    </row>
    <row r="658" spans="1:11" ht="14.45" customHeight="1" x14ac:dyDescent="0.2">
      <c r="A658" s="822" t="s">
        <v>575</v>
      </c>
      <c r="B658" s="823" t="s">
        <v>576</v>
      </c>
      <c r="C658" s="826" t="s">
        <v>597</v>
      </c>
      <c r="D658" s="840" t="s">
        <v>598</v>
      </c>
      <c r="E658" s="826" t="s">
        <v>3264</v>
      </c>
      <c r="F658" s="840" t="s">
        <v>3265</v>
      </c>
      <c r="G658" s="826" t="s">
        <v>3905</v>
      </c>
      <c r="H658" s="826" t="s">
        <v>3907</v>
      </c>
      <c r="I658" s="832">
        <v>171.82000732421875</v>
      </c>
      <c r="J658" s="832">
        <v>10</v>
      </c>
      <c r="K658" s="833">
        <v>1718.199951171875</v>
      </c>
    </row>
    <row r="659" spans="1:11" ht="14.45" customHeight="1" x14ac:dyDescent="0.2">
      <c r="A659" s="822" t="s">
        <v>575</v>
      </c>
      <c r="B659" s="823" t="s">
        <v>576</v>
      </c>
      <c r="C659" s="826" t="s">
        <v>597</v>
      </c>
      <c r="D659" s="840" t="s">
        <v>598</v>
      </c>
      <c r="E659" s="826" t="s">
        <v>3264</v>
      </c>
      <c r="F659" s="840" t="s">
        <v>3265</v>
      </c>
      <c r="G659" s="826" t="s">
        <v>3908</v>
      </c>
      <c r="H659" s="826" t="s">
        <v>3909</v>
      </c>
      <c r="I659" s="832">
        <v>750.20001220703125</v>
      </c>
      <c r="J659" s="832">
        <v>19</v>
      </c>
      <c r="K659" s="833">
        <v>14253.800476074219</v>
      </c>
    </row>
    <row r="660" spans="1:11" ht="14.45" customHeight="1" x14ac:dyDescent="0.2">
      <c r="A660" s="822" t="s">
        <v>575</v>
      </c>
      <c r="B660" s="823" t="s">
        <v>576</v>
      </c>
      <c r="C660" s="826" t="s">
        <v>597</v>
      </c>
      <c r="D660" s="840" t="s">
        <v>598</v>
      </c>
      <c r="E660" s="826" t="s">
        <v>3264</v>
      </c>
      <c r="F660" s="840" t="s">
        <v>3265</v>
      </c>
      <c r="G660" s="826" t="s">
        <v>3908</v>
      </c>
      <c r="H660" s="826" t="s">
        <v>3910</v>
      </c>
      <c r="I660" s="832">
        <v>750.20001220703125</v>
      </c>
      <c r="J660" s="832">
        <v>6</v>
      </c>
      <c r="K660" s="833">
        <v>4501.2000732421875</v>
      </c>
    </row>
    <row r="661" spans="1:11" ht="14.45" customHeight="1" x14ac:dyDescent="0.2">
      <c r="A661" s="822" t="s">
        <v>575</v>
      </c>
      <c r="B661" s="823" t="s">
        <v>576</v>
      </c>
      <c r="C661" s="826" t="s">
        <v>597</v>
      </c>
      <c r="D661" s="840" t="s">
        <v>598</v>
      </c>
      <c r="E661" s="826" t="s">
        <v>3264</v>
      </c>
      <c r="F661" s="840" t="s">
        <v>3265</v>
      </c>
      <c r="G661" s="826" t="s">
        <v>3911</v>
      </c>
      <c r="H661" s="826" t="s">
        <v>3912</v>
      </c>
      <c r="I661" s="832">
        <v>646.760009765625</v>
      </c>
      <c r="J661" s="832">
        <v>4</v>
      </c>
      <c r="K661" s="833">
        <v>2587.0400390625</v>
      </c>
    </row>
    <row r="662" spans="1:11" ht="14.45" customHeight="1" x14ac:dyDescent="0.2">
      <c r="A662" s="822" t="s">
        <v>575</v>
      </c>
      <c r="B662" s="823" t="s">
        <v>576</v>
      </c>
      <c r="C662" s="826" t="s">
        <v>597</v>
      </c>
      <c r="D662" s="840" t="s">
        <v>598</v>
      </c>
      <c r="E662" s="826" t="s">
        <v>3264</v>
      </c>
      <c r="F662" s="840" t="s">
        <v>3265</v>
      </c>
      <c r="G662" s="826" t="s">
        <v>3911</v>
      </c>
      <c r="H662" s="826" t="s">
        <v>3913</v>
      </c>
      <c r="I662" s="832">
        <v>646.760009765625</v>
      </c>
      <c r="J662" s="832">
        <v>2</v>
      </c>
      <c r="K662" s="833">
        <v>1293.52001953125</v>
      </c>
    </row>
    <row r="663" spans="1:11" ht="14.45" customHeight="1" x14ac:dyDescent="0.2">
      <c r="A663" s="822" t="s">
        <v>575</v>
      </c>
      <c r="B663" s="823" t="s">
        <v>576</v>
      </c>
      <c r="C663" s="826" t="s">
        <v>597</v>
      </c>
      <c r="D663" s="840" t="s">
        <v>598</v>
      </c>
      <c r="E663" s="826" t="s">
        <v>3264</v>
      </c>
      <c r="F663" s="840" t="s">
        <v>3265</v>
      </c>
      <c r="G663" s="826" t="s">
        <v>3914</v>
      </c>
      <c r="H663" s="826" t="s">
        <v>3915</v>
      </c>
      <c r="I663" s="832">
        <v>527.969970703125</v>
      </c>
      <c r="J663" s="832">
        <v>10</v>
      </c>
      <c r="K663" s="833">
        <v>5279.64990234375</v>
      </c>
    </row>
    <row r="664" spans="1:11" ht="14.45" customHeight="1" x14ac:dyDescent="0.2">
      <c r="A664" s="822" t="s">
        <v>575</v>
      </c>
      <c r="B664" s="823" t="s">
        <v>576</v>
      </c>
      <c r="C664" s="826" t="s">
        <v>597</v>
      </c>
      <c r="D664" s="840" t="s">
        <v>598</v>
      </c>
      <c r="E664" s="826" t="s">
        <v>3264</v>
      </c>
      <c r="F664" s="840" t="s">
        <v>3265</v>
      </c>
      <c r="G664" s="826" t="s">
        <v>3916</v>
      </c>
      <c r="H664" s="826" t="s">
        <v>3917</v>
      </c>
      <c r="I664" s="832">
        <v>646.760009765625</v>
      </c>
      <c r="J664" s="832">
        <v>2</v>
      </c>
      <c r="K664" s="833">
        <v>1293.52001953125</v>
      </c>
    </row>
    <row r="665" spans="1:11" ht="14.45" customHeight="1" x14ac:dyDescent="0.2">
      <c r="A665" s="822" t="s">
        <v>575</v>
      </c>
      <c r="B665" s="823" t="s">
        <v>576</v>
      </c>
      <c r="C665" s="826" t="s">
        <v>597</v>
      </c>
      <c r="D665" s="840" t="s">
        <v>598</v>
      </c>
      <c r="E665" s="826" t="s">
        <v>3264</v>
      </c>
      <c r="F665" s="840" t="s">
        <v>3265</v>
      </c>
      <c r="G665" s="826" t="s">
        <v>3918</v>
      </c>
      <c r="H665" s="826" t="s">
        <v>3919</v>
      </c>
      <c r="I665" s="832">
        <v>17.979999542236328</v>
      </c>
      <c r="J665" s="832">
        <v>50</v>
      </c>
      <c r="K665" s="833">
        <v>899</v>
      </c>
    </row>
    <row r="666" spans="1:11" ht="14.45" customHeight="1" x14ac:dyDescent="0.2">
      <c r="A666" s="822" t="s">
        <v>575</v>
      </c>
      <c r="B666" s="823" t="s">
        <v>576</v>
      </c>
      <c r="C666" s="826" t="s">
        <v>597</v>
      </c>
      <c r="D666" s="840" t="s">
        <v>598</v>
      </c>
      <c r="E666" s="826" t="s">
        <v>3264</v>
      </c>
      <c r="F666" s="840" t="s">
        <v>3265</v>
      </c>
      <c r="G666" s="826" t="s">
        <v>3918</v>
      </c>
      <c r="H666" s="826" t="s">
        <v>3920</v>
      </c>
      <c r="I666" s="832">
        <v>17.979999542236328</v>
      </c>
      <c r="J666" s="832">
        <v>50</v>
      </c>
      <c r="K666" s="833">
        <v>899</v>
      </c>
    </row>
    <row r="667" spans="1:11" ht="14.45" customHeight="1" x14ac:dyDescent="0.2">
      <c r="A667" s="822" t="s">
        <v>575</v>
      </c>
      <c r="B667" s="823" t="s">
        <v>576</v>
      </c>
      <c r="C667" s="826" t="s">
        <v>597</v>
      </c>
      <c r="D667" s="840" t="s">
        <v>598</v>
      </c>
      <c r="E667" s="826" t="s">
        <v>3264</v>
      </c>
      <c r="F667" s="840" t="s">
        <v>3265</v>
      </c>
      <c r="G667" s="826" t="s">
        <v>3328</v>
      </c>
      <c r="H667" s="826" t="s">
        <v>3329</v>
      </c>
      <c r="I667" s="832">
        <v>13.199999809265137</v>
      </c>
      <c r="J667" s="832">
        <v>10</v>
      </c>
      <c r="K667" s="833">
        <v>132</v>
      </c>
    </row>
    <row r="668" spans="1:11" ht="14.45" customHeight="1" x14ac:dyDescent="0.2">
      <c r="A668" s="822" t="s">
        <v>575</v>
      </c>
      <c r="B668" s="823" t="s">
        <v>576</v>
      </c>
      <c r="C668" s="826" t="s">
        <v>597</v>
      </c>
      <c r="D668" s="840" t="s">
        <v>598</v>
      </c>
      <c r="E668" s="826" t="s">
        <v>3264</v>
      </c>
      <c r="F668" s="840" t="s">
        <v>3265</v>
      </c>
      <c r="G668" s="826" t="s">
        <v>3330</v>
      </c>
      <c r="H668" s="826" t="s">
        <v>3331</v>
      </c>
      <c r="I668" s="832">
        <v>13.199999809265137</v>
      </c>
      <c r="J668" s="832">
        <v>30</v>
      </c>
      <c r="K668" s="833">
        <v>396</v>
      </c>
    </row>
    <row r="669" spans="1:11" ht="14.45" customHeight="1" x14ac:dyDescent="0.2">
      <c r="A669" s="822" t="s">
        <v>575</v>
      </c>
      <c r="B669" s="823" t="s">
        <v>576</v>
      </c>
      <c r="C669" s="826" t="s">
        <v>597</v>
      </c>
      <c r="D669" s="840" t="s">
        <v>598</v>
      </c>
      <c r="E669" s="826" t="s">
        <v>3264</v>
      </c>
      <c r="F669" s="840" t="s">
        <v>3265</v>
      </c>
      <c r="G669" s="826" t="s">
        <v>3332</v>
      </c>
      <c r="H669" s="826" t="s">
        <v>3333</v>
      </c>
      <c r="I669" s="832">
        <v>13.199999809265137</v>
      </c>
      <c r="J669" s="832">
        <v>30</v>
      </c>
      <c r="K669" s="833">
        <v>396</v>
      </c>
    </row>
    <row r="670" spans="1:11" ht="14.45" customHeight="1" x14ac:dyDescent="0.2">
      <c r="A670" s="822" t="s">
        <v>575</v>
      </c>
      <c r="B670" s="823" t="s">
        <v>576</v>
      </c>
      <c r="C670" s="826" t="s">
        <v>597</v>
      </c>
      <c r="D670" s="840" t="s">
        <v>598</v>
      </c>
      <c r="E670" s="826" t="s">
        <v>3264</v>
      </c>
      <c r="F670" s="840" t="s">
        <v>3265</v>
      </c>
      <c r="G670" s="826" t="s">
        <v>3921</v>
      </c>
      <c r="H670" s="826" t="s">
        <v>3922</v>
      </c>
      <c r="I670" s="832">
        <v>13.199999809265137</v>
      </c>
      <c r="J670" s="832">
        <v>10</v>
      </c>
      <c r="K670" s="833">
        <v>132</v>
      </c>
    </row>
    <row r="671" spans="1:11" ht="14.45" customHeight="1" x14ac:dyDescent="0.2">
      <c r="A671" s="822" t="s">
        <v>575</v>
      </c>
      <c r="B671" s="823" t="s">
        <v>576</v>
      </c>
      <c r="C671" s="826" t="s">
        <v>597</v>
      </c>
      <c r="D671" s="840" t="s">
        <v>598</v>
      </c>
      <c r="E671" s="826" t="s">
        <v>3264</v>
      </c>
      <c r="F671" s="840" t="s">
        <v>3265</v>
      </c>
      <c r="G671" s="826" t="s">
        <v>3923</v>
      </c>
      <c r="H671" s="826" t="s">
        <v>3924</v>
      </c>
      <c r="I671" s="832">
        <v>317</v>
      </c>
      <c r="J671" s="832">
        <v>5</v>
      </c>
      <c r="K671" s="833">
        <v>1584.97998046875</v>
      </c>
    </row>
    <row r="672" spans="1:11" ht="14.45" customHeight="1" x14ac:dyDescent="0.2">
      <c r="A672" s="822" t="s">
        <v>575</v>
      </c>
      <c r="B672" s="823" t="s">
        <v>576</v>
      </c>
      <c r="C672" s="826" t="s">
        <v>597</v>
      </c>
      <c r="D672" s="840" t="s">
        <v>598</v>
      </c>
      <c r="E672" s="826" t="s">
        <v>3264</v>
      </c>
      <c r="F672" s="840" t="s">
        <v>3265</v>
      </c>
      <c r="G672" s="826" t="s">
        <v>3925</v>
      </c>
      <c r="H672" s="826" t="s">
        <v>3926</v>
      </c>
      <c r="I672" s="832">
        <v>317</v>
      </c>
      <c r="J672" s="832">
        <v>5</v>
      </c>
      <c r="K672" s="833">
        <v>1584.97998046875</v>
      </c>
    </row>
    <row r="673" spans="1:11" ht="14.45" customHeight="1" x14ac:dyDescent="0.2">
      <c r="A673" s="822" t="s">
        <v>575</v>
      </c>
      <c r="B673" s="823" t="s">
        <v>576</v>
      </c>
      <c r="C673" s="826" t="s">
        <v>597</v>
      </c>
      <c r="D673" s="840" t="s">
        <v>598</v>
      </c>
      <c r="E673" s="826" t="s">
        <v>3264</v>
      </c>
      <c r="F673" s="840" t="s">
        <v>3265</v>
      </c>
      <c r="G673" s="826" t="s">
        <v>3330</v>
      </c>
      <c r="H673" s="826" t="s">
        <v>3335</v>
      </c>
      <c r="I673" s="832">
        <v>13.204999923706055</v>
      </c>
      <c r="J673" s="832">
        <v>20</v>
      </c>
      <c r="K673" s="833">
        <v>264.10000610351563</v>
      </c>
    </row>
    <row r="674" spans="1:11" ht="14.45" customHeight="1" x14ac:dyDescent="0.2">
      <c r="A674" s="822" t="s">
        <v>575</v>
      </c>
      <c r="B674" s="823" t="s">
        <v>576</v>
      </c>
      <c r="C674" s="826" t="s">
        <v>597</v>
      </c>
      <c r="D674" s="840" t="s">
        <v>598</v>
      </c>
      <c r="E674" s="826" t="s">
        <v>3264</v>
      </c>
      <c r="F674" s="840" t="s">
        <v>3265</v>
      </c>
      <c r="G674" s="826" t="s">
        <v>3927</v>
      </c>
      <c r="H674" s="826" t="s">
        <v>3928</v>
      </c>
      <c r="I674" s="832">
        <v>7260</v>
      </c>
      <c r="J674" s="832">
        <v>1</v>
      </c>
      <c r="K674" s="833">
        <v>7260</v>
      </c>
    </row>
    <row r="675" spans="1:11" ht="14.45" customHeight="1" x14ac:dyDescent="0.2">
      <c r="A675" s="822" t="s">
        <v>575</v>
      </c>
      <c r="B675" s="823" t="s">
        <v>576</v>
      </c>
      <c r="C675" s="826" t="s">
        <v>597</v>
      </c>
      <c r="D675" s="840" t="s">
        <v>598</v>
      </c>
      <c r="E675" s="826" t="s">
        <v>3264</v>
      </c>
      <c r="F675" s="840" t="s">
        <v>3265</v>
      </c>
      <c r="G675" s="826" t="s">
        <v>3929</v>
      </c>
      <c r="H675" s="826" t="s">
        <v>3930</v>
      </c>
      <c r="I675" s="832">
        <v>2311.10009765625</v>
      </c>
      <c r="J675" s="832">
        <v>5</v>
      </c>
      <c r="K675" s="833">
        <v>11555.5</v>
      </c>
    </row>
    <row r="676" spans="1:11" ht="14.45" customHeight="1" x14ac:dyDescent="0.2">
      <c r="A676" s="822" t="s">
        <v>575</v>
      </c>
      <c r="B676" s="823" t="s">
        <v>576</v>
      </c>
      <c r="C676" s="826" t="s">
        <v>597</v>
      </c>
      <c r="D676" s="840" t="s">
        <v>598</v>
      </c>
      <c r="E676" s="826" t="s">
        <v>3264</v>
      </c>
      <c r="F676" s="840" t="s">
        <v>3265</v>
      </c>
      <c r="G676" s="826" t="s">
        <v>3341</v>
      </c>
      <c r="H676" s="826" t="s">
        <v>3342</v>
      </c>
      <c r="I676" s="832">
        <v>4.0300002098083496</v>
      </c>
      <c r="J676" s="832">
        <v>2200</v>
      </c>
      <c r="K676" s="833">
        <v>8866</v>
      </c>
    </row>
    <row r="677" spans="1:11" ht="14.45" customHeight="1" x14ac:dyDescent="0.2">
      <c r="A677" s="822" t="s">
        <v>575</v>
      </c>
      <c r="B677" s="823" t="s">
        <v>576</v>
      </c>
      <c r="C677" s="826" t="s">
        <v>597</v>
      </c>
      <c r="D677" s="840" t="s">
        <v>598</v>
      </c>
      <c r="E677" s="826" t="s">
        <v>3264</v>
      </c>
      <c r="F677" s="840" t="s">
        <v>3265</v>
      </c>
      <c r="G677" s="826" t="s">
        <v>3931</v>
      </c>
      <c r="H677" s="826" t="s">
        <v>3932</v>
      </c>
      <c r="I677" s="832">
        <v>103.15000152587891</v>
      </c>
      <c r="J677" s="832">
        <v>15</v>
      </c>
      <c r="K677" s="833">
        <v>1547.3199462890625</v>
      </c>
    </row>
    <row r="678" spans="1:11" ht="14.45" customHeight="1" x14ac:dyDescent="0.2">
      <c r="A678" s="822" t="s">
        <v>575</v>
      </c>
      <c r="B678" s="823" t="s">
        <v>576</v>
      </c>
      <c r="C678" s="826" t="s">
        <v>597</v>
      </c>
      <c r="D678" s="840" t="s">
        <v>598</v>
      </c>
      <c r="E678" s="826" t="s">
        <v>3264</v>
      </c>
      <c r="F678" s="840" t="s">
        <v>3265</v>
      </c>
      <c r="G678" s="826" t="s">
        <v>3341</v>
      </c>
      <c r="H678" s="826" t="s">
        <v>3343</v>
      </c>
      <c r="I678" s="832">
        <v>4.0300002098083496</v>
      </c>
      <c r="J678" s="832">
        <v>1150</v>
      </c>
      <c r="K678" s="833">
        <v>4634.5</v>
      </c>
    </row>
    <row r="679" spans="1:11" ht="14.45" customHeight="1" x14ac:dyDescent="0.2">
      <c r="A679" s="822" t="s">
        <v>575</v>
      </c>
      <c r="B679" s="823" t="s">
        <v>576</v>
      </c>
      <c r="C679" s="826" t="s">
        <v>597</v>
      </c>
      <c r="D679" s="840" t="s">
        <v>598</v>
      </c>
      <c r="E679" s="826" t="s">
        <v>3264</v>
      </c>
      <c r="F679" s="840" t="s">
        <v>3265</v>
      </c>
      <c r="G679" s="826" t="s">
        <v>3344</v>
      </c>
      <c r="H679" s="826" t="s">
        <v>3345</v>
      </c>
      <c r="I679" s="832">
        <v>7.8654545437205918</v>
      </c>
      <c r="J679" s="832">
        <v>2100</v>
      </c>
      <c r="K679" s="833">
        <v>16517</v>
      </c>
    </row>
    <row r="680" spans="1:11" ht="14.45" customHeight="1" x14ac:dyDescent="0.2">
      <c r="A680" s="822" t="s">
        <v>575</v>
      </c>
      <c r="B680" s="823" t="s">
        <v>576</v>
      </c>
      <c r="C680" s="826" t="s">
        <v>597</v>
      </c>
      <c r="D680" s="840" t="s">
        <v>598</v>
      </c>
      <c r="E680" s="826" t="s">
        <v>3264</v>
      </c>
      <c r="F680" s="840" t="s">
        <v>3265</v>
      </c>
      <c r="G680" s="826" t="s">
        <v>3344</v>
      </c>
      <c r="H680" s="826" t="s">
        <v>3346</v>
      </c>
      <c r="I680" s="832">
        <v>8.9449998537699376</v>
      </c>
      <c r="J680" s="832">
        <v>1400</v>
      </c>
      <c r="K680" s="833">
        <v>12308</v>
      </c>
    </row>
    <row r="681" spans="1:11" ht="14.45" customHeight="1" x14ac:dyDescent="0.2">
      <c r="A681" s="822" t="s">
        <v>575</v>
      </c>
      <c r="B681" s="823" t="s">
        <v>576</v>
      </c>
      <c r="C681" s="826" t="s">
        <v>597</v>
      </c>
      <c r="D681" s="840" t="s">
        <v>598</v>
      </c>
      <c r="E681" s="826" t="s">
        <v>3264</v>
      </c>
      <c r="F681" s="840" t="s">
        <v>3265</v>
      </c>
      <c r="G681" s="826" t="s">
        <v>3933</v>
      </c>
      <c r="H681" s="826" t="s">
        <v>3934</v>
      </c>
      <c r="I681" s="832">
        <v>10.074999809265137</v>
      </c>
      <c r="J681" s="832">
        <v>270</v>
      </c>
      <c r="K681" s="833">
        <v>2720.3999938964844</v>
      </c>
    </row>
    <row r="682" spans="1:11" ht="14.45" customHeight="1" x14ac:dyDescent="0.2">
      <c r="A682" s="822" t="s">
        <v>575</v>
      </c>
      <c r="B682" s="823" t="s">
        <v>576</v>
      </c>
      <c r="C682" s="826" t="s">
        <v>597</v>
      </c>
      <c r="D682" s="840" t="s">
        <v>598</v>
      </c>
      <c r="E682" s="826" t="s">
        <v>3264</v>
      </c>
      <c r="F682" s="840" t="s">
        <v>3265</v>
      </c>
      <c r="G682" s="826" t="s">
        <v>3933</v>
      </c>
      <c r="H682" s="826" t="s">
        <v>3935</v>
      </c>
      <c r="I682" s="832">
        <v>10.07599983215332</v>
      </c>
      <c r="J682" s="832">
        <v>210</v>
      </c>
      <c r="K682" s="833">
        <v>2115.8999938964844</v>
      </c>
    </row>
    <row r="683" spans="1:11" ht="14.45" customHeight="1" x14ac:dyDescent="0.2">
      <c r="A683" s="822" t="s">
        <v>575</v>
      </c>
      <c r="B683" s="823" t="s">
        <v>576</v>
      </c>
      <c r="C683" s="826" t="s">
        <v>597</v>
      </c>
      <c r="D683" s="840" t="s">
        <v>598</v>
      </c>
      <c r="E683" s="826" t="s">
        <v>3264</v>
      </c>
      <c r="F683" s="840" t="s">
        <v>3265</v>
      </c>
      <c r="G683" s="826" t="s">
        <v>3936</v>
      </c>
      <c r="H683" s="826" t="s">
        <v>3937</v>
      </c>
      <c r="I683" s="832">
        <v>7737.9501953125</v>
      </c>
      <c r="J683" s="832">
        <v>3</v>
      </c>
      <c r="K683" s="833">
        <v>23213.849609375</v>
      </c>
    </row>
    <row r="684" spans="1:11" ht="14.45" customHeight="1" x14ac:dyDescent="0.2">
      <c r="A684" s="822" t="s">
        <v>575</v>
      </c>
      <c r="B684" s="823" t="s">
        <v>576</v>
      </c>
      <c r="C684" s="826" t="s">
        <v>597</v>
      </c>
      <c r="D684" s="840" t="s">
        <v>598</v>
      </c>
      <c r="E684" s="826" t="s">
        <v>3264</v>
      </c>
      <c r="F684" s="840" t="s">
        <v>3265</v>
      </c>
      <c r="G684" s="826" t="s">
        <v>3938</v>
      </c>
      <c r="H684" s="826" t="s">
        <v>3939</v>
      </c>
      <c r="I684" s="832">
        <v>176.92999267578125</v>
      </c>
      <c r="J684" s="832">
        <v>675</v>
      </c>
      <c r="K684" s="833">
        <v>119426.84814453125</v>
      </c>
    </row>
    <row r="685" spans="1:11" ht="14.45" customHeight="1" x14ac:dyDescent="0.2">
      <c r="A685" s="822" t="s">
        <v>575</v>
      </c>
      <c r="B685" s="823" t="s">
        <v>576</v>
      </c>
      <c r="C685" s="826" t="s">
        <v>597</v>
      </c>
      <c r="D685" s="840" t="s">
        <v>598</v>
      </c>
      <c r="E685" s="826" t="s">
        <v>3264</v>
      </c>
      <c r="F685" s="840" t="s">
        <v>3265</v>
      </c>
      <c r="G685" s="826" t="s">
        <v>3349</v>
      </c>
      <c r="H685" s="826" t="s">
        <v>3350</v>
      </c>
      <c r="I685" s="832">
        <v>35.090000152587891</v>
      </c>
      <c r="J685" s="832">
        <v>8</v>
      </c>
      <c r="K685" s="833">
        <v>280.72000122070313</v>
      </c>
    </row>
    <row r="686" spans="1:11" ht="14.45" customHeight="1" x14ac:dyDescent="0.2">
      <c r="A686" s="822" t="s">
        <v>575</v>
      </c>
      <c r="B686" s="823" t="s">
        <v>576</v>
      </c>
      <c r="C686" s="826" t="s">
        <v>597</v>
      </c>
      <c r="D686" s="840" t="s">
        <v>598</v>
      </c>
      <c r="E686" s="826" t="s">
        <v>3264</v>
      </c>
      <c r="F686" s="840" t="s">
        <v>3265</v>
      </c>
      <c r="G686" s="826" t="s">
        <v>3940</v>
      </c>
      <c r="H686" s="826" t="s">
        <v>3941</v>
      </c>
      <c r="I686" s="832">
        <v>81.738332112630204</v>
      </c>
      <c r="J686" s="832">
        <v>810</v>
      </c>
      <c r="K686" s="833">
        <v>66207.480712890625</v>
      </c>
    </row>
    <row r="687" spans="1:11" ht="14.45" customHeight="1" x14ac:dyDescent="0.2">
      <c r="A687" s="822" t="s">
        <v>575</v>
      </c>
      <c r="B687" s="823" t="s">
        <v>576</v>
      </c>
      <c r="C687" s="826" t="s">
        <v>597</v>
      </c>
      <c r="D687" s="840" t="s">
        <v>598</v>
      </c>
      <c r="E687" s="826" t="s">
        <v>3264</v>
      </c>
      <c r="F687" s="840" t="s">
        <v>3265</v>
      </c>
      <c r="G687" s="826" t="s">
        <v>3351</v>
      </c>
      <c r="H687" s="826" t="s">
        <v>3352</v>
      </c>
      <c r="I687" s="832">
        <v>32.304285866873606</v>
      </c>
      <c r="J687" s="832">
        <v>330</v>
      </c>
      <c r="K687" s="833">
        <v>10660.200012207031</v>
      </c>
    </row>
    <row r="688" spans="1:11" ht="14.45" customHeight="1" x14ac:dyDescent="0.2">
      <c r="A688" s="822" t="s">
        <v>575</v>
      </c>
      <c r="B688" s="823" t="s">
        <v>576</v>
      </c>
      <c r="C688" s="826" t="s">
        <v>597</v>
      </c>
      <c r="D688" s="840" t="s">
        <v>598</v>
      </c>
      <c r="E688" s="826" t="s">
        <v>3264</v>
      </c>
      <c r="F688" s="840" t="s">
        <v>3265</v>
      </c>
      <c r="G688" s="826" t="s">
        <v>3940</v>
      </c>
      <c r="H688" s="826" t="s">
        <v>3942</v>
      </c>
      <c r="I688" s="832">
        <v>81.736249923706055</v>
      </c>
      <c r="J688" s="832">
        <v>475</v>
      </c>
      <c r="K688" s="833">
        <v>38824.35009765625</v>
      </c>
    </row>
    <row r="689" spans="1:11" ht="14.45" customHeight="1" x14ac:dyDescent="0.2">
      <c r="A689" s="822" t="s">
        <v>575</v>
      </c>
      <c r="B689" s="823" t="s">
        <v>576</v>
      </c>
      <c r="C689" s="826" t="s">
        <v>597</v>
      </c>
      <c r="D689" s="840" t="s">
        <v>598</v>
      </c>
      <c r="E689" s="826" t="s">
        <v>3264</v>
      </c>
      <c r="F689" s="840" t="s">
        <v>3265</v>
      </c>
      <c r="G689" s="826" t="s">
        <v>3351</v>
      </c>
      <c r="H689" s="826" t="s">
        <v>3943</v>
      </c>
      <c r="I689" s="832">
        <v>32.306667327880859</v>
      </c>
      <c r="J689" s="832">
        <v>200</v>
      </c>
      <c r="K689" s="833">
        <v>6461.2499389648438</v>
      </c>
    </row>
    <row r="690" spans="1:11" ht="14.45" customHeight="1" x14ac:dyDescent="0.2">
      <c r="A690" s="822" t="s">
        <v>575</v>
      </c>
      <c r="B690" s="823" t="s">
        <v>576</v>
      </c>
      <c r="C690" s="826" t="s">
        <v>597</v>
      </c>
      <c r="D690" s="840" t="s">
        <v>598</v>
      </c>
      <c r="E690" s="826" t="s">
        <v>3264</v>
      </c>
      <c r="F690" s="840" t="s">
        <v>3265</v>
      </c>
      <c r="G690" s="826" t="s">
        <v>3944</v>
      </c>
      <c r="H690" s="826" t="s">
        <v>3945</v>
      </c>
      <c r="I690" s="832">
        <v>72</v>
      </c>
      <c r="J690" s="832">
        <v>40</v>
      </c>
      <c r="K690" s="833">
        <v>2879.800048828125</v>
      </c>
    </row>
    <row r="691" spans="1:11" ht="14.45" customHeight="1" x14ac:dyDescent="0.2">
      <c r="A691" s="822" t="s">
        <v>575</v>
      </c>
      <c r="B691" s="823" t="s">
        <v>576</v>
      </c>
      <c r="C691" s="826" t="s">
        <v>597</v>
      </c>
      <c r="D691" s="840" t="s">
        <v>598</v>
      </c>
      <c r="E691" s="826" t="s">
        <v>3264</v>
      </c>
      <c r="F691" s="840" t="s">
        <v>3265</v>
      </c>
      <c r="G691" s="826" t="s">
        <v>3946</v>
      </c>
      <c r="H691" s="826" t="s">
        <v>3947</v>
      </c>
      <c r="I691" s="832">
        <v>72</v>
      </c>
      <c r="J691" s="832">
        <v>60</v>
      </c>
      <c r="K691" s="833">
        <v>4319.7000732421875</v>
      </c>
    </row>
    <row r="692" spans="1:11" ht="14.45" customHeight="1" x14ac:dyDescent="0.2">
      <c r="A692" s="822" t="s">
        <v>575</v>
      </c>
      <c r="B692" s="823" t="s">
        <v>576</v>
      </c>
      <c r="C692" s="826" t="s">
        <v>597</v>
      </c>
      <c r="D692" s="840" t="s">
        <v>598</v>
      </c>
      <c r="E692" s="826" t="s">
        <v>3264</v>
      </c>
      <c r="F692" s="840" t="s">
        <v>3265</v>
      </c>
      <c r="G692" s="826" t="s">
        <v>3948</v>
      </c>
      <c r="H692" s="826" t="s">
        <v>3949</v>
      </c>
      <c r="I692" s="832">
        <v>0.25</v>
      </c>
      <c r="J692" s="832">
        <v>100</v>
      </c>
      <c r="K692" s="833">
        <v>25</v>
      </c>
    </row>
    <row r="693" spans="1:11" ht="14.45" customHeight="1" x14ac:dyDescent="0.2">
      <c r="A693" s="822" t="s">
        <v>575</v>
      </c>
      <c r="B693" s="823" t="s">
        <v>576</v>
      </c>
      <c r="C693" s="826" t="s">
        <v>597</v>
      </c>
      <c r="D693" s="840" t="s">
        <v>598</v>
      </c>
      <c r="E693" s="826" t="s">
        <v>3264</v>
      </c>
      <c r="F693" s="840" t="s">
        <v>3265</v>
      </c>
      <c r="G693" s="826" t="s">
        <v>3946</v>
      </c>
      <c r="H693" s="826" t="s">
        <v>3950</v>
      </c>
      <c r="I693" s="832">
        <v>72</v>
      </c>
      <c r="J693" s="832">
        <v>20</v>
      </c>
      <c r="K693" s="833">
        <v>1439.9000244140625</v>
      </c>
    </row>
    <row r="694" spans="1:11" ht="14.45" customHeight="1" x14ac:dyDescent="0.2">
      <c r="A694" s="822" t="s">
        <v>575</v>
      </c>
      <c r="B694" s="823" t="s">
        <v>576</v>
      </c>
      <c r="C694" s="826" t="s">
        <v>597</v>
      </c>
      <c r="D694" s="840" t="s">
        <v>598</v>
      </c>
      <c r="E694" s="826" t="s">
        <v>3264</v>
      </c>
      <c r="F694" s="840" t="s">
        <v>3265</v>
      </c>
      <c r="G694" s="826" t="s">
        <v>3951</v>
      </c>
      <c r="H694" s="826" t="s">
        <v>3952</v>
      </c>
      <c r="I694" s="832">
        <v>22.298749446868896</v>
      </c>
      <c r="J694" s="832">
        <v>300</v>
      </c>
      <c r="K694" s="833">
        <v>6689.9900512695313</v>
      </c>
    </row>
    <row r="695" spans="1:11" ht="14.45" customHeight="1" x14ac:dyDescent="0.2">
      <c r="A695" s="822" t="s">
        <v>575</v>
      </c>
      <c r="B695" s="823" t="s">
        <v>576</v>
      </c>
      <c r="C695" s="826" t="s">
        <v>597</v>
      </c>
      <c r="D695" s="840" t="s">
        <v>598</v>
      </c>
      <c r="E695" s="826" t="s">
        <v>3264</v>
      </c>
      <c r="F695" s="840" t="s">
        <v>3265</v>
      </c>
      <c r="G695" s="826" t="s">
        <v>3953</v>
      </c>
      <c r="H695" s="826" t="s">
        <v>3954</v>
      </c>
      <c r="I695" s="832">
        <v>393.25</v>
      </c>
      <c r="J695" s="832">
        <v>21</v>
      </c>
      <c r="K695" s="833">
        <v>8258.25</v>
      </c>
    </row>
    <row r="696" spans="1:11" ht="14.45" customHeight="1" x14ac:dyDescent="0.2">
      <c r="A696" s="822" t="s">
        <v>575</v>
      </c>
      <c r="B696" s="823" t="s">
        <v>576</v>
      </c>
      <c r="C696" s="826" t="s">
        <v>597</v>
      </c>
      <c r="D696" s="840" t="s">
        <v>598</v>
      </c>
      <c r="E696" s="826" t="s">
        <v>3264</v>
      </c>
      <c r="F696" s="840" t="s">
        <v>3265</v>
      </c>
      <c r="G696" s="826" t="s">
        <v>3955</v>
      </c>
      <c r="H696" s="826" t="s">
        <v>3956</v>
      </c>
      <c r="I696" s="832">
        <v>427.53333536783856</v>
      </c>
      <c r="J696" s="832">
        <v>3</v>
      </c>
      <c r="K696" s="833">
        <v>1282.6000061035156</v>
      </c>
    </row>
    <row r="697" spans="1:11" ht="14.45" customHeight="1" x14ac:dyDescent="0.2">
      <c r="A697" s="822" t="s">
        <v>575</v>
      </c>
      <c r="B697" s="823" t="s">
        <v>576</v>
      </c>
      <c r="C697" s="826" t="s">
        <v>597</v>
      </c>
      <c r="D697" s="840" t="s">
        <v>598</v>
      </c>
      <c r="E697" s="826" t="s">
        <v>3264</v>
      </c>
      <c r="F697" s="840" t="s">
        <v>3265</v>
      </c>
      <c r="G697" s="826" t="s">
        <v>3951</v>
      </c>
      <c r="H697" s="826" t="s">
        <v>3957</v>
      </c>
      <c r="I697" s="832">
        <v>22.299999237060547</v>
      </c>
      <c r="J697" s="832">
        <v>210</v>
      </c>
      <c r="K697" s="833">
        <v>4683.1700439453125</v>
      </c>
    </row>
    <row r="698" spans="1:11" ht="14.45" customHeight="1" x14ac:dyDescent="0.2">
      <c r="A698" s="822" t="s">
        <v>575</v>
      </c>
      <c r="B698" s="823" t="s">
        <v>576</v>
      </c>
      <c r="C698" s="826" t="s">
        <v>597</v>
      </c>
      <c r="D698" s="840" t="s">
        <v>598</v>
      </c>
      <c r="E698" s="826" t="s">
        <v>3264</v>
      </c>
      <c r="F698" s="840" t="s">
        <v>3265</v>
      </c>
      <c r="G698" s="826" t="s">
        <v>3953</v>
      </c>
      <c r="H698" s="826" t="s">
        <v>3958</v>
      </c>
      <c r="I698" s="832">
        <v>393.25</v>
      </c>
      <c r="J698" s="832">
        <v>17</v>
      </c>
      <c r="K698" s="833">
        <v>6685.25</v>
      </c>
    </row>
    <row r="699" spans="1:11" ht="14.45" customHeight="1" x14ac:dyDescent="0.2">
      <c r="A699" s="822" t="s">
        <v>575</v>
      </c>
      <c r="B699" s="823" t="s">
        <v>576</v>
      </c>
      <c r="C699" s="826" t="s">
        <v>597</v>
      </c>
      <c r="D699" s="840" t="s">
        <v>598</v>
      </c>
      <c r="E699" s="826" t="s">
        <v>3264</v>
      </c>
      <c r="F699" s="840" t="s">
        <v>3265</v>
      </c>
      <c r="G699" s="826" t="s">
        <v>3357</v>
      </c>
      <c r="H699" s="826" t="s">
        <v>3358</v>
      </c>
      <c r="I699" s="832">
        <v>61.060001373291016</v>
      </c>
      <c r="J699" s="832">
        <v>50</v>
      </c>
      <c r="K699" s="833">
        <v>3053</v>
      </c>
    </row>
    <row r="700" spans="1:11" ht="14.45" customHeight="1" x14ac:dyDescent="0.2">
      <c r="A700" s="822" t="s">
        <v>575</v>
      </c>
      <c r="B700" s="823" t="s">
        <v>576</v>
      </c>
      <c r="C700" s="826" t="s">
        <v>597</v>
      </c>
      <c r="D700" s="840" t="s">
        <v>598</v>
      </c>
      <c r="E700" s="826" t="s">
        <v>3264</v>
      </c>
      <c r="F700" s="840" t="s">
        <v>3265</v>
      </c>
      <c r="G700" s="826" t="s">
        <v>3359</v>
      </c>
      <c r="H700" s="826" t="s">
        <v>3360</v>
      </c>
      <c r="I700" s="832">
        <v>72.839996337890625</v>
      </c>
      <c r="J700" s="832">
        <v>50</v>
      </c>
      <c r="K700" s="833">
        <v>3642.10009765625</v>
      </c>
    </row>
    <row r="701" spans="1:11" ht="14.45" customHeight="1" x14ac:dyDescent="0.2">
      <c r="A701" s="822" t="s">
        <v>575</v>
      </c>
      <c r="B701" s="823" t="s">
        <v>576</v>
      </c>
      <c r="C701" s="826" t="s">
        <v>597</v>
      </c>
      <c r="D701" s="840" t="s">
        <v>598</v>
      </c>
      <c r="E701" s="826" t="s">
        <v>3264</v>
      </c>
      <c r="F701" s="840" t="s">
        <v>3265</v>
      </c>
      <c r="G701" s="826" t="s">
        <v>3357</v>
      </c>
      <c r="H701" s="826" t="s">
        <v>3361</v>
      </c>
      <c r="I701" s="832">
        <v>61.060001373291016</v>
      </c>
      <c r="J701" s="832">
        <v>50</v>
      </c>
      <c r="K701" s="833">
        <v>3052.830078125</v>
      </c>
    </row>
    <row r="702" spans="1:11" ht="14.45" customHeight="1" x14ac:dyDescent="0.2">
      <c r="A702" s="822" t="s">
        <v>575</v>
      </c>
      <c r="B702" s="823" t="s">
        <v>576</v>
      </c>
      <c r="C702" s="826" t="s">
        <v>597</v>
      </c>
      <c r="D702" s="840" t="s">
        <v>598</v>
      </c>
      <c r="E702" s="826" t="s">
        <v>3264</v>
      </c>
      <c r="F702" s="840" t="s">
        <v>3265</v>
      </c>
      <c r="G702" s="826" t="s">
        <v>3359</v>
      </c>
      <c r="H702" s="826" t="s">
        <v>3959</v>
      </c>
      <c r="I702" s="832">
        <v>72.839996337890625</v>
      </c>
      <c r="J702" s="832">
        <v>50</v>
      </c>
      <c r="K702" s="833">
        <v>3642.10009765625</v>
      </c>
    </row>
    <row r="703" spans="1:11" ht="14.45" customHeight="1" x14ac:dyDescent="0.2">
      <c r="A703" s="822" t="s">
        <v>575</v>
      </c>
      <c r="B703" s="823" t="s">
        <v>576</v>
      </c>
      <c r="C703" s="826" t="s">
        <v>597</v>
      </c>
      <c r="D703" s="840" t="s">
        <v>598</v>
      </c>
      <c r="E703" s="826" t="s">
        <v>3264</v>
      </c>
      <c r="F703" s="840" t="s">
        <v>3265</v>
      </c>
      <c r="G703" s="826" t="s">
        <v>3362</v>
      </c>
      <c r="H703" s="826" t="s">
        <v>3363</v>
      </c>
      <c r="I703" s="832">
        <v>4.9733331998189287</v>
      </c>
      <c r="J703" s="832">
        <v>150</v>
      </c>
      <c r="K703" s="833">
        <v>745.90000534057617</v>
      </c>
    </row>
    <row r="704" spans="1:11" ht="14.45" customHeight="1" x14ac:dyDescent="0.2">
      <c r="A704" s="822" t="s">
        <v>575</v>
      </c>
      <c r="B704" s="823" t="s">
        <v>576</v>
      </c>
      <c r="C704" s="826" t="s">
        <v>597</v>
      </c>
      <c r="D704" s="840" t="s">
        <v>598</v>
      </c>
      <c r="E704" s="826" t="s">
        <v>3264</v>
      </c>
      <c r="F704" s="840" t="s">
        <v>3265</v>
      </c>
      <c r="G704" s="826" t="s">
        <v>3364</v>
      </c>
      <c r="H704" s="826" t="s">
        <v>3365</v>
      </c>
      <c r="I704" s="832">
        <v>11.739999771118164</v>
      </c>
      <c r="J704" s="832">
        <v>10</v>
      </c>
      <c r="K704" s="833">
        <v>117.40000152587891</v>
      </c>
    </row>
    <row r="705" spans="1:11" ht="14.45" customHeight="1" x14ac:dyDescent="0.2">
      <c r="A705" s="822" t="s">
        <v>575</v>
      </c>
      <c r="B705" s="823" t="s">
        <v>576</v>
      </c>
      <c r="C705" s="826" t="s">
        <v>597</v>
      </c>
      <c r="D705" s="840" t="s">
        <v>598</v>
      </c>
      <c r="E705" s="826" t="s">
        <v>3264</v>
      </c>
      <c r="F705" s="840" t="s">
        <v>3265</v>
      </c>
      <c r="G705" s="826" t="s">
        <v>3366</v>
      </c>
      <c r="H705" s="826" t="s">
        <v>3367</v>
      </c>
      <c r="I705" s="832">
        <v>13.310000419616699</v>
      </c>
      <c r="J705" s="832">
        <v>330</v>
      </c>
      <c r="K705" s="833">
        <v>4392.3000183105469</v>
      </c>
    </row>
    <row r="706" spans="1:11" ht="14.45" customHeight="1" x14ac:dyDescent="0.2">
      <c r="A706" s="822" t="s">
        <v>575</v>
      </c>
      <c r="B706" s="823" t="s">
        <v>576</v>
      </c>
      <c r="C706" s="826" t="s">
        <v>597</v>
      </c>
      <c r="D706" s="840" t="s">
        <v>598</v>
      </c>
      <c r="E706" s="826" t="s">
        <v>3264</v>
      </c>
      <c r="F706" s="840" t="s">
        <v>3265</v>
      </c>
      <c r="G706" s="826" t="s">
        <v>3368</v>
      </c>
      <c r="H706" s="826" t="s">
        <v>3369</v>
      </c>
      <c r="I706" s="832">
        <v>25.530000686645508</v>
      </c>
      <c r="J706" s="832">
        <v>191</v>
      </c>
      <c r="K706" s="833">
        <v>4876.2300891876221</v>
      </c>
    </row>
    <row r="707" spans="1:11" ht="14.45" customHeight="1" x14ac:dyDescent="0.2">
      <c r="A707" s="822" t="s">
        <v>575</v>
      </c>
      <c r="B707" s="823" t="s">
        <v>576</v>
      </c>
      <c r="C707" s="826" t="s">
        <v>597</v>
      </c>
      <c r="D707" s="840" t="s">
        <v>598</v>
      </c>
      <c r="E707" s="826" t="s">
        <v>3264</v>
      </c>
      <c r="F707" s="840" t="s">
        <v>3265</v>
      </c>
      <c r="G707" s="826" t="s">
        <v>3362</v>
      </c>
      <c r="H707" s="826" t="s">
        <v>3372</v>
      </c>
      <c r="I707" s="832">
        <v>4.9099998474121094</v>
      </c>
      <c r="J707" s="832">
        <v>40</v>
      </c>
      <c r="K707" s="833">
        <v>196.40000152587891</v>
      </c>
    </row>
    <row r="708" spans="1:11" ht="14.45" customHeight="1" x14ac:dyDescent="0.2">
      <c r="A708" s="822" t="s">
        <v>575</v>
      </c>
      <c r="B708" s="823" t="s">
        <v>576</v>
      </c>
      <c r="C708" s="826" t="s">
        <v>597</v>
      </c>
      <c r="D708" s="840" t="s">
        <v>598</v>
      </c>
      <c r="E708" s="826" t="s">
        <v>3264</v>
      </c>
      <c r="F708" s="840" t="s">
        <v>3265</v>
      </c>
      <c r="G708" s="826" t="s">
        <v>3366</v>
      </c>
      <c r="H708" s="826" t="s">
        <v>3374</v>
      </c>
      <c r="I708" s="832">
        <v>13.310000419616699</v>
      </c>
      <c r="J708" s="832">
        <v>310</v>
      </c>
      <c r="K708" s="833">
        <v>4126.0999755859375</v>
      </c>
    </row>
    <row r="709" spans="1:11" ht="14.45" customHeight="1" x14ac:dyDescent="0.2">
      <c r="A709" s="822" t="s">
        <v>575</v>
      </c>
      <c r="B709" s="823" t="s">
        <v>576</v>
      </c>
      <c r="C709" s="826" t="s">
        <v>597</v>
      </c>
      <c r="D709" s="840" t="s">
        <v>598</v>
      </c>
      <c r="E709" s="826" t="s">
        <v>3264</v>
      </c>
      <c r="F709" s="840" t="s">
        <v>3265</v>
      </c>
      <c r="G709" s="826" t="s">
        <v>3368</v>
      </c>
      <c r="H709" s="826" t="s">
        <v>3375</v>
      </c>
      <c r="I709" s="832">
        <v>25.532857894897461</v>
      </c>
      <c r="J709" s="832">
        <v>60</v>
      </c>
      <c r="K709" s="833">
        <v>1531.9600143432617</v>
      </c>
    </row>
    <row r="710" spans="1:11" ht="14.45" customHeight="1" x14ac:dyDescent="0.2">
      <c r="A710" s="822" t="s">
        <v>575</v>
      </c>
      <c r="B710" s="823" t="s">
        <v>576</v>
      </c>
      <c r="C710" s="826" t="s">
        <v>597</v>
      </c>
      <c r="D710" s="840" t="s">
        <v>598</v>
      </c>
      <c r="E710" s="826" t="s">
        <v>3264</v>
      </c>
      <c r="F710" s="840" t="s">
        <v>3265</v>
      </c>
      <c r="G710" s="826" t="s">
        <v>3960</v>
      </c>
      <c r="H710" s="826" t="s">
        <v>3961</v>
      </c>
      <c r="I710" s="832">
        <v>438.54998779296875</v>
      </c>
      <c r="J710" s="832">
        <v>10</v>
      </c>
      <c r="K710" s="833">
        <v>4385.52001953125</v>
      </c>
    </row>
    <row r="711" spans="1:11" ht="14.45" customHeight="1" x14ac:dyDescent="0.2">
      <c r="A711" s="822" t="s">
        <v>575</v>
      </c>
      <c r="B711" s="823" t="s">
        <v>576</v>
      </c>
      <c r="C711" s="826" t="s">
        <v>597</v>
      </c>
      <c r="D711" s="840" t="s">
        <v>598</v>
      </c>
      <c r="E711" s="826" t="s">
        <v>3264</v>
      </c>
      <c r="F711" s="840" t="s">
        <v>3265</v>
      </c>
      <c r="G711" s="826" t="s">
        <v>3962</v>
      </c>
      <c r="H711" s="826" t="s">
        <v>3963</v>
      </c>
      <c r="I711" s="832">
        <v>375.91000366210938</v>
      </c>
      <c r="J711" s="832">
        <v>3</v>
      </c>
      <c r="K711" s="833">
        <v>1127.739990234375</v>
      </c>
    </row>
    <row r="712" spans="1:11" ht="14.45" customHeight="1" x14ac:dyDescent="0.2">
      <c r="A712" s="822" t="s">
        <v>575</v>
      </c>
      <c r="B712" s="823" t="s">
        <v>576</v>
      </c>
      <c r="C712" s="826" t="s">
        <v>597</v>
      </c>
      <c r="D712" s="840" t="s">
        <v>598</v>
      </c>
      <c r="E712" s="826" t="s">
        <v>3264</v>
      </c>
      <c r="F712" s="840" t="s">
        <v>3265</v>
      </c>
      <c r="G712" s="826" t="s">
        <v>3964</v>
      </c>
      <c r="H712" s="826" t="s">
        <v>3965</v>
      </c>
      <c r="I712" s="832">
        <v>179.69000244140625</v>
      </c>
      <c r="J712" s="832">
        <v>4</v>
      </c>
      <c r="K712" s="833">
        <v>718.739990234375</v>
      </c>
    </row>
    <row r="713" spans="1:11" ht="14.45" customHeight="1" x14ac:dyDescent="0.2">
      <c r="A713" s="822" t="s">
        <v>575</v>
      </c>
      <c r="B713" s="823" t="s">
        <v>576</v>
      </c>
      <c r="C713" s="826" t="s">
        <v>597</v>
      </c>
      <c r="D713" s="840" t="s">
        <v>598</v>
      </c>
      <c r="E713" s="826" t="s">
        <v>3264</v>
      </c>
      <c r="F713" s="840" t="s">
        <v>3265</v>
      </c>
      <c r="G713" s="826" t="s">
        <v>3966</v>
      </c>
      <c r="H713" s="826" t="s">
        <v>3967</v>
      </c>
      <c r="I713" s="832">
        <v>20.577499866485596</v>
      </c>
      <c r="J713" s="832">
        <v>65</v>
      </c>
      <c r="K713" s="833">
        <v>1337.5700225830078</v>
      </c>
    </row>
    <row r="714" spans="1:11" ht="14.45" customHeight="1" x14ac:dyDescent="0.2">
      <c r="A714" s="822" t="s">
        <v>575</v>
      </c>
      <c r="B714" s="823" t="s">
        <v>576</v>
      </c>
      <c r="C714" s="826" t="s">
        <v>597</v>
      </c>
      <c r="D714" s="840" t="s">
        <v>598</v>
      </c>
      <c r="E714" s="826" t="s">
        <v>3264</v>
      </c>
      <c r="F714" s="840" t="s">
        <v>3265</v>
      </c>
      <c r="G714" s="826" t="s">
        <v>3966</v>
      </c>
      <c r="H714" s="826" t="s">
        <v>3968</v>
      </c>
      <c r="I714" s="832">
        <v>20.329999923706055</v>
      </c>
      <c r="J714" s="832">
        <v>90</v>
      </c>
      <c r="K714" s="833">
        <v>1829.52001953125</v>
      </c>
    </row>
    <row r="715" spans="1:11" ht="14.45" customHeight="1" x14ac:dyDescent="0.2">
      <c r="A715" s="822" t="s">
        <v>575</v>
      </c>
      <c r="B715" s="823" t="s">
        <v>576</v>
      </c>
      <c r="C715" s="826" t="s">
        <v>597</v>
      </c>
      <c r="D715" s="840" t="s">
        <v>598</v>
      </c>
      <c r="E715" s="826" t="s">
        <v>3264</v>
      </c>
      <c r="F715" s="840" t="s">
        <v>3265</v>
      </c>
      <c r="G715" s="826" t="s">
        <v>3385</v>
      </c>
      <c r="H715" s="826" t="s">
        <v>3386</v>
      </c>
      <c r="I715" s="832">
        <v>1.5</v>
      </c>
      <c r="J715" s="832">
        <v>1550</v>
      </c>
      <c r="K715" s="833">
        <v>2325</v>
      </c>
    </row>
    <row r="716" spans="1:11" ht="14.45" customHeight="1" x14ac:dyDescent="0.2">
      <c r="A716" s="822" t="s">
        <v>575</v>
      </c>
      <c r="B716" s="823" t="s">
        <v>576</v>
      </c>
      <c r="C716" s="826" t="s">
        <v>597</v>
      </c>
      <c r="D716" s="840" t="s">
        <v>598</v>
      </c>
      <c r="E716" s="826" t="s">
        <v>3264</v>
      </c>
      <c r="F716" s="840" t="s">
        <v>3265</v>
      </c>
      <c r="G716" s="826" t="s">
        <v>3385</v>
      </c>
      <c r="H716" s="826" t="s">
        <v>3387</v>
      </c>
      <c r="I716" s="832">
        <v>1.5</v>
      </c>
      <c r="J716" s="832">
        <v>1200</v>
      </c>
      <c r="K716" s="833">
        <v>1800</v>
      </c>
    </row>
    <row r="717" spans="1:11" ht="14.45" customHeight="1" x14ac:dyDescent="0.2">
      <c r="A717" s="822" t="s">
        <v>575</v>
      </c>
      <c r="B717" s="823" t="s">
        <v>576</v>
      </c>
      <c r="C717" s="826" t="s">
        <v>597</v>
      </c>
      <c r="D717" s="840" t="s">
        <v>598</v>
      </c>
      <c r="E717" s="826" t="s">
        <v>3264</v>
      </c>
      <c r="F717" s="840" t="s">
        <v>3265</v>
      </c>
      <c r="G717" s="826" t="s">
        <v>3969</v>
      </c>
      <c r="H717" s="826" t="s">
        <v>3970</v>
      </c>
      <c r="I717" s="832">
        <v>851.4000244140625</v>
      </c>
      <c r="J717" s="832">
        <v>10</v>
      </c>
      <c r="K717" s="833">
        <v>8514</v>
      </c>
    </row>
    <row r="718" spans="1:11" ht="14.45" customHeight="1" x14ac:dyDescent="0.2">
      <c r="A718" s="822" t="s">
        <v>575</v>
      </c>
      <c r="B718" s="823" t="s">
        <v>576</v>
      </c>
      <c r="C718" s="826" t="s">
        <v>597</v>
      </c>
      <c r="D718" s="840" t="s">
        <v>598</v>
      </c>
      <c r="E718" s="826" t="s">
        <v>3264</v>
      </c>
      <c r="F718" s="840" t="s">
        <v>3265</v>
      </c>
      <c r="G718" s="826" t="s">
        <v>3969</v>
      </c>
      <c r="H718" s="826" t="s">
        <v>3971</v>
      </c>
      <c r="I718" s="832">
        <v>851.4000244140625</v>
      </c>
      <c r="J718" s="832">
        <v>20</v>
      </c>
      <c r="K718" s="833">
        <v>17028.080078125</v>
      </c>
    </row>
    <row r="719" spans="1:11" ht="14.45" customHeight="1" x14ac:dyDescent="0.2">
      <c r="A719" s="822" t="s">
        <v>575</v>
      </c>
      <c r="B719" s="823" t="s">
        <v>576</v>
      </c>
      <c r="C719" s="826" t="s">
        <v>597</v>
      </c>
      <c r="D719" s="840" t="s">
        <v>598</v>
      </c>
      <c r="E719" s="826" t="s">
        <v>3264</v>
      </c>
      <c r="F719" s="840" t="s">
        <v>3265</v>
      </c>
      <c r="G719" s="826" t="s">
        <v>3390</v>
      </c>
      <c r="H719" s="826" t="s">
        <v>3391</v>
      </c>
      <c r="I719" s="832">
        <v>9.1999998092651367</v>
      </c>
      <c r="J719" s="832">
        <v>700</v>
      </c>
      <c r="K719" s="833">
        <v>6440</v>
      </c>
    </row>
    <row r="720" spans="1:11" ht="14.45" customHeight="1" x14ac:dyDescent="0.2">
      <c r="A720" s="822" t="s">
        <v>575</v>
      </c>
      <c r="B720" s="823" t="s">
        <v>576</v>
      </c>
      <c r="C720" s="826" t="s">
        <v>597</v>
      </c>
      <c r="D720" s="840" t="s">
        <v>598</v>
      </c>
      <c r="E720" s="826" t="s">
        <v>3264</v>
      </c>
      <c r="F720" s="840" t="s">
        <v>3265</v>
      </c>
      <c r="G720" s="826" t="s">
        <v>3390</v>
      </c>
      <c r="H720" s="826" t="s">
        <v>3392</v>
      </c>
      <c r="I720" s="832">
        <v>9.1999998092651367</v>
      </c>
      <c r="J720" s="832">
        <v>300</v>
      </c>
      <c r="K720" s="833">
        <v>2760</v>
      </c>
    </row>
    <row r="721" spans="1:11" ht="14.45" customHeight="1" x14ac:dyDescent="0.2">
      <c r="A721" s="822" t="s">
        <v>575</v>
      </c>
      <c r="B721" s="823" t="s">
        <v>576</v>
      </c>
      <c r="C721" s="826" t="s">
        <v>597</v>
      </c>
      <c r="D721" s="840" t="s">
        <v>598</v>
      </c>
      <c r="E721" s="826" t="s">
        <v>3264</v>
      </c>
      <c r="F721" s="840" t="s">
        <v>3265</v>
      </c>
      <c r="G721" s="826" t="s">
        <v>3390</v>
      </c>
      <c r="H721" s="826" t="s">
        <v>3393</v>
      </c>
      <c r="I721" s="832">
        <v>9.1999998092651367</v>
      </c>
      <c r="J721" s="832">
        <v>50</v>
      </c>
      <c r="K721" s="833">
        <v>460</v>
      </c>
    </row>
    <row r="722" spans="1:11" ht="14.45" customHeight="1" x14ac:dyDescent="0.2">
      <c r="A722" s="822" t="s">
        <v>575</v>
      </c>
      <c r="B722" s="823" t="s">
        <v>576</v>
      </c>
      <c r="C722" s="826" t="s">
        <v>597</v>
      </c>
      <c r="D722" s="840" t="s">
        <v>598</v>
      </c>
      <c r="E722" s="826" t="s">
        <v>3264</v>
      </c>
      <c r="F722" s="840" t="s">
        <v>3265</v>
      </c>
      <c r="G722" s="826" t="s">
        <v>3972</v>
      </c>
      <c r="H722" s="826" t="s">
        <v>3973</v>
      </c>
      <c r="I722" s="832">
        <v>61.101665496826172</v>
      </c>
      <c r="J722" s="832">
        <v>280</v>
      </c>
      <c r="K722" s="833">
        <v>17108.39990234375</v>
      </c>
    </row>
    <row r="723" spans="1:11" ht="14.45" customHeight="1" x14ac:dyDescent="0.2">
      <c r="A723" s="822" t="s">
        <v>575</v>
      </c>
      <c r="B723" s="823" t="s">
        <v>576</v>
      </c>
      <c r="C723" s="826" t="s">
        <v>597</v>
      </c>
      <c r="D723" s="840" t="s">
        <v>598</v>
      </c>
      <c r="E723" s="826" t="s">
        <v>3264</v>
      </c>
      <c r="F723" s="840" t="s">
        <v>3265</v>
      </c>
      <c r="G723" s="826" t="s">
        <v>3972</v>
      </c>
      <c r="H723" s="826" t="s">
        <v>3974</v>
      </c>
      <c r="I723" s="832">
        <v>61.444544705477625</v>
      </c>
      <c r="J723" s="832">
        <v>500</v>
      </c>
      <c r="K723" s="833">
        <v>30701.080200195313</v>
      </c>
    </row>
    <row r="724" spans="1:11" ht="14.45" customHeight="1" x14ac:dyDescent="0.2">
      <c r="A724" s="822" t="s">
        <v>575</v>
      </c>
      <c r="B724" s="823" t="s">
        <v>576</v>
      </c>
      <c r="C724" s="826" t="s">
        <v>597</v>
      </c>
      <c r="D724" s="840" t="s">
        <v>598</v>
      </c>
      <c r="E724" s="826" t="s">
        <v>3264</v>
      </c>
      <c r="F724" s="840" t="s">
        <v>3265</v>
      </c>
      <c r="G724" s="826" t="s">
        <v>3975</v>
      </c>
      <c r="H724" s="826" t="s">
        <v>3976</v>
      </c>
      <c r="I724" s="832">
        <v>108.29500198364258</v>
      </c>
      <c r="J724" s="832">
        <v>40</v>
      </c>
      <c r="K724" s="833">
        <v>4331.699951171875</v>
      </c>
    </row>
    <row r="725" spans="1:11" ht="14.45" customHeight="1" x14ac:dyDescent="0.2">
      <c r="A725" s="822" t="s">
        <v>575</v>
      </c>
      <c r="B725" s="823" t="s">
        <v>576</v>
      </c>
      <c r="C725" s="826" t="s">
        <v>597</v>
      </c>
      <c r="D725" s="840" t="s">
        <v>598</v>
      </c>
      <c r="E725" s="826" t="s">
        <v>3264</v>
      </c>
      <c r="F725" s="840" t="s">
        <v>3265</v>
      </c>
      <c r="G725" s="826" t="s">
        <v>3975</v>
      </c>
      <c r="H725" s="826" t="s">
        <v>3977</v>
      </c>
      <c r="I725" s="832">
        <v>108.29500198364258</v>
      </c>
      <c r="J725" s="832">
        <v>40</v>
      </c>
      <c r="K725" s="833">
        <v>4331.599853515625</v>
      </c>
    </row>
    <row r="726" spans="1:11" ht="14.45" customHeight="1" x14ac:dyDescent="0.2">
      <c r="A726" s="822" t="s">
        <v>575</v>
      </c>
      <c r="B726" s="823" t="s">
        <v>576</v>
      </c>
      <c r="C726" s="826" t="s">
        <v>597</v>
      </c>
      <c r="D726" s="840" t="s">
        <v>598</v>
      </c>
      <c r="E726" s="826" t="s">
        <v>3264</v>
      </c>
      <c r="F726" s="840" t="s">
        <v>3265</v>
      </c>
      <c r="G726" s="826" t="s">
        <v>3396</v>
      </c>
      <c r="H726" s="826" t="s">
        <v>3397</v>
      </c>
      <c r="I726" s="832">
        <v>7.0199999809265137</v>
      </c>
      <c r="J726" s="832">
        <v>10</v>
      </c>
      <c r="K726" s="833">
        <v>70.199996948242188</v>
      </c>
    </row>
    <row r="727" spans="1:11" ht="14.45" customHeight="1" x14ac:dyDescent="0.2">
      <c r="A727" s="822" t="s">
        <v>575</v>
      </c>
      <c r="B727" s="823" t="s">
        <v>576</v>
      </c>
      <c r="C727" s="826" t="s">
        <v>597</v>
      </c>
      <c r="D727" s="840" t="s">
        <v>598</v>
      </c>
      <c r="E727" s="826" t="s">
        <v>3264</v>
      </c>
      <c r="F727" s="840" t="s">
        <v>3265</v>
      </c>
      <c r="G727" s="826" t="s">
        <v>3978</v>
      </c>
      <c r="H727" s="826" t="s">
        <v>3979</v>
      </c>
      <c r="I727" s="832">
        <v>6.630000114440918</v>
      </c>
      <c r="J727" s="832">
        <v>15</v>
      </c>
      <c r="K727" s="833">
        <v>99.449996948242188</v>
      </c>
    </row>
    <row r="728" spans="1:11" ht="14.45" customHeight="1" x14ac:dyDescent="0.2">
      <c r="A728" s="822" t="s">
        <v>575</v>
      </c>
      <c r="B728" s="823" t="s">
        <v>576</v>
      </c>
      <c r="C728" s="826" t="s">
        <v>597</v>
      </c>
      <c r="D728" s="840" t="s">
        <v>598</v>
      </c>
      <c r="E728" s="826" t="s">
        <v>3264</v>
      </c>
      <c r="F728" s="840" t="s">
        <v>3265</v>
      </c>
      <c r="G728" s="826" t="s">
        <v>3980</v>
      </c>
      <c r="H728" s="826" t="s">
        <v>3981</v>
      </c>
      <c r="I728" s="832">
        <v>7.0199999809265137</v>
      </c>
      <c r="J728" s="832">
        <v>20</v>
      </c>
      <c r="K728" s="833">
        <v>140.39999389648438</v>
      </c>
    </row>
    <row r="729" spans="1:11" ht="14.45" customHeight="1" x14ac:dyDescent="0.2">
      <c r="A729" s="822" t="s">
        <v>575</v>
      </c>
      <c r="B729" s="823" t="s">
        <v>576</v>
      </c>
      <c r="C729" s="826" t="s">
        <v>597</v>
      </c>
      <c r="D729" s="840" t="s">
        <v>598</v>
      </c>
      <c r="E729" s="826" t="s">
        <v>3264</v>
      </c>
      <c r="F729" s="840" t="s">
        <v>3265</v>
      </c>
      <c r="G729" s="826" t="s">
        <v>3399</v>
      </c>
      <c r="H729" s="826" t="s">
        <v>3400</v>
      </c>
      <c r="I729" s="832">
        <v>172.5</v>
      </c>
      <c r="J729" s="832">
        <v>2</v>
      </c>
      <c r="K729" s="833">
        <v>345</v>
      </c>
    </row>
    <row r="730" spans="1:11" ht="14.45" customHeight="1" x14ac:dyDescent="0.2">
      <c r="A730" s="822" t="s">
        <v>575</v>
      </c>
      <c r="B730" s="823" t="s">
        <v>576</v>
      </c>
      <c r="C730" s="826" t="s">
        <v>597</v>
      </c>
      <c r="D730" s="840" t="s">
        <v>598</v>
      </c>
      <c r="E730" s="826" t="s">
        <v>3264</v>
      </c>
      <c r="F730" s="840" t="s">
        <v>3265</v>
      </c>
      <c r="G730" s="826" t="s">
        <v>3399</v>
      </c>
      <c r="H730" s="826" t="s">
        <v>3401</v>
      </c>
      <c r="I730" s="832">
        <v>172.5</v>
      </c>
      <c r="J730" s="832">
        <v>3</v>
      </c>
      <c r="K730" s="833">
        <v>517.5</v>
      </c>
    </row>
    <row r="731" spans="1:11" ht="14.45" customHeight="1" x14ac:dyDescent="0.2">
      <c r="A731" s="822" t="s">
        <v>575</v>
      </c>
      <c r="B731" s="823" t="s">
        <v>576</v>
      </c>
      <c r="C731" s="826" t="s">
        <v>597</v>
      </c>
      <c r="D731" s="840" t="s">
        <v>598</v>
      </c>
      <c r="E731" s="826" t="s">
        <v>3264</v>
      </c>
      <c r="F731" s="840" t="s">
        <v>3265</v>
      </c>
      <c r="G731" s="826" t="s">
        <v>3404</v>
      </c>
      <c r="H731" s="826" t="s">
        <v>3405</v>
      </c>
      <c r="I731" s="832">
        <v>150.00999959309897</v>
      </c>
      <c r="J731" s="832">
        <v>40</v>
      </c>
      <c r="K731" s="833">
        <v>6000.389892578125</v>
      </c>
    </row>
    <row r="732" spans="1:11" ht="14.45" customHeight="1" x14ac:dyDescent="0.2">
      <c r="A732" s="822" t="s">
        <v>575</v>
      </c>
      <c r="B732" s="823" t="s">
        <v>576</v>
      </c>
      <c r="C732" s="826" t="s">
        <v>597</v>
      </c>
      <c r="D732" s="840" t="s">
        <v>598</v>
      </c>
      <c r="E732" s="826" t="s">
        <v>3264</v>
      </c>
      <c r="F732" s="840" t="s">
        <v>3265</v>
      </c>
      <c r="G732" s="826" t="s">
        <v>3406</v>
      </c>
      <c r="H732" s="826" t="s">
        <v>3407</v>
      </c>
      <c r="I732" s="832">
        <v>6.2110000610351559</v>
      </c>
      <c r="J732" s="832">
        <v>470</v>
      </c>
      <c r="K732" s="833">
        <v>2920.5000305175781</v>
      </c>
    </row>
    <row r="733" spans="1:11" ht="14.45" customHeight="1" x14ac:dyDescent="0.2">
      <c r="A733" s="822" t="s">
        <v>575</v>
      </c>
      <c r="B733" s="823" t="s">
        <v>576</v>
      </c>
      <c r="C733" s="826" t="s">
        <v>597</v>
      </c>
      <c r="D733" s="840" t="s">
        <v>598</v>
      </c>
      <c r="E733" s="826" t="s">
        <v>3264</v>
      </c>
      <c r="F733" s="840" t="s">
        <v>3265</v>
      </c>
      <c r="G733" s="826" t="s">
        <v>3408</v>
      </c>
      <c r="H733" s="826" t="s">
        <v>3409</v>
      </c>
      <c r="I733" s="832">
        <v>20.690000534057617</v>
      </c>
      <c r="J733" s="832">
        <v>1700</v>
      </c>
      <c r="K733" s="833">
        <v>35175.200439453125</v>
      </c>
    </row>
    <row r="734" spans="1:11" ht="14.45" customHeight="1" x14ac:dyDescent="0.2">
      <c r="A734" s="822" t="s">
        <v>575</v>
      </c>
      <c r="B734" s="823" t="s">
        <v>576</v>
      </c>
      <c r="C734" s="826" t="s">
        <v>597</v>
      </c>
      <c r="D734" s="840" t="s">
        <v>598</v>
      </c>
      <c r="E734" s="826" t="s">
        <v>3264</v>
      </c>
      <c r="F734" s="840" t="s">
        <v>3265</v>
      </c>
      <c r="G734" s="826" t="s">
        <v>3406</v>
      </c>
      <c r="H734" s="826" t="s">
        <v>3982</v>
      </c>
      <c r="I734" s="832">
        <v>6.1716667016347246</v>
      </c>
      <c r="J734" s="832">
        <v>360</v>
      </c>
      <c r="K734" s="833">
        <v>2221.7000427246094</v>
      </c>
    </row>
    <row r="735" spans="1:11" ht="14.45" customHeight="1" x14ac:dyDescent="0.2">
      <c r="A735" s="822" t="s">
        <v>575</v>
      </c>
      <c r="B735" s="823" t="s">
        <v>576</v>
      </c>
      <c r="C735" s="826" t="s">
        <v>597</v>
      </c>
      <c r="D735" s="840" t="s">
        <v>598</v>
      </c>
      <c r="E735" s="826" t="s">
        <v>3264</v>
      </c>
      <c r="F735" s="840" t="s">
        <v>3265</v>
      </c>
      <c r="G735" s="826" t="s">
        <v>3408</v>
      </c>
      <c r="H735" s="826" t="s">
        <v>3410</v>
      </c>
      <c r="I735" s="832">
        <v>20.690000534057617</v>
      </c>
      <c r="J735" s="832">
        <v>1000</v>
      </c>
      <c r="K735" s="833">
        <v>20690.80029296875</v>
      </c>
    </row>
    <row r="736" spans="1:11" ht="14.45" customHeight="1" x14ac:dyDescent="0.2">
      <c r="A736" s="822" t="s">
        <v>575</v>
      </c>
      <c r="B736" s="823" t="s">
        <v>576</v>
      </c>
      <c r="C736" s="826" t="s">
        <v>597</v>
      </c>
      <c r="D736" s="840" t="s">
        <v>598</v>
      </c>
      <c r="E736" s="826" t="s">
        <v>3264</v>
      </c>
      <c r="F736" s="840" t="s">
        <v>3265</v>
      </c>
      <c r="G736" s="826" t="s">
        <v>3983</v>
      </c>
      <c r="H736" s="826" t="s">
        <v>3984</v>
      </c>
      <c r="I736" s="832">
        <v>3862.3142293294272</v>
      </c>
      <c r="J736" s="832">
        <v>58</v>
      </c>
      <c r="K736" s="833">
        <v>224014.2802734375</v>
      </c>
    </row>
    <row r="737" spans="1:11" ht="14.45" customHeight="1" x14ac:dyDescent="0.2">
      <c r="A737" s="822" t="s">
        <v>575</v>
      </c>
      <c r="B737" s="823" t="s">
        <v>576</v>
      </c>
      <c r="C737" s="826" t="s">
        <v>597</v>
      </c>
      <c r="D737" s="840" t="s">
        <v>598</v>
      </c>
      <c r="E737" s="826" t="s">
        <v>3264</v>
      </c>
      <c r="F737" s="840" t="s">
        <v>3265</v>
      </c>
      <c r="G737" s="826" t="s">
        <v>3985</v>
      </c>
      <c r="H737" s="826" t="s">
        <v>3986</v>
      </c>
      <c r="I737" s="832">
        <v>5082</v>
      </c>
      <c r="J737" s="832">
        <v>25</v>
      </c>
      <c r="K737" s="833">
        <v>127050</v>
      </c>
    </row>
    <row r="738" spans="1:11" ht="14.45" customHeight="1" x14ac:dyDescent="0.2">
      <c r="A738" s="822" t="s">
        <v>575</v>
      </c>
      <c r="B738" s="823" t="s">
        <v>576</v>
      </c>
      <c r="C738" s="826" t="s">
        <v>597</v>
      </c>
      <c r="D738" s="840" t="s">
        <v>598</v>
      </c>
      <c r="E738" s="826" t="s">
        <v>3264</v>
      </c>
      <c r="F738" s="840" t="s">
        <v>3265</v>
      </c>
      <c r="G738" s="826" t="s">
        <v>3983</v>
      </c>
      <c r="H738" s="826" t="s">
        <v>3987</v>
      </c>
      <c r="I738" s="832">
        <v>3862.30859375</v>
      </c>
      <c r="J738" s="832">
        <v>35</v>
      </c>
      <c r="K738" s="833">
        <v>135181.240234375</v>
      </c>
    </row>
    <row r="739" spans="1:11" ht="14.45" customHeight="1" x14ac:dyDescent="0.2">
      <c r="A739" s="822" t="s">
        <v>575</v>
      </c>
      <c r="B739" s="823" t="s">
        <v>576</v>
      </c>
      <c r="C739" s="826" t="s">
        <v>597</v>
      </c>
      <c r="D739" s="840" t="s">
        <v>598</v>
      </c>
      <c r="E739" s="826" t="s">
        <v>3264</v>
      </c>
      <c r="F739" s="840" t="s">
        <v>3265</v>
      </c>
      <c r="G739" s="826" t="s">
        <v>3985</v>
      </c>
      <c r="H739" s="826" t="s">
        <v>3988</v>
      </c>
      <c r="I739" s="832">
        <v>5082</v>
      </c>
      <c r="J739" s="832">
        <v>23</v>
      </c>
      <c r="K739" s="833">
        <v>116886</v>
      </c>
    </row>
    <row r="740" spans="1:11" ht="14.45" customHeight="1" x14ac:dyDescent="0.2">
      <c r="A740" s="822" t="s">
        <v>575</v>
      </c>
      <c r="B740" s="823" t="s">
        <v>576</v>
      </c>
      <c r="C740" s="826" t="s">
        <v>597</v>
      </c>
      <c r="D740" s="840" t="s">
        <v>598</v>
      </c>
      <c r="E740" s="826" t="s">
        <v>3264</v>
      </c>
      <c r="F740" s="840" t="s">
        <v>3265</v>
      </c>
      <c r="G740" s="826" t="s">
        <v>3989</v>
      </c>
      <c r="H740" s="826" t="s">
        <v>3990</v>
      </c>
      <c r="I740" s="832">
        <v>1234.199951171875</v>
      </c>
      <c r="J740" s="832">
        <v>5</v>
      </c>
      <c r="K740" s="833">
        <v>6171</v>
      </c>
    </row>
    <row r="741" spans="1:11" ht="14.45" customHeight="1" x14ac:dyDescent="0.2">
      <c r="A741" s="822" t="s">
        <v>575</v>
      </c>
      <c r="B741" s="823" t="s">
        <v>576</v>
      </c>
      <c r="C741" s="826" t="s">
        <v>597</v>
      </c>
      <c r="D741" s="840" t="s">
        <v>598</v>
      </c>
      <c r="E741" s="826" t="s">
        <v>3264</v>
      </c>
      <c r="F741" s="840" t="s">
        <v>3265</v>
      </c>
      <c r="G741" s="826" t="s">
        <v>3991</v>
      </c>
      <c r="H741" s="826" t="s">
        <v>3992</v>
      </c>
      <c r="I741" s="832">
        <v>4660.919921875</v>
      </c>
      <c r="J741" s="832">
        <v>39</v>
      </c>
      <c r="K741" s="833">
        <v>181775.876953125</v>
      </c>
    </row>
    <row r="742" spans="1:11" ht="14.45" customHeight="1" x14ac:dyDescent="0.2">
      <c r="A742" s="822" t="s">
        <v>575</v>
      </c>
      <c r="B742" s="823" t="s">
        <v>576</v>
      </c>
      <c r="C742" s="826" t="s">
        <v>597</v>
      </c>
      <c r="D742" s="840" t="s">
        <v>598</v>
      </c>
      <c r="E742" s="826" t="s">
        <v>3264</v>
      </c>
      <c r="F742" s="840" t="s">
        <v>3265</v>
      </c>
      <c r="G742" s="826" t="s">
        <v>3993</v>
      </c>
      <c r="H742" s="826" t="s">
        <v>3994</v>
      </c>
      <c r="I742" s="832">
        <v>4660.919921875</v>
      </c>
      <c r="J742" s="832">
        <v>1</v>
      </c>
      <c r="K742" s="833">
        <v>4660.919921875</v>
      </c>
    </row>
    <row r="743" spans="1:11" ht="14.45" customHeight="1" x14ac:dyDescent="0.2">
      <c r="A743" s="822" t="s">
        <v>575</v>
      </c>
      <c r="B743" s="823" t="s">
        <v>576</v>
      </c>
      <c r="C743" s="826" t="s">
        <v>597</v>
      </c>
      <c r="D743" s="840" t="s">
        <v>598</v>
      </c>
      <c r="E743" s="826" t="s">
        <v>3264</v>
      </c>
      <c r="F743" s="840" t="s">
        <v>3265</v>
      </c>
      <c r="G743" s="826" t="s">
        <v>3991</v>
      </c>
      <c r="H743" s="826" t="s">
        <v>3995</v>
      </c>
      <c r="I743" s="832">
        <v>4660.919921875</v>
      </c>
      <c r="J743" s="832">
        <v>20</v>
      </c>
      <c r="K743" s="833">
        <v>93218.3984375</v>
      </c>
    </row>
    <row r="744" spans="1:11" ht="14.45" customHeight="1" x14ac:dyDescent="0.2">
      <c r="A744" s="822" t="s">
        <v>575</v>
      </c>
      <c r="B744" s="823" t="s">
        <v>576</v>
      </c>
      <c r="C744" s="826" t="s">
        <v>597</v>
      </c>
      <c r="D744" s="840" t="s">
        <v>598</v>
      </c>
      <c r="E744" s="826" t="s">
        <v>3264</v>
      </c>
      <c r="F744" s="840" t="s">
        <v>3265</v>
      </c>
      <c r="G744" s="826" t="s">
        <v>3996</v>
      </c>
      <c r="H744" s="826" t="s">
        <v>3997</v>
      </c>
      <c r="I744" s="832">
        <v>204.41000366210938</v>
      </c>
      <c r="J744" s="832">
        <v>30</v>
      </c>
      <c r="K744" s="833">
        <v>6132.2998046875</v>
      </c>
    </row>
    <row r="745" spans="1:11" ht="14.45" customHeight="1" x14ac:dyDescent="0.2">
      <c r="A745" s="822" t="s">
        <v>575</v>
      </c>
      <c r="B745" s="823" t="s">
        <v>576</v>
      </c>
      <c r="C745" s="826" t="s">
        <v>597</v>
      </c>
      <c r="D745" s="840" t="s">
        <v>598</v>
      </c>
      <c r="E745" s="826" t="s">
        <v>3264</v>
      </c>
      <c r="F745" s="840" t="s">
        <v>3265</v>
      </c>
      <c r="G745" s="826" t="s">
        <v>3998</v>
      </c>
      <c r="H745" s="826" t="s">
        <v>3999</v>
      </c>
      <c r="I745" s="832">
        <v>86.984287806919639</v>
      </c>
      <c r="J745" s="832">
        <v>210</v>
      </c>
      <c r="K745" s="833">
        <v>18266.699951171875</v>
      </c>
    </row>
    <row r="746" spans="1:11" ht="14.45" customHeight="1" x14ac:dyDescent="0.2">
      <c r="A746" s="822" t="s">
        <v>575</v>
      </c>
      <c r="B746" s="823" t="s">
        <v>576</v>
      </c>
      <c r="C746" s="826" t="s">
        <v>597</v>
      </c>
      <c r="D746" s="840" t="s">
        <v>598</v>
      </c>
      <c r="E746" s="826" t="s">
        <v>3264</v>
      </c>
      <c r="F746" s="840" t="s">
        <v>3265</v>
      </c>
      <c r="G746" s="826" t="s">
        <v>3996</v>
      </c>
      <c r="H746" s="826" t="s">
        <v>4000</v>
      </c>
      <c r="I746" s="832">
        <v>204.39999389648438</v>
      </c>
      <c r="J746" s="832">
        <v>30</v>
      </c>
      <c r="K746" s="833">
        <v>6132</v>
      </c>
    </row>
    <row r="747" spans="1:11" ht="14.45" customHeight="1" x14ac:dyDescent="0.2">
      <c r="A747" s="822" t="s">
        <v>575</v>
      </c>
      <c r="B747" s="823" t="s">
        <v>576</v>
      </c>
      <c r="C747" s="826" t="s">
        <v>597</v>
      </c>
      <c r="D747" s="840" t="s">
        <v>598</v>
      </c>
      <c r="E747" s="826" t="s">
        <v>3264</v>
      </c>
      <c r="F747" s="840" t="s">
        <v>3265</v>
      </c>
      <c r="G747" s="826" t="s">
        <v>3998</v>
      </c>
      <c r="H747" s="826" t="s">
        <v>4001</v>
      </c>
      <c r="I747" s="832">
        <v>144.88799896240235</v>
      </c>
      <c r="J747" s="832">
        <v>120</v>
      </c>
      <c r="K747" s="833">
        <v>18837.600494384766</v>
      </c>
    </row>
    <row r="748" spans="1:11" ht="14.45" customHeight="1" x14ac:dyDescent="0.2">
      <c r="A748" s="822" t="s">
        <v>575</v>
      </c>
      <c r="B748" s="823" t="s">
        <v>576</v>
      </c>
      <c r="C748" s="826" t="s">
        <v>597</v>
      </c>
      <c r="D748" s="840" t="s">
        <v>598</v>
      </c>
      <c r="E748" s="826" t="s">
        <v>3264</v>
      </c>
      <c r="F748" s="840" t="s">
        <v>3265</v>
      </c>
      <c r="G748" s="826" t="s">
        <v>4002</v>
      </c>
      <c r="H748" s="826" t="s">
        <v>4003</v>
      </c>
      <c r="I748" s="832">
        <v>484</v>
      </c>
      <c r="J748" s="832">
        <v>10</v>
      </c>
      <c r="K748" s="833">
        <v>4840</v>
      </c>
    </row>
    <row r="749" spans="1:11" ht="14.45" customHeight="1" x14ac:dyDescent="0.2">
      <c r="A749" s="822" t="s">
        <v>575</v>
      </c>
      <c r="B749" s="823" t="s">
        <v>576</v>
      </c>
      <c r="C749" s="826" t="s">
        <v>597</v>
      </c>
      <c r="D749" s="840" t="s">
        <v>598</v>
      </c>
      <c r="E749" s="826" t="s">
        <v>3264</v>
      </c>
      <c r="F749" s="840" t="s">
        <v>3265</v>
      </c>
      <c r="G749" s="826" t="s">
        <v>3412</v>
      </c>
      <c r="H749" s="826" t="s">
        <v>3413</v>
      </c>
      <c r="I749" s="832">
        <v>14.15666643778483</v>
      </c>
      <c r="J749" s="832">
        <v>60</v>
      </c>
      <c r="K749" s="833">
        <v>849.42001342773438</v>
      </c>
    </row>
    <row r="750" spans="1:11" ht="14.45" customHeight="1" x14ac:dyDescent="0.2">
      <c r="A750" s="822" t="s">
        <v>575</v>
      </c>
      <c r="B750" s="823" t="s">
        <v>576</v>
      </c>
      <c r="C750" s="826" t="s">
        <v>597</v>
      </c>
      <c r="D750" s="840" t="s">
        <v>598</v>
      </c>
      <c r="E750" s="826" t="s">
        <v>3264</v>
      </c>
      <c r="F750" s="840" t="s">
        <v>3265</v>
      </c>
      <c r="G750" s="826" t="s">
        <v>4004</v>
      </c>
      <c r="H750" s="826" t="s">
        <v>4005</v>
      </c>
      <c r="I750" s="832">
        <v>17.059999465942383</v>
      </c>
      <c r="J750" s="832">
        <v>20</v>
      </c>
      <c r="K750" s="833">
        <v>341.22000122070313</v>
      </c>
    </row>
    <row r="751" spans="1:11" ht="14.45" customHeight="1" x14ac:dyDescent="0.2">
      <c r="A751" s="822" t="s">
        <v>575</v>
      </c>
      <c r="B751" s="823" t="s">
        <v>576</v>
      </c>
      <c r="C751" s="826" t="s">
        <v>597</v>
      </c>
      <c r="D751" s="840" t="s">
        <v>598</v>
      </c>
      <c r="E751" s="826" t="s">
        <v>3264</v>
      </c>
      <c r="F751" s="840" t="s">
        <v>3265</v>
      </c>
      <c r="G751" s="826" t="s">
        <v>4006</v>
      </c>
      <c r="H751" s="826" t="s">
        <v>4007</v>
      </c>
      <c r="I751" s="832">
        <v>13.310000419616699</v>
      </c>
      <c r="J751" s="832">
        <v>5</v>
      </c>
      <c r="K751" s="833">
        <v>66.550003051757813</v>
      </c>
    </row>
    <row r="752" spans="1:11" ht="14.45" customHeight="1" x14ac:dyDescent="0.2">
      <c r="A752" s="822" t="s">
        <v>575</v>
      </c>
      <c r="B752" s="823" t="s">
        <v>576</v>
      </c>
      <c r="C752" s="826" t="s">
        <v>597</v>
      </c>
      <c r="D752" s="840" t="s">
        <v>598</v>
      </c>
      <c r="E752" s="826" t="s">
        <v>3264</v>
      </c>
      <c r="F752" s="840" t="s">
        <v>3265</v>
      </c>
      <c r="G752" s="826" t="s">
        <v>4008</v>
      </c>
      <c r="H752" s="826" t="s">
        <v>4009</v>
      </c>
      <c r="I752" s="832">
        <v>13.310000419616699</v>
      </c>
      <c r="J752" s="832">
        <v>40</v>
      </c>
      <c r="K752" s="833">
        <v>532.4000244140625</v>
      </c>
    </row>
    <row r="753" spans="1:11" ht="14.45" customHeight="1" x14ac:dyDescent="0.2">
      <c r="A753" s="822" t="s">
        <v>575</v>
      </c>
      <c r="B753" s="823" t="s">
        <v>576</v>
      </c>
      <c r="C753" s="826" t="s">
        <v>597</v>
      </c>
      <c r="D753" s="840" t="s">
        <v>598</v>
      </c>
      <c r="E753" s="826" t="s">
        <v>3264</v>
      </c>
      <c r="F753" s="840" t="s">
        <v>3265</v>
      </c>
      <c r="G753" s="826" t="s">
        <v>4010</v>
      </c>
      <c r="H753" s="826" t="s">
        <v>4011</v>
      </c>
      <c r="I753" s="832">
        <v>13.244000244140626</v>
      </c>
      <c r="J753" s="832">
        <v>55</v>
      </c>
      <c r="K753" s="833">
        <v>728.90003204345703</v>
      </c>
    </row>
    <row r="754" spans="1:11" ht="14.45" customHeight="1" x14ac:dyDescent="0.2">
      <c r="A754" s="822" t="s">
        <v>575</v>
      </c>
      <c r="B754" s="823" t="s">
        <v>576</v>
      </c>
      <c r="C754" s="826" t="s">
        <v>597</v>
      </c>
      <c r="D754" s="840" t="s">
        <v>598</v>
      </c>
      <c r="E754" s="826" t="s">
        <v>3264</v>
      </c>
      <c r="F754" s="840" t="s">
        <v>3265</v>
      </c>
      <c r="G754" s="826" t="s">
        <v>4012</v>
      </c>
      <c r="H754" s="826" t="s">
        <v>4013</v>
      </c>
      <c r="I754" s="832">
        <v>13.310000419616699</v>
      </c>
      <c r="J754" s="832">
        <v>5</v>
      </c>
      <c r="K754" s="833">
        <v>66.550003051757813</v>
      </c>
    </row>
    <row r="755" spans="1:11" ht="14.45" customHeight="1" x14ac:dyDescent="0.2">
      <c r="A755" s="822" t="s">
        <v>575</v>
      </c>
      <c r="B755" s="823" t="s">
        <v>576</v>
      </c>
      <c r="C755" s="826" t="s">
        <v>597</v>
      </c>
      <c r="D755" s="840" t="s">
        <v>598</v>
      </c>
      <c r="E755" s="826" t="s">
        <v>3264</v>
      </c>
      <c r="F755" s="840" t="s">
        <v>3265</v>
      </c>
      <c r="G755" s="826" t="s">
        <v>4008</v>
      </c>
      <c r="H755" s="826" t="s">
        <v>4014</v>
      </c>
      <c r="I755" s="832">
        <v>8.6619999885559089</v>
      </c>
      <c r="J755" s="832">
        <v>65</v>
      </c>
      <c r="K755" s="833">
        <v>633.19998550415039</v>
      </c>
    </row>
    <row r="756" spans="1:11" ht="14.45" customHeight="1" x14ac:dyDescent="0.2">
      <c r="A756" s="822" t="s">
        <v>575</v>
      </c>
      <c r="B756" s="823" t="s">
        <v>576</v>
      </c>
      <c r="C756" s="826" t="s">
        <v>597</v>
      </c>
      <c r="D756" s="840" t="s">
        <v>598</v>
      </c>
      <c r="E756" s="826" t="s">
        <v>3264</v>
      </c>
      <c r="F756" s="840" t="s">
        <v>3265</v>
      </c>
      <c r="G756" s="826" t="s">
        <v>4010</v>
      </c>
      <c r="H756" s="826" t="s">
        <v>4015</v>
      </c>
      <c r="I756" s="832">
        <v>8.2200000286102295</v>
      </c>
      <c r="J756" s="832">
        <v>30</v>
      </c>
      <c r="K756" s="833">
        <v>246.60000228881836</v>
      </c>
    </row>
    <row r="757" spans="1:11" ht="14.45" customHeight="1" x14ac:dyDescent="0.2">
      <c r="A757" s="822" t="s">
        <v>575</v>
      </c>
      <c r="B757" s="823" t="s">
        <v>576</v>
      </c>
      <c r="C757" s="826" t="s">
        <v>597</v>
      </c>
      <c r="D757" s="840" t="s">
        <v>598</v>
      </c>
      <c r="E757" s="826" t="s">
        <v>3264</v>
      </c>
      <c r="F757" s="840" t="s">
        <v>3265</v>
      </c>
      <c r="G757" s="826" t="s">
        <v>4012</v>
      </c>
      <c r="H757" s="826" t="s">
        <v>4016</v>
      </c>
      <c r="I757" s="832">
        <v>6.6700000762939453</v>
      </c>
      <c r="J757" s="832">
        <v>5</v>
      </c>
      <c r="K757" s="833">
        <v>33.349998474121094</v>
      </c>
    </row>
    <row r="758" spans="1:11" ht="14.45" customHeight="1" x14ac:dyDescent="0.2">
      <c r="A758" s="822" t="s">
        <v>575</v>
      </c>
      <c r="B758" s="823" t="s">
        <v>576</v>
      </c>
      <c r="C758" s="826" t="s">
        <v>597</v>
      </c>
      <c r="D758" s="840" t="s">
        <v>598</v>
      </c>
      <c r="E758" s="826" t="s">
        <v>3264</v>
      </c>
      <c r="F758" s="840" t="s">
        <v>3265</v>
      </c>
      <c r="G758" s="826" t="s">
        <v>4017</v>
      </c>
      <c r="H758" s="826" t="s">
        <v>4018</v>
      </c>
      <c r="I758" s="832">
        <v>123.18000030517578</v>
      </c>
      <c r="J758" s="832">
        <v>200</v>
      </c>
      <c r="K758" s="833">
        <v>24635.599609375</v>
      </c>
    </row>
    <row r="759" spans="1:11" ht="14.45" customHeight="1" x14ac:dyDescent="0.2">
      <c r="A759" s="822" t="s">
        <v>575</v>
      </c>
      <c r="B759" s="823" t="s">
        <v>576</v>
      </c>
      <c r="C759" s="826" t="s">
        <v>597</v>
      </c>
      <c r="D759" s="840" t="s">
        <v>598</v>
      </c>
      <c r="E759" s="826" t="s">
        <v>3264</v>
      </c>
      <c r="F759" s="840" t="s">
        <v>3265</v>
      </c>
      <c r="G759" s="826" t="s">
        <v>4017</v>
      </c>
      <c r="H759" s="826" t="s">
        <v>4019</v>
      </c>
      <c r="I759" s="832">
        <v>123.18000030517578</v>
      </c>
      <c r="J759" s="832">
        <v>100</v>
      </c>
      <c r="K759" s="833">
        <v>12317.7998046875</v>
      </c>
    </row>
    <row r="760" spans="1:11" ht="14.45" customHeight="1" x14ac:dyDescent="0.2">
      <c r="A760" s="822" t="s">
        <v>575</v>
      </c>
      <c r="B760" s="823" t="s">
        <v>576</v>
      </c>
      <c r="C760" s="826" t="s">
        <v>597</v>
      </c>
      <c r="D760" s="840" t="s">
        <v>598</v>
      </c>
      <c r="E760" s="826" t="s">
        <v>3264</v>
      </c>
      <c r="F760" s="840" t="s">
        <v>3265</v>
      </c>
      <c r="G760" s="826" t="s">
        <v>4020</v>
      </c>
      <c r="H760" s="826" t="s">
        <v>4021</v>
      </c>
      <c r="I760" s="832">
        <v>16.456249713897705</v>
      </c>
      <c r="J760" s="832">
        <v>160</v>
      </c>
      <c r="K760" s="833">
        <v>2632.800048828125</v>
      </c>
    </row>
    <row r="761" spans="1:11" ht="14.45" customHeight="1" x14ac:dyDescent="0.2">
      <c r="A761" s="822" t="s">
        <v>575</v>
      </c>
      <c r="B761" s="823" t="s">
        <v>576</v>
      </c>
      <c r="C761" s="826" t="s">
        <v>597</v>
      </c>
      <c r="D761" s="840" t="s">
        <v>598</v>
      </c>
      <c r="E761" s="826" t="s">
        <v>3264</v>
      </c>
      <c r="F761" s="840" t="s">
        <v>3265</v>
      </c>
      <c r="G761" s="826" t="s">
        <v>4020</v>
      </c>
      <c r="H761" s="826" t="s">
        <v>4022</v>
      </c>
      <c r="I761" s="832">
        <v>16.454000091552736</v>
      </c>
      <c r="J761" s="832">
        <v>130</v>
      </c>
      <c r="K761" s="833">
        <v>2138.9000244140625</v>
      </c>
    </row>
    <row r="762" spans="1:11" ht="14.45" customHeight="1" x14ac:dyDescent="0.2">
      <c r="A762" s="822" t="s">
        <v>575</v>
      </c>
      <c r="B762" s="823" t="s">
        <v>576</v>
      </c>
      <c r="C762" s="826" t="s">
        <v>597</v>
      </c>
      <c r="D762" s="840" t="s">
        <v>598</v>
      </c>
      <c r="E762" s="826" t="s">
        <v>3264</v>
      </c>
      <c r="F762" s="840" t="s">
        <v>3265</v>
      </c>
      <c r="G762" s="826" t="s">
        <v>4023</v>
      </c>
      <c r="H762" s="826" t="s">
        <v>4024</v>
      </c>
      <c r="I762" s="832">
        <v>2649.89990234375</v>
      </c>
      <c r="J762" s="832">
        <v>4</v>
      </c>
      <c r="K762" s="833">
        <v>10599.599609375</v>
      </c>
    </row>
    <row r="763" spans="1:11" ht="14.45" customHeight="1" x14ac:dyDescent="0.2">
      <c r="A763" s="822" t="s">
        <v>575</v>
      </c>
      <c r="B763" s="823" t="s">
        <v>576</v>
      </c>
      <c r="C763" s="826" t="s">
        <v>597</v>
      </c>
      <c r="D763" s="840" t="s">
        <v>598</v>
      </c>
      <c r="E763" s="826" t="s">
        <v>3264</v>
      </c>
      <c r="F763" s="840" t="s">
        <v>3265</v>
      </c>
      <c r="G763" s="826" t="s">
        <v>4025</v>
      </c>
      <c r="H763" s="826" t="s">
        <v>4026</v>
      </c>
      <c r="I763" s="832">
        <v>2760</v>
      </c>
      <c r="J763" s="832">
        <v>1</v>
      </c>
      <c r="K763" s="833">
        <v>2760</v>
      </c>
    </row>
    <row r="764" spans="1:11" ht="14.45" customHeight="1" x14ac:dyDescent="0.2">
      <c r="A764" s="822" t="s">
        <v>575</v>
      </c>
      <c r="B764" s="823" t="s">
        <v>576</v>
      </c>
      <c r="C764" s="826" t="s">
        <v>597</v>
      </c>
      <c r="D764" s="840" t="s">
        <v>598</v>
      </c>
      <c r="E764" s="826" t="s">
        <v>3264</v>
      </c>
      <c r="F764" s="840" t="s">
        <v>3265</v>
      </c>
      <c r="G764" s="826" t="s">
        <v>4027</v>
      </c>
      <c r="H764" s="826" t="s">
        <v>4028</v>
      </c>
      <c r="I764" s="832">
        <v>5060</v>
      </c>
      <c r="J764" s="832">
        <v>1</v>
      </c>
      <c r="K764" s="833">
        <v>5060</v>
      </c>
    </row>
    <row r="765" spans="1:11" ht="14.45" customHeight="1" x14ac:dyDescent="0.2">
      <c r="A765" s="822" t="s">
        <v>575</v>
      </c>
      <c r="B765" s="823" t="s">
        <v>576</v>
      </c>
      <c r="C765" s="826" t="s">
        <v>597</v>
      </c>
      <c r="D765" s="840" t="s">
        <v>598</v>
      </c>
      <c r="E765" s="826" t="s">
        <v>3264</v>
      </c>
      <c r="F765" s="840" t="s">
        <v>3265</v>
      </c>
      <c r="G765" s="826" t="s">
        <v>4029</v>
      </c>
      <c r="H765" s="826" t="s">
        <v>4030</v>
      </c>
      <c r="I765" s="832">
        <v>5060</v>
      </c>
      <c r="J765" s="832">
        <v>2</v>
      </c>
      <c r="K765" s="833">
        <v>10120</v>
      </c>
    </row>
    <row r="766" spans="1:11" ht="14.45" customHeight="1" x14ac:dyDescent="0.2">
      <c r="A766" s="822" t="s">
        <v>575</v>
      </c>
      <c r="B766" s="823" t="s">
        <v>576</v>
      </c>
      <c r="C766" s="826" t="s">
        <v>597</v>
      </c>
      <c r="D766" s="840" t="s">
        <v>598</v>
      </c>
      <c r="E766" s="826" t="s">
        <v>3264</v>
      </c>
      <c r="F766" s="840" t="s">
        <v>3265</v>
      </c>
      <c r="G766" s="826" t="s">
        <v>4027</v>
      </c>
      <c r="H766" s="826" t="s">
        <v>4031</v>
      </c>
      <c r="I766" s="832">
        <v>5060</v>
      </c>
      <c r="J766" s="832">
        <v>1</v>
      </c>
      <c r="K766" s="833">
        <v>5060</v>
      </c>
    </row>
    <row r="767" spans="1:11" ht="14.45" customHeight="1" x14ac:dyDescent="0.2">
      <c r="A767" s="822" t="s">
        <v>575</v>
      </c>
      <c r="B767" s="823" t="s">
        <v>576</v>
      </c>
      <c r="C767" s="826" t="s">
        <v>597</v>
      </c>
      <c r="D767" s="840" t="s">
        <v>598</v>
      </c>
      <c r="E767" s="826" t="s">
        <v>3264</v>
      </c>
      <c r="F767" s="840" t="s">
        <v>3265</v>
      </c>
      <c r="G767" s="826" t="s">
        <v>4029</v>
      </c>
      <c r="H767" s="826" t="s">
        <v>4032</v>
      </c>
      <c r="I767" s="832">
        <v>5060</v>
      </c>
      <c r="J767" s="832">
        <v>4</v>
      </c>
      <c r="K767" s="833">
        <v>20240</v>
      </c>
    </row>
    <row r="768" spans="1:11" ht="14.45" customHeight="1" x14ac:dyDescent="0.2">
      <c r="A768" s="822" t="s">
        <v>575</v>
      </c>
      <c r="B768" s="823" t="s">
        <v>576</v>
      </c>
      <c r="C768" s="826" t="s">
        <v>597</v>
      </c>
      <c r="D768" s="840" t="s">
        <v>598</v>
      </c>
      <c r="E768" s="826" t="s">
        <v>3264</v>
      </c>
      <c r="F768" s="840" t="s">
        <v>3265</v>
      </c>
      <c r="G768" s="826" t="s">
        <v>4033</v>
      </c>
      <c r="H768" s="826" t="s">
        <v>4034</v>
      </c>
      <c r="I768" s="832">
        <v>9.9099998474121094</v>
      </c>
      <c r="J768" s="832">
        <v>100</v>
      </c>
      <c r="K768" s="833">
        <v>991</v>
      </c>
    </row>
    <row r="769" spans="1:11" ht="14.45" customHeight="1" x14ac:dyDescent="0.2">
      <c r="A769" s="822" t="s">
        <v>575</v>
      </c>
      <c r="B769" s="823" t="s">
        <v>576</v>
      </c>
      <c r="C769" s="826" t="s">
        <v>597</v>
      </c>
      <c r="D769" s="840" t="s">
        <v>598</v>
      </c>
      <c r="E769" s="826" t="s">
        <v>3264</v>
      </c>
      <c r="F769" s="840" t="s">
        <v>3265</v>
      </c>
      <c r="G769" s="826" t="s">
        <v>4033</v>
      </c>
      <c r="H769" s="826" t="s">
        <v>4035</v>
      </c>
      <c r="I769" s="832">
        <v>11.220000076293946</v>
      </c>
      <c r="J769" s="832">
        <v>255</v>
      </c>
      <c r="K769" s="833">
        <v>2860.4000244140625</v>
      </c>
    </row>
    <row r="770" spans="1:11" ht="14.45" customHeight="1" x14ac:dyDescent="0.2">
      <c r="A770" s="822" t="s">
        <v>575</v>
      </c>
      <c r="B770" s="823" t="s">
        <v>576</v>
      </c>
      <c r="C770" s="826" t="s">
        <v>597</v>
      </c>
      <c r="D770" s="840" t="s">
        <v>598</v>
      </c>
      <c r="E770" s="826" t="s">
        <v>3264</v>
      </c>
      <c r="F770" s="840" t="s">
        <v>3265</v>
      </c>
      <c r="G770" s="826" t="s">
        <v>4036</v>
      </c>
      <c r="H770" s="826" t="s">
        <v>4037</v>
      </c>
      <c r="I770" s="832">
        <v>8.8000001907348633</v>
      </c>
      <c r="J770" s="832">
        <v>100</v>
      </c>
      <c r="K770" s="833">
        <v>879.94000244140625</v>
      </c>
    </row>
    <row r="771" spans="1:11" ht="14.45" customHeight="1" x14ac:dyDescent="0.2">
      <c r="A771" s="822" t="s">
        <v>575</v>
      </c>
      <c r="B771" s="823" t="s">
        <v>576</v>
      </c>
      <c r="C771" s="826" t="s">
        <v>597</v>
      </c>
      <c r="D771" s="840" t="s">
        <v>598</v>
      </c>
      <c r="E771" s="826" t="s">
        <v>3264</v>
      </c>
      <c r="F771" s="840" t="s">
        <v>3265</v>
      </c>
      <c r="G771" s="826" t="s">
        <v>4038</v>
      </c>
      <c r="H771" s="826" t="s">
        <v>4039</v>
      </c>
      <c r="I771" s="832">
        <v>23.350000381469727</v>
      </c>
      <c r="J771" s="832">
        <v>20</v>
      </c>
      <c r="K771" s="833">
        <v>467.05999755859375</v>
      </c>
    </row>
    <row r="772" spans="1:11" ht="14.45" customHeight="1" x14ac:dyDescent="0.2">
      <c r="A772" s="822" t="s">
        <v>575</v>
      </c>
      <c r="B772" s="823" t="s">
        <v>576</v>
      </c>
      <c r="C772" s="826" t="s">
        <v>597</v>
      </c>
      <c r="D772" s="840" t="s">
        <v>598</v>
      </c>
      <c r="E772" s="826" t="s">
        <v>3264</v>
      </c>
      <c r="F772" s="840" t="s">
        <v>3265</v>
      </c>
      <c r="G772" s="826" t="s">
        <v>4040</v>
      </c>
      <c r="H772" s="826" t="s">
        <v>4041</v>
      </c>
      <c r="I772" s="832">
        <v>118.58000183105469</v>
      </c>
      <c r="J772" s="832">
        <v>20</v>
      </c>
      <c r="K772" s="833">
        <v>2371.60009765625</v>
      </c>
    </row>
    <row r="773" spans="1:11" ht="14.45" customHeight="1" x14ac:dyDescent="0.2">
      <c r="A773" s="822" t="s">
        <v>575</v>
      </c>
      <c r="B773" s="823" t="s">
        <v>576</v>
      </c>
      <c r="C773" s="826" t="s">
        <v>597</v>
      </c>
      <c r="D773" s="840" t="s">
        <v>598</v>
      </c>
      <c r="E773" s="826" t="s">
        <v>3264</v>
      </c>
      <c r="F773" s="840" t="s">
        <v>3265</v>
      </c>
      <c r="G773" s="826" t="s">
        <v>4042</v>
      </c>
      <c r="H773" s="826" t="s">
        <v>4043</v>
      </c>
      <c r="I773" s="832">
        <v>9.6800003051757813</v>
      </c>
      <c r="J773" s="832">
        <v>50</v>
      </c>
      <c r="K773" s="833">
        <v>484</v>
      </c>
    </row>
    <row r="774" spans="1:11" ht="14.45" customHeight="1" x14ac:dyDescent="0.2">
      <c r="A774" s="822" t="s">
        <v>575</v>
      </c>
      <c r="B774" s="823" t="s">
        <v>576</v>
      </c>
      <c r="C774" s="826" t="s">
        <v>597</v>
      </c>
      <c r="D774" s="840" t="s">
        <v>598</v>
      </c>
      <c r="E774" s="826" t="s">
        <v>3264</v>
      </c>
      <c r="F774" s="840" t="s">
        <v>3265</v>
      </c>
      <c r="G774" s="826" t="s">
        <v>4042</v>
      </c>
      <c r="H774" s="826" t="s">
        <v>4044</v>
      </c>
      <c r="I774" s="832">
        <v>10.760000228881836</v>
      </c>
      <c r="J774" s="832">
        <v>50</v>
      </c>
      <c r="K774" s="833">
        <v>538</v>
      </c>
    </row>
    <row r="775" spans="1:11" ht="14.45" customHeight="1" x14ac:dyDescent="0.2">
      <c r="A775" s="822" t="s">
        <v>575</v>
      </c>
      <c r="B775" s="823" t="s">
        <v>576</v>
      </c>
      <c r="C775" s="826" t="s">
        <v>597</v>
      </c>
      <c r="D775" s="840" t="s">
        <v>598</v>
      </c>
      <c r="E775" s="826" t="s">
        <v>3264</v>
      </c>
      <c r="F775" s="840" t="s">
        <v>3265</v>
      </c>
      <c r="G775" s="826" t="s">
        <v>4045</v>
      </c>
      <c r="H775" s="826" t="s">
        <v>4046</v>
      </c>
      <c r="I775" s="832">
        <v>23.147499561309814</v>
      </c>
      <c r="J775" s="832">
        <v>200</v>
      </c>
      <c r="K775" s="833">
        <v>4629.469970703125</v>
      </c>
    </row>
    <row r="776" spans="1:11" ht="14.45" customHeight="1" x14ac:dyDescent="0.2">
      <c r="A776" s="822" t="s">
        <v>575</v>
      </c>
      <c r="B776" s="823" t="s">
        <v>576</v>
      </c>
      <c r="C776" s="826" t="s">
        <v>597</v>
      </c>
      <c r="D776" s="840" t="s">
        <v>598</v>
      </c>
      <c r="E776" s="826" t="s">
        <v>3264</v>
      </c>
      <c r="F776" s="840" t="s">
        <v>3265</v>
      </c>
      <c r="G776" s="826" t="s">
        <v>4045</v>
      </c>
      <c r="H776" s="826" t="s">
        <v>4047</v>
      </c>
      <c r="I776" s="832">
        <v>23.49500020345052</v>
      </c>
      <c r="J776" s="832">
        <v>300</v>
      </c>
      <c r="K776" s="833">
        <v>7048.39990234375</v>
      </c>
    </row>
    <row r="777" spans="1:11" ht="14.45" customHeight="1" x14ac:dyDescent="0.2">
      <c r="A777" s="822" t="s">
        <v>575</v>
      </c>
      <c r="B777" s="823" t="s">
        <v>576</v>
      </c>
      <c r="C777" s="826" t="s">
        <v>597</v>
      </c>
      <c r="D777" s="840" t="s">
        <v>598</v>
      </c>
      <c r="E777" s="826" t="s">
        <v>3264</v>
      </c>
      <c r="F777" s="840" t="s">
        <v>3265</v>
      </c>
      <c r="G777" s="826" t="s">
        <v>4048</v>
      </c>
      <c r="H777" s="826" t="s">
        <v>4049</v>
      </c>
      <c r="I777" s="832">
        <v>22.870000839233398</v>
      </c>
      <c r="J777" s="832">
        <v>200</v>
      </c>
      <c r="K777" s="833">
        <v>4573.7998046875</v>
      </c>
    </row>
    <row r="778" spans="1:11" ht="14.45" customHeight="1" x14ac:dyDescent="0.2">
      <c r="A778" s="822" t="s">
        <v>575</v>
      </c>
      <c r="B778" s="823" t="s">
        <v>576</v>
      </c>
      <c r="C778" s="826" t="s">
        <v>597</v>
      </c>
      <c r="D778" s="840" t="s">
        <v>598</v>
      </c>
      <c r="E778" s="826" t="s">
        <v>3264</v>
      </c>
      <c r="F778" s="840" t="s">
        <v>3265</v>
      </c>
      <c r="G778" s="826" t="s">
        <v>3414</v>
      </c>
      <c r="H778" s="826" t="s">
        <v>3415</v>
      </c>
      <c r="I778" s="832">
        <v>197.57000732421875</v>
      </c>
      <c r="J778" s="832">
        <v>21</v>
      </c>
      <c r="K778" s="833">
        <v>4148.9700927734375</v>
      </c>
    </row>
    <row r="779" spans="1:11" ht="14.45" customHeight="1" x14ac:dyDescent="0.2">
      <c r="A779" s="822" t="s">
        <v>575</v>
      </c>
      <c r="B779" s="823" t="s">
        <v>576</v>
      </c>
      <c r="C779" s="826" t="s">
        <v>597</v>
      </c>
      <c r="D779" s="840" t="s">
        <v>598</v>
      </c>
      <c r="E779" s="826" t="s">
        <v>3264</v>
      </c>
      <c r="F779" s="840" t="s">
        <v>3265</v>
      </c>
      <c r="G779" s="826" t="s">
        <v>3414</v>
      </c>
      <c r="H779" s="826" t="s">
        <v>3416</v>
      </c>
      <c r="I779" s="832">
        <v>197.94333902994791</v>
      </c>
      <c r="J779" s="832">
        <v>29</v>
      </c>
      <c r="K779" s="833">
        <v>5738.4901123046875</v>
      </c>
    </row>
    <row r="780" spans="1:11" ht="14.45" customHeight="1" x14ac:dyDescent="0.2">
      <c r="A780" s="822" t="s">
        <v>575</v>
      </c>
      <c r="B780" s="823" t="s">
        <v>576</v>
      </c>
      <c r="C780" s="826" t="s">
        <v>597</v>
      </c>
      <c r="D780" s="840" t="s">
        <v>598</v>
      </c>
      <c r="E780" s="826" t="s">
        <v>3264</v>
      </c>
      <c r="F780" s="840" t="s">
        <v>3265</v>
      </c>
      <c r="G780" s="826" t="s">
        <v>3414</v>
      </c>
      <c r="H780" s="826" t="s">
        <v>4050</v>
      </c>
      <c r="I780" s="832">
        <v>197.57000732421875</v>
      </c>
      <c r="J780" s="832">
        <v>3</v>
      </c>
      <c r="K780" s="833">
        <v>592.71002197265625</v>
      </c>
    </row>
    <row r="781" spans="1:11" ht="14.45" customHeight="1" x14ac:dyDescent="0.2">
      <c r="A781" s="822" t="s">
        <v>575</v>
      </c>
      <c r="B781" s="823" t="s">
        <v>576</v>
      </c>
      <c r="C781" s="826" t="s">
        <v>597</v>
      </c>
      <c r="D781" s="840" t="s">
        <v>598</v>
      </c>
      <c r="E781" s="826" t="s">
        <v>3264</v>
      </c>
      <c r="F781" s="840" t="s">
        <v>3265</v>
      </c>
      <c r="G781" s="826" t="s">
        <v>3417</v>
      </c>
      <c r="H781" s="826" t="s">
        <v>3418</v>
      </c>
      <c r="I781" s="832">
        <v>0.81999999284744263</v>
      </c>
      <c r="J781" s="832">
        <v>5800</v>
      </c>
      <c r="K781" s="833">
        <v>4756</v>
      </c>
    </row>
    <row r="782" spans="1:11" ht="14.45" customHeight="1" x14ac:dyDescent="0.2">
      <c r="A782" s="822" t="s">
        <v>575</v>
      </c>
      <c r="B782" s="823" t="s">
        <v>576</v>
      </c>
      <c r="C782" s="826" t="s">
        <v>597</v>
      </c>
      <c r="D782" s="840" t="s">
        <v>598</v>
      </c>
      <c r="E782" s="826" t="s">
        <v>3264</v>
      </c>
      <c r="F782" s="840" t="s">
        <v>3265</v>
      </c>
      <c r="G782" s="826" t="s">
        <v>3419</v>
      </c>
      <c r="H782" s="826" t="s">
        <v>3420</v>
      </c>
      <c r="I782" s="832">
        <v>1.0900000333786011</v>
      </c>
      <c r="J782" s="832">
        <v>3940</v>
      </c>
      <c r="K782" s="833">
        <v>4288</v>
      </c>
    </row>
    <row r="783" spans="1:11" ht="14.45" customHeight="1" x14ac:dyDescent="0.2">
      <c r="A783" s="822" t="s">
        <v>575</v>
      </c>
      <c r="B783" s="823" t="s">
        <v>576</v>
      </c>
      <c r="C783" s="826" t="s">
        <v>597</v>
      </c>
      <c r="D783" s="840" t="s">
        <v>598</v>
      </c>
      <c r="E783" s="826" t="s">
        <v>3264</v>
      </c>
      <c r="F783" s="840" t="s">
        <v>3265</v>
      </c>
      <c r="G783" s="826" t="s">
        <v>3419</v>
      </c>
      <c r="H783" s="826" t="s">
        <v>4051</v>
      </c>
      <c r="I783" s="832">
        <v>1.0900000333786011</v>
      </c>
      <c r="J783" s="832">
        <v>1100</v>
      </c>
      <c r="K783" s="833">
        <v>1199</v>
      </c>
    </row>
    <row r="784" spans="1:11" ht="14.45" customHeight="1" x14ac:dyDescent="0.2">
      <c r="A784" s="822" t="s">
        <v>575</v>
      </c>
      <c r="B784" s="823" t="s">
        <v>576</v>
      </c>
      <c r="C784" s="826" t="s">
        <v>597</v>
      </c>
      <c r="D784" s="840" t="s">
        <v>598</v>
      </c>
      <c r="E784" s="826" t="s">
        <v>3264</v>
      </c>
      <c r="F784" s="840" t="s">
        <v>3265</v>
      </c>
      <c r="G784" s="826" t="s">
        <v>3423</v>
      </c>
      <c r="H784" s="826" t="s">
        <v>3424</v>
      </c>
      <c r="I784" s="832">
        <v>0.43999999761581421</v>
      </c>
      <c r="J784" s="832">
        <v>2400</v>
      </c>
      <c r="K784" s="833">
        <v>1056</v>
      </c>
    </row>
    <row r="785" spans="1:11" ht="14.45" customHeight="1" x14ac:dyDescent="0.2">
      <c r="A785" s="822" t="s">
        <v>575</v>
      </c>
      <c r="B785" s="823" t="s">
        <v>576</v>
      </c>
      <c r="C785" s="826" t="s">
        <v>597</v>
      </c>
      <c r="D785" s="840" t="s">
        <v>598</v>
      </c>
      <c r="E785" s="826" t="s">
        <v>3264</v>
      </c>
      <c r="F785" s="840" t="s">
        <v>3265</v>
      </c>
      <c r="G785" s="826" t="s">
        <v>3425</v>
      </c>
      <c r="H785" s="826" t="s">
        <v>4052</v>
      </c>
      <c r="I785" s="832">
        <v>0.47999998927116394</v>
      </c>
      <c r="J785" s="832">
        <v>300</v>
      </c>
      <c r="K785" s="833">
        <v>144</v>
      </c>
    </row>
    <row r="786" spans="1:11" ht="14.45" customHeight="1" x14ac:dyDescent="0.2">
      <c r="A786" s="822" t="s">
        <v>575</v>
      </c>
      <c r="B786" s="823" t="s">
        <v>576</v>
      </c>
      <c r="C786" s="826" t="s">
        <v>597</v>
      </c>
      <c r="D786" s="840" t="s">
        <v>598</v>
      </c>
      <c r="E786" s="826" t="s">
        <v>3264</v>
      </c>
      <c r="F786" s="840" t="s">
        <v>3265</v>
      </c>
      <c r="G786" s="826" t="s">
        <v>3425</v>
      </c>
      <c r="H786" s="826" t="s">
        <v>3426</v>
      </c>
      <c r="I786" s="832">
        <v>0.47999998927116394</v>
      </c>
      <c r="J786" s="832">
        <v>400</v>
      </c>
      <c r="K786" s="833">
        <v>192</v>
      </c>
    </row>
    <row r="787" spans="1:11" ht="14.45" customHeight="1" x14ac:dyDescent="0.2">
      <c r="A787" s="822" t="s">
        <v>575</v>
      </c>
      <c r="B787" s="823" t="s">
        <v>576</v>
      </c>
      <c r="C787" s="826" t="s">
        <v>597</v>
      </c>
      <c r="D787" s="840" t="s">
        <v>598</v>
      </c>
      <c r="E787" s="826" t="s">
        <v>3264</v>
      </c>
      <c r="F787" s="840" t="s">
        <v>3265</v>
      </c>
      <c r="G787" s="826" t="s">
        <v>3425</v>
      </c>
      <c r="H787" s="826" t="s">
        <v>4053</v>
      </c>
      <c r="I787" s="832">
        <v>0.4699999988079071</v>
      </c>
      <c r="J787" s="832">
        <v>600</v>
      </c>
      <c r="K787" s="833">
        <v>282</v>
      </c>
    </row>
    <row r="788" spans="1:11" ht="14.45" customHeight="1" x14ac:dyDescent="0.2">
      <c r="A788" s="822" t="s">
        <v>575</v>
      </c>
      <c r="B788" s="823" t="s">
        <v>576</v>
      </c>
      <c r="C788" s="826" t="s">
        <v>597</v>
      </c>
      <c r="D788" s="840" t="s">
        <v>598</v>
      </c>
      <c r="E788" s="826" t="s">
        <v>3264</v>
      </c>
      <c r="F788" s="840" t="s">
        <v>3265</v>
      </c>
      <c r="G788" s="826" t="s">
        <v>3425</v>
      </c>
      <c r="H788" s="826" t="s">
        <v>3427</v>
      </c>
      <c r="I788" s="832">
        <v>0.47999998927116394</v>
      </c>
      <c r="J788" s="832">
        <v>600</v>
      </c>
      <c r="K788" s="833">
        <v>288</v>
      </c>
    </row>
    <row r="789" spans="1:11" ht="14.45" customHeight="1" x14ac:dyDescent="0.2">
      <c r="A789" s="822" t="s">
        <v>575</v>
      </c>
      <c r="B789" s="823" t="s">
        <v>576</v>
      </c>
      <c r="C789" s="826" t="s">
        <v>597</v>
      </c>
      <c r="D789" s="840" t="s">
        <v>598</v>
      </c>
      <c r="E789" s="826" t="s">
        <v>3264</v>
      </c>
      <c r="F789" s="840" t="s">
        <v>3265</v>
      </c>
      <c r="G789" s="826" t="s">
        <v>3428</v>
      </c>
      <c r="H789" s="826" t="s">
        <v>3429</v>
      </c>
      <c r="I789" s="832">
        <v>1.1383333206176758</v>
      </c>
      <c r="J789" s="832">
        <v>3260</v>
      </c>
      <c r="K789" s="833">
        <v>3706.8000793457031</v>
      </c>
    </row>
    <row r="790" spans="1:11" ht="14.45" customHeight="1" x14ac:dyDescent="0.2">
      <c r="A790" s="822" t="s">
        <v>575</v>
      </c>
      <c r="B790" s="823" t="s">
        <v>576</v>
      </c>
      <c r="C790" s="826" t="s">
        <v>597</v>
      </c>
      <c r="D790" s="840" t="s">
        <v>598</v>
      </c>
      <c r="E790" s="826" t="s">
        <v>3264</v>
      </c>
      <c r="F790" s="840" t="s">
        <v>3265</v>
      </c>
      <c r="G790" s="826" t="s">
        <v>3430</v>
      </c>
      <c r="H790" s="826" t="s">
        <v>3431</v>
      </c>
      <c r="I790" s="832">
        <v>1.6749999523162842</v>
      </c>
      <c r="J790" s="832">
        <v>1100</v>
      </c>
      <c r="K790" s="833">
        <v>1845</v>
      </c>
    </row>
    <row r="791" spans="1:11" ht="14.45" customHeight="1" x14ac:dyDescent="0.2">
      <c r="A791" s="822" t="s">
        <v>575</v>
      </c>
      <c r="B791" s="823" t="s">
        <v>576</v>
      </c>
      <c r="C791" s="826" t="s">
        <v>597</v>
      </c>
      <c r="D791" s="840" t="s">
        <v>598</v>
      </c>
      <c r="E791" s="826" t="s">
        <v>3264</v>
      </c>
      <c r="F791" s="840" t="s">
        <v>3265</v>
      </c>
      <c r="G791" s="826" t="s">
        <v>3430</v>
      </c>
      <c r="H791" s="826" t="s">
        <v>4054</v>
      </c>
      <c r="I791" s="832">
        <v>1.6749999523162842</v>
      </c>
      <c r="J791" s="832">
        <v>700</v>
      </c>
      <c r="K791" s="833">
        <v>1174</v>
      </c>
    </row>
    <row r="792" spans="1:11" ht="14.45" customHeight="1" x14ac:dyDescent="0.2">
      <c r="A792" s="822" t="s">
        <v>575</v>
      </c>
      <c r="B792" s="823" t="s">
        <v>576</v>
      </c>
      <c r="C792" s="826" t="s">
        <v>597</v>
      </c>
      <c r="D792" s="840" t="s">
        <v>598</v>
      </c>
      <c r="E792" s="826" t="s">
        <v>3264</v>
      </c>
      <c r="F792" s="840" t="s">
        <v>3265</v>
      </c>
      <c r="G792" s="826" t="s">
        <v>3430</v>
      </c>
      <c r="H792" s="826" t="s">
        <v>4055</v>
      </c>
      <c r="I792" s="832">
        <v>1.6699999570846558</v>
      </c>
      <c r="J792" s="832">
        <v>500</v>
      </c>
      <c r="K792" s="833">
        <v>835</v>
      </c>
    </row>
    <row r="793" spans="1:11" ht="14.45" customHeight="1" x14ac:dyDescent="0.2">
      <c r="A793" s="822" t="s">
        <v>575</v>
      </c>
      <c r="B793" s="823" t="s">
        <v>576</v>
      </c>
      <c r="C793" s="826" t="s">
        <v>597</v>
      </c>
      <c r="D793" s="840" t="s">
        <v>598</v>
      </c>
      <c r="E793" s="826" t="s">
        <v>3264</v>
      </c>
      <c r="F793" s="840" t="s">
        <v>3265</v>
      </c>
      <c r="G793" s="826" t="s">
        <v>3432</v>
      </c>
      <c r="H793" s="826" t="s">
        <v>3433</v>
      </c>
      <c r="I793" s="832">
        <v>7.1588887638515892</v>
      </c>
      <c r="J793" s="832">
        <v>3000</v>
      </c>
      <c r="K793" s="833">
        <v>21472.59033203125</v>
      </c>
    </row>
    <row r="794" spans="1:11" ht="14.45" customHeight="1" x14ac:dyDescent="0.2">
      <c r="A794" s="822" t="s">
        <v>575</v>
      </c>
      <c r="B794" s="823" t="s">
        <v>576</v>
      </c>
      <c r="C794" s="826" t="s">
        <v>597</v>
      </c>
      <c r="D794" s="840" t="s">
        <v>598</v>
      </c>
      <c r="E794" s="826" t="s">
        <v>3264</v>
      </c>
      <c r="F794" s="840" t="s">
        <v>3265</v>
      </c>
      <c r="G794" s="826" t="s">
        <v>3434</v>
      </c>
      <c r="H794" s="826" t="s">
        <v>3435</v>
      </c>
      <c r="I794" s="832">
        <v>0.58142855337687904</v>
      </c>
      <c r="J794" s="832">
        <v>2400</v>
      </c>
      <c r="K794" s="833">
        <v>1396</v>
      </c>
    </row>
    <row r="795" spans="1:11" ht="14.45" customHeight="1" x14ac:dyDescent="0.2">
      <c r="A795" s="822" t="s">
        <v>575</v>
      </c>
      <c r="B795" s="823" t="s">
        <v>576</v>
      </c>
      <c r="C795" s="826" t="s">
        <v>597</v>
      </c>
      <c r="D795" s="840" t="s">
        <v>598</v>
      </c>
      <c r="E795" s="826" t="s">
        <v>3264</v>
      </c>
      <c r="F795" s="840" t="s">
        <v>3265</v>
      </c>
      <c r="G795" s="826" t="s">
        <v>3436</v>
      </c>
      <c r="H795" s="826" t="s">
        <v>3437</v>
      </c>
      <c r="I795" s="832">
        <v>0.67000001668930054</v>
      </c>
      <c r="J795" s="832">
        <v>600</v>
      </c>
      <c r="K795" s="833">
        <v>402</v>
      </c>
    </row>
    <row r="796" spans="1:11" ht="14.45" customHeight="1" x14ac:dyDescent="0.2">
      <c r="A796" s="822" t="s">
        <v>575</v>
      </c>
      <c r="B796" s="823" t="s">
        <v>576</v>
      </c>
      <c r="C796" s="826" t="s">
        <v>597</v>
      </c>
      <c r="D796" s="840" t="s">
        <v>598</v>
      </c>
      <c r="E796" s="826" t="s">
        <v>3264</v>
      </c>
      <c r="F796" s="840" t="s">
        <v>3265</v>
      </c>
      <c r="G796" s="826" t="s">
        <v>3436</v>
      </c>
      <c r="H796" s="826" t="s">
        <v>3661</v>
      </c>
      <c r="I796" s="832">
        <v>0.67000001668930054</v>
      </c>
      <c r="J796" s="832">
        <v>600</v>
      </c>
      <c r="K796" s="833">
        <v>402</v>
      </c>
    </row>
    <row r="797" spans="1:11" ht="14.45" customHeight="1" x14ac:dyDescent="0.2">
      <c r="A797" s="822" t="s">
        <v>575</v>
      </c>
      <c r="B797" s="823" t="s">
        <v>576</v>
      </c>
      <c r="C797" s="826" t="s">
        <v>597</v>
      </c>
      <c r="D797" s="840" t="s">
        <v>598</v>
      </c>
      <c r="E797" s="826" t="s">
        <v>3264</v>
      </c>
      <c r="F797" s="840" t="s">
        <v>3265</v>
      </c>
      <c r="G797" s="826" t="s">
        <v>3438</v>
      </c>
      <c r="H797" s="826" t="s">
        <v>3439</v>
      </c>
      <c r="I797" s="832">
        <v>1.5099999904632568</v>
      </c>
      <c r="J797" s="832">
        <v>400</v>
      </c>
      <c r="K797" s="833">
        <v>604</v>
      </c>
    </row>
    <row r="798" spans="1:11" ht="14.45" customHeight="1" x14ac:dyDescent="0.2">
      <c r="A798" s="822" t="s">
        <v>575</v>
      </c>
      <c r="B798" s="823" t="s">
        <v>576</v>
      </c>
      <c r="C798" s="826" t="s">
        <v>597</v>
      </c>
      <c r="D798" s="840" t="s">
        <v>598</v>
      </c>
      <c r="E798" s="826" t="s">
        <v>3264</v>
      </c>
      <c r="F798" s="840" t="s">
        <v>3265</v>
      </c>
      <c r="G798" s="826" t="s">
        <v>3444</v>
      </c>
      <c r="H798" s="826" t="s">
        <v>3445</v>
      </c>
      <c r="I798" s="832">
        <v>14.655999755859375</v>
      </c>
      <c r="J798" s="832">
        <v>1400</v>
      </c>
      <c r="K798" s="833">
        <v>20518.229858398438</v>
      </c>
    </row>
    <row r="799" spans="1:11" ht="14.45" customHeight="1" x14ac:dyDescent="0.2">
      <c r="A799" s="822" t="s">
        <v>575</v>
      </c>
      <c r="B799" s="823" t="s">
        <v>576</v>
      </c>
      <c r="C799" s="826" t="s">
        <v>597</v>
      </c>
      <c r="D799" s="840" t="s">
        <v>598</v>
      </c>
      <c r="E799" s="826" t="s">
        <v>3264</v>
      </c>
      <c r="F799" s="840" t="s">
        <v>3265</v>
      </c>
      <c r="G799" s="826" t="s">
        <v>3446</v>
      </c>
      <c r="H799" s="826" t="s">
        <v>3447</v>
      </c>
      <c r="I799" s="832">
        <v>5.2261537405160761</v>
      </c>
      <c r="J799" s="832">
        <v>12835</v>
      </c>
      <c r="K799" s="833">
        <v>67020.649963378906</v>
      </c>
    </row>
    <row r="800" spans="1:11" ht="14.45" customHeight="1" x14ac:dyDescent="0.2">
      <c r="A800" s="822" t="s">
        <v>575</v>
      </c>
      <c r="B800" s="823" t="s">
        <v>576</v>
      </c>
      <c r="C800" s="826" t="s">
        <v>597</v>
      </c>
      <c r="D800" s="840" t="s">
        <v>598</v>
      </c>
      <c r="E800" s="826" t="s">
        <v>3264</v>
      </c>
      <c r="F800" s="840" t="s">
        <v>3265</v>
      </c>
      <c r="G800" s="826" t="s">
        <v>4056</v>
      </c>
      <c r="H800" s="826" t="s">
        <v>4057</v>
      </c>
      <c r="I800" s="832">
        <v>15.729999542236328</v>
      </c>
      <c r="J800" s="832">
        <v>120</v>
      </c>
      <c r="K800" s="833">
        <v>1887.5999755859375</v>
      </c>
    </row>
    <row r="801" spans="1:11" ht="14.45" customHeight="1" x14ac:dyDescent="0.2">
      <c r="A801" s="822" t="s">
        <v>575</v>
      </c>
      <c r="B801" s="823" t="s">
        <v>576</v>
      </c>
      <c r="C801" s="826" t="s">
        <v>597</v>
      </c>
      <c r="D801" s="840" t="s">
        <v>598</v>
      </c>
      <c r="E801" s="826" t="s">
        <v>3264</v>
      </c>
      <c r="F801" s="840" t="s">
        <v>3265</v>
      </c>
      <c r="G801" s="826" t="s">
        <v>3460</v>
      </c>
      <c r="H801" s="826" t="s">
        <v>4058</v>
      </c>
      <c r="I801" s="832">
        <v>8.8333333333333339</v>
      </c>
      <c r="J801" s="832">
        <v>10600</v>
      </c>
      <c r="K801" s="833">
        <v>93628</v>
      </c>
    </row>
    <row r="802" spans="1:11" ht="14.45" customHeight="1" x14ac:dyDescent="0.2">
      <c r="A802" s="822" t="s">
        <v>575</v>
      </c>
      <c r="B802" s="823" t="s">
        <v>576</v>
      </c>
      <c r="C802" s="826" t="s">
        <v>597</v>
      </c>
      <c r="D802" s="840" t="s">
        <v>598</v>
      </c>
      <c r="E802" s="826" t="s">
        <v>3264</v>
      </c>
      <c r="F802" s="840" t="s">
        <v>3265</v>
      </c>
      <c r="G802" s="826" t="s">
        <v>3448</v>
      </c>
      <c r="H802" s="826" t="s">
        <v>3449</v>
      </c>
      <c r="I802" s="832">
        <v>8.4700002670288086</v>
      </c>
      <c r="J802" s="832">
        <v>120</v>
      </c>
      <c r="K802" s="833">
        <v>1016.4000244140625</v>
      </c>
    </row>
    <row r="803" spans="1:11" ht="14.45" customHeight="1" x14ac:dyDescent="0.2">
      <c r="A803" s="822" t="s">
        <v>575</v>
      </c>
      <c r="B803" s="823" t="s">
        <v>576</v>
      </c>
      <c r="C803" s="826" t="s">
        <v>597</v>
      </c>
      <c r="D803" s="840" t="s">
        <v>598</v>
      </c>
      <c r="E803" s="826" t="s">
        <v>3264</v>
      </c>
      <c r="F803" s="840" t="s">
        <v>3265</v>
      </c>
      <c r="G803" s="826" t="s">
        <v>4059</v>
      </c>
      <c r="H803" s="826" t="s">
        <v>4060</v>
      </c>
      <c r="I803" s="832">
        <v>30.129999160766602</v>
      </c>
      <c r="J803" s="832">
        <v>100</v>
      </c>
      <c r="K803" s="833">
        <v>3012.89990234375</v>
      </c>
    </row>
    <row r="804" spans="1:11" ht="14.45" customHeight="1" x14ac:dyDescent="0.2">
      <c r="A804" s="822" t="s">
        <v>575</v>
      </c>
      <c r="B804" s="823" t="s">
        <v>576</v>
      </c>
      <c r="C804" s="826" t="s">
        <v>597</v>
      </c>
      <c r="D804" s="840" t="s">
        <v>598</v>
      </c>
      <c r="E804" s="826" t="s">
        <v>3264</v>
      </c>
      <c r="F804" s="840" t="s">
        <v>3265</v>
      </c>
      <c r="G804" s="826" t="s">
        <v>3450</v>
      </c>
      <c r="H804" s="826" t="s">
        <v>3451</v>
      </c>
      <c r="I804" s="832">
        <v>1.5499999523162842</v>
      </c>
      <c r="J804" s="832">
        <v>1900</v>
      </c>
      <c r="K804" s="833">
        <v>2945</v>
      </c>
    </row>
    <row r="805" spans="1:11" ht="14.45" customHeight="1" x14ac:dyDescent="0.2">
      <c r="A805" s="822" t="s">
        <v>575</v>
      </c>
      <c r="B805" s="823" t="s">
        <v>576</v>
      </c>
      <c r="C805" s="826" t="s">
        <v>597</v>
      </c>
      <c r="D805" s="840" t="s">
        <v>598</v>
      </c>
      <c r="E805" s="826" t="s">
        <v>3264</v>
      </c>
      <c r="F805" s="840" t="s">
        <v>3265</v>
      </c>
      <c r="G805" s="826" t="s">
        <v>3452</v>
      </c>
      <c r="H805" s="826" t="s">
        <v>3453</v>
      </c>
      <c r="I805" s="832">
        <v>6.2319999694824215</v>
      </c>
      <c r="J805" s="832">
        <v>450</v>
      </c>
      <c r="K805" s="833">
        <v>2804.5</v>
      </c>
    </row>
    <row r="806" spans="1:11" ht="14.45" customHeight="1" x14ac:dyDescent="0.2">
      <c r="A806" s="822" t="s">
        <v>575</v>
      </c>
      <c r="B806" s="823" t="s">
        <v>576</v>
      </c>
      <c r="C806" s="826" t="s">
        <v>597</v>
      </c>
      <c r="D806" s="840" t="s">
        <v>598</v>
      </c>
      <c r="E806" s="826" t="s">
        <v>3264</v>
      </c>
      <c r="F806" s="840" t="s">
        <v>3265</v>
      </c>
      <c r="G806" s="826" t="s">
        <v>3419</v>
      </c>
      <c r="H806" s="826" t="s">
        <v>3454</v>
      </c>
      <c r="I806" s="832">
        <v>1.0885714633124215</v>
      </c>
      <c r="J806" s="832">
        <v>7300</v>
      </c>
      <c r="K806" s="833">
        <v>7948</v>
      </c>
    </row>
    <row r="807" spans="1:11" ht="14.45" customHeight="1" x14ac:dyDescent="0.2">
      <c r="A807" s="822" t="s">
        <v>575</v>
      </c>
      <c r="B807" s="823" t="s">
        <v>576</v>
      </c>
      <c r="C807" s="826" t="s">
        <v>597</v>
      </c>
      <c r="D807" s="840" t="s">
        <v>598</v>
      </c>
      <c r="E807" s="826" t="s">
        <v>3264</v>
      </c>
      <c r="F807" s="840" t="s">
        <v>3265</v>
      </c>
      <c r="G807" s="826" t="s">
        <v>3425</v>
      </c>
      <c r="H807" s="826" t="s">
        <v>3455</v>
      </c>
      <c r="I807" s="832">
        <v>0.47833332419395447</v>
      </c>
      <c r="J807" s="832">
        <v>3000</v>
      </c>
      <c r="K807" s="833">
        <v>1438</v>
      </c>
    </row>
    <row r="808" spans="1:11" ht="14.45" customHeight="1" x14ac:dyDescent="0.2">
      <c r="A808" s="822" t="s">
        <v>575</v>
      </c>
      <c r="B808" s="823" t="s">
        <v>576</v>
      </c>
      <c r="C808" s="826" t="s">
        <v>597</v>
      </c>
      <c r="D808" s="840" t="s">
        <v>598</v>
      </c>
      <c r="E808" s="826" t="s">
        <v>3264</v>
      </c>
      <c r="F808" s="840" t="s">
        <v>3265</v>
      </c>
      <c r="G808" s="826" t="s">
        <v>3430</v>
      </c>
      <c r="H808" s="826" t="s">
        <v>3456</v>
      </c>
      <c r="I808" s="832">
        <v>1.6716666221618652</v>
      </c>
      <c r="J808" s="832">
        <v>4100</v>
      </c>
      <c r="K808" s="833">
        <v>6851</v>
      </c>
    </row>
    <row r="809" spans="1:11" ht="14.45" customHeight="1" x14ac:dyDescent="0.2">
      <c r="A809" s="822" t="s">
        <v>575</v>
      </c>
      <c r="B809" s="823" t="s">
        <v>576</v>
      </c>
      <c r="C809" s="826" t="s">
        <v>597</v>
      </c>
      <c r="D809" s="840" t="s">
        <v>598</v>
      </c>
      <c r="E809" s="826" t="s">
        <v>3264</v>
      </c>
      <c r="F809" s="840" t="s">
        <v>3265</v>
      </c>
      <c r="G809" s="826" t="s">
        <v>3432</v>
      </c>
      <c r="H809" s="826" t="s">
        <v>3457</v>
      </c>
      <c r="I809" s="832">
        <v>7.1599998474121094</v>
      </c>
      <c r="J809" s="832">
        <v>1500</v>
      </c>
      <c r="K809" s="833">
        <v>10739.410034179688</v>
      </c>
    </row>
    <row r="810" spans="1:11" ht="14.45" customHeight="1" x14ac:dyDescent="0.2">
      <c r="A810" s="822" t="s">
        <v>575</v>
      </c>
      <c r="B810" s="823" t="s">
        <v>576</v>
      </c>
      <c r="C810" s="826" t="s">
        <v>597</v>
      </c>
      <c r="D810" s="840" t="s">
        <v>598</v>
      </c>
      <c r="E810" s="826" t="s">
        <v>3264</v>
      </c>
      <c r="F810" s="840" t="s">
        <v>3265</v>
      </c>
      <c r="G810" s="826" t="s">
        <v>3436</v>
      </c>
      <c r="H810" s="826" t="s">
        <v>3458</v>
      </c>
      <c r="I810" s="832">
        <v>0.67000001668930054</v>
      </c>
      <c r="J810" s="832">
        <v>3200</v>
      </c>
      <c r="K810" s="833">
        <v>2144</v>
      </c>
    </row>
    <row r="811" spans="1:11" ht="14.45" customHeight="1" x14ac:dyDescent="0.2">
      <c r="A811" s="822" t="s">
        <v>575</v>
      </c>
      <c r="B811" s="823" t="s">
        <v>576</v>
      </c>
      <c r="C811" s="826" t="s">
        <v>597</v>
      </c>
      <c r="D811" s="840" t="s">
        <v>598</v>
      </c>
      <c r="E811" s="826" t="s">
        <v>3264</v>
      </c>
      <c r="F811" s="840" t="s">
        <v>3265</v>
      </c>
      <c r="G811" s="826" t="s">
        <v>3438</v>
      </c>
      <c r="H811" s="826" t="s">
        <v>4061</v>
      </c>
      <c r="I811" s="832">
        <v>1.5</v>
      </c>
      <c r="J811" s="832">
        <v>400</v>
      </c>
      <c r="K811" s="833">
        <v>600</v>
      </c>
    </row>
    <row r="812" spans="1:11" ht="14.45" customHeight="1" x14ac:dyDescent="0.2">
      <c r="A812" s="822" t="s">
        <v>575</v>
      </c>
      <c r="B812" s="823" t="s">
        <v>576</v>
      </c>
      <c r="C812" s="826" t="s">
        <v>597</v>
      </c>
      <c r="D812" s="840" t="s">
        <v>598</v>
      </c>
      <c r="E812" s="826" t="s">
        <v>3264</v>
      </c>
      <c r="F812" s="840" t="s">
        <v>3265</v>
      </c>
      <c r="G812" s="826" t="s">
        <v>3444</v>
      </c>
      <c r="H812" s="826" t="s">
        <v>4062</v>
      </c>
      <c r="I812" s="832">
        <v>14.659999847412109</v>
      </c>
      <c r="J812" s="832">
        <v>400</v>
      </c>
      <c r="K812" s="833">
        <v>5863.919921875</v>
      </c>
    </row>
    <row r="813" spans="1:11" ht="14.45" customHeight="1" x14ac:dyDescent="0.2">
      <c r="A813" s="822" t="s">
        <v>575</v>
      </c>
      <c r="B813" s="823" t="s">
        <v>576</v>
      </c>
      <c r="C813" s="826" t="s">
        <v>597</v>
      </c>
      <c r="D813" s="840" t="s">
        <v>598</v>
      </c>
      <c r="E813" s="826" t="s">
        <v>3264</v>
      </c>
      <c r="F813" s="840" t="s">
        <v>3265</v>
      </c>
      <c r="G813" s="826" t="s">
        <v>3446</v>
      </c>
      <c r="H813" s="826" t="s">
        <v>3459</v>
      </c>
      <c r="I813" s="832">
        <v>5.2033332188924151</v>
      </c>
      <c r="J813" s="832">
        <v>8054</v>
      </c>
      <c r="K813" s="833">
        <v>41902.899658203125</v>
      </c>
    </row>
    <row r="814" spans="1:11" ht="14.45" customHeight="1" x14ac:dyDescent="0.2">
      <c r="A814" s="822" t="s">
        <v>575</v>
      </c>
      <c r="B814" s="823" t="s">
        <v>576</v>
      </c>
      <c r="C814" s="826" t="s">
        <v>597</v>
      </c>
      <c r="D814" s="840" t="s">
        <v>598</v>
      </c>
      <c r="E814" s="826" t="s">
        <v>3264</v>
      </c>
      <c r="F814" s="840" t="s">
        <v>3265</v>
      </c>
      <c r="G814" s="826" t="s">
        <v>4056</v>
      </c>
      <c r="H814" s="826" t="s">
        <v>4063</v>
      </c>
      <c r="I814" s="832">
        <v>15.729999542236328</v>
      </c>
      <c r="J814" s="832">
        <v>60</v>
      </c>
      <c r="K814" s="833">
        <v>943.79998779296875</v>
      </c>
    </row>
    <row r="815" spans="1:11" ht="14.45" customHeight="1" x14ac:dyDescent="0.2">
      <c r="A815" s="822" t="s">
        <v>575</v>
      </c>
      <c r="B815" s="823" t="s">
        <v>576</v>
      </c>
      <c r="C815" s="826" t="s">
        <v>597</v>
      </c>
      <c r="D815" s="840" t="s">
        <v>598</v>
      </c>
      <c r="E815" s="826" t="s">
        <v>3264</v>
      </c>
      <c r="F815" s="840" t="s">
        <v>3265</v>
      </c>
      <c r="G815" s="826" t="s">
        <v>3460</v>
      </c>
      <c r="H815" s="826" t="s">
        <v>3461</v>
      </c>
      <c r="I815" s="832">
        <v>8.8328571319580078</v>
      </c>
      <c r="J815" s="832">
        <v>6900</v>
      </c>
      <c r="K815" s="833">
        <v>60938.60009765625</v>
      </c>
    </row>
    <row r="816" spans="1:11" ht="14.45" customHeight="1" x14ac:dyDescent="0.2">
      <c r="A816" s="822" t="s">
        <v>575</v>
      </c>
      <c r="B816" s="823" t="s">
        <v>576</v>
      </c>
      <c r="C816" s="826" t="s">
        <v>597</v>
      </c>
      <c r="D816" s="840" t="s">
        <v>598</v>
      </c>
      <c r="E816" s="826" t="s">
        <v>3264</v>
      </c>
      <c r="F816" s="840" t="s">
        <v>3265</v>
      </c>
      <c r="G816" s="826" t="s">
        <v>4059</v>
      </c>
      <c r="H816" s="826" t="s">
        <v>4064</v>
      </c>
      <c r="I816" s="832">
        <v>30.129999160766602</v>
      </c>
      <c r="J816" s="832">
        <v>250</v>
      </c>
      <c r="K816" s="833">
        <v>7532.249755859375</v>
      </c>
    </row>
    <row r="817" spans="1:11" ht="14.45" customHeight="1" x14ac:dyDescent="0.2">
      <c r="A817" s="822" t="s">
        <v>575</v>
      </c>
      <c r="B817" s="823" t="s">
        <v>576</v>
      </c>
      <c r="C817" s="826" t="s">
        <v>597</v>
      </c>
      <c r="D817" s="840" t="s">
        <v>598</v>
      </c>
      <c r="E817" s="826" t="s">
        <v>3264</v>
      </c>
      <c r="F817" s="840" t="s">
        <v>3265</v>
      </c>
      <c r="G817" s="826" t="s">
        <v>3448</v>
      </c>
      <c r="H817" s="826" t="s">
        <v>3462</v>
      </c>
      <c r="I817" s="832">
        <v>8.3766667048136387</v>
      </c>
      <c r="J817" s="832">
        <v>60</v>
      </c>
      <c r="K817" s="833">
        <v>508.20001220703125</v>
      </c>
    </row>
    <row r="818" spans="1:11" ht="14.45" customHeight="1" x14ac:dyDescent="0.2">
      <c r="A818" s="822" t="s">
        <v>575</v>
      </c>
      <c r="B818" s="823" t="s">
        <v>576</v>
      </c>
      <c r="C818" s="826" t="s">
        <v>597</v>
      </c>
      <c r="D818" s="840" t="s">
        <v>598</v>
      </c>
      <c r="E818" s="826" t="s">
        <v>3264</v>
      </c>
      <c r="F818" s="840" t="s">
        <v>3265</v>
      </c>
      <c r="G818" s="826" t="s">
        <v>3463</v>
      </c>
      <c r="H818" s="826" t="s">
        <v>3464</v>
      </c>
      <c r="I818" s="832">
        <v>9.4399995803833008</v>
      </c>
      <c r="J818" s="832">
        <v>100</v>
      </c>
      <c r="K818" s="833">
        <v>944</v>
      </c>
    </row>
    <row r="819" spans="1:11" ht="14.45" customHeight="1" x14ac:dyDescent="0.2">
      <c r="A819" s="822" t="s">
        <v>575</v>
      </c>
      <c r="B819" s="823" t="s">
        <v>576</v>
      </c>
      <c r="C819" s="826" t="s">
        <v>597</v>
      </c>
      <c r="D819" s="840" t="s">
        <v>598</v>
      </c>
      <c r="E819" s="826" t="s">
        <v>3264</v>
      </c>
      <c r="F819" s="840" t="s">
        <v>3265</v>
      </c>
      <c r="G819" s="826" t="s">
        <v>3450</v>
      </c>
      <c r="H819" s="826" t="s">
        <v>3467</v>
      </c>
      <c r="I819" s="832">
        <v>1.5499999523162842</v>
      </c>
      <c r="J819" s="832">
        <v>1500</v>
      </c>
      <c r="K819" s="833">
        <v>2325</v>
      </c>
    </row>
    <row r="820" spans="1:11" ht="14.45" customHeight="1" x14ac:dyDescent="0.2">
      <c r="A820" s="822" t="s">
        <v>575</v>
      </c>
      <c r="B820" s="823" t="s">
        <v>576</v>
      </c>
      <c r="C820" s="826" t="s">
        <v>597</v>
      </c>
      <c r="D820" s="840" t="s">
        <v>598</v>
      </c>
      <c r="E820" s="826" t="s">
        <v>3264</v>
      </c>
      <c r="F820" s="840" t="s">
        <v>3265</v>
      </c>
      <c r="G820" s="826" t="s">
        <v>3452</v>
      </c>
      <c r="H820" s="826" t="s">
        <v>4065</v>
      </c>
      <c r="I820" s="832">
        <v>6.2300000190734863</v>
      </c>
      <c r="J820" s="832">
        <v>225</v>
      </c>
      <c r="K820" s="833">
        <v>1401.75</v>
      </c>
    </row>
    <row r="821" spans="1:11" ht="14.45" customHeight="1" x14ac:dyDescent="0.2">
      <c r="A821" s="822" t="s">
        <v>575</v>
      </c>
      <c r="B821" s="823" t="s">
        <v>576</v>
      </c>
      <c r="C821" s="826" t="s">
        <v>597</v>
      </c>
      <c r="D821" s="840" t="s">
        <v>598</v>
      </c>
      <c r="E821" s="826" t="s">
        <v>3264</v>
      </c>
      <c r="F821" s="840" t="s">
        <v>3265</v>
      </c>
      <c r="G821" s="826" t="s">
        <v>3472</v>
      </c>
      <c r="H821" s="826" t="s">
        <v>3473</v>
      </c>
      <c r="I821" s="832">
        <v>769.55999755859375</v>
      </c>
      <c r="J821" s="832">
        <v>12</v>
      </c>
      <c r="K821" s="833">
        <v>9234.7197265625</v>
      </c>
    </row>
    <row r="822" spans="1:11" ht="14.45" customHeight="1" x14ac:dyDescent="0.2">
      <c r="A822" s="822" t="s">
        <v>575</v>
      </c>
      <c r="B822" s="823" t="s">
        <v>576</v>
      </c>
      <c r="C822" s="826" t="s">
        <v>597</v>
      </c>
      <c r="D822" s="840" t="s">
        <v>598</v>
      </c>
      <c r="E822" s="826" t="s">
        <v>3264</v>
      </c>
      <c r="F822" s="840" t="s">
        <v>3265</v>
      </c>
      <c r="G822" s="826" t="s">
        <v>3474</v>
      </c>
      <c r="H822" s="826" t="s">
        <v>3475</v>
      </c>
      <c r="I822" s="832">
        <v>769.55999755859375</v>
      </c>
      <c r="J822" s="832">
        <v>96</v>
      </c>
      <c r="K822" s="833">
        <v>73877.7578125</v>
      </c>
    </row>
    <row r="823" spans="1:11" ht="14.45" customHeight="1" x14ac:dyDescent="0.2">
      <c r="A823" s="822" t="s">
        <v>575</v>
      </c>
      <c r="B823" s="823" t="s">
        <v>576</v>
      </c>
      <c r="C823" s="826" t="s">
        <v>597</v>
      </c>
      <c r="D823" s="840" t="s">
        <v>598</v>
      </c>
      <c r="E823" s="826" t="s">
        <v>3264</v>
      </c>
      <c r="F823" s="840" t="s">
        <v>3265</v>
      </c>
      <c r="G823" s="826" t="s">
        <v>4066</v>
      </c>
      <c r="H823" s="826" t="s">
        <v>4067</v>
      </c>
      <c r="I823" s="832">
        <v>629.20001220703125</v>
      </c>
      <c r="J823" s="832">
        <v>15</v>
      </c>
      <c r="K823" s="833">
        <v>9438</v>
      </c>
    </row>
    <row r="824" spans="1:11" ht="14.45" customHeight="1" x14ac:dyDescent="0.2">
      <c r="A824" s="822" t="s">
        <v>575</v>
      </c>
      <c r="B824" s="823" t="s">
        <v>576</v>
      </c>
      <c r="C824" s="826" t="s">
        <v>597</v>
      </c>
      <c r="D824" s="840" t="s">
        <v>598</v>
      </c>
      <c r="E824" s="826" t="s">
        <v>3264</v>
      </c>
      <c r="F824" s="840" t="s">
        <v>3265</v>
      </c>
      <c r="G824" s="826" t="s">
        <v>4068</v>
      </c>
      <c r="H824" s="826" t="s">
        <v>4069</v>
      </c>
      <c r="I824" s="832">
        <v>193.60000610351563</v>
      </c>
      <c r="J824" s="832">
        <v>100</v>
      </c>
      <c r="K824" s="833">
        <v>19360</v>
      </c>
    </row>
    <row r="825" spans="1:11" ht="14.45" customHeight="1" x14ac:dyDescent="0.2">
      <c r="A825" s="822" t="s">
        <v>575</v>
      </c>
      <c r="B825" s="823" t="s">
        <v>576</v>
      </c>
      <c r="C825" s="826" t="s">
        <v>597</v>
      </c>
      <c r="D825" s="840" t="s">
        <v>598</v>
      </c>
      <c r="E825" s="826" t="s">
        <v>3264</v>
      </c>
      <c r="F825" s="840" t="s">
        <v>3265</v>
      </c>
      <c r="G825" s="826" t="s">
        <v>4068</v>
      </c>
      <c r="H825" s="826" t="s">
        <v>4070</v>
      </c>
      <c r="I825" s="832">
        <v>193.60000610351563</v>
      </c>
      <c r="J825" s="832">
        <v>25</v>
      </c>
      <c r="K825" s="833">
        <v>4840</v>
      </c>
    </row>
    <row r="826" spans="1:11" ht="14.45" customHeight="1" x14ac:dyDescent="0.2">
      <c r="A826" s="822" t="s">
        <v>575</v>
      </c>
      <c r="B826" s="823" t="s">
        <v>576</v>
      </c>
      <c r="C826" s="826" t="s">
        <v>597</v>
      </c>
      <c r="D826" s="840" t="s">
        <v>598</v>
      </c>
      <c r="E826" s="826" t="s">
        <v>3264</v>
      </c>
      <c r="F826" s="840" t="s">
        <v>3265</v>
      </c>
      <c r="G826" s="826" t="s">
        <v>4071</v>
      </c>
      <c r="H826" s="826" t="s">
        <v>4072</v>
      </c>
      <c r="I826" s="832">
        <v>193.60000610351563</v>
      </c>
      <c r="J826" s="832">
        <v>50</v>
      </c>
      <c r="K826" s="833">
        <v>9680</v>
      </c>
    </row>
    <row r="827" spans="1:11" ht="14.45" customHeight="1" x14ac:dyDescent="0.2">
      <c r="A827" s="822" t="s">
        <v>575</v>
      </c>
      <c r="B827" s="823" t="s">
        <v>576</v>
      </c>
      <c r="C827" s="826" t="s">
        <v>597</v>
      </c>
      <c r="D827" s="840" t="s">
        <v>598</v>
      </c>
      <c r="E827" s="826" t="s">
        <v>3264</v>
      </c>
      <c r="F827" s="840" t="s">
        <v>3265</v>
      </c>
      <c r="G827" s="826" t="s">
        <v>4073</v>
      </c>
      <c r="H827" s="826" t="s">
        <v>4074</v>
      </c>
      <c r="I827" s="832">
        <v>193.60000610351563</v>
      </c>
      <c r="J827" s="832">
        <v>25</v>
      </c>
      <c r="K827" s="833">
        <v>4840</v>
      </c>
    </row>
    <row r="828" spans="1:11" ht="14.45" customHeight="1" x14ac:dyDescent="0.2">
      <c r="A828" s="822" t="s">
        <v>575</v>
      </c>
      <c r="B828" s="823" t="s">
        <v>576</v>
      </c>
      <c r="C828" s="826" t="s">
        <v>597</v>
      </c>
      <c r="D828" s="840" t="s">
        <v>598</v>
      </c>
      <c r="E828" s="826" t="s">
        <v>3264</v>
      </c>
      <c r="F828" s="840" t="s">
        <v>3265</v>
      </c>
      <c r="G828" s="826" t="s">
        <v>3474</v>
      </c>
      <c r="H828" s="826" t="s">
        <v>3476</v>
      </c>
      <c r="I828" s="832">
        <v>769.55999755859375</v>
      </c>
      <c r="J828" s="832">
        <v>36</v>
      </c>
      <c r="K828" s="833">
        <v>27704.1591796875</v>
      </c>
    </row>
    <row r="829" spans="1:11" ht="14.45" customHeight="1" x14ac:dyDescent="0.2">
      <c r="A829" s="822" t="s">
        <v>575</v>
      </c>
      <c r="B829" s="823" t="s">
        <v>576</v>
      </c>
      <c r="C829" s="826" t="s">
        <v>597</v>
      </c>
      <c r="D829" s="840" t="s">
        <v>598</v>
      </c>
      <c r="E829" s="826" t="s">
        <v>3264</v>
      </c>
      <c r="F829" s="840" t="s">
        <v>3265</v>
      </c>
      <c r="G829" s="826" t="s">
        <v>4066</v>
      </c>
      <c r="H829" s="826" t="s">
        <v>4075</v>
      </c>
      <c r="I829" s="832">
        <v>629.20001220703125</v>
      </c>
      <c r="J829" s="832">
        <v>9</v>
      </c>
      <c r="K829" s="833">
        <v>5662.7999267578125</v>
      </c>
    </row>
    <row r="830" spans="1:11" ht="14.45" customHeight="1" x14ac:dyDescent="0.2">
      <c r="A830" s="822" t="s">
        <v>575</v>
      </c>
      <c r="B830" s="823" t="s">
        <v>576</v>
      </c>
      <c r="C830" s="826" t="s">
        <v>597</v>
      </c>
      <c r="D830" s="840" t="s">
        <v>598</v>
      </c>
      <c r="E830" s="826" t="s">
        <v>3264</v>
      </c>
      <c r="F830" s="840" t="s">
        <v>3265</v>
      </c>
      <c r="G830" s="826" t="s">
        <v>4068</v>
      </c>
      <c r="H830" s="826" t="s">
        <v>4076</v>
      </c>
      <c r="I830" s="832">
        <v>193.60000610351563</v>
      </c>
      <c r="J830" s="832">
        <v>75</v>
      </c>
      <c r="K830" s="833">
        <v>14520</v>
      </c>
    </row>
    <row r="831" spans="1:11" ht="14.45" customHeight="1" x14ac:dyDescent="0.2">
      <c r="A831" s="822" t="s">
        <v>575</v>
      </c>
      <c r="B831" s="823" t="s">
        <v>576</v>
      </c>
      <c r="C831" s="826" t="s">
        <v>597</v>
      </c>
      <c r="D831" s="840" t="s">
        <v>598</v>
      </c>
      <c r="E831" s="826" t="s">
        <v>3264</v>
      </c>
      <c r="F831" s="840" t="s">
        <v>3265</v>
      </c>
      <c r="G831" s="826" t="s">
        <v>4071</v>
      </c>
      <c r="H831" s="826" t="s">
        <v>4077</v>
      </c>
      <c r="I831" s="832">
        <v>193.60000610351563</v>
      </c>
      <c r="J831" s="832">
        <v>25</v>
      </c>
      <c r="K831" s="833">
        <v>4840</v>
      </c>
    </row>
    <row r="832" spans="1:11" ht="14.45" customHeight="1" x14ac:dyDescent="0.2">
      <c r="A832" s="822" t="s">
        <v>575</v>
      </c>
      <c r="B832" s="823" t="s">
        <v>576</v>
      </c>
      <c r="C832" s="826" t="s">
        <v>597</v>
      </c>
      <c r="D832" s="840" t="s">
        <v>598</v>
      </c>
      <c r="E832" s="826" t="s">
        <v>3264</v>
      </c>
      <c r="F832" s="840" t="s">
        <v>3265</v>
      </c>
      <c r="G832" s="826" t="s">
        <v>4078</v>
      </c>
      <c r="H832" s="826" t="s">
        <v>4079</v>
      </c>
      <c r="I832" s="832">
        <v>193.60000610351563</v>
      </c>
      <c r="J832" s="832">
        <v>25</v>
      </c>
      <c r="K832" s="833">
        <v>4840</v>
      </c>
    </row>
    <row r="833" spans="1:11" ht="14.45" customHeight="1" x14ac:dyDescent="0.2">
      <c r="A833" s="822" t="s">
        <v>575</v>
      </c>
      <c r="B833" s="823" t="s">
        <v>576</v>
      </c>
      <c r="C833" s="826" t="s">
        <v>597</v>
      </c>
      <c r="D833" s="840" t="s">
        <v>598</v>
      </c>
      <c r="E833" s="826" t="s">
        <v>3264</v>
      </c>
      <c r="F833" s="840" t="s">
        <v>3265</v>
      </c>
      <c r="G833" s="826" t="s">
        <v>4080</v>
      </c>
      <c r="H833" s="826" t="s">
        <v>4081</v>
      </c>
      <c r="I833" s="832">
        <v>1342.050048828125</v>
      </c>
      <c r="J833" s="832">
        <v>2</v>
      </c>
      <c r="K833" s="833">
        <v>2684.10009765625</v>
      </c>
    </row>
    <row r="834" spans="1:11" ht="14.45" customHeight="1" x14ac:dyDescent="0.2">
      <c r="A834" s="822" t="s">
        <v>575</v>
      </c>
      <c r="B834" s="823" t="s">
        <v>576</v>
      </c>
      <c r="C834" s="826" t="s">
        <v>597</v>
      </c>
      <c r="D834" s="840" t="s">
        <v>598</v>
      </c>
      <c r="E834" s="826" t="s">
        <v>3264</v>
      </c>
      <c r="F834" s="840" t="s">
        <v>3265</v>
      </c>
      <c r="G834" s="826" t="s">
        <v>3349</v>
      </c>
      <c r="H834" s="826" t="s">
        <v>3477</v>
      </c>
      <c r="I834" s="832">
        <v>35.090000152587891</v>
      </c>
      <c r="J834" s="832">
        <v>2</v>
      </c>
      <c r="K834" s="833">
        <v>70.180000305175781</v>
      </c>
    </row>
    <row r="835" spans="1:11" ht="14.45" customHeight="1" x14ac:dyDescent="0.2">
      <c r="A835" s="822" t="s">
        <v>575</v>
      </c>
      <c r="B835" s="823" t="s">
        <v>576</v>
      </c>
      <c r="C835" s="826" t="s">
        <v>597</v>
      </c>
      <c r="D835" s="840" t="s">
        <v>598</v>
      </c>
      <c r="E835" s="826" t="s">
        <v>3264</v>
      </c>
      <c r="F835" s="840" t="s">
        <v>3265</v>
      </c>
      <c r="G835" s="826" t="s">
        <v>4082</v>
      </c>
      <c r="H835" s="826" t="s">
        <v>4083</v>
      </c>
      <c r="I835" s="832">
        <v>217.80000305175781</v>
      </c>
      <c r="J835" s="832">
        <v>10</v>
      </c>
      <c r="K835" s="833">
        <v>2178</v>
      </c>
    </row>
    <row r="836" spans="1:11" ht="14.45" customHeight="1" x14ac:dyDescent="0.2">
      <c r="A836" s="822" t="s">
        <v>575</v>
      </c>
      <c r="B836" s="823" t="s">
        <v>576</v>
      </c>
      <c r="C836" s="826" t="s">
        <v>597</v>
      </c>
      <c r="D836" s="840" t="s">
        <v>598</v>
      </c>
      <c r="E836" s="826" t="s">
        <v>3264</v>
      </c>
      <c r="F836" s="840" t="s">
        <v>3265</v>
      </c>
      <c r="G836" s="826" t="s">
        <v>3480</v>
      </c>
      <c r="H836" s="826" t="s">
        <v>3481</v>
      </c>
      <c r="I836" s="832">
        <v>217.80000305175781</v>
      </c>
      <c r="J836" s="832">
        <v>10</v>
      </c>
      <c r="K836" s="833">
        <v>2178</v>
      </c>
    </row>
    <row r="837" spans="1:11" ht="14.45" customHeight="1" x14ac:dyDescent="0.2">
      <c r="A837" s="822" t="s">
        <v>575</v>
      </c>
      <c r="B837" s="823" t="s">
        <v>576</v>
      </c>
      <c r="C837" s="826" t="s">
        <v>597</v>
      </c>
      <c r="D837" s="840" t="s">
        <v>598</v>
      </c>
      <c r="E837" s="826" t="s">
        <v>3264</v>
      </c>
      <c r="F837" s="840" t="s">
        <v>3265</v>
      </c>
      <c r="G837" s="826" t="s">
        <v>4084</v>
      </c>
      <c r="H837" s="826" t="s">
        <v>4085</v>
      </c>
      <c r="I837" s="832">
        <v>266.20001220703125</v>
      </c>
      <c r="J837" s="832">
        <v>10</v>
      </c>
      <c r="K837" s="833">
        <v>2662</v>
      </c>
    </row>
    <row r="838" spans="1:11" ht="14.45" customHeight="1" x14ac:dyDescent="0.2">
      <c r="A838" s="822" t="s">
        <v>575</v>
      </c>
      <c r="B838" s="823" t="s">
        <v>576</v>
      </c>
      <c r="C838" s="826" t="s">
        <v>597</v>
      </c>
      <c r="D838" s="840" t="s">
        <v>598</v>
      </c>
      <c r="E838" s="826" t="s">
        <v>3264</v>
      </c>
      <c r="F838" s="840" t="s">
        <v>3265</v>
      </c>
      <c r="G838" s="826" t="s">
        <v>4086</v>
      </c>
      <c r="H838" s="826" t="s">
        <v>4087</v>
      </c>
      <c r="I838" s="832">
        <v>234.72999572753906</v>
      </c>
      <c r="J838" s="832">
        <v>20</v>
      </c>
      <c r="K838" s="833">
        <v>4694.60009765625</v>
      </c>
    </row>
    <row r="839" spans="1:11" ht="14.45" customHeight="1" x14ac:dyDescent="0.2">
      <c r="A839" s="822" t="s">
        <v>575</v>
      </c>
      <c r="B839" s="823" t="s">
        <v>576</v>
      </c>
      <c r="C839" s="826" t="s">
        <v>597</v>
      </c>
      <c r="D839" s="840" t="s">
        <v>598</v>
      </c>
      <c r="E839" s="826" t="s">
        <v>3264</v>
      </c>
      <c r="F839" s="840" t="s">
        <v>3265</v>
      </c>
      <c r="G839" s="826" t="s">
        <v>3482</v>
      </c>
      <c r="H839" s="826" t="s">
        <v>3483</v>
      </c>
      <c r="I839" s="832">
        <v>2.8519999027252196</v>
      </c>
      <c r="J839" s="832">
        <v>1950</v>
      </c>
      <c r="K839" s="833">
        <v>5562.4501037597656</v>
      </c>
    </row>
    <row r="840" spans="1:11" ht="14.45" customHeight="1" x14ac:dyDescent="0.2">
      <c r="A840" s="822" t="s">
        <v>575</v>
      </c>
      <c r="B840" s="823" t="s">
        <v>576</v>
      </c>
      <c r="C840" s="826" t="s">
        <v>597</v>
      </c>
      <c r="D840" s="840" t="s">
        <v>598</v>
      </c>
      <c r="E840" s="826" t="s">
        <v>3264</v>
      </c>
      <c r="F840" s="840" t="s">
        <v>3265</v>
      </c>
      <c r="G840" s="826" t="s">
        <v>3484</v>
      </c>
      <c r="H840" s="826" t="s">
        <v>3485</v>
      </c>
      <c r="I840" s="832">
        <v>1.2100000381469727</v>
      </c>
      <c r="J840" s="832">
        <v>1725</v>
      </c>
      <c r="K840" s="833">
        <v>2087.25</v>
      </c>
    </row>
    <row r="841" spans="1:11" ht="14.45" customHeight="1" x14ac:dyDescent="0.2">
      <c r="A841" s="822" t="s">
        <v>575</v>
      </c>
      <c r="B841" s="823" t="s">
        <v>576</v>
      </c>
      <c r="C841" s="826" t="s">
        <v>597</v>
      </c>
      <c r="D841" s="840" t="s">
        <v>598</v>
      </c>
      <c r="E841" s="826" t="s">
        <v>3264</v>
      </c>
      <c r="F841" s="840" t="s">
        <v>3265</v>
      </c>
      <c r="G841" s="826" t="s">
        <v>3482</v>
      </c>
      <c r="H841" s="826" t="s">
        <v>4088</v>
      </c>
      <c r="I841" s="832">
        <v>2.8499999046325684</v>
      </c>
      <c r="J841" s="832">
        <v>1600</v>
      </c>
      <c r="K841" s="833">
        <v>4562.7999267578125</v>
      </c>
    </row>
    <row r="842" spans="1:11" ht="14.45" customHeight="1" x14ac:dyDescent="0.2">
      <c r="A842" s="822" t="s">
        <v>575</v>
      </c>
      <c r="B842" s="823" t="s">
        <v>576</v>
      </c>
      <c r="C842" s="826" t="s">
        <v>597</v>
      </c>
      <c r="D842" s="840" t="s">
        <v>598</v>
      </c>
      <c r="E842" s="826" t="s">
        <v>3264</v>
      </c>
      <c r="F842" s="840" t="s">
        <v>3265</v>
      </c>
      <c r="G842" s="826" t="s">
        <v>3486</v>
      </c>
      <c r="H842" s="826" t="s">
        <v>3487</v>
      </c>
      <c r="I842" s="832">
        <v>1.028333306312561</v>
      </c>
      <c r="J842" s="832">
        <v>1200</v>
      </c>
      <c r="K842" s="833">
        <v>1235.0700073242188</v>
      </c>
    </row>
    <row r="843" spans="1:11" ht="14.45" customHeight="1" x14ac:dyDescent="0.2">
      <c r="A843" s="822" t="s">
        <v>575</v>
      </c>
      <c r="B843" s="823" t="s">
        <v>576</v>
      </c>
      <c r="C843" s="826" t="s">
        <v>597</v>
      </c>
      <c r="D843" s="840" t="s">
        <v>598</v>
      </c>
      <c r="E843" s="826" t="s">
        <v>3264</v>
      </c>
      <c r="F843" s="840" t="s">
        <v>3265</v>
      </c>
      <c r="G843" s="826" t="s">
        <v>3490</v>
      </c>
      <c r="H843" s="826" t="s">
        <v>3491</v>
      </c>
      <c r="I843" s="832">
        <v>3.133636474609375</v>
      </c>
      <c r="J843" s="832">
        <v>750</v>
      </c>
      <c r="K843" s="833">
        <v>2349.5</v>
      </c>
    </row>
    <row r="844" spans="1:11" ht="14.45" customHeight="1" x14ac:dyDescent="0.2">
      <c r="A844" s="822" t="s">
        <v>575</v>
      </c>
      <c r="B844" s="823" t="s">
        <v>576</v>
      </c>
      <c r="C844" s="826" t="s">
        <v>597</v>
      </c>
      <c r="D844" s="840" t="s">
        <v>598</v>
      </c>
      <c r="E844" s="826" t="s">
        <v>3264</v>
      </c>
      <c r="F844" s="840" t="s">
        <v>3265</v>
      </c>
      <c r="G844" s="826" t="s">
        <v>3490</v>
      </c>
      <c r="H844" s="826" t="s">
        <v>3494</v>
      </c>
      <c r="I844" s="832">
        <v>3.1316667795181274</v>
      </c>
      <c r="J844" s="832">
        <v>550</v>
      </c>
      <c r="K844" s="833">
        <v>1722.5</v>
      </c>
    </row>
    <row r="845" spans="1:11" ht="14.45" customHeight="1" x14ac:dyDescent="0.2">
      <c r="A845" s="822" t="s">
        <v>575</v>
      </c>
      <c r="B845" s="823" t="s">
        <v>576</v>
      </c>
      <c r="C845" s="826" t="s">
        <v>597</v>
      </c>
      <c r="D845" s="840" t="s">
        <v>598</v>
      </c>
      <c r="E845" s="826" t="s">
        <v>3264</v>
      </c>
      <c r="F845" s="840" t="s">
        <v>3265</v>
      </c>
      <c r="G845" s="826" t="s">
        <v>4089</v>
      </c>
      <c r="H845" s="826" t="s">
        <v>4090</v>
      </c>
      <c r="I845" s="832">
        <v>83.129997253417969</v>
      </c>
      <c r="J845" s="832">
        <v>10</v>
      </c>
      <c r="K845" s="833">
        <v>831.27001953125</v>
      </c>
    </row>
    <row r="846" spans="1:11" ht="14.45" customHeight="1" x14ac:dyDescent="0.2">
      <c r="A846" s="822" t="s">
        <v>575</v>
      </c>
      <c r="B846" s="823" t="s">
        <v>576</v>
      </c>
      <c r="C846" s="826" t="s">
        <v>597</v>
      </c>
      <c r="D846" s="840" t="s">
        <v>598</v>
      </c>
      <c r="E846" s="826" t="s">
        <v>3264</v>
      </c>
      <c r="F846" s="840" t="s">
        <v>3265</v>
      </c>
      <c r="G846" s="826" t="s">
        <v>4091</v>
      </c>
      <c r="H846" s="826" t="s">
        <v>4092</v>
      </c>
      <c r="I846" s="832">
        <v>459.79998779296875</v>
      </c>
      <c r="J846" s="832">
        <v>10</v>
      </c>
      <c r="K846" s="833">
        <v>4598</v>
      </c>
    </row>
    <row r="847" spans="1:11" ht="14.45" customHeight="1" x14ac:dyDescent="0.2">
      <c r="A847" s="822" t="s">
        <v>575</v>
      </c>
      <c r="B847" s="823" t="s">
        <v>576</v>
      </c>
      <c r="C847" s="826" t="s">
        <v>597</v>
      </c>
      <c r="D847" s="840" t="s">
        <v>598</v>
      </c>
      <c r="E847" s="826" t="s">
        <v>3264</v>
      </c>
      <c r="F847" s="840" t="s">
        <v>3265</v>
      </c>
      <c r="G847" s="826" t="s">
        <v>4091</v>
      </c>
      <c r="H847" s="826" t="s">
        <v>4093</v>
      </c>
      <c r="I847" s="832">
        <v>459.79998779296875</v>
      </c>
      <c r="J847" s="832">
        <v>10</v>
      </c>
      <c r="K847" s="833">
        <v>4598</v>
      </c>
    </row>
    <row r="848" spans="1:11" ht="14.45" customHeight="1" x14ac:dyDescent="0.2">
      <c r="A848" s="822" t="s">
        <v>575</v>
      </c>
      <c r="B848" s="823" t="s">
        <v>576</v>
      </c>
      <c r="C848" s="826" t="s">
        <v>597</v>
      </c>
      <c r="D848" s="840" t="s">
        <v>598</v>
      </c>
      <c r="E848" s="826" t="s">
        <v>3264</v>
      </c>
      <c r="F848" s="840" t="s">
        <v>3265</v>
      </c>
      <c r="G848" s="826" t="s">
        <v>4094</v>
      </c>
      <c r="H848" s="826" t="s">
        <v>4095</v>
      </c>
      <c r="I848" s="832">
        <v>592.9000244140625</v>
      </c>
      <c r="J848" s="832">
        <v>10</v>
      </c>
      <c r="K848" s="833">
        <v>5929</v>
      </c>
    </row>
    <row r="849" spans="1:11" ht="14.45" customHeight="1" x14ac:dyDescent="0.2">
      <c r="A849" s="822" t="s">
        <v>575</v>
      </c>
      <c r="B849" s="823" t="s">
        <v>576</v>
      </c>
      <c r="C849" s="826" t="s">
        <v>597</v>
      </c>
      <c r="D849" s="840" t="s">
        <v>598</v>
      </c>
      <c r="E849" s="826" t="s">
        <v>3264</v>
      </c>
      <c r="F849" s="840" t="s">
        <v>3265</v>
      </c>
      <c r="G849" s="826" t="s">
        <v>3662</v>
      </c>
      <c r="H849" s="826" t="s">
        <v>4096</v>
      </c>
      <c r="I849" s="832">
        <v>75.019996643066406</v>
      </c>
      <c r="J849" s="832">
        <v>2</v>
      </c>
      <c r="K849" s="833">
        <v>150.03999328613281</v>
      </c>
    </row>
    <row r="850" spans="1:11" ht="14.45" customHeight="1" x14ac:dyDescent="0.2">
      <c r="A850" s="822" t="s">
        <v>575</v>
      </c>
      <c r="B850" s="823" t="s">
        <v>576</v>
      </c>
      <c r="C850" s="826" t="s">
        <v>597</v>
      </c>
      <c r="D850" s="840" t="s">
        <v>598</v>
      </c>
      <c r="E850" s="826" t="s">
        <v>3264</v>
      </c>
      <c r="F850" s="840" t="s">
        <v>3265</v>
      </c>
      <c r="G850" s="826" t="s">
        <v>3501</v>
      </c>
      <c r="H850" s="826" t="s">
        <v>3502</v>
      </c>
      <c r="I850" s="832">
        <v>0.47272726893424988</v>
      </c>
      <c r="J850" s="832">
        <v>12500</v>
      </c>
      <c r="K850" s="833">
        <v>5910</v>
      </c>
    </row>
    <row r="851" spans="1:11" ht="14.45" customHeight="1" x14ac:dyDescent="0.2">
      <c r="A851" s="822" t="s">
        <v>575</v>
      </c>
      <c r="B851" s="823" t="s">
        <v>576</v>
      </c>
      <c r="C851" s="826" t="s">
        <v>597</v>
      </c>
      <c r="D851" s="840" t="s">
        <v>598</v>
      </c>
      <c r="E851" s="826" t="s">
        <v>3264</v>
      </c>
      <c r="F851" s="840" t="s">
        <v>3265</v>
      </c>
      <c r="G851" s="826" t="s">
        <v>3501</v>
      </c>
      <c r="H851" s="826" t="s">
        <v>3503</v>
      </c>
      <c r="I851" s="832">
        <v>0.47142856887408663</v>
      </c>
      <c r="J851" s="832">
        <v>8500</v>
      </c>
      <c r="K851" s="833">
        <v>4000</v>
      </c>
    </row>
    <row r="852" spans="1:11" ht="14.45" customHeight="1" x14ac:dyDescent="0.2">
      <c r="A852" s="822" t="s">
        <v>575</v>
      </c>
      <c r="B852" s="823" t="s">
        <v>576</v>
      </c>
      <c r="C852" s="826" t="s">
        <v>597</v>
      </c>
      <c r="D852" s="840" t="s">
        <v>598</v>
      </c>
      <c r="E852" s="826" t="s">
        <v>3264</v>
      </c>
      <c r="F852" s="840" t="s">
        <v>3265</v>
      </c>
      <c r="G852" s="826" t="s">
        <v>4097</v>
      </c>
      <c r="H852" s="826" t="s">
        <v>4098</v>
      </c>
      <c r="I852" s="832">
        <v>89.300003051757813</v>
      </c>
      <c r="J852" s="832">
        <v>10</v>
      </c>
      <c r="K852" s="833">
        <v>892.97998046875</v>
      </c>
    </row>
    <row r="853" spans="1:11" ht="14.45" customHeight="1" x14ac:dyDescent="0.2">
      <c r="A853" s="822" t="s">
        <v>575</v>
      </c>
      <c r="B853" s="823" t="s">
        <v>576</v>
      </c>
      <c r="C853" s="826" t="s">
        <v>597</v>
      </c>
      <c r="D853" s="840" t="s">
        <v>598</v>
      </c>
      <c r="E853" s="826" t="s">
        <v>3264</v>
      </c>
      <c r="F853" s="840" t="s">
        <v>3265</v>
      </c>
      <c r="G853" s="826" t="s">
        <v>4097</v>
      </c>
      <c r="H853" s="826" t="s">
        <v>4099</v>
      </c>
      <c r="I853" s="832">
        <v>99.220001220703125</v>
      </c>
      <c r="J853" s="832">
        <v>10</v>
      </c>
      <c r="K853" s="833">
        <v>992.20001220703125</v>
      </c>
    </row>
    <row r="854" spans="1:11" ht="14.45" customHeight="1" x14ac:dyDescent="0.2">
      <c r="A854" s="822" t="s">
        <v>575</v>
      </c>
      <c r="B854" s="823" t="s">
        <v>576</v>
      </c>
      <c r="C854" s="826" t="s">
        <v>597</v>
      </c>
      <c r="D854" s="840" t="s">
        <v>598</v>
      </c>
      <c r="E854" s="826" t="s">
        <v>3264</v>
      </c>
      <c r="F854" s="840" t="s">
        <v>3265</v>
      </c>
      <c r="G854" s="826" t="s">
        <v>4100</v>
      </c>
      <c r="H854" s="826" t="s">
        <v>4101</v>
      </c>
      <c r="I854" s="832">
        <v>99.220001220703125</v>
      </c>
      <c r="J854" s="832">
        <v>10</v>
      </c>
      <c r="K854" s="833">
        <v>992.20001220703125</v>
      </c>
    </row>
    <row r="855" spans="1:11" ht="14.45" customHeight="1" x14ac:dyDescent="0.2">
      <c r="A855" s="822" t="s">
        <v>575</v>
      </c>
      <c r="B855" s="823" t="s">
        <v>576</v>
      </c>
      <c r="C855" s="826" t="s">
        <v>597</v>
      </c>
      <c r="D855" s="840" t="s">
        <v>598</v>
      </c>
      <c r="E855" s="826" t="s">
        <v>3264</v>
      </c>
      <c r="F855" s="840" t="s">
        <v>3265</v>
      </c>
      <c r="G855" s="826" t="s">
        <v>3504</v>
      </c>
      <c r="H855" s="826" t="s">
        <v>3505</v>
      </c>
      <c r="I855" s="832">
        <v>3.7514285700661794</v>
      </c>
      <c r="J855" s="832">
        <v>95</v>
      </c>
      <c r="K855" s="833">
        <v>356.34999847412109</v>
      </c>
    </row>
    <row r="856" spans="1:11" ht="14.45" customHeight="1" x14ac:dyDescent="0.2">
      <c r="A856" s="822" t="s">
        <v>575</v>
      </c>
      <c r="B856" s="823" t="s">
        <v>576</v>
      </c>
      <c r="C856" s="826" t="s">
        <v>597</v>
      </c>
      <c r="D856" s="840" t="s">
        <v>598</v>
      </c>
      <c r="E856" s="826" t="s">
        <v>3264</v>
      </c>
      <c r="F856" s="840" t="s">
        <v>3265</v>
      </c>
      <c r="G856" s="826" t="s">
        <v>3504</v>
      </c>
      <c r="H856" s="826" t="s">
        <v>4102</v>
      </c>
      <c r="I856" s="832">
        <v>3.75</v>
      </c>
      <c r="J856" s="832">
        <v>60</v>
      </c>
      <c r="K856" s="833">
        <v>225</v>
      </c>
    </row>
    <row r="857" spans="1:11" ht="14.45" customHeight="1" x14ac:dyDescent="0.2">
      <c r="A857" s="822" t="s">
        <v>575</v>
      </c>
      <c r="B857" s="823" t="s">
        <v>576</v>
      </c>
      <c r="C857" s="826" t="s">
        <v>597</v>
      </c>
      <c r="D857" s="840" t="s">
        <v>598</v>
      </c>
      <c r="E857" s="826" t="s">
        <v>3264</v>
      </c>
      <c r="F857" s="840" t="s">
        <v>3265</v>
      </c>
      <c r="G857" s="826" t="s">
        <v>3506</v>
      </c>
      <c r="H857" s="826" t="s">
        <v>3507</v>
      </c>
      <c r="I857" s="832">
        <v>1.9850000143051147</v>
      </c>
      <c r="J857" s="832">
        <v>1850</v>
      </c>
      <c r="K857" s="833">
        <v>3672</v>
      </c>
    </row>
    <row r="858" spans="1:11" ht="14.45" customHeight="1" x14ac:dyDescent="0.2">
      <c r="A858" s="822" t="s">
        <v>575</v>
      </c>
      <c r="B858" s="823" t="s">
        <v>576</v>
      </c>
      <c r="C858" s="826" t="s">
        <v>597</v>
      </c>
      <c r="D858" s="840" t="s">
        <v>598</v>
      </c>
      <c r="E858" s="826" t="s">
        <v>3264</v>
      </c>
      <c r="F858" s="840" t="s">
        <v>3265</v>
      </c>
      <c r="G858" s="826" t="s">
        <v>3506</v>
      </c>
      <c r="H858" s="826" t="s">
        <v>3508</v>
      </c>
      <c r="I858" s="832">
        <v>1.9827272891998291</v>
      </c>
      <c r="J858" s="832">
        <v>2800</v>
      </c>
      <c r="K858" s="833">
        <v>5551.5</v>
      </c>
    </row>
    <row r="859" spans="1:11" ht="14.45" customHeight="1" x14ac:dyDescent="0.2">
      <c r="A859" s="822" t="s">
        <v>575</v>
      </c>
      <c r="B859" s="823" t="s">
        <v>576</v>
      </c>
      <c r="C859" s="826" t="s">
        <v>597</v>
      </c>
      <c r="D859" s="840" t="s">
        <v>598</v>
      </c>
      <c r="E859" s="826" t="s">
        <v>3264</v>
      </c>
      <c r="F859" s="840" t="s">
        <v>3265</v>
      </c>
      <c r="G859" s="826" t="s">
        <v>3509</v>
      </c>
      <c r="H859" s="826" t="s">
        <v>3510</v>
      </c>
      <c r="I859" s="832">
        <v>2.0433332920074463</v>
      </c>
      <c r="J859" s="832">
        <v>150</v>
      </c>
      <c r="K859" s="833">
        <v>306.5</v>
      </c>
    </row>
    <row r="860" spans="1:11" ht="14.45" customHeight="1" x14ac:dyDescent="0.2">
      <c r="A860" s="822" t="s">
        <v>575</v>
      </c>
      <c r="B860" s="823" t="s">
        <v>576</v>
      </c>
      <c r="C860" s="826" t="s">
        <v>597</v>
      </c>
      <c r="D860" s="840" t="s">
        <v>598</v>
      </c>
      <c r="E860" s="826" t="s">
        <v>3264</v>
      </c>
      <c r="F860" s="840" t="s">
        <v>3265</v>
      </c>
      <c r="G860" s="826" t="s">
        <v>3509</v>
      </c>
      <c r="H860" s="826" t="s">
        <v>3511</v>
      </c>
      <c r="I860" s="832">
        <v>2.0433332920074463</v>
      </c>
      <c r="J860" s="832">
        <v>300</v>
      </c>
      <c r="K860" s="833">
        <v>613</v>
      </c>
    </row>
    <row r="861" spans="1:11" ht="14.45" customHeight="1" x14ac:dyDescent="0.2">
      <c r="A861" s="822" t="s">
        <v>575</v>
      </c>
      <c r="B861" s="823" t="s">
        <v>576</v>
      </c>
      <c r="C861" s="826" t="s">
        <v>597</v>
      </c>
      <c r="D861" s="840" t="s">
        <v>598</v>
      </c>
      <c r="E861" s="826" t="s">
        <v>3264</v>
      </c>
      <c r="F861" s="840" t="s">
        <v>3265</v>
      </c>
      <c r="G861" s="826" t="s">
        <v>4103</v>
      </c>
      <c r="H861" s="826" t="s">
        <v>4104</v>
      </c>
      <c r="I861" s="832">
        <v>2.6954545974731445</v>
      </c>
      <c r="J861" s="832">
        <v>1300</v>
      </c>
      <c r="K861" s="833">
        <v>3503</v>
      </c>
    </row>
    <row r="862" spans="1:11" ht="14.45" customHeight="1" x14ac:dyDescent="0.2">
      <c r="A862" s="822" t="s">
        <v>575</v>
      </c>
      <c r="B862" s="823" t="s">
        <v>576</v>
      </c>
      <c r="C862" s="826" t="s">
        <v>597</v>
      </c>
      <c r="D862" s="840" t="s">
        <v>598</v>
      </c>
      <c r="E862" s="826" t="s">
        <v>3264</v>
      </c>
      <c r="F862" s="840" t="s">
        <v>3265</v>
      </c>
      <c r="G862" s="826" t="s">
        <v>3512</v>
      </c>
      <c r="H862" s="826" t="s">
        <v>3513</v>
      </c>
      <c r="I862" s="832">
        <v>3.0736362934112549</v>
      </c>
      <c r="J862" s="832">
        <v>750</v>
      </c>
      <c r="K862" s="833">
        <v>2305.5</v>
      </c>
    </row>
    <row r="863" spans="1:11" ht="14.45" customHeight="1" x14ac:dyDescent="0.2">
      <c r="A863" s="822" t="s">
        <v>575</v>
      </c>
      <c r="B863" s="823" t="s">
        <v>576</v>
      </c>
      <c r="C863" s="826" t="s">
        <v>597</v>
      </c>
      <c r="D863" s="840" t="s">
        <v>598</v>
      </c>
      <c r="E863" s="826" t="s">
        <v>3264</v>
      </c>
      <c r="F863" s="840" t="s">
        <v>3265</v>
      </c>
      <c r="G863" s="826" t="s">
        <v>3517</v>
      </c>
      <c r="H863" s="826" t="s">
        <v>3668</v>
      </c>
      <c r="I863" s="832">
        <v>1.9299999475479126</v>
      </c>
      <c r="J863" s="832">
        <v>100</v>
      </c>
      <c r="K863" s="833">
        <v>193</v>
      </c>
    </row>
    <row r="864" spans="1:11" ht="14.45" customHeight="1" x14ac:dyDescent="0.2">
      <c r="A864" s="822" t="s">
        <v>575</v>
      </c>
      <c r="B864" s="823" t="s">
        <v>576</v>
      </c>
      <c r="C864" s="826" t="s">
        <v>597</v>
      </c>
      <c r="D864" s="840" t="s">
        <v>598</v>
      </c>
      <c r="E864" s="826" t="s">
        <v>3264</v>
      </c>
      <c r="F864" s="840" t="s">
        <v>3265</v>
      </c>
      <c r="G864" s="826" t="s">
        <v>3514</v>
      </c>
      <c r="H864" s="826" t="s">
        <v>3515</v>
      </c>
      <c r="I864" s="832">
        <v>3.0990908145904541</v>
      </c>
      <c r="J864" s="832">
        <v>800</v>
      </c>
      <c r="K864" s="833">
        <v>2479.5</v>
      </c>
    </row>
    <row r="865" spans="1:11" ht="14.45" customHeight="1" x14ac:dyDescent="0.2">
      <c r="A865" s="822" t="s">
        <v>575</v>
      </c>
      <c r="B865" s="823" t="s">
        <v>576</v>
      </c>
      <c r="C865" s="826" t="s">
        <v>597</v>
      </c>
      <c r="D865" s="840" t="s">
        <v>598</v>
      </c>
      <c r="E865" s="826" t="s">
        <v>3264</v>
      </c>
      <c r="F865" s="840" t="s">
        <v>3265</v>
      </c>
      <c r="G865" s="826" t="s">
        <v>4103</v>
      </c>
      <c r="H865" s="826" t="s">
        <v>4105</v>
      </c>
      <c r="I865" s="832">
        <v>2.6983333826065063</v>
      </c>
      <c r="J865" s="832">
        <v>950</v>
      </c>
      <c r="K865" s="833">
        <v>2563</v>
      </c>
    </row>
    <row r="866" spans="1:11" ht="14.45" customHeight="1" x14ac:dyDescent="0.2">
      <c r="A866" s="822" t="s">
        <v>575</v>
      </c>
      <c r="B866" s="823" t="s">
        <v>576</v>
      </c>
      <c r="C866" s="826" t="s">
        <v>597</v>
      </c>
      <c r="D866" s="840" t="s">
        <v>598</v>
      </c>
      <c r="E866" s="826" t="s">
        <v>3264</v>
      </c>
      <c r="F866" s="840" t="s">
        <v>3265</v>
      </c>
      <c r="G866" s="826" t="s">
        <v>3512</v>
      </c>
      <c r="H866" s="826" t="s">
        <v>3516</v>
      </c>
      <c r="I866" s="832">
        <v>3.0699999332427979</v>
      </c>
      <c r="J866" s="832">
        <v>600</v>
      </c>
      <c r="K866" s="833">
        <v>1842</v>
      </c>
    </row>
    <row r="867" spans="1:11" ht="14.45" customHeight="1" x14ac:dyDescent="0.2">
      <c r="A867" s="822" t="s">
        <v>575</v>
      </c>
      <c r="B867" s="823" t="s">
        <v>576</v>
      </c>
      <c r="C867" s="826" t="s">
        <v>597</v>
      </c>
      <c r="D867" s="840" t="s">
        <v>598</v>
      </c>
      <c r="E867" s="826" t="s">
        <v>3264</v>
      </c>
      <c r="F867" s="840" t="s">
        <v>3265</v>
      </c>
      <c r="G867" s="826" t="s">
        <v>3517</v>
      </c>
      <c r="H867" s="826" t="s">
        <v>3518</v>
      </c>
      <c r="I867" s="832">
        <v>1.9199999570846558</v>
      </c>
      <c r="J867" s="832">
        <v>50</v>
      </c>
      <c r="K867" s="833">
        <v>96</v>
      </c>
    </row>
    <row r="868" spans="1:11" ht="14.45" customHeight="1" x14ac:dyDescent="0.2">
      <c r="A868" s="822" t="s">
        <v>575</v>
      </c>
      <c r="B868" s="823" t="s">
        <v>576</v>
      </c>
      <c r="C868" s="826" t="s">
        <v>597</v>
      </c>
      <c r="D868" s="840" t="s">
        <v>598</v>
      </c>
      <c r="E868" s="826" t="s">
        <v>3264</v>
      </c>
      <c r="F868" s="840" t="s">
        <v>3265</v>
      </c>
      <c r="G868" s="826" t="s">
        <v>3514</v>
      </c>
      <c r="H868" s="826" t="s">
        <v>3669</v>
      </c>
      <c r="I868" s="832">
        <v>3.0999999046325684</v>
      </c>
      <c r="J868" s="832">
        <v>550</v>
      </c>
      <c r="K868" s="833">
        <v>1705</v>
      </c>
    </row>
    <row r="869" spans="1:11" ht="14.45" customHeight="1" x14ac:dyDescent="0.2">
      <c r="A869" s="822" t="s">
        <v>575</v>
      </c>
      <c r="B869" s="823" t="s">
        <v>576</v>
      </c>
      <c r="C869" s="826" t="s">
        <v>597</v>
      </c>
      <c r="D869" s="840" t="s">
        <v>598</v>
      </c>
      <c r="E869" s="826" t="s">
        <v>3264</v>
      </c>
      <c r="F869" s="840" t="s">
        <v>3265</v>
      </c>
      <c r="G869" s="826" t="s">
        <v>3519</v>
      </c>
      <c r="H869" s="826" t="s">
        <v>3520</v>
      </c>
      <c r="I869" s="832">
        <v>2.1650000810623169</v>
      </c>
      <c r="J869" s="832">
        <v>1050</v>
      </c>
      <c r="K869" s="833">
        <v>2272.5</v>
      </c>
    </row>
    <row r="870" spans="1:11" ht="14.45" customHeight="1" x14ac:dyDescent="0.2">
      <c r="A870" s="822" t="s">
        <v>575</v>
      </c>
      <c r="B870" s="823" t="s">
        <v>576</v>
      </c>
      <c r="C870" s="826" t="s">
        <v>597</v>
      </c>
      <c r="D870" s="840" t="s">
        <v>598</v>
      </c>
      <c r="E870" s="826" t="s">
        <v>3264</v>
      </c>
      <c r="F870" s="840" t="s">
        <v>3265</v>
      </c>
      <c r="G870" s="826" t="s">
        <v>3519</v>
      </c>
      <c r="H870" s="826" t="s">
        <v>3521</v>
      </c>
      <c r="I870" s="832">
        <v>2.1672728061676025</v>
      </c>
      <c r="J870" s="832">
        <v>1175</v>
      </c>
      <c r="K870" s="833">
        <v>2547</v>
      </c>
    </row>
    <row r="871" spans="1:11" ht="14.45" customHeight="1" x14ac:dyDescent="0.2">
      <c r="A871" s="822" t="s">
        <v>575</v>
      </c>
      <c r="B871" s="823" t="s">
        <v>576</v>
      </c>
      <c r="C871" s="826" t="s">
        <v>597</v>
      </c>
      <c r="D871" s="840" t="s">
        <v>598</v>
      </c>
      <c r="E871" s="826" t="s">
        <v>3264</v>
      </c>
      <c r="F871" s="840" t="s">
        <v>3265</v>
      </c>
      <c r="G871" s="826" t="s">
        <v>3522</v>
      </c>
      <c r="H871" s="826" t="s">
        <v>3523</v>
      </c>
      <c r="I871" s="832">
        <v>21.236666361490887</v>
      </c>
      <c r="J871" s="832">
        <v>150</v>
      </c>
      <c r="K871" s="833">
        <v>3185.5</v>
      </c>
    </row>
    <row r="872" spans="1:11" ht="14.45" customHeight="1" x14ac:dyDescent="0.2">
      <c r="A872" s="822" t="s">
        <v>575</v>
      </c>
      <c r="B872" s="823" t="s">
        <v>576</v>
      </c>
      <c r="C872" s="826" t="s">
        <v>597</v>
      </c>
      <c r="D872" s="840" t="s">
        <v>598</v>
      </c>
      <c r="E872" s="826" t="s">
        <v>3264</v>
      </c>
      <c r="F872" s="840" t="s">
        <v>3265</v>
      </c>
      <c r="G872" s="826" t="s">
        <v>4106</v>
      </c>
      <c r="H872" s="826" t="s">
        <v>4107</v>
      </c>
      <c r="I872" s="832">
        <v>5.3783334096272783</v>
      </c>
      <c r="J872" s="832">
        <v>120</v>
      </c>
      <c r="K872" s="833">
        <v>645.39999389648438</v>
      </c>
    </row>
    <row r="873" spans="1:11" ht="14.45" customHeight="1" x14ac:dyDescent="0.2">
      <c r="A873" s="822" t="s">
        <v>575</v>
      </c>
      <c r="B873" s="823" t="s">
        <v>576</v>
      </c>
      <c r="C873" s="826" t="s">
        <v>597</v>
      </c>
      <c r="D873" s="840" t="s">
        <v>598</v>
      </c>
      <c r="E873" s="826" t="s">
        <v>3264</v>
      </c>
      <c r="F873" s="840" t="s">
        <v>3265</v>
      </c>
      <c r="G873" s="826" t="s">
        <v>3522</v>
      </c>
      <c r="H873" s="826" t="s">
        <v>3526</v>
      </c>
      <c r="I873" s="832">
        <v>21.229999542236328</v>
      </c>
      <c r="J873" s="832">
        <v>150</v>
      </c>
      <c r="K873" s="833">
        <v>3184.5</v>
      </c>
    </row>
    <row r="874" spans="1:11" ht="14.45" customHeight="1" x14ac:dyDescent="0.2">
      <c r="A874" s="822" t="s">
        <v>575</v>
      </c>
      <c r="B874" s="823" t="s">
        <v>576</v>
      </c>
      <c r="C874" s="826" t="s">
        <v>597</v>
      </c>
      <c r="D874" s="840" t="s">
        <v>598</v>
      </c>
      <c r="E874" s="826" t="s">
        <v>3264</v>
      </c>
      <c r="F874" s="840" t="s">
        <v>3265</v>
      </c>
      <c r="G874" s="826" t="s">
        <v>4106</v>
      </c>
      <c r="H874" s="826" t="s">
        <v>4108</v>
      </c>
      <c r="I874" s="832">
        <v>5.2133332888285322</v>
      </c>
      <c r="J874" s="832">
        <v>50</v>
      </c>
      <c r="K874" s="833">
        <v>262.80000305175781</v>
      </c>
    </row>
    <row r="875" spans="1:11" ht="14.45" customHeight="1" x14ac:dyDescent="0.2">
      <c r="A875" s="822" t="s">
        <v>575</v>
      </c>
      <c r="B875" s="823" t="s">
        <v>576</v>
      </c>
      <c r="C875" s="826" t="s">
        <v>597</v>
      </c>
      <c r="D875" s="840" t="s">
        <v>598</v>
      </c>
      <c r="E875" s="826" t="s">
        <v>3264</v>
      </c>
      <c r="F875" s="840" t="s">
        <v>3265</v>
      </c>
      <c r="G875" s="826" t="s">
        <v>3530</v>
      </c>
      <c r="H875" s="826" t="s">
        <v>3531</v>
      </c>
      <c r="I875" s="832">
        <v>21.234999656677246</v>
      </c>
      <c r="J875" s="832">
        <v>20</v>
      </c>
      <c r="K875" s="833">
        <v>424.69999694824219</v>
      </c>
    </row>
    <row r="876" spans="1:11" ht="14.45" customHeight="1" x14ac:dyDescent="0.2">
      <c r="A876" s="822" t="s">
        <v>575</v>
      </c>
      <c r="B876" s="823" t="s">
        <v>576</v>
      </c>
      <c r="C876" s="826" t="s">
        <v>597</v>
      </c>
      <c r="D876" s="840" t="s">
        <v>598</v>
      </c>
      <c r="E876" s="826" t="s">
        <v>3264</v>
      </c>
      <c r="F876" s="840" t="s">
        <v>3265</v>
      </c>
      <c r="G876" s="826" t="s">
        <v>3530</v>
      </c>
      <c r="H876" s="826" t="s">
        <v>4109</v>
      </c>
      <c r="I876" s="832">
        <v>21.239999771118164</v>
      </c>
      <c r="J876" s="832">
        <v>20</v>
      </c>
      <c r="K876" s="833">
        <v>424.79998779296875</v>
      </c>
    </row>
    <row r="877" spans="1:11" ht="14.45" customHeight="1" x14ac:dyDescent="0.2">
      <c r="A877" s="822" t="s">
        <v>575</v>
      </c>
      <c r="B877" s="823" t="s">
        <v>576</v>
      </c>
      <c r="C877" s="826" t="s">
        <v>597</v>
      </c>
      <c r="D877" s="840" t="s">
        <v>598</v>
      </c>
      <c r="E877" s="826" t="s">
        <v>3264</v>
      </c>
      <c r="F877" s="840" t="s">
        <v>3265</v>
      </c>
      <c r="G877" s="826" t="s">
        <v>3530</v>
      </c>
      <c r="H877" s="826" t="s">
        <v>3532</v>
      </c>
      <c r="I877" s="832">
        <v>21.239999771118164</v>
      </c>
      <c r="J877" s="832">
        <v>20</v>
      </c>
      <c r="K877" s="833">
        <v>424.79998779296875</v>
      </c>
    </row>
    <row r="878" spans="1:11" ht="14.45" customHeight="1" x14ac:dyDescent="0.2">
      <c r="A878" s="822" t="s">
        <v>575</v>
      </c>
      <c r="B878" s="823" t="s">
        <v>576</v>
      </c>
      <c r="C878" s="826" t="s">
        <v>597</v>
      </c>
      <c r="D878" s="840" t="s">
        <v>598</v>
      </c>
      <c r="E878" s="826" t="s">
        <v>4110</v>
      </c>
      <c r="F878" s="840" t="s">
        <v>4111</v>
      </c>
      <c r="G878" s="826" t="s">
        <v>4112</v>
      </c>
      <c r="H878" s="826" t="s">
        <v>4113</v>
      </c>
      <c r="I878" s="832">
        <v>36.907500267028809</v>
      </c>
      <c r="J878" s="832">
        <v>80</v>
      </c>
      <c r="K878" s="833">
        <v>2952.5599975585938</v>
      </c>
    </row>
    <row r="879" spans="1:11" ht="14.45" customHeight="1" x14ac:dyDescent="0.2">
      <c r="A879" s="822" t="s">
        <v>575</v>
      </c>
      <c r="B879" s="823" t="s">
        <v>576</v>
      </c>
      <c r="C879" s="826" t="s">
        <v>597</v>
      </c>
      <c r="D879" s="840" t="s">
        <v>598</v>
      </c>
      <c r="E879" s="826" t="s">
        <v>4110</v>
      </c>
      <c r="F879" s="840" t="s">
        <v>4111</v>
      </c>
      <c r="G879" s="826" t="s">
        <v>4112</v>
      </c>
      <c r="H879" s="826" t="s">
        <v>4114</v>
      </c>
      <c r="I879" s="832">
        <v>36.909999847412109</v>
      </c>
      <c r="J879" s="832">
        <v>100</v>
      </c>
      <c r="K879" s="833">
        <v>3690.4998779296875</v>
      </c>
    </row>
    <row r="880" spans="1:11" ht="14.45" customHeight="1" x14ac:dyDescent="0.2">
      <c r="A880" s="822" t="s">
        <v>575</v>
      </c>
      <c r="B880" s="823" t="s">
        <v>576</v>
      </c>
      <c r="C880" s="826" t="s">
        <v>597</v>
      </c>
      <c r="D880" s="840" t="s">
        <v>598</v>
      </c>
      <c r="E880" s="826" t="s">
        <v>3533</v>
      </c>
      <c r="F880" s="840" t="s">
        <v>3534</v>
      </c>
      <c r="G880" s="826" t="s">
        <v>3404</v>
      </c>
      <c r="H880" s="826" t="s">
        <v>3405</v>
      </c>
      <c r="I880" s="832">
        <v>150.00499725341797</v>
      </c>
      <c r="J880" s="832">
        <v>20</v>
      </c>
      <c r="K880" s="833">
        <v>3000.0699462890625</v>
      </c>
    </row>
    <row r="881" spans="1:11" ht="14.45" customHeight="1" x14ac:dyDescent="0.2">
      <c r="A881" s="822" t="s">
        <v>575</v>
      </c>
      <c r="B881" s="823" t="s">
        <v>576</v>
      </c>
      <c r="C881" s="826" t="s">
        <v>597</v>
      </c>
      <c r="D881" s="840" t="s">
        <v>598</v>
      </c>
      <c r="E881" s="826" t="s">
        <v>3533</v>
      </c>
      <c r="F881" s="840" t="s">
        <v>3534</v>
      </c>
      <c r="G881" s="826" t="s">
        <v>3404</v>
      </c>
      <c r="H881" s="826" t="s">
        <v>3535</v>
      </c>
      <c r="I881" s="832">
        <v>150</v>
      </c>
      <c r="J881" s="832">
        <v>40</v>
      </c>
      <c r="K881" s="833">
        <v>6000.0400390625</v>
      </c>
    </row>
    <row r="882" spans="1:11" ht="14.45" customHeight="1" x14ac:dyDescent="0.2">
      <c r="A882" s="822" t="s">
        <v>575</v>
      </c>
      <c r="B882" s="823" t="s">
        <v>576</v>
      </c>
      <c r="C882" s="826" t="s">
        <v>597</v>
      </c>
      <c r="D882" s="840" t="s">
        <v>598</v>
      </c>
      <c r="E882" s="826" t="s">
        <v>3533</v>
      </c>
      <c r="F882" s="840" t="s">
        <v>3534</v>
      </c>
      <c r="G882" s="826" t="s">
        <v>4115</v>
      </c>
      <c r="H882" s="826" t="s">
        <v>4116</v>
      </c>
      <c r="I882" s="832">
        <v>4598</v>
      </c>
      <c r="J882" s="832">
        <v>4</v>
      </c>
      <c r="K882" s="833">
        <v>18392</v>
      </c>
    </row>
    <row r="883" spans="1:11" ht="14.45" customHeight="1" x14ac:dyDescent="0.2">
      <c r="A883" s="822" t="s">
        <v>575</v>
      </c>
      <c r="B883" s="823" t="s">
        <v>576</v>
      </c>
      <c r="C883" s="826" t="s">
        <v>597</v>
      </c>
      <c r="D883" s="840" t="s">
        <v>598</v>
      </c>
      <c r="E883" s="826" t="s">
        <v>3533</v>
      </c>
      <c r="F883" s="840" t="s">
        <v>3534</v>
      </c>
      <c r="G883" s="826" t="s">
        <v>4117</v>
      </c>
      <c r="H883" s="826" t="s">
        <v>4118</v>
      </c>
      <c r="I883" s="832">
        <v>3539.25</v>
      </c>
      <c r="J883" s="832">
        <v>5</v>
      </c>
      <c r="K883" s="833">
        <v>17696.25</v>
      </c>
    </row>
    <row r="884" spans="1:11" ht="14.45" customHeight="1" x14ac:dyDescent="0.2">
      <c r="A884" s="822" t="s">
        <v>575</v>
      </c>
      <c r="B884" s="823" t="s">
        <v>576</v>
      </c>
      <c r="C884" s="826" t="s">
        <v>597</v>
      </c>
      <c r="D884" s="840" t="s">
        <v>598</v>
      </c>
      <c r="E884" s="826" t="s">
        <v>3533</v>
      </c>
      <c r="F884" s="840" t="s">
        <v>3534</v>
      </c>
      <c r="G884" s="826" t="s">
        <v>3536</v>
      </c>
      <c r="H884" s="826" t="s">
        <v>3537</v>
      </c>
      <c r="I884" s="832">
        <v>10.164545405994762</v>
      </c>
      <c r="J884" s="832">
        <v>4100</v>
      </c>
      <c r="K884" s="833">
        <v>41670</v>
      </c>
    </row>
    <row r="885" spans="1:11" ht="14.45" customHeight="1" x14ac:dyDescent="0.2">
      <c r="A885" s="822" t="s">
        <v>575</v>
      </c>
      <c r="B885" s="823" t="s">
        <v>576</v>
      </c>
      <c r="C885" s="826" t="s">
        <v>597</v>
      </c>
      <c r="D885" s="840" t="s">
        <v>598</v>
      </c>
      <c r="E885" s="826" t="s">
        <v>3533</v>
      </c>
      <c r="F885" s="840" t="s">
        <v>3534</v>
      </c>
      <c r="G885" s="826" t="s">
        <v>3536</v>
      </c>
      <c r="H885" s="826" t="s">
        <v>3538</v>
      </c>
      <c r="I885" s="832">
        <v>10.164999961853027</v>
      </c>
      <c r="J885" s="832">
        <v>2700</v>
      </c>
      <c r="K885" s="833">
        <v>27444</v>
      </c>
    </row>
    <row r="886" spans="1:11" ht="14.45" customHeight="1" x14ac:dyDescent="0.2">
      <c r="A886" s="822" t="s">
        <v>575</v>
      </c>
      <c r="B886" s="823" t="s">
        <v>576</v>
      </c>
      <c r="C886" s="826" t="s">
        <v>597</v>
      </c>
      <c r="D886" s="840" t="s">
        <v>598</v>
      </c>
      <c r="E886" s="826" t="s">
        <v>3533</v>
      </c>
      <c r="F886" s="840" t="s">
        <v>3534</v>
      </c>
      <c r="G886" s="826" t="s">
        <v>4119</v>
      </c>
      <c r="H886" s="826" t="s">
        <v>4120</v>
      </c>
      <c r="I886" s="832">
        <v>127.08000183105469</v>
      </c>
      <c r="J886" s="832">
        <v>36</v>
      </c>
      <c r="K886" s="833">
        <v>4574.77978515625</v>
      </c>
    </row>
    <row r="887" spans="1:11" ht="14.45" customHeight="1" x14ac:dyDescent="0.2">
      <c r="A887" s="822" t="s">
        <v>575</v>
      </c>
      <c r="B887" s="823" t="s">
        <v>576</v>
      </c>
      <c r="C887" s="826" t="s">
        <v>597</v>
      </c>
      <c r="D887" s="840" t="s">
        <v>598</v>
      </c>
      <c r="E887" s="826" t="s">
        <v>3533</v>
      </c>
      <c r="F887" s="840" t="s">
        <v>3534</v>
      </c>
      <c r="G887" s="826" t="s">
        <v>4121</v>
      </c>
      <c r="H887" s="826" t="s">
        <v>4122</v>
      </c>
      <c r="I887" s="832">
        <v>7.0436364954168145</v>
      </c>
      <c r="J887" s="832">
        <v>1350</v>
      </c>
      <c r="K887" s="833">
        <v>9500</v>
      </c>
    </row>
    <row r="888" spans="1:11" ht="14.45" customHeight="1" x14ac:dyDescent="0.2">
      <c r="A888" s="822" t="s">
        <v>575</v>
      </c>
      <c r="B888" s="823" t="s">
        <v>576</v>
      </c>
      <c r="C888" s="826" t="s">
        <v>597</v>
      </c>
      <c r="D888" s="840" t="s">
        <v>598</v>
      </c>
      <c r="E888" s="826" t="s">
        <v>3533</v>
      </c>
      <c r="F888" s="840" t="s">
        <v>3534</v>
      </c>
      <c r="G888" s="826" t="s">
        <v>4121</v>
      </c>
      <c r="H888" s="826" t="s">
        <v>4123</v>
      </c>
      <c r="I888" s="832">
        <v>7.0083335240681963</v>
      </c>
      <c r="J888" s="832">
        <v>800</v>
      </c>
      <c r="K888" s="833">
        <v>5607</v>
      </c>
    </row>
    <row r="889" spans="1:11" ht="14.45" customHeight="1" x14ac:dyDescent="0.2">
      <c r="A889" s="822" t="s">
        <v>575</v>
      </c>
      <c r="B889" s="823" t="s">
        <v>576</v>
      </c>
      <c r="C889" s="826" t="s">
        <v>597</v>
      </c>
      <c r="D889" s="840" t="s">
        <v>598</v>
      </c>
      <c r="E889" s="826" t="s">
        <v>3544</v>
      </c>
      <c r="F889" s="840" t="s">
        <v>3545</v>
      </c>
      <c r="G889" s="826" t="s">
        <v>3550</v>
      </c>
      <c r="H889" s="826" t="s">
        <v>3551</v>
      </c>
      <c r="I889" s="832">
        <v>0.3033333420753479</v>
      </c>
      <c r="J889" s="832">
        <v>1300</v>
      </c>
      <c r="K889" s="833">
        <v>394</v>
      </c>
    </row>
    <row r="890" spans="1:11" ht="14.45" customHeight="1" x14ac:dyDescent="0.2">
      <c r="A890" s="822" t="s">
        <v>575</v>
      </c>
      <c r="B890" s="823" t="s">
        <v>576</v>
      </c>
      <c r="C890" s="826" t="s">
        <v>597</v>
      </c>
      <c r="D890" s="840" t="s">
        <v>598</v>
      </c>
      <c r="E890" s="826" t="s">
        <v>3544</v>
      </c>
      <c r="F890" s="840" t="s">
        <v>3545</v>
      </c>
      <c r="G890" s="826" t="s">
        <v>3552</v>
      </c>
      <c r="H890" s="826" t="s">
        <v>3553</v>
      </c>
      <c r="I890" s="832">
        <v>0.30500000715255737</v>
      </c>
      <c r="J890" s="832">
        <v>400</v>
      </c>
      <c r="K890" s="833">
        <v>122</v>
      </c>
    </row>
    <row r="891" spans="1:11" ht="14.45" customHeight="1" x14ac:dyDescent="0.2">
      <c r="A891" s="822" t="s">
        <v>575</v>
      </c>
      <c r="B891" s="823" t="s">
        <v>576</v>
      </c>
      <c r="C891" s="826" t="s">
        <v>597</v>
      </c>
      <c r="D891" s="840" t="s">
        <v>598</v>
      </c>
      <c r="E891" s="826" t="s">
        <v>3544</v>
      </c>
      <c r="F891" s="840" t="s">
        <v>3545</v>
      </c>
      <c r="G891" s="826" t="s">
        <v>3559</v>
      </c>
      <c r="H891" s="826" t="s">
        <v>4124</v>
      </c>
      <c r="I891" s="832">
        <v>0.30272728204727173</v>
      </c>
      <c r="J891" s="832">
        <v>7300</v>
      </c>
      <c r="K891" s="833">
        <v>2213</v>
      </c>
    </row>
    <row r="892" spans="1:11" ht="14.45" customHeight="1" x14ac:dyDescent="0.2">
      <c r="A892" s="822" t="s">
        <v>575</v>
      </c>
      <c r="B892" s="823" t="s">
        <v>576</v>
      </c>
      <c r="C892" s="826" t="s">
        <v>597</v>
      </c>
      <c r="D892" s="840" t="s">
        <v>598</v>
      </c>
      <c r="E892" s="826" t="s">
        <v>3544</v>
      </c>
      <c r="F892" s="840" t="s">
        <v>3545</v>
      </c>
      <c r="G892" s="826" t="s">
        <v>3554</v>
      </c>
      <c r="H892" s="826" t="s">
        <v>3555</v>
      </c>
      <c r="I892" s="832">
        <v>0.54250001907348633</v>
      </c>
      <c r="J892" s="832">
        <v>21000</v>
      </c>
      <c r="K892" s="833">
        <v>11390</v>
      </c>
    </row>
    <row r="893" spans="1:11" ht="14.45" customHeight="1" x14ac:dyDescent="0.2">
      <c r="A893" s="822" t="s">
        <v>575</v>
      </c>
      <c r="B893" s="823" t="s">
        <v>576</v>
      </c>
      <c r="C893" s="826" t="s">
        <v>597</v>
      </c>
      <c r="D893" s="840" t="s">
        <v>598</v>
      </c>
      <c r="E893" s="826" t="s">
        <v>3544</v>
      </c>
      <c r="F893" s="840" t="s">
        <v>3545</v>
      </c>
      <c r="G893" s="826" t="s">
        <v>3550</v>
      </c>
      <c r="H893" s="826" t="s">
        <v>3557</v>
      </c>
      <c r="I893" s="832">
        <v>0.30250000953674316</v>
      </c>
      <c r="J893" s="832">
        <v>1100</v>
      </c>
      <c r="K893" s="833">
        <v>333</v>
      </c>
    </row>
    <row r="894" spans="1:11" ht="14.45" customHeight="1" x14ac:dyDescent="0.2">
      <c r="A894" s="822" t="s">
        <v>575</v>
      </c>
      <c r="B894" s="823" t="s">
        <v>576</v>
      </c>
      <c r="C894" s="826" t="s">
        <v>597</v>
      </c>
      <c r="D894" s="840" t="s">
        <v>598</v>
      </c>
      <c r="E894" s="826" t="s">
        <v>3544</v>
      </c>
      <c r="F894" s="840" t="s">
        <v>3545</v>
      </c>
      <c r="G894" s="826" t="s">
        <v>3552</v>
      </c>
      <c r="H894" s="826" t="s">
        <v>3558</v>
      </c>
      <c r="I894" s="832">
        <v>0.30000001192092896</v>
      </c>
      <c r="J894" s="832">
        <v>400</v>
      </c>
      <c r="K894" s="833">
        <v>120</v>
      </c>
    </row>
    <row r="895" spans="1:11" ht="14.45" customHeight="1" x14ac:dyDescent="0.2">
      <c r="A895" s="822" t="s">
        <v>575</v>
      </c>
      <c r="B895" s="823" t="s">
        <v>576</v>
      </c>
      <c r="C895" s="826" t="s">
        <v>597</v>
      </c>
      <c r="D895" s="840" t="s">
        <v>598</v>
      </c>
      <c r="E895" s="826" t="s">
        <v>3544</v>
      </c>
      <c r="F895" s="840" t="s">
        <v>3545</v>
      </c>
      <c r="G895" s="826" t="s">
        <v>3559</v>
      </c>
      <c r="H895" s="826" t="s">
        <v>3560</v>
      </c>
      <c r="I895" s="832">
        <v>0.30200001001358034</v>
      </c>
      <c r="J895" s="832">
        <v>4600</v>
      </c>
      <c r="K895" s="833">
        <v>1390</v>
      </c>
    </row>
    <row r="896" spans="1:11" ht="14.45" customHeight="1" x14ac:dyDescent="0.2">
      <c r="A896" s="822" t="s">
        <v>575</v>
      </c>
      <c r="B896" s="823" t="s">
        <v>576</v>
      </c>
      <c r="C896" s="826" t="s">
        <v>597</v>
      </c>
      <c r="D896" s="840" t="s">
        <v>598</v>
      </c>
      <c r="E896" s="826" t="s">
        <v>3544</v>
      </c>
      <c r="F896" s="840" t="s">
        <v>3545</v>
      </c>
      <c r="G896" s="826" t="s">
        <v>3554</v>
      </c>
      <c r="H896" s="826" t="s">
        <v>3563</v>
      </c>
      <c r="I896" s="832">
        <v>0.54428573165621075</v>
      </c>
      <c r="J896" s="832">
        <v>14500</v>
      </c>
      <c r="K896" s="833">
        <v>7890</v>
      </c>
    </row>
    <row r="897" spans="1:11" ht="14.45" customHeight="1" x14ac:dyDescent="0.2">
      <c r="A897" s="822" t="s">
        <v>575</v>
      </c>
      <c r="B897" s="823" t="s">
        <v>576</v>
      </c>
      <c r="C897" s="826" t="s">
        <v>597</v>
      </c>
      <c r="D897" s="840" t="s">
        <v>598</v>
      </c>
      <c r="E897" s="826" t="s">
        <v>3544</v>
      </c>
      <c r="F897" s="840" t="s">
        <v>3545</v>
      </c>
      <c r="G897" s="826" t="s">
        <v>4125</v>
      </c>
      <c r="H897" s="826" t="s">
        <v>4126</v>
      </c>
      <c r="I897" s="832">
        <v>1.8016666173934937</v>
      </c>
      <c r="J897" s="832">
        <v>2000</v>
      </c>
      <c r="K897" s="833">
        <v>3604</v>
      </c>
    </row>
    <row r="898" spans="1:11" ht="14.45" customHeight="1" x14ac:dyDescent="0.2">
      <c r="A898" s="822" t="s">
        <v>575</v>
      </c>
      <c r="B898" s="823" t="s">
        <v>576</v>
      </c>
      <c r="C898" s="826" t="s">
        <v>597</v>
      </c>
      <c r="D898" s="840" t="s">
        <v>598</v>
      </c>
      <c r="E898" s="826" t="s">
        <v>3544</v>
      </c>
      <c r="F898" s="840" t="s">
        <v>3545</v>
      </c>
      <c r="G898" s="826" t="s">
        <v>3566</v>
      </c>
      <c r="H898" s="826" t="s">
        <v>3567</v>
      </c>
      <c r="I898" s="832">
        <v>1.7999999523162842</v>
      </c>
      <c r="J898" s="832">
        <v>200</v>
      </c>
      <c r="K898" s="833">
        <v>360</v>
      </c>
    </row>
    <row r="899" spans="1:11" ht="14.45" customHeight="1" x14ac:dyDescent="0.2">
      <c r="A899" s="822" t="s">
        <v>575</v>
      </c>
      <c r="B899" s="823" t="s">
        <v>576</v>
      </c>
      <c r="C899" s="826" t="s">
        <v>597</v>
      </c>
      <c r="D899" s="840" t="s">
        <v>598</v>
      </c>
      <c r="E899" s="826" t="s">
        <v>3544</v>
      </c>
      <c r="F899" s="840" t="s">
        <v>3545</v>
      </c>
      <c r="G899" s="826" t="s">
        <v>4125</v>
      </c>
      <c r="H899" s="826" t="s">
        <v>4127</v>
      </c>
      <c r="I899" s="832">
        <v>1.8019999504089355</v>
      </c>
      <c r="J899" s="832">
        <v>2900</v>
      </c>
      <c r="K899" s="833">
        <v>5227</v>
      </c>
    </row>
    <row r="900" spans="1:11" ht="14.45" customHeight="1" x14ac:dyDescent="0.2">
      <c r="A900" s="822" t="s">
        <v>575</v>
      </c>
      <c r="B900" s="823" t="s">
        <v>576</v>
      </c>
      <c r="C900" s="826" t="s">
        <v>597</v>
      </c>
      <c r="D900" s="840" t="s">
        <v>598</v>
      </c>
      <c r="E900" s="826" t="s">
        <v>3544</v>
      </c>
      <c r="F900" s="840" t="s">
        <v>3545</v>
      </c>
      <c r="G900" s="826" t="s">
        <v>3566</v>
      </c>
      <c r="H900" s="826" t="s">
        <v>3568</v>
      </c>
      <c r="I900" s="832">
        <v>1.809999942779541</v>
      </c>
      <c r="J900" s="832">
        <v>200</v>
      </c>
      <c r="K900" s="833">
        <v>362</v>
      </c>
    </row>
    <row r="901" spans="1:11" ht="14.45" customHeight="1" x14ac:dyDescent="0.2">
      <c r="A901" s="822" t="s">
        <v>575</v>
      </c>
      <c r="B901" s="823" t="s">
        <v>576</v>
      </c>
      <c r="C901" s="826" t="s">
        <v>597</v>
      </c>
      <c r="D901" s="840" t="s">
        <v>598</v>
      </c>
      <c r="E901" s="826" t="s">
        <v>3569</v>
      </c>
      <c r="F901" s="840" t="s">
        <v>3570</v>
      </c>
      <c r="G901" s="826" t="s">
        <v>4128</v>
      </c>
      <c r="H901" s="826" t="s">
        <v>4129</v>
      </c>
      <c r="I901" s="832">
        <v>15.729999542236328</v>
      </c>
      <c r="J901" s="832">
        <v>100</v>
      </c>
      <c r="K901" s="833">
        <v>1573</v>
      </c>
    </row>
    <row r="902" spans="1:11" ht="14.45" customHeight="1" x14ac:dyDescent="0.2">
      <c r="A902" s="822" t="s">
        <v>575</v>
      </c>
      <c r="B902" s="823" t="s">
        <v>576</v>
      </c>
      <c r="C902" s="826" t="s">
        <v>597</v>
      </c>
      <c r="D902" s="840" t="s">
        <v>598</v>
      </c>
      <c r="E902" s="826" t="s">
        <v>3569</v>
      </c>
      <c r="F902" s="840" t="s">
        <v>3570</v>
      </c>
      <c r="G902" s="826" t="s">
        <v>4130</v>
      </c>
      <c r="H902" s="826" t="s">
        <v>4131</v>
      </c>
      <c r="I902" s="832">
        <v>15.729999542236328</v>
      </c>
      <c r="J902" s="832">
        <v>50</v>
      </c>
      <c r="K902" s="833">
        <v>786.5</v>
      </c>
    </row>
    <row r="903" spans="1:11" ht="14.45" customHeight="1" x14ac:dyDescent="0.2">
      <c r="A903" s="822" t="s">
        <v>575</v>
      </c>
      <c r="B903" s="823" t="s">
        <v>576</v>
      </c>
      <c r="C903" s="826" t="s">
        <v>597</v>
      </c>
      <c r="D903" s="840" t="s">
        <v>598</v>
      </c>
      <c r="E903" s="826" t="s">
        <v>3569</v>
      </c>
      <c r="F903" s="840" t="s">
        <v>3570</v>
      </c>
      <c r="G903" s="826" t="s">
        <v>4132</v>
      </c>
      <c r="H903" s="826" t="s">
        <v>4133</v>
      </c>
      <c r="I903" s="832">
        <v>15.729999542236328</v>
      </c>
      <c r="J903" s="832">
        <v>100</v>
      </c>
      <c r="K903" s="833">
        <v>1573</v>
      </c>
    </row>
    <row r="904" spans="1:11" ht="14.45" customHeight="1" x14ac:dyDescent="0.2">
      <c r="A904" s="822" t="s">
        <v>575</v>
      </c>
      <c r="B904" s="823" t="s">
        <v>576</v>
      </c>
      <c r="C904" s="826" t="s">
        <v>597</v>
      </c>
      <c r="D904" s="840" t="s">
        <v>598</v>
      </c>
      <c r="E904" s="826" t="s">
        <v>3569</v>
      </c>
      <c r="F904" s="840" t="s">
        <v>3570</v>
      </c>
      <c r="G904" s="826" t="s">
        <v>4134</v>
      </c>
      <c r="H904" s="826" t="s">
        <v>4135</v>
      </c>
      <c r="I904" s="832">
        <v>10.159999847412109</v>
      </c>
      <c r="J904" s="832">
        <v>50</v>
      </c>
      <c r="K904" s="833">
        <v>508.20001220703125</v>
      </c>
    </row>
    <row r="905" spans="1:11" ht="14.45" customHeight="1" x14ac:dyDescent="0.2">
      <c r="A905" s="822" t="s">
        <v>575</v>
      </c>
      <c r="B905" s="823" t="s">
        <v>576</v>
      </c>
      <c r="C905" s="826" t="s">
        <v>597</v>
      </c>
      <c r="D905" s="840" t="s">
        <v>598</v>
      </c>
      <c r="E905" s="826" t="s">
        <v>3569</v>
      </c>
      <c r="F905" s="840" t="s">
        <v>3570</v>
      </c>
      <c r="G905" s="826" t="s">
        <v>4128</v>
      </c>
      <c r="H905" s="826" t="s">
        <v>4136</v>
      </c>
      <c r="I905" s="832">
        <v>15.729999542236328</v>
      </c>
      <c r="J905" s="832">
        <v>50</v>
      </c>
      <c r="K905" s="833">
        <v>786.5</v>
      </c>
    </row>
    <row r="906" spans="1:11" ht="14.45" customHeight="1" x14ac:dyDescent="0.2">
      <c r="A906" s="822" t="s">
        <v>575</v>
      </c>
      <c r="B906" s="823" t="s">
        <v>576</v>
      </c>
      <c r="C906" s="826" t="s">
        <v>597</v>
      </c>
      <c r="D906" s="840" t="s">
        <v>598</v>
      </c>
      <c r="E906" s="826" t="s">
        <v>3569</v>
      </c>
      <c r="F906" s="840" t="s">
        <v>3570</v>
      </c>
      <c r="G906" s="826" t="s">
        <v>4137</v>
      </c>
      <c r="H906" s="826" t="s">
        <v>4138</v>
      </c>
      <c r="I906" s="832">
        <v>10.159999847412109</v>
      </c>
      <c r="J906" s="832">
        <v>50</v>
      </c>
      <c r="K906" s="833">
        <v>508.20001220703125</v>
      </c>
    </row>
    <row r="907" spans="1:11" ht="14.45" customHeight="1" x14ac:dyDescent="0.2">
      <c r="A907" s="822" t="s">
        <v>575</v>
      </c>
      <c r="B907" s="823" t="s">
        <v>576</v>
      </c>
      <c r="C907" s="826" t="s">
        <v>597</v>
      </c>
      <c r="D907" s="840" t="s">
        <v>598</v>
      </c>
      <c r="E907" s="826" t="s">
        <v>3569</v>
      </c>
      <c r="F907" s="840" t="s">
        <v>3570</v>
      </c>
      <c r="G907" s="826" t="s">
        <v>3579</v>
      </c>
      <c r="H907" s="826" t="s">
        <v>3580</v>
      </c>
      <c r="I907" s="832">
        <v>0.63818181644786487</v>
      </c>
      <c r="J907" s="832">
        <v>40000</v>
      </c>
      <c r="K907" s="833">
        <v>25380</v>
      </c>
    </row>
    <row r="908" spans="1:11" ht="14.45" customHeight="1" x14ac:dyDescent="0.2">
      <c r="A908" s="822" t="s">
        <v>575</v>
      </c>
      <c r="B908" s="823" t="s">
        <v>576</v>
      </c>
      <c r="C908" s="826" t="s">
        <v>597</v>
      </c>
      <c r="D908" s="840" t="s">
        <v>598</v>
      </c>
      <c r="E908" s="826" t="s">
        <v>3569</v>
      </c>
      <c r="F908" s="840" t="s">
        <v>3570</v>
      </c>
      <c r="G908" s="826" t="s">
        <v>3581</v>
      </c>
      <c r="H908" s="826" t="s">
        <v>3582</v>
      </c>
      <c r="I908" s="832">
        <v>0.63909090648997913</v>
      </c>
      <c r="J908" s="832">
        <v>77000</v>
      </c>
      <c r="K908" s="833">
        <v>49340</v>
      </c>
    </row>
    <row r="909" spans="1:11" ht="14.45" customHeight="1" x14ac:dyDescent="0.2">
      <c r="A909" s="822" t="s">
        <v>575</v>
      </c>
      <c r="B909" s="823" t="s">
        <v>576</v>
      </c>
      <c r="C909" s="826" t="s">
        <v>597</v>
      </c>
      <c r="D909" s="840" t="s">
        <v>598</v>
      </c>
      <c r="E909" s="826" t="s">
        <v>3569</v>
      </c>
      <c r="F909" s="840" t="s">
        <v>3570</v>
      </c>
      <c r="G909" s="826" t="s">
        <v>3583</v>
      </c>
      <c r="H909" s="826" t="s">
        <v>3584</v>
      </c>
      <c r="I909" s="832">
        <v>0.63636363094503234</v>
      </c>
      <c r="J909" s="832">
        <v>35000</v>
      </c>
      <c r="K909" s="833">
        <v>22330</v>
      </c>
    </row>
    <row r="910" spans="1:11" ht="14.45" customHeight="1" x14ac:dyDescent="0.2">
      <c r="A910" s="822" t="s">
        <v>575</v>
      </c>
      <c r="B910" s="823" t="s">
        <v>576</v>
      </c>
      <c r="C910" s="826" t="s">
        <v>597</v>
      </c>
      <c r="D910" s="840" t="s">
        <v>598</v>
      </c>
      <c r="E910" s="826" t="s">
        <v>3569</v>
      </c>
      <c r="F910" s="840" t="s">
        <v>3570</v>
      </c>
      <c r="G910" s="826" t="s">
        <v>4139</v>
      </c>
      <c r="H910" s="826" t="s">
        <v>4140</v>
      </c>
      <c r="I910" s="832">
        <v>0.62899999618530278</v>
      </c>
      <c r="J910" s="832">
        <v>17340</v>
      </c>
      <c r="K910" s="833">
        <v>10919.020011901855</v>
      </c>
    </row>
    <row r="911" spans="1:11" ht="14.45" customHeight="1" x14ac:dyDescent="0.2">
      <c r="A911" s="822" t="s">
        <v>575</v>
      </c>
      <c r="B911" s="823" t="s">
        <v>576</v>
      </c>
      <c r="C911" s="826" t="s">
        <v>597</v>
      </c>
      <c r="D911" s="840" t="s">
        <v>598</v>
      </c>
      <c r="E911" s="826" t="s">
        <v>3569</v>
      </c>
      <c r="F911" s="840" t="s">
        <v>3570</v>
      </c>
      <c r="G911" s="826" t="s">
        <v>3579</v>
      </c>
      <c r="H911" s="826" t="s">
        <v>3591</v>
      </c>
      <c r="I911" s="832">
        <v>0.62833333015441895</v>
      </c>
      <c r="J911" s="832">
        <v>18000</v>
      </c>
      <c r="K911" s="833">
        <v>11310</v>
      </c>
    </row>
    <row r="912" spans="1:11" ht="14.45" customHeight="1" x14ac:dyDescent="0.2">
      <c r="A912" s="822" t="s">
        <v>575</v>
      </c>
      <c r="B912" s="823" t="s">
        <v>576</v>
      </c>
      <c r="C912" s="826" t="s">
        <v>597</v>
      </c>
      <c r="D912" s="840" t="s">
        <v>598</v>
      </c>
      <c r="E912" s="826" t="s">
        <v>3569</v>
      </c>
      <c r="F912" s="840" t="s">
        <v>3570</v>
      </c>
      <c r="G912" s="826" t="s">
        <v>3581</v>
      </c>
      <c r="H912" s="826" t="s">
        <v>3592</v>
      </c>
      <c r="I912" s="832">
        <v>0.62999999523162842</v>
      </c>
      <c r="J912" s="832">
        <v>58000</v>
      </c>
      <c r="K912" s="833">
        <v>36540</v>
      </c>
    </row>
    <row r="913" spans="1:11" ht="14.45" customHeight="1" x14ac:dyDescent="0.2">
      <c r="A913" s="822" t="s">
        <v>575</v>
      </c>
      <c r="B913" s="823" t="s">
        <v>576</v>
      </c>
      <c r="C913" s="826" t="s">
        <v>597</v>
      </c>
      <c r="D913" s="840" t="s">
        <v>598</v>
      </c>
      <c r="E913" s="826" t="s">
        <v>3569</v>
      </c>
      <c r="F913" s="840" t="s">
        <v>3570</v>
      </c>
      <c r="G913" s="826" t="s">
        <v>3583</v>
      </c>
      <c r="H913" s="826" t="s">
        <v>3593</v>
      </c>
      <c r="I913" s="832">
        <v>0.62833333015441895</v>
      </c>
      <c r="J913" s="832">
        <v>20000</v>
      </c>
      <c r="K913" s="833">
        <v>12570</v>
      </c>
    </row>
    <row r="914" spans="1:11" ht="14.45" customHeight="1" x14ac:dyDescent="0.2">
      <c r="A914" s="822" t="s">
        <v>575</v>
      </c>
      <c r="B914" s="823" t="s">
        <v>576</v>
      </c>
      <c r="C914" s="826" t="s">
        <v>597</v>
      </c>
      <c r="D914" s="840" t="s">
        <v>598</v>
      </c>
      <c r="E914" s="826" t="s">
        <v>3569</v>
      </c>
      <c r="F914" s="840" t="s">
        <v>3570</v>
      </c>
      <c r="G914" s="826" t="s">
        <v>4139</v>
      </c>
      <c r="H914" s="826" t="s">
        <v>4141</v>
      </c>
      <c r="I914" s="832">
        <v>0.62999999523162842</v>
      </c>
      <c r="J914" s="832">
        <v>3910</v>
      </c>
      <c r="K914" s="833">
        <v>2463.2999877929688</v>
      </c>
    </row>
    <row r="915" spans="1:11" ht="14.45" customHeight="1" x14ac:dyDescent="0.2">
      <c r="A915" s="822" t="s">
        <v>575</v>
      </c>
      <c r="B915" s="823" t="s">
        <v>576</v>
      </c>
      <c r="C915" s="826" t="s">
        <v>597</v>
      </c>
      <c r="D915" s="840" t="s">
        <v>598</v>
      </c>
      <c r="E915" s="826" t="s">
        <v>3594</v>
      </c>
      <c r="F915" s="840" t="s">
        <v>3595</v>
      </c>
      <c r="G915" s="826" t="s">
        <v>4142</v>
      </c>
      <c r="H915" s="826" t="s">
        <v>4143</v>
      </c>
      <c r="I915" s="832">
        <v>110.52999877929688</v>
      </c>
      <c r="J915" s="832">
        <v>50</v>
      </c>
      <c r="K915" s="833">
        <v>5526.5</v>
      </c>
    </row>
    <row r="916" spans="1:11" ht="14.45" customHeight="1" x14ac:dyDescent="0.2">
      <c r="A916" s="822" t="s">
        <v>575</v>
      </c>
      <c r="B916" s="823" t="s">
        <v>576</v>
      </c>
      <c r="C916" s="826" t="s">
        <v>597</v>
      </c>
      <c r="D916" s="840" t="s">
        <v>598</v>
      </c>
      <c r="E916" s="826" t="s">
        <v>3594</v>
      </c>
      <c r="F916" s="840" t="s">
        <v>3595</v>
      </c>
      <c r="G916" s="826" t="s">
        <v>4144</v>
      </c>
      <c r="H916" s="826" t="s">
        <v>4145</v>
      </c>
      <c r="I916" s="832">
        <v>350.260009765625</v>
      </c>
      <c r="J916" s="832">
        <v>20</v>
      </c>
      <c r="K916" s="833">
        <v>7005.14990234375</v>
      </c>
    </row>
    <row r="917" spans="1:11" ht="14.45" customHeight="1" x14ac:dyDescent="0.2">
      <c r="A917" s="822" t="s">
        <v>575</v>
      </c>
      <c r="B917" s="823" t="s">
        <v>576</v>
      </c>
      <c r="C917" s="826" t="s">
        <v>597</v>
      </c>
      <c r="D917" s="840" t="s">
        <v>598</v>
      </c>
      <c r="E917" s="826" t="s">
        <v>3594</v>
      </c>
      <c r="F917" s="840" t="s">
        <v>3595</v>
      </c>
      <c r="G917" s="826" t="s">
        <v>4146</v>
      </c>
      <c r="H917" s="826" t="s">
        <v>4147</v>
      </c>
      <c r="I917" s="832">
        <v>319.91000366210938</v>
      </c>
      <c r="J917" s="832">
        <v>60</v>
      </c>
      <c r="K917" s="833">
        <v>19194.76025390625</v>
      </c>
    </row>
    <row r="918" spans="1:11" ht="14.45" customHeight="1" x14ac:dyDescent="0.2">
      <c r="A918" s="822" t="s">
        <v>575</v>
      </c>
      <c r="B918" s="823" t="s">
        <v>576</v>
      </c>
      <c r="C918" s="826" t="s">
        <v>597</v>
      </c>
      <c r="D918" s="840" t="s">
        <v>598</v>
      </c>
      <c r="E918" s="826" t="s">
        <v>3594</v>
      </c>
      <c r="F918" s="840" t="s">
        <v>3595</v>
      </c>
      <c r="G918" s="826" t="s">
        <v>4142</v>
      </c>
      <c r="H918" s="826" t="s">
        <v>4148</v>
      </c>
      <c r="I918" s="832">
        <v>110.54000091552734</v>
      </c>
      <c r="J918" s="832">
        <v>25</v>
      </c>
      <c r="K918" s="833">
        <v>2763.5</v>
      </c>
    </row>
    <row r="919" spans="1:11" ht="14.45" customHeight="1" x14ac:dyDescent="0.2">
      <c r="A919" s="822" t="s">
        <v>575</v>
      </c>
      <c r="B919" s="823" t="s">
        <v>576</v>
      </c>
      <c r="C919" s="826" t="s">
        <v>597</v>
      </c>
      <c r="D919" s="840" t="s">
        <v>598</v>
      </c>
      <c r="E919" s="826" t="s">
        <v>3594</v>
      </c>
      <c r="F919" s="840" t="s">
        <v>3595</v>
      </c>
      <c r="G919" s="826" t="s">
        <v>4146</v>
      </c>
      <c r="H919" s="826" t="s">
        <v>4149</v>
      </c>
      <c r="I919" s="832">
        <v>319.91000366210938</v>
      </c>
      <c r="J919" s="832">
        <v>20</v>
      </c>
      <c r="K919" s="833">
        <v>6398.240234375</v>
      </c>
    </row>
    <row r="920" spans="1:11" ht="14.45" customHeight="1" x14ac:dyDescent="0.2">
      <c r="A920" s="822" t="s">
        <v>575</v>
      </c>
      <c r="B920" s="823" t="s">
        <v>576</v>
      </c>
      <c r="C920" s="826" t="s">
        <v>597</v>
      </c>
      <c r="D920" s="840" t="s">
        <v>598</v>
      </c>
      <c r="E920" s="826" t="s">
        <v>3594</v>
      </c>
      <c r="F920" s="840" t="s">
        <v>3595</v>
      </c>
      <c r="G920" s="826" t="s">
        <v>4150</v>
      </c>
      <c r="H920" s="826" t="s">
        <v>4151</v>
      </c>
      <c r="I920" s="832">
        <v>2502.820068359375</v>
      </c>
      <c r="J920" s="832">
        <v>5</v>
      </c>
      <c r="K920" s="833">
        <v>12514.1201171875</v>
      </c>
    </row>
    <row r="921" spans="1:11" ht="14.45" customHeight="1" x14ac:dyDescent="0.2">
      <c r="A921" s="822" t="s">
        <v>575</v>
      </c>
      <c r="B921" s="823" t="s">
        <v>576</v>
      </c>
      <c r="C921" s="826" t="s">
        <v>597</v>
      </c>
      <c r="D921" s="840" t="s">
        <v>598</v>
      </c>
      <c r="E921" s="826" t="s">
        <v>3594</v>
      </c>
      <c r="F921" s="840" t="s">
        <v>3595</v>
      </c>
      <c r="G921" s="826" t="s">
        <v>4152</v>
      </c>
      <c r="H921" s="826" t="s">
        <v>4153</v>
      </c>
      <c r="I921" s="832">
        <v>414.54998779296875</v>
      </c>
      <c r="J921" s="832">
        <v>5</v>
      </c>
      <c r="K921" s="833">
        <v>2072.72998046875</v>
      </c>
    </row>
    <row r="922" spans="1:11" ht="14.45" customHeight="1" x14ac:dyDescent="0.2">
      <c r="A922" s="822" t="s">
        <v>575</v>
      </c>
      <c r="B922" s="823" t="s">
        <v>576</v>
      </c>
      <c r="C922" s="826" t="s">
        <v>597</v>
      </c>
      <c r="D922" s="840" t="s">
        <v>598</v>
      </c>
      <c r="E922" s="826" t="s">
        <v>3594</v>
      </c>
      <c r="F922" s="840" t="s">
        <v>3595</v>
      </c>
      <c r="G922" s="826" t="s">
        <v>4152</v>
      </c>
      <c r="H922" s="826" t="s">
        <v>4154</v>
      </c>
      <c r="I922" s="832">
        <v>414.54749298095703</v>
      </c>
      <c r="J922" s="832">
        <v>20</v>
      </c>
      <c r="K922" s="833">
        <v>8290.8798828125</v>
      </c>
    </row>
    <row r="923" spans="1:11" ht="14.45" customHeight="1" x14ac:dyDescent="0.2">
      <c r="A923" s="822" t="s">
        <v>575</v>
      </c>
      <c r="B923" s="823" t="s">
        <v>576</v>
      </c>
      <c r="C923" s="826" t="s">
        <v>597</v>
      </c>
      <c r="D923" s="840" t="s">
        <v>598</v>
      </c>
      <c r="E923" s="826" t="s">
        <v>3594</v>
      </c>
      <c r="F923" s="840" t="s">
        <v>3595</v>
      </c>
      <c r="G923" s="826" t="s">
        <v>4155</v>
      </c>
      <c r="H923" s="826" t="s">
        <v>4156</v>
      </c>
      <c r="I923" s="832">
        <v>1328.800048828125</v>
      </c>
      <c r="J923" s="832">
        <v>15</v>
      </c>
      <c r="K923" s="833">
        <v>19931.96044921875</v>
      </c>
    </row>
    <row r="924" spans="1:11" ht="14.45" customHeight="1" x14ac:dyDescent="0.2">
      <c r="A924" s="822" t="s">
        <v>575</v>
      </c>
      <c r="B924" s="823" t="s">
        <v>576</v>
      </c>
      <c r="C924" s="826" t="s">
        <v>597</v>
      </c>
      <c r="D924" s="840" t="s">
        <v>598</v>
      </c>
      <c r="E924" s="826" t="s">
        <v>3594</v>
      </c>
      <c r="F924" s="840" t="s">
        <v>3595</v>
      </c>
      <c r="G924" s="826" t="s">
        <v>4155</v>
      </c>
      <c r="H924" s="826" t="s">
        <v>4157</v>
      </c>
      <c r="I924" s="832">
        <v>1328.800048828125</v>
      </c>
      <c r="J924" s="832">
        <v>25</v>
      </c>
      <c r="K924" s="833">
        <v>33219.94091796875</v>
      </c>
    </row>
    <row r="925" spans="1:11" ht="14.45" customHeight="1" x14ac:dyDescent="0.2">
      <c r="A925" s="822" t="s">
        <v>575</v>
      </c>
      <c r="B925" s="823" t="s">
        <v>576</v>
      </c>
      <c r="C925" s="826" t="s">
        <v>597</v>
      </c>
      <c r="D925" s="840" t="s">
        <v>598</v>
      </c>
      <c r="E925" s="826" t="s">
        <v>3594</v>
      </c>
      <c r="F925" s="840" t="s">
        <v>3595</v>
      </c>
      <c r="G925" s="826" t="s">
        <v>4158</v>
      </c>
      <c r="H925" s="826" t="s">
        <v>4159</v>
      </c>
      <c r="I925" s="832">
        <v>1849.9100341796875</v>
      </c>
      <c r="J925" s="832">
        <v>5</v>
      </c>
      <c r="K925" s="833">
        <v>9249.5400390625</v>
      </c>
    </row>
    <row r="926" spans="1:11" ht="14.45" customHeight="1" x14ac:dyDescent="0.2">
      <c r="A926" s="822" t="s">
        <v>575</v>
      </c>
      <c r="B926" s="823" t="s">
        <v>576</v>
      </c>
      <c r="C926" s="826" t="s">
        <v>597</v>
      </c>
      <c r="D926" s="840" t="s">
        <v>598</v>
      </c>
      <c r="E926" s="826" t="s">
        <v>3594</v>
      </c>
      <c r="F926" s="840" t="s">
        <v>3595</v>
      </c>
      <c r="G926" s="826" t="s">
        <v>4158</v>
      </c>
      <c r="H926" s="826" t="s">
        <v>4160</v>
      </c>
      <c r="I926" s="832">
        <v>1849.9100341796875</v>
      </c>
      <c r="J926" s="832">
        <v>5</v>
      </c>
      <c r="K926" s="833">
        <v>9249.5400390625</v>
      </c>
    </row>
    <row r="927" spans="1:11" ht="14.45" customHeight="1" x14ac:dyDescent="0.2">
      <c r="A927" s="822" t="s">
        <v>575</v>
      </c>
      <c r="B927" s="823" t="s">
        <v>576</v>
      </c>
      <c r="C927" s="826" t="s">
        <v>597</v>
      </c>
      <c r="D927" s="840" t="s">
        <v>598</v>
      </c>
      <c r="E927" s="826" t="s">
        <v>3594</v>
      </c>
      <c r="F927" s="840" t="s">
        <v>3595</v>
      </c>
      <c r="G927" s="826" t="s">
        <v>4161</v>
      </c>
      <c r="H927" s="826" t="s">
        <v>4162</v>
      </c>
      <c r="I927" s="832">
        <v>1849.9100341796875</v>
      </c>
      <c r="J927" s="832">
        <v>10</v>
      </c>
      <c r="K927" s="833">
        <v>18499.08984375</v>
      </c>
    </row>
    <row r="928" spans="1:11" ht="14.45" customHeight="1" x14ac:dyDescent="0.2">
      <c r="A928" s="822" t="s">
        <v>575</v>
      </c>
      <c r="B928" s="823" t="s">
        <v>576</v>
      </c>
      <c r="C928" s="826" t="s">
        <v>597</v>
      </c>
      <c r="D928" s="840" t="s">
        <v>598</v>
      </c>
      <c r="E928" s="826" t="s">
        <v>3594</v>
      </c>
      <c r="F928" s="840" t="s">
        <v>3595</v>
      </c>
      <c r="G928" s="826" t="s">
        <v>4163</v>
      </c>
      <c r="H928" s="826" t="s">
        <v>4164</v>
      </c>
      <c r="I928" s="832">
        <v>1849.9100341796875</v>
      </c>
      <c r="J928" s="832">
        <v>10</v>
      </c>
      <c r="K928" s="833">
        <v>18499.080078125</v>
      </c>
    </row>
    <row r="929" spans="1:11" ht="14.45" customHeight="1" x14ac:dyDescent="0.2">
      <c r="A929" s="822" t="s">
        <v>575</v>
      </c>
      <c r="B929" s="823" t="s">
        <v>576</v>
      </c>
      <c r="C929" s="826" t="s">
        <v>597</v>
      </c>
      <c r="D929" s="840" t="s">
        <v>598</v>
      </c>
      <c r="E929" s="826" t="s">
        <v>3594</v>
      </c>
      <c r="F929" s="840" t="s">
        <v>3595</v>
      </c>
      <c r="G929" s="826" t="s">
        <v>4158</v>
      </c>
      <c r="H929" s="826" t="s">
        <v>4165</v>
      </c>
      <c r="I929" s="832">
        <v>1849.9100341796875</v>
      </c>
      <c r="J929" s="832">
        <v>10</v>
      </c>
      <c r="K929" s="833">
        <v>18499.080078125</v>
      </c>
    </row>
    <row r="930" spans="1:11" ht="14.45" customHeight="1" x14ac:dyDescent="0.2">
      <c r="A930" s="822" t="s">
        <v>575</v>
      </c>
      <c r="B930" s="823" t="s">
        <v>576</v>
      </c>
      <c r="C930" s="826" t="s">
        <v>597</v>
      </c>
      <c r="D930" s="840" t="s">
        <v>598</v>
      </c>
      <c r="E930" s="826" t="s">
        <v>3594</v>
      </c>
      <c r="F930" s="840" t="s">
        <v>3595</v>
      </c>
      <c r="G930" s="826" t="s">
        <v>4166</v>
      </c>
      <c r="H930" s="826" t="s">
        <v>4167</v>
      </c>
      <c r="I930" s="832">
        <v>2487.280029296875</v>
      </c>
      <c r="J930" s="832">
        <v>10</v>
      </c>
      <c r="K930" s="833">
        <v>24872.759765625</v>
      </c>
    </row>
    <row r="931" spans="1:11" ht="14.45" customHeight="1" x14ac:dyDescent="0.2">
      <c r="A931" s="822" t="s">
        <v>575</v>
      </c>
      <c r="B931" s="823" t="s">
        <v>576</v>
      </c>
      <c r="C931" s="826" t="s">
        <v>597</v>
      </c>
      <c r="D931" s="840" t="s">
        <v>598</v>
      </c>
      <c r="E931" s="826" t="s">
        <v>3594</v>
      </c>
      <c r="F931" s="840" t="s">
        <v>3595</v>
      </c>
      <c r="G931" s="826" t="s">
        <v>4168</v>
      </c>
      <c r="H931" s="826" t="s">
        <v>4169</v>
      </c>
      <c r="I931" s="832">
        <v>5057.7998046875</v>
      </c>
      <c r="J931" s="832">
        <v>1</v>
      </c>
      <c r="K931" s="833">
        <v>5057.7998046875</v>
      </c>
    </row>
    <row r="932" spans="1:11" ht="14.45" customHeight="1" x14ac:dyDescent="0.2">
      <c r="A932" s="822" t="s">
        <v>575</v>
      </c>
      <c r="B932" s="823" t="s">
        <v>576</v>
      </c>
      <c r="C932" s="826" t="s">
        <v>597</v>
      </c>
      <c r="D932" s="840" t="s">
        <v>598</v>
      </c>
      <c r="E932" s="826" t="s">
        <v>3594</v>
      </c>
      <c r="F932" s="840" t="s">
        <v>3595</v>
      </c>
      <c r="G932" s="826" t="s">
        <v>4168</v>
      </c>
      <c r="H932" s="826" t="s">
        <v>4170</v>
      </c>
      <c r="I932" s="832">
        <v>5057.7998046875</v>
      </c>
      <c r="J932" s="832">
        <v>5</v>
      </c>
      <c r="K932" s="833">
        <v>25288.9990234375</v>
      </c>
    </row>
    <row r="933" spans="1:11" ht="14.45" customHeight="1" x14ac:dyDescent="0.2">
      <c r="A933" s="822" t="s">
        <v>575</v>
      </c>
      <c r="B933" s="823" t="s">
        <v>576</v>
      </c>
      <c r="C933" s="826" t="s">
        <v>597</v>
      </c>
      <c r="D933" s="840" t="s">
        <v>598</v>
      </c>
      <c r="E933" s="826" t="s">
        <v>3594</v>
      </c>
      <c r="F933" s="840" t="s">
        <v>3595</v>
      </c>
      <c r="G933" s="826" t="s">
        <v>4171</v>
      </c>
      <c r="H933" s="826" t="s">
        <v>4172</v>
      </c>
      <c r="I933" s="832">
        <v>4605.259765625</v>
      </c>
      <c r="J933" s="832">
        <v>3</v>
      </c>
      <c r="K933" s="833">
        <v>13815.779296875</v>
      </c>
    </row>
    <row r="934" spans="1:11" ht="14.45" customHeight="1" x14ac:dyDescent="0.2">
      <c r="A934" s="822" t="s">
        <v>575</v>
      </c>
      <c r="B934" s="823" t="s">
        <v>576</v>
      </c>
      <c r="C934" s="826" t="s">
        <v>597</v>
      </c>
      <c r="D934" s="840" t="s">
        <v>598</v>
      </c>
      <c r="E934" s="826" t="s">
        <v>3598</v>
      </c>
      <c r="F934" s="840" t="s">
        <v>3599</v>
      </c>
      <c r="G934" s="826" t="s">
        <v>3600</v>
      </c>
      <c r="H934" s="826" t="s">
        <v>3601</v>
      </c>
      <c r="I934" s="832">
        <v>14.47374963760376</v>
      </c>
      <c r="J934" s="832">
        <v>510</v>
      </c>
      <c r="K934" s="833">
        <v>7343.3999328613281</v>
      </c>
    </row>
    <row r="935" spans="1:11" ht="14.45" customHeight="1" x14ac:dyDescent="0.2">
      <c r="A935" s="822" t="s">
        <v>575</v>
      </c>
      <c r="B935" s="823" t="s">
        <v>576</v>
      </c>
      <c r="C935" s="826" t="s">
        <v>597</v>
      </c>
      <c r="D935" s="840" t="s">
        <v>598</v>
      </c>
      <c r="E935" s="826" t="s">
        <v>3598</v>
      </c>
      <c r="F935" s="840" t="s">
        <v>3599</v>
      </c>
      <c r="G935" s="826" t="s">
        <v>3600</v>
      </c>
      <c r="H935" s="826" t="s">
        <v>3602</v>
      </c>
      <c r="I935" s="832">
        <v>17.472499529520672</v>
      </c>
      <c r="J935" s="832">
        <v>810</v>
      </c>
      <c r="K935" s="833">
        <v>14075.699951171875</v>
      </c>
    </row>
    <row r="936" spans="1:11" ht="14.45" customHeight="1" x14ac:dyDescent="0.2">
      <c r="A936" s="822" t="s">
        <v>575</v>
      </c>
      <c r="B936" s="823" t="s">
        <v>576</v>
      </c>
      <c r="C936" s="826" t="s">
        <v>597</v>
      </c>
      <c r="D936" s="840" t="s">
        <v>598</v>
      </c>
      <c r="E936" s="826" t="s">
        <v>3598</v>
      </c>
      <c r="F936" s="840" t="s">
        <v>3599</v>
      </c>
      <c r="G936" s="826" t="s">
        <v>4173</v>
      </c>
      <c r="H936" s="826" t="s">
        <v>4174</v>
      </c>
      <c r="I936" s="832">
        <v>15.431428909301758</v>
      </c>
      <c r="J936" s="832">
        <v>550</v>
      </c>
      <c r="K936" s="833">
        <v>8479</v>
      </c>
    </row>
    <row r="937" spans="1:11" ht="14.45" customHeight="1" x14ac:dyDescent="0.2">
      <c r="A937" s="822" t="s">
        <v>575</v>
      </c>
      <c r="B937" s="823" t="s">
        <v>576</v>
      </c>
      <c r="C937" s="826" t="s">
        <v>597</v>
      </c>
      <c r="D937" s="840" t="s">
        <v>598</v>
      </c>
      <c r="E937" s="826" t="s">
        <v>3598</v>
      </c>
      <c r="F937" s="840" t="s">
        <v>3599</v>
      </c>
      <c r="G937" s="826" t="s">
        <v>4173</v>
      </c>
      <c r="H937" s="826" t="s">
        <v>4175</v>
      </c>
      <c r="I937" s="832">
        <v>15.899999856948853</v>
      </c>
      <c r="J937" s="832">
        <v>400</v>
      </c>
      <c r="K937" s="833">
        <v>6359.9500122070313</v>
      </c>
    </row>
    <row r="938" spans="1:11" ht="14.45" customHeight="1" x14ac:dyDescent="0.2">
      <c r="A938" s="822" t="s">
        <v>575</v>
      </c>
      <c r="B938" s="823" t="s">
        <v>576</v>
      </c>
      <c r="C938" s="826" t="s">
        <v>597</v>
      </c>
      <c r="D938" s="840" t="s">
        <v>598</v>
      </c>
      <c r="E938" s="826" t="s">
        <v>3598</v>
      </c>
      <c r="F938" s="840" t="s">
        <v>3599</v>
      </c>
      <c r="G938" s="826" t="s">
        <v>4176</v>
      </c>
      <c r="H938" s="826" t="s">
        <v>4177</v>
      </c>
      <c r="I938" s="832">
        <v>25.940000534057617</v>
      </c>
      <c r="J938" s="832">
        <v>100</v>
      </c>
      <c r="K938" s="833">
        <v>2594.239990234375</v>
      </c>
    </row>
    <row r="939" spans="1:11" ht="14.45" customHeight="1" x14ac:dyDescent="0.2">
      <c r="A939" s="822" t="s">
        <v>575</v>
      </c>
      <c r="B939" s="823" t="s">
        <v>576</v>
      </c>
      <c r="C939" s="826" t="s">
        <v>597</v>
      </c>
      <c r="D939" s="840" t="s">
        <v>598</v>
      </c>
      <c r="E939" s="826" t="s">
        <v>3598</v>
      </c>
      <c r="F939" s="840" t="s">
        <v>3599</v>
      </c>
      <c r="G939" s="826" t="s">
        <v>4176</v>
      </c>
      <c r="H939" s="826" t="s">
        <v>4178</v>
      </c>
      <c r="I939" s="832">
        <v>26.356666564941406</v>
      </c>
      <c r="J939" s="832">
        <v>150</v>
      </c>
      <c r="K939" s="833">
        <v>3953.330078125</v>
      </c>
    </row>
    <row r="940" spans="1:11" ht="14.45" customHeight="1" x14ac:dyDescent="0.2">
      <c r="A940" s="822" t="s">
        <v>575</v>
      </c>
      <c r="B940" s="823" t="s">
        <v>576</v>
      </c>
      <c r="C940" s="826" t="s">
        <v>597</v>
      </c>
      <c r="D940" s="840" t="s">
        <v>598</v>
      </c>
      <c r="E940" s="826" t="s">
        <v>3598</v>
      </c>
      <c r="F940" s="840" t="s">
        <v>3599</v>
      </c>
      <c r="G940" s="826" t="s">
        <v>3603</v>
      </c>
      <c r="H940" s="826" t="s">
        <v>3604</v>
      </c>
      <c r="I940" s="832">
        <v>41.770000457763672</v>
      </c>
      <c r="J940" s="832">
        <v>400</v>
      </c>
      <c r="K940" s="833">
        <v>16707.6796875</v>
      </c>
    </row>
    <row r="941" spans="1:11" ht="14.45" customHeight="1" x14ac:dyDescent="0.2">
      <c r="A941" s="822" t="s">
        <v>575</v>
      </c>
      <c r="B941" s="823" t="s">
        <v>576</v>
      </c>
      <c r="C941" s="826" t="s">
        <v>597</v>
      </c>
      <c r="D941" s="840" t="s">
        <v>598</v>
      </c>
      <c r="E941" s="826" t="s">
        <v>3598</v>
      </c>
      <c r="F941" s="840" t="s">
        <v>3599</v>
      </c>
      <c r="G941" s="826" t="s">
        <v>3603</v>
      </c>
      <c r="H941" s="826" t="s">
        <v>3605</v>
      </c>
      <c r="I941" s="832">
        <v>41.770000457763672</v>
      </c>
      <c r="J941" s="832">
        <v>300</v>
      </c>
      <c r="K941" s="833">
        <v>12530.7197265625</v>
      </c>
    </row>
    <row r="942" spans="1:11" ht="14.45" customHeight="1" x14ac:dyDescent="0.2">
      <c r="A942" s="822" t="s">
        <v>575</v>
      </c>
      <c r="B942" s="823" t="s">
        <v>576</v>
      </c>
      <c r="C942" s="826" t="s">
        <v>597</v>
      </c>
      <c r="D942" s="840" t="s">
        <v>598</v>
      </c>
      <c r="E942" s="826" t="s">
        <v>3598</v>
      </c>
      <c r="F942" s="840" t="s">
        <v>3599</v>
      </c>
      <c r="G942" s="826" t="s">
        <v>4179</v>
      </c>
      <c r="H942" s="826" t="s">
        <v>4180</v>
      </c>
      <c r="I942" s="832">
        <v>3146</v>
      </c>
      <c r="J942" s="832">
        <v>1</v>
      </c>
      <c r="K942" s="833">
        <v>3146</v>
      </c>
    </row>
    <row r="943" spans="1:11" ht="14.45" customHeight="1" x14ac:dyDescent="0.2">
      <c r="A943" s="822" t="s">
        <v>575</v>
      </c>
      <c r="B943" s="823" t="s">
        <v>576</v>
      </c>
      <c r="C943" s="826" t="s">
        <v>597</v>
      </c>
      <c r="D943" s="840" t="s">
        <v>598</v>
      </c>
      <c r="E943" s="826" t="s">
        <v>3598</v>
      </c>
      <c r="F943" s="840" t="s">
        <v>3599</v>
      </c>
      <c r="G943" s="826" t="s">
        <v>4181</v>
      </c>
      <c r="H943" s="826" t="s">
        <v>4182</v>
      </c>
      <c r="I943" s="832">
        <v>91.040000915527344</v>
      </c>
      <c r="J943" s="832">
        <v>20</v>
      </c>
      <c r="K943" s="833">
        <v>1820.81005859375</v>
      </c>
    </row>
    <row r="944" spans="1:11" ht="14.45" customHeight="1" x14ac:dyDescent="0.2">
      <c r="A944" s="822" t="s">
        <v>575</v>
      </c>
      <c r="B944" s="823" t="s">
        <v>576</v>
      </c>
      <c r="C944" s="826" t="s">
        <v>597</v>
      </c>
      <c r="D944" s="840" t="s">
        <v>598</v>
      </c>
      <c r="E944" s="826" t="s">
        <v>3598</v>
      </c>
      <c r="F944" s="840" t="s">
        <v>3599</v>
      </c>
      <c r="G944" s="826" t="s">
        <v>4183</v>
      </c>
      <c r="H944" s="826" t="s">
        <v>4184</v>
      </c>
      <c r="I944" s="832">
        <v>91.040000915527344</v>
      </c>
      <c r="J944" s="832">
        <v>20</v>
      </c>
      <c r="K944" s="833">
        <v>1820.81005859375</v>
      </c>
    </row>
    <row r="945" spans="1:11" ht="14.45" customHeight="1" x14ac:dyDescent="0.2">
      <c r="A945" s="822" t="s">
        <v>575</v>
      </c>
      <c r="B945" s="823" t="s">
        <v>576</v>
      </c>
      <c r="C945" s="826" t="s">
        <v>597</v>
      </c>
      <c r="D945" s="840" t="s">
        <v>598</v>
      </c>
      <c r="E945" s="826" t="s">
        <v>3598</v>
      </c>
      <c r="F945" s="840" t="s">
        <v>3599</v>
      </c>
      <c r="G945" s="826" t="s">
        <v>4183</v>
      </c>
      <c r="H945" s="826" t="s">
        <v>4185</v>
      </c>
      <c r="I945" s="832">
        <v>91.040000915527344</v>
      </c>
      <c r="J945" s="832">
        <v>20</v>
      </c>
      <c r="K945" s="833">
        <v>1820.81005859375</v>
      </c>
    </row>
    <row r="946" spans="1:11" ht="14.45" customHeight="1" x14ac:dyDescent="0.2">
      <c r="A946" s="822" t="s">
        <v>575</v>
      </c>
      <c r="B946" s="823" t="s">
        <v>576</v>
      </c>
      <c r="C946" s="826" t="s">
        <v>597</v>
      </c>
      <c r="D946" s="840" t="s">
        <v>598</v>
      </c>
      <c r="E946" s="826" t="s">
        <v>3598</v>
      </c>
      <c r="F946" s="840" t="s">
        <v>3599</v>
      </c>
      <c r="G946" s="826" t="s">
        <v>4186</v>
      </c>
      <c r="H946" s="826" t="s">
        <v>4187</v>
      </c>
      <c r="I946" s="832">
        <v>66.400001525878906</v>
      </c>
      <c r="J946" s="832">
        <v>50</v>
      </c>
      <c r="K946" s="833">
        <v>3320.239990234375</v>
      </c>
    </row>
    <row r="947" spans="1:11" ht="14.45" customHeight="1" x14ac:dyDescent="0.2">
      <c r="A947" s="822" t="s">
        <v>575</v>
      </c>
      <c r="B947" s="823" t="s">
        <v>576</v>
      </c>
      <c r="C947" s="826" t="s">
        <v>597</v>
      </c>
      <c r="D947" s="840" t="s">
        <v>598</v>
      </c>
      <c r="E947" s="826" t="s">
        <v>3598</v>
      </c>
      <c r="F947" s="840" t="s">
        <v>3599</v>
      </c>
      <c r="G947" s="826" t="s">
        <v>4188</v>
      </c>
      <c r="H947" s="826" t="s">
        <v>4189</v>
      </c>
      <c r="I947" s="832">
        <v>15.229999542236328</v>
      </c>
      <c r="J947" s="832">
        <v>30</v>
      </c>
      <c r="K947" s="833">
        <v>456.89999389648438</v>
      </c>
    </row>
    <row r="948" spans="1:11" ht="14.45" customHeight="1" x14ac:dyDescent="0.2">
      <c r="A948" s="822" t="s">
        <v>575</v>
      </c>
      <c r="B948" s="823" t="s">
        <v>576</v>
      </c>
      <c r="C948" s="826" t="s">
        <v>597</v>
      </c>
      <c r="D948" s="840" t="s">
        <v>598</v>
      </c>
      <c r="E948" s="826" t="s">
        <v>3598</v>
      </c>
      <c r="F948" s="840" t="s">
        <v>3599</v>
      </c>
      <c r="G948" s="826" t="s">
        <v>4188</v>
      </c>
      <c r="H948" s="826" t="s">
        <v>4190</v>
      </c>
      <c r="I948" s="832">
        <v>21.719999313354492</v>
      </c>
      <c r="J948" s="832">
        <v>30</v>
      </c>
      <c r="K948" s="833">
        <v>651.5999755859375</v>
      </c>
    </row>
    <row r="949" spans="1:11" ht="14.45" customHeight="1" x14ac:dyDescent="0.2">
      <c r="A949" s="822" t="s">
        <v>575</v>
      </c>
      <c r="B949" s="823" t="s">
        <v>576</v>
      </c>
      <c r="C949" s="826" t="s">
        <v>597</v>
      </c>
      <c r="D949" s="840" t="s">
        <v>598</v>
      </c>
      <c r="E949" s="826" t="s">
        <v>3598</v>
      </c>
      <c r="F949" s="840" t="s">
        <v>3599</v>
      </c>
      <c r="G949" s="826" t="s">
        <v>4191</v>
      </c>
      <c r="H949" s="826" t="s">
        <v>4192</v>
      </c>
      <c r="I949" s="832">
        <v>50.231818459250711</v>
      </c>
      <c r="J949" s="832">
        <v>640</v>
      </c>
      <c r="K949" s="833">
        <v>35372.42050743103</v>
      </c>
    </row>
    <row r="950" spans="1:11" ht="14.45" customHeight="1" x14ac:dyDescent="0.2">
      <c r="A950" s="822" t="s">
        <v>575</v>
      </c>
      <c r="B950" s="823" t="s">
        <v>576</v>
      </c>
      <c r="C950" s="826" t="s">
        <v>597</v>
      </c>
      <c r="D950" s="840" t="s">
        <v>598</v>
      </c>
      <c r="E950" s="826" t="s">
        <v>3598</v>
      </c>
      <c r="F950" s="840" t="s">
        <v>3599</v>
      </c>
      <c r="G950" s="826" t="s">
        <v>4193</v>
      </c>
      <c r="H950" s="826" t="s">
        <v>4194</v>
      </c>
      <c r="I950" s="832">
        <v>2395.800048828125</v>
      </c>
      <c r="J950" s="832">
        <v>19</v>
      </c>
      <c r="K950" s="833">
        <v>45520.199951171875</v>
      </c>
    </row>
    <row r="951" spans="1:11" ht="14.45" customHeight="1" x14ac:dyDescent="0.2">
      <c r="A951" s="822" t="s">
        <v>575</v>
      </c>
      <c r="B951" s="823" t="s">
        <v>576</v>
      </c>
      <c r="C951" s="826" t="s">
        <v>597</v>
      </c>
      <c r="D951" s="840" t="s">
        <v>598</v>
      </c>
      <c r="E951" s="826" t="s">
        <v>3598</v>
      </c>
      <c r="F951" s="840" t="s">
        <v>3599</v>
      </c>
      <c r="G951" s="826" t="s">
        <v>4191</v>
      </c>
      <c r="H951" s="826" t="s">
        <v>4195</v>
      </c>
      <c r="I951" s="832">
        <v>54.279998779296875</v>
      </c>
      <c r="J951" s="832">
        <v>420</v>
      </c>
      <c r="K951" s="833">
        <v>22797.870849609375</v>
      </c>
    </row>
    <row r="952" spans="1:11" ht="14.45" customHeight="1" x14ac:dyDescent="0.2">
      <c r="A952" s="822" t="s">
        <v>575</v>
      </c>
      <c r="B952" s="823" t="s">
        <v>576</v>
      </c>
      <c r="C952" s="826" t="s">
        <v>597</v>
      </c>
      <c r="D952" s="840" t="s">
        <v>598</v>
      </c>
      <c r="E952" s="826" t="s">
        <v>3598</v>
      </c>
      <c r="F952" s="840" t="s">
        <v>3599</v>
      </c>
      <c r="G952" s="826" t="s">
        <v>4193</v>
      </c>
      <c r="H952" s="826" t="s">
        <v>4196</v>
      </c>
      <c r="I952" s="832">
        <v>2395.8050537109375</v>
      </c>
      <c r="J952" s="832">
        <v>5</v>
      </c>
      <c r="K952" s="833">
        <v>11979.02001953125</v>
      </c>
    </row>
    <row r="953" spans="1:11" ht="14.45" customHeight="1" x14ac:dyDescent="0.2">
      <c r="A953" s="822" t="s">
        <v>575</v>
      </c>
      <c r="B953" s="823" t="s">
        <v>576</v>
      </c>
      <c r="C953" s="826" t="s">
        <v>597</v>
      </c>
      <c r="D953" s="840" t="s">
        <v>598</v>
      </c>
      <c r="E953" s="826" t="s">
        <v>3598</v>
      </c>
      <c r="F953" s="840" t="s">
        <v>3599</v>
      </c>
      <c r="G953" s="826" t="s">
        <v>3606</v>
      </c>
      <c r="H953" s="826" t="s">
        <v>4197</v>
      </c>
      <c r="I953" s="832">
        <v>273.45999145507813</v>
      </c>
      <c r="J953" s="832">
        <v>10</v>
      </c>
      <c r="K953" s="833">
        <v>2734.60009765625</v>
      </c>
    </row>
    <row r="954" spans="1:11" ht="14.45" customHeight="1" x14ac:dyDescent="0.2">
      <c r="A954" s="822" t="s">
        <v>575</v>
      </c>
      <c r="B954" s="823" t="s">
        <v>576</v>
      </c>
      <c r="C954" s="826" t="s">
        <v>597</v>
      </c>
      <c r="D954" s="840" t="s">
        <v>598</v>
      </c>
      <c r="E954" s="826" t="s">
        <v>3598</v>
      </c>
      <c r="F954" s="840" t="s">
        <v>3599</v>
      </c>
      <c r="G954" s="826" t="s">
        <v>3606</v>
      </c>
      <c r="H954" s="826" t="s">
        <v>4198</v>
      </c>
      <c r="I954" s="832">
        <v>292.81999715169269</v>
      </c>
      <c r="J954" s="832">
        <v>30</v>
      </c>
      <c r="K954" s="833">
        <v>8784.60009765625</v>
      </c>
    </row>
    <row r="955" spans="1:11" ht="14.45" customHeight="1" x14ac:dyDescent="0.2">
      <c r="A955" s="822" t="s">
        <v>575</v>
      </c>
      <c r="B955" s="823" t="s">
        <v>576</v>
      </c>
      <c r="C955" s="826" t="s">
        <v>597</v>
      </c>
      <c r="D955" s="840" t="s">
        <v>598</v>
      </c>
      <c r="E955" s="826" t="s">
        <v>3598</v>
      </c>
      <c r="F955" s="840" t="s">
        <v>3599</v>
      </c>
      <c r="G955" s="826" t="s">
        <v>3608</v>
      </c>
      <c r="H955" s="826" t="s">
        <v>4199</v>
      </c>
      <c r="I955" s="832">
        <v>695.75</v>
      </c>
      <c r="J955" s="832">
        <v>128</v>
      </c>
      <c r="K955" s="833">
        <v>89056</v>
      </c>
    </row>
    <row r="956" spans="1:11" ht="14.45" customHeight="1" x14ac:dyDescent="0.2">
      <c r="A956" s="822" t="s">
        <v>575</v>
      </c>
      <c r="B956" s="823" t="s">
        <v>576</v>
      </c>
      <c r="C956" s="826" t="s">
        <v>597</v>
      </c>
      <c r="D956" s="840" t="s">
        <v>598</v>
      </c>
      <c r="E956" s="826" t="s">
        <v>3598</v>
      </c>
      <c r="F956" s="840" t="s">
        <v>3599</v>
      </c>
      <c r="G956" s="826" t="s">
        <v>3606</v>
      </c>
      <c r="H956" s="826" t="s">
        <v>3607</v>
      </c>
      <c r="I956" s="832">
        <v>273.45999145507813</v>
      </c>
      <c r="J956" s="832">
        <v>30</v>
      </c>
      <c r="K956" s="833">
        <v>8203.80029296875</v>
      </c>
    </row>
    <row r="957" spans="1:11" ht="14.45" customHeight="1" x14ac:dyDescent="0.2">
      <c r="A957" s="822" t="s">
        <v>575</v>
      </c>
      <c r="B957" s="823" t="s">
        <v>576</v>
      </c>
      <c r="C957" s="826" t="s">
        <v>597</v>
      </c>
      <c r="D957" s="840" t="s">
        <v>598</v>
      </c>
      <c r="E957" s="826" t="s">
        <v>3598</v>
      </c>
      <c r="F957" s="840" t="s">
        <v>3599</v>
      </c>
      <c r="G957" s="826" t="s">
        <v>3608</v>
      </c>
      <c r="H957" s="826" t="s">
        <v>3609</v>
      </c>
      <c r="I957" s="832">
        <v>695.75</v>
      </c>
      <c r="J957" s="832">
        <v>64</v>
      </c>
      <c r="K957" s="833">
        <v>44528</v>
      </c>
    </row>
    <row r="958" spans="1:11" ht="14.45" customHeight="1" x14ac:dyDescent="0.2">
      <c r="A958" s="822" t="s">
        <v>575</v>
      </c>
      <c r="B958" s="823" t="s">
        <v>576</v>
      </c>
      <c r="C958" s="826" t="s">
        <v>600</v>
      </c>
      <c r="D958" s="840" t="s">
        <v>601</v>
      </c>
      <c r="E958" s="826" t="s">
        <v>4200</v>
      </c>
      <c r="F958" s="840" t="s">
        <v>4201</v>
      </c>
      <c r="G958" s="826" t="s">
        <v>4202</v>
      </c>
      <c r="H958" s="826" t="s">
        <v>4203</v>
      </c>
      <c r="I958" s="832">
        <v>8893.580078125</v>
      </c>
      <c r="J958" s="832">
        <v>10</v>
      </c>
      <c r="K958" s="833">
        <v>90264.3505859375</v>
      </c>
    </row>
    <row r="959" spans="1:11" ht="14.45" customHeight="1" x14ac:dyDescent="0.2">
      <c r="A959" s="822" t="s">
        <v>575</v>
      </c>
      <c r="B959" s="823" t="s">
        <v>576</v>
      </c>
      <c r="C959" s="826" t="s">
        <v>600</v>
      </c>
      <c r="D959" s="840" t="s">
        <v>601</v>
      </c>
      <c r="E959" s="826" t="s">
        <v>4200</v>
      </c>
      <c r="F959" s="840" t="s">
        <v>4201</v>
      </c>
      <c r="G959" s="826" t="s">
        <v>4204</v>
      </c>
      <c r="H959" s="826" t="s">
        <v>4205</v>
      </c>
      <c r="I959" s="832">
        <v>13765.9599609375</v>
      </c>
      <c r="J959" s="832">
        <v>1</v>
      </c>
      <c r="K959" s="833">
        <v>13765.9599609375</v>
      </c>
    </row>
    <row r="960" spans="1:11" ht="14.45" customHeight="1" x14ac:dyDescent="0.2">
      <c r="A960" s="822" t="s">
        <v>575</v>
      </c>
      <c r="B960" s="823" t="s">
        <v>576</v>
      </c>
      <c r="C960" s="826" t="s">
        <v>600</v>
      </c>
      <c r="D960" s="840" t="s">
        <v>601</v>
      </c>
      <c r="E960" s="826" t="s">
        <v>4200</v>
      </c>
      <c r="F960" s="840" t="s">
        <v>4201</v>
      </c>
      <c r="G960" s="826" t="s">
        <v>4206</v>
      </c>
      <c r="H960" s="826" t="s">
        <v>4207</v>
      </c>
      <c r="I960" s="832">
        <v>7836.455078125</v>
      </c>
      <c r="J960" s="832">
        <v>5</v>
      </c>
      <c r="K960" s="833">
        <v>38569.330078125</v>
      </c>
    </row>
    <row r="961" spans="1:11" ht="14.45" customHeight="1" x14ac:dyDescent="0.2">
      <c r="A961" s="822" t="s">
        <v>575</v>
      </c>
      <c r="B961" s="823" t="s">
        <v>576</v>
      </c>
      <c r="C961" s="826" t="s">
        <v>600</v>
      </c>
      <c r="D961" s="840" t="s">
        <v>601</v>
      </c>
      <c r="E961" s="826" t="s">
        <v>4200</v>
      </c>
      <c r="F961" s="840" t="s">
        <v>4201</v>
      </c>
      <c r="G961" s="826" t="s">
        <v>4208</v>
      </c>
      <c r="H961" s="826" t="s">
        <v>4209</v>
      </c>
      <c r="I961" s="832">
        <v>7830.740234375</v>
      </c>
      <c r="J961" s="832">
        <v>1</v>
      </c>
      <c r="K961" s="833">
        <v>7830.740234375</v>
      </c>
    </row>
    <row r="962" spans="1:11" ht="14.45" customHeight="1" x14ac:dyDescent="0.2">
      <c r="A962" s="822" t="s">
        <v>575</v>
      </c>
      <c r="B962" s="823" t="s">
        <v>576</v>
      </c>
      <c r="C962" s="826" t="s">
        <v>600</v>
      </c>
      <c r="D962" s="840" t="s">
        <v>601</v>
      </c>
      <c r="E962" s="826" t="s">
        <v>4200</v>
      </c>
      <c r="F962" s="840" t="s">
        <v>4201</v>
      </c>
      <c r="G962" s="826" t="s">
        <v>4210</v>
      </c>
      <c r="H962" s="826" t="s">
        <v>4211</v>
      </c>
      <c r="I962" s="832">
        <v>8025.509765625</v>
      </c>
      <c r="J962" s="832">
        <v>1</v>
      </c>
      <c r="K962" s="833">
        <v>8025.509765625</v>
      </c>
    </row>
    <row r="963" spans="1:11" ht="14.45" customHeight="1" x14ac:dyDescent="0.2">
      <c r="A963" s="822" t="s">
        <v>575</v>
      </c>
      <c r="B963" s="823" t="s">
        <v>576</v>
      </c>
      <c r="C963" s="826" t="s">
        <v>600</v>
      </c>
      <c r="D963" s="840" t="s">
        <v>601</v>
      </c>
      <c r="E963" s="826" t="s">
        <v>4200</v>
      </c>
      <c r="F963" s="840" t="s">
        <v>4201</v>
      </c>
      <c r="G963" s="826" t="s">
        <v>4212</v>
      </c>
      <c r="H963" s="826" t="s">
        <v>4213</v>
      </c>
      <c r="I963" s="832">
        <v>8025.509765625</v>
      </c>
      <c r="J963" s="832">
        <v>1</v>
      </c>
      <c r="K963" s="833">
        <v>8025.509765625</v>
      </c>
    </row>
    <row r="964" spans="1:11" ht="14.45" customHeight="1" x14ac:dyDescent="0.2">
      <c r="A964" s="822" t="s">
        <v>575</v>
      </c>
      <c r="B964" s="823" t="s">
        <v>576</v>
      </c>
      <c r="C964" s="826" t="s">
        <v>600</v>
      </c>
      <c r="D964" s="840" t="s">
        <v>601</v>
      </c>
      <c r="E964" s="826" t="s">
        <v>4200</v>
      </c>
      <c r="F964" s="840" t="s">
        <v>4201</v>
      </c>
      <c r="G964" s="826" t="s">
        <v>4214</v>
      </c>
      <c r="H964" s="826" t="s">
        <v>4215</v>
      </c>
      <c r="I964" s="832">
        <v>1229.0674743652344</v>
      </c>
      <c r="J964" s="832">
        <v>160</v>
      </c>
      <c r="K964" s="833">
        <v>196650.25390625</v>
      </c>
    </row>
    <row r="965" spans="1:11" ht="14.45" customHeight="1" x14ac:dyDescent="0.2">
      <c r="A965" s="822" t="s">
        <v>575</v>
      </c>
      <c r="B965" s="823" t="s">
        <v>576</v>
      </c>
      <c r="C965" s="826" t="s">
        <v>600</v>
      </c>
      <c r="D965" s="840" t="s">
        <v>601</v>
      </c>
      <c r="E965" s="826" t="s">
        <v>4200</v>
      </c>
      <c r="F965" s="840" t="s">
        <v>4201</v>
      </c>
      <c r="G965" s="826" t="s">
        <v>4202</v>
      </c>
      <c r="H965" s="826" t="s">
        <v>4216</v>
      </c>
      <c r="I965" s="832">
        <v>7830.715087890625</v>
      </c>
      <c r="J965" s="832">
        <v>3</v>
      </c>
      <c r="K965" s="833">
        <v>23492.16015625</v>
      </c>
    </row>
    <row r="966" spans="1:11" ht="14.45" customHeight="1" x14ac:dyDescent="0.2">
      <c r="A966" s="822" t="s">
        <v>575</v>
      </c>
      <c r="B966" s="823" t="s">
        <v>576</v>
      </c>
      <c r="C966" s="826" t="s">
        <v>600</v>
      </c>
      <c r="D966" s="840" t="s">
        <v>601</v>
      </c>
      <c r="E966" s="826" t="s">
        <v>4200</v>
      </c>
      <c r="F966" s="840" t="s">
        <v>4201</v>
      </c>
      <c r="G966" s="826" t="s">
        <v>4204</v>
      </c>
      <c r="H966" s="826" t="s">
        <v>4217</v>
      </c>
      <c r="I966" s="832">
        <v>11769.5048828125</v>
      </c>
      <c r="J966" s="832">
        <v>5</v>
      </c>
      <c r="K966" s="833">
        <v>58847.509765625</v>
      </c>
    </row>
    <row r="967" spans="1:11" ht="14.45" customHeight="1" x14ac:dyDescent="0.2">
      <c r="A967" s="822" t="s">
        <v>575</v>
      </c>
      <c r="B967" s="823" t="s">
        <v>576</v>
      </c>
      <c r="C967" s="826" t="s">
        <v>600</v>
      </c>
      <c r="D967" s="840" t="s">
        <v>601</v>
      </c>
      <c r="E967" s="826" t="s">
        <v>4200</v>
      </c>
      <c r="F967" s="840" t="s">
        <v>4201</v>
      </c>
      <c r="G967" s="826" t="s">
        <v>4206</v>
      </c>
      <c r="H967" s="826" t="s">
        <v>4218</v>
      </c>
      <c r="I967" s="832">
        <v>7223.509765625</v>
      </c>
      <c r="J967" s="832">
        <v>4</v>
      </c>
      <c r="K967" s="833">
        <v>28894.029296875</v>
      </c>
    </row>
    <row r="968" spans="1:11" ht="14.45" customHeight="1" x14ac:dyDescent="0.2">
      <c r="A968" s="822" t="s">
        <v>575</v>
      </c>
      <c r="B968" s="823" t="s">
        <v>576</v>
      </c>
      <c r="C968" s="826" t="s">
        <v>600</v>
      </c>
      <c r="D968" s="840" t="s">
        <v>601</v>
      </c>
      <c r="E968" s="826" t="s">
        <v>4200</v>
      </c>
      <c r="F968" s="840" t="s">
        <v>4201</v>
      </c>
      <c r="G968" s="826" t="s">
        <v>4208</v>
      </c>
      <c r="H968" s="826" t="s">
        <v>4219</v>
      </c>
      <c r="I968" s="832">
        <v>7830.740234375</v>
      </c>
      <c r="J968" s="832">
        <v>2</v>
      </c>
      <c r="K968" s="833">
        <v>15661.48046875</v>
      </c>
    </row>
    <row r="969" spans="1:11" ht="14.45" customHeight="1" x14ac:dyDescent="0.2">
      <c r="A969" s="822" t="s">
        <v>575</v>
      </c>
      <c r="B969" s="823" t="s">
        <v>576</v>
      </c>
      <c r="C969" s="826" t="s">
        <v>600</v>
      </c>
      <c r="D969" s="840" t="s">
        <v>601</v>
      </c>
      <c r="E969" s="826" t="s">
        <v>4200</v>
      </c>
      <c r="F969" s="840" t="s">
        <v>4201</v>
      </c>
      <c r="G969" s="826" t="s">
        <v>4212</v>
      </c>
      <c r="H969" s="826" t="s">
        <v>4220</v>
      </c>
      <c r="I969" s="832">
        <v>6861.89013671875</v>
      </c>
      <c r="J969" s="832">
        <v>2</v>
      </c>
      <c r="K969" s="833">
        <v>13723.7802734375</v>
      </c>
    </row>
    <row r="970" spans="1:11" ht="14.45" customHeight="1" x14ac:dyDescent="0.2">
      <c r="A970" s="822" t="s">
        <v>575</v>
      </c>
      <c r="B970" s="823" t="s">
        <v>576</v>
      </c>
      <c r="C970" s="826" t="s">
        <v>600</v>
      </c>
      <c r="D970" s="840" t="s">
        <v>601</v>
      </c>
      <c r="E970" s="826" t="s">
        <v>4200</v>
      </c>
      <c r="F970" s="840" t="s">
        <v>4201</v>
      </c>
      <c r="G970" s="826" t="s">
        <v>4214</v>
      </c>
      <c r="H970" s="826" t="s">
        <v>4221</v>
      </c>
      <c r="I970" s="832">
        <v>1229.0679687500001</v>
      </c>
      <c r="J970" s="832">
        <v>220</v>
      </c>
      <c r="K970" s="833">
        <v>270394.15625</v>
      </c>
    </row>
    <row r="971" spans="1:11" ht="14.45" customHeight="1" x14ac:dyDescent="0.2">
      <c r="A971" s="822" t="s">
        <v>575</v>
      </c>
      <c r="B971" s="823" t="s">
        <v>576</v>
      </c>
      <c r="C971" s="826" t="s">
        <v>600</v>
      </c>
      <c r="D971" s="840" t="s">
        <v>601</v>
      </c>
      <c r="E971" s="826" t="s">
        <v>4200</v>
      </c>
      <c r="F971" s="840" t="s">
        <v>4201</v>
      </c>
      <c r="G971" s="826" t="s">
        <v>4222</v>
      </c>
      <c r="H971" s="826" t="s">
        <v>4223</v>
      </c>
      <c r="I971" s="832">
        <v>710.46002197265625</v>
      </c>
      <c r="J971" s="832">
        <v>24</v>
      </c>
      <c r="K971" s="833">
        <v>17051.060546875</v>
      </c>
    </row>
    <row r="972" spans="1:11" ht="14.45" customHeight="1" x14ac:dyDescent="0.2">
      <c r="A972" s="822" t="s">
        <v>575</v>
      </c>
      <c r="B972" s="823" t="s">
        <v>576</v>
      </c>
      <c r="C972" s="826" t="s">
        <v>600</v>
      </c>
      <c r="D972" s="840" t="s">
        <v>601</v>
      </c>
      <c r="E972" s="826" t="s">
        <v>4200</v>
      </c>
      <c r="F972" s="840" t="s">
        <v>4201</v>
      </c>
      <c r="G972" s="826" t="s">
        <v>4224</v>
      </c>
      <c r="H972" s="826" t="s">
        <v>4225</v>
      </c>
      <c r="I972" s="832">
        <v>710.42999267578125</v>
      </c>
      <c r="J972" s="832">
        <v>276</v>
      </c>
      <c r="K972" s="833">
        <v>196078.4501953125</v>
      </c>
    </row>
    <row r="973" spans="1:11" ht="14.45" customHeight="1" x14ac:dyDescent="0.2">
      <c r="A973" s="822" t="s">
        <v>575</v>
      </c>
      <c r="B973" s="823" t="s">
        <v>576</v>
      </c>
      <c r="C973" s="826" t="s">
        <v>600</v>
      </c>
      <c r="D973" s="840" t="s">
        <v>601</v>
      </c>
      <c r="E973" s="826" t="s">
        <v>4200</v>
      </c>
      <c r="F973" s="840" t="s">
        <v>4201</v>
      </c>
      <c r="G973" s="826" t="s">
        <v>4222</v>
      </c>
      <c r="H973" s="826" t="s">
        <v>4226</v>
      </c>
      <c r="I973" s="832">
        <v>710.46002197265625</v>
      </c>
      <c r="J973" s="832">
        <v>12</v>
      </c>
      <c r="K973" s="833">
        <v>8525.5498046875</v>
      </c>
    </row>
    <row r="974" spans="1:11" ht="14.45" customHeight="1" x14ac:dyDescent="0.2">
      <c r="A974" s="822" t="s">
        <v>575</v>
      </c>
      <c r="B974" s="823" t="s">
        <v>576</v>
      </c>
      <c r="C974" s="826" t="s">
        <v>600</v>
      </c>
      <c r="D974" s="840" t="s">
        <v>601</v>
      </c>
      <c r="E974" s="826" t="s">
        <v>4200</v>
      </c>
      <c r="F974" s="840" t="s">
        <v>4201</v>
      </c>
      <c r="G974" s="826" t="s">
        <v>4224</v>
      </c>
      <c r="H974" s="826" t="s">
        <v>4227</v>
      </c>
      <c r="I974" s="832">
        <v>710.46002197265625</v>
      </c>
      <c r="J974" s="832">
        <v>144</v>
      </c>
      <c r="K974" s="833">
        <v>102306.361328125</v>
      </c>
    </row>
    <row r="975" spans="1:11" ht="14.45" customHeight="1" x14ac:dyDescent="0.2">
      <c r="A975" s="822" t="s">
        <v>575</v>
      </c>
      <c r="B975" s="823" t="s">
        <v>576</v>
      </c>
      <c r="C975" s="826" t="s">
        <v>600</v>
      </c>
      <c r="D975" s="840" t="s">
        <v>601</v>
      </c>
      <c r="E975" s="826" t="s">
        <v>4200</v>
      </c>
      <c r="F975" s="840" t="s">
        <v>4201</v>
      </c>
      <c r="G975" s="826" t="s">
        <v>4228</v>
      </c>
      <c r="H975" s="826" t="s">
        <v>4229</v>
      </c>
      <c r="I975" s="832">
        <v>44040</v>
      </c>
      <c r="J975" s="832">
        <v>1</v>
      </c>
      <c r="K975" s="833">
        <v>44040</v>
      </c>
    </row>
    <row r="976" spans="1:11" ht="14.45" customHeight="1" x14ac:dyDescent="0.2">
      <c r="A976" s="822" t="s">
        <v>575</v>
      </c>
      <c r="B976" s="823" t="s">
        <v>576</v>
      </c>
      <c r="C976" s="826" t="s">
        <v>600</v>
      </c>
      <c r="D976" s="840" t="s">
        <v>601</v>
      </c>
      <c r="E976" s="826" t="s">
        <v>4200</v>
      </c>
      <c r="F976" s="840" t="s">
        <v>4201</v>
      </c>
      <c r="G976" s="826" t="s">
        <v>4230</v>
      </c>
      <c r="H976" s="826" t="s">
        <v>4231</v>
      </c>
      <c r="I976" s="832">
        <v>34500</v>
      </c>
      <c r="J976" s="832">
        <v>1</v>
      </c>
      <c r="K976" s="833">
        <v>34500</v>
      </c>
    </row>
    <row r="977" spans="1:11" ht="14.45" customHeight="1" x14ac:dyDescent="0.2">
      <c r="A977" s="822" t="s">
        <v>575</v>
      </c>
      <c r="B977" s="823" t="s">
        <v>576</v>
      </c>
      <c r="C977" s="826" t="s">
        <v>600</v>
      </c>
      <c r="D977" s="840" t="s">
        <v>601</v>
      </c>
      <c r="E977" s="826" t="s">
        <v>4200</v>
      </c>
      <c r="F977" s="840" t="s">
        <v>4201</v>
      </c>
      <c r="G977" s="826" t="s">
        <v>4232</v>
      </c>
      <c r="H977" s="826" t="s">
        <v>4233</v>
      </c>
      <c r="I977" s="832">
        <v>25975</v>
      </c>
      <c r="J977" s="832">
        <v>3</v>
      </c>
      <c r="K977" s="833">
        <v>103500</v>
      </c>
    </row>
    <row r="978" spans="1:11" ht="14.45" customHeight="1" x14ac:dyDescent="0.2">
      <c r="A978" s="822" t="s">
        <v>575</v>
      </c>
      <c r="B978" s="823" t="s">
        <v>576</v>
      </c>
      <c r="C978" s="826" t="s">
        <v>600</v>
      </c>
      <c r="D978" s="840" t="s">
        <v>601</v>
      </c>
      <c r="E978" s="826" t="s">
        <v>4200</v>
      </c>
      <c r="F978" s="840" t="s">
        <v>4201</v>
      </c>
      <c r="G978" s="826" t="s">
        <v>4234</v>
      </c>
      <c r="H978" s="826" t="s">
        <v>4235</v>
      </c>
      <c r="I978" s="832">
        <v>34500</v>
      </c>
      <c r="J978" s="832">
        <v>1</v>
      </c>
      <c r="K978" s="833">
        <v>34500</v>
      </c>
    </row>
    <row r="979" spans="1:11" ht="14.45" customHeight="1" x14ac:dyDescent="0.2">
      <c r="A979" s="822" t="s">
        <v>575</v>
      </c>
      <c r="B979" s="823" t="s">
        <v>576</v>
      </c>
      <c r="C979" s="826" t="s">
        <v>600</v>
      </c>
      <c r="D979" s="840" t="s">
        <v>601</v>
      </c>
      <c r="E979" s="826" t="s">
        <v>4200</v>
      </c>
      <c r="F979" s="840" t="s">
        <v>4201</v>
      </c>
      <c r="G979" s="826" t="s">
        <v>4232</v>
      </c>
      <c r="H979" s="826" t="s">
        <v>4236</v>
      </c>
      <c r="I979" s="832">
        <v>34500</v>
      </c>
      <c r="J979" s="832">
        <v>1</v>
      </c>
      <c r="K979" s="833">
        <v>34500</v>
      </c>
    </row>
    <row r="980" spans="1:11" ht="14.45" customHeight="1" x14ac:dyDescent="0.2">
      <c r="A980" s="822" t="s">
        <v>575</v>
      </c>
      <c r="B980" s="823" t="s">
        <v>576</v>
      </c>
      <c r="C980" s="826" t="s">
        <v>600</v>
      </c>
      <c r="D980" s="840" t="s">
        <v>601</v>
      </c>
      <c r="E980" s="826" t="s">
        <v>4200</v>
      </c>
      <c r="F980" s="840" t="s">
        <v>4201</v>
      </c>
      <c r="G980" s="826" t="s">
        <v>4237</v>
      </c>
      <c r="H980" s="826" t="s">
        <v>4238</v>
      </c>
      <c r="I980" s="832">
        <v>34900</v>
      </c>
      <c r="J980" s="832">
        <v>1</v>
      </c>
      <c r="K980" s="833">
        <v>34900</v>
      </c>
    </row>
    <row r="981" spans="1:11" ht="14.45" customHeight="1" x14ac:dyDescent="0.2">
      <c r="A981" s="822" t="s">
        <v>575</v>
      </c>
      <c r="B981" s="823" t="s">
        <v>576</v>
      </c>
      <c r="C981" s="826" t="s">
        <v>600</v>
      </c>
      <c r="D981" s="840" t="s">
        <v>601</v>
      </c>
      <c r="E981" s="826" t="s">
        <v>4200</v>
      </c>
      <c r="F981" s="840" t="s">
        <v>4201</v>
      </c>
      <c r="G981" s="826" t="s">
        <v>4239</v>
      </c>
      <c r="H981" s="826" t="s">
        <v>4240</v>
      </c>
      <c r="I981" s="832">
        <v>34500</v>
      </c>
      <c r="J981" s="832">
        <v>2</v>
      </c>
      <c r="K981" s="833">
        <v>69000</v>
      </c>
    </row>
    <row r="982" spans="1:11" ht="14.45" customHeight="1" x14ac:dyDescent="0.2">
      <c r="A982" s="822" t="s">
        <v>575</v>
      </c>
      <c r="B982" s="823" t="s">
        <v>576</v>
      </c>
      <c r="C982" s="826" t="s">
        <v>600</v>
      </c>
      <c r="D982" s="840" t="s">
        <v>601</v>
      </c>
      <c r="E982" s="826" t="s">
        <v>4200</v>
      </c>
      <c r="F982" s="840" t="s">
        <v>4201</v>
      </c>
      <c r="G982" s="826" t="s">
        <v>4234</v>
      </c>
      <c r="H982" s="826" t="s">
        <v>4241</v>
      </c>
      <c r="I982" s="832">
        <v>34500</v>
      </c>
      <c r="J982" s="832">
        <v>2</v>
      </c>
      <c r="K982" s="833">
        <v>69000</v>
      </c>
    </row>
    <row r="983" spans="1:11" ht="14.45" customHeight="1" x14ac:dyDescent="0.2">
      <c r="A983" s="822" t="s">
        <v>575</v>
      </c>
      <c r="B983" s="823" t="s">
        <v>576</v>
      </c>
      <c r="C983" s="826" t="s">
        <v>600</v>
      </c>
      <c r="D983" s="840" t="s">
        <v>601</v>
      </c>
      <c r="E983" s="826" t="s">
        <v>4200</v>
      </c>
      <c r="F983" s="840" t="s">
        <v>4201</v>
      </c>
      <c r="G983" s="826" t="s">
        <v>4242</v>
      </c>
      <c r="H983" s="826" t="s">
        <v>4243</v>
      </c>
      <c r="I983" s="832">
        <v>34500</v>
      </c>
      <c r="J983" s="832">
        <v>2</v>
      </c>
      <c r="K983" s="833">
        <v>69000</v>
      </c>
    </row>
    <row r="984" spans="1:11" ht="14.45" customHeight="1" x14ac:dyDescent="0.2">
      <c r="A984" s="822" t="s">
        <v>575</v>
      </c>
      <c r="B984" s="823" t="s">
        <v>576</v>
      </c>
      <c r="C984" s="826" t="s">
        <v>600</v>
      </c>
      <c r="D984" s="840" t="s">
        <v>601</v>
      </c>
      <c r="E984" s="826" t="s">
        <v>4200</v>
      </c>
      <c r="F984" s="840" t="s">
        <v>4201</v>
      </c>
      <c r="G984" s="826" t="s">
        <v>4244</v>
      </c>
      <c r="H984" s="826" t="s">
        <v>4245</v>
      </c>
      <c r="I984" s="832">
        <v>33350</v>
      </c>
      <c r="J984" s="832">
        <v>1</v>
      </c>
      <c r="K984" s="833">
        <v>33350</v>
      </c>
    </row>
    <row r="985" spans="1:11" ht="14.45" customHeight="1" x14ac:dyDescent="0.2">
      <c r="A985" s="822" t="s">
        <v>575</v>
      </c>
      <c r="B985" s="823" t="s">
        <v>576</v>
      </c>
      <c r="C985" s="826" t="s">
        <v>600</v>
      </c>
      <c r="D985" s="840" t="s">
        <v>601</v>
      </c>
      <c r="E985" s="826" t="s">
        <v>4200</v>
      </c>
      <c r="F985" s="840" t="s">
        <v>4201</v>
      </c>
      <c r="G985" s="826" t="s">
        <v>4246</v>
      </c>
      <c r="H985" s="826" t="s">
        <v>4247</v>
      </c>
      <c r="I985" s="832">
        <v>33800</v>
      </c>
      <c r="J985" s="832">
        <v>1</v>
      </c>
      <c r="K985" s="833">
        <v>33800</v>
      </c>
    </row>
    <row r="986" spans="1:11" ht="14.45" customHeight="1" x14ac:dyDescent="0.2">
      <c r="A986" s="822" t="s">
        <v>575</v>
      </c>
      <c r="B986" s="823" t="s">
        <v>576</v>
      </c>
      <c r="C986" s="826" t="s">
        <v>600</v>
      </c>
      <c r="D986" s="840" t="s">
        <v>601</v>
      </c>
      <c r="E986" s="826" t="s">
        <v>4200</v>
      </c>
      <c r="F986" s="840" t="s">
        <v>4201</v>
      </c>
      <c r="G986" s="826" t="s">
        <v>4248</v>
      </c>
      <c r="H986" s="826" t="s">
        <v>4249</v>
      </c>
      <c r="I986" s="832">
        <v>33350</v>
      </c>
      <c r="J986" s="832">
        <v>2</v>
      </c>
      <c r="K986" s="833">
        <v>66700</v>
      </c>
    </row>
    <row r="987" spans="1:11" ht="14.45" customHeight="1" x14ac:dyDescent="0.2">
      <c r="A987" s="822" t="s">
        <v>575</v>
      </c>
      <c r="B987" s="823" t="s">
        <v>576</v>
      </c>
      <c r="C987" s="826" t="s">
        <v>600</v>
      </c>
      <c r="D987" s="840" t="s">
        <v>601</v>
      </c>
      <c r="E987" s="826" t="s">
        <v>4200</v>
      </c>
      <c r="F987" s="840" t="s">
        <v>4201</v>
      </c>
      <c r="G987" s="826" t="s">
        <v>4250</v>
      </c>
      <c r="H987" s="826" t="s">
        <v>4251</v>
      </c>
      <c r="I987" s="832">
        <v>11714.822265625</v>
      </c>
      <c r="J987" s="832">
        <v>3</v>
      </c>
      <c r="K987" s="833">
        <v>46858.369062483311</v>
      </c>
    </row>
    <row r="988" spans="1:11" ht="14.45" customHeight="1" x14ac:dyDescent="0.2">
      <c r="A988" s="822" t="s">
        <v>575</v>
      </c>
      <c r="B988" s="823" t="s">
        <v>576</v>
      </c>
      <c r="C988" s="826" t="s">
        <v>600</v>
      </c>
      <c r="D988" s="840" t="s">
        <v>601</v>
      </c>
      <c r="E988" s="826" t="s">
        <v>4200</v>
      </c>
      <c r="F988" s="840" t="s">
        <v>4201</v>
      </c>
      <c r="G988" s="826" t="s">
        <v>4252</v>
      </c>
      <c r="H988" s="826" t="s">
        <v>4253</v>
      </c>
      <c r="I988" s="832">
        <v>15619.2998046875</v>
      </c>
      <c r="J988" s="832">
        <v>8</v>
      </c>
      <c r="K988" s="833">
        <v>124954.3984375</v>
      </c>
    </row>
    <row r="989" spans="1:11" ht="14.45" customHeight="1" x14ac:dyDescent="0.2">
      <c r="A989" s="822" t="s">
        <v>575</v>
      </c>
      <c r="B989" s="823" t="s">
        <v>576</v>
      </c>
      <c r="C989" s="826" t="s">
        <v>600</v>
      </c>
      <c r="D989" s="840" t="s">
        <v>601</v>
      </c>
      <c r="E989" s="826" t="s">
        <v>4200</v>
      </c>
      <c r="F989" s="840" t="s">
        <v>4201</v>
      </c>
      <c r="G989" s="826" t="s">
        <v>4254</v>
      </c>
      <c r="H989" s="826" t="s">
        <v>4255</v>
      </c>
      <c r="I989" s="832">
        <v>13667.208618164063</v>
      </c>
      <c r="J989" s="832">
        <v>7</v>
      </c>
      <c r="K989" s="833">
        <v>109336.74894529581</v>
      </c>
    </row>
    <row r="990" spans="1:11" ht="14.45" customHeight="1" x14ac:dyDescent="0.2">
      <c r="A990" s="822" t="s">
        <v>575</v>
      </c>
      <c r="B990" s="823" t="s">
        <v>576</v>
      </c>
      <c r="C990" s="826" t="s">
        <v>600</v>
      </c>
      <c r="D990" s="840" t="s">
        <v>601</v>
      </c>
      <c r="E990" s="826" t="s">
        <v>4200</v>
      </c>
      <c r="F990" s="840" t="s">
        <v>4201</v>
      </c>
      <c r="G990" s="826" t="s">
        <v>4256</v>
      </c>
      <c r="H990" s="826" t="s">
        <v>4257</v>
      </c>
      <c r="I990" s="832">
        <v>15800.843424479166</v>
      </c>
      <c r="J990" s="832">
        <v>3</v>
      </c>
      <c r="K990" s="833">
        <v>47402.5302734375</v>
      </c>
    </row>
    <row r="991" spans="1:11" ht="14.45" customHeight="1" x14ac:dyDescent="0.2">
      <c r="A991" s="822" t="s">
        <v>575</v>
      </c>
      <c r="B991" s="823" t="s">
        <v>576</v>
      </c>
      <c r="C991" s="826" t="s">
        <v>600</v>
      </c>
      <c r="D991" s="840" t="s">
        <v>601</v>
      </c>
      <c r="E991" s="826" t="s">
        <v>4200</v>
      </c>
      <c r="F991" s="840" t="s">
        <v>4201</v>
      </c>
      <c r="G991" s="826" t="s">
        <v>4258</v>
      </c>
      <c r="H991" s="826" t="s">
        <v>4259</v>
      </c>
      <c r="I991" s="832">
        <v>15801</v>
      </c>
      <c r="J991" s="832">
        <v>12</v>
      </c>
      <c r="K991" s="833">
        <v>189612</v>
      </c>
    </row>
    <row r="992" spans="1:11" ht="14.45" customHeight="1" x14ac:dyDescent="0.2">
      <c r="A992" s="822" t="s">
        <v>575</v>
      </c>
      <c r="B992" s="823" t="s">
        <v>576</v>
      </c>
      <c r="C992" s="826" t="s">
        <v>600</v>
      </c>
      <c r="D992" s="840" t="s">
        <v>601</v>
      </c>
      <c r="E992" s="826" t="s">
        <v>4200</v>
      </c>
      <c r="F992" s="840" t="s">
        <v>4201</v>
      </c>
      <c r="G992" s="826" t="s">
        <v>4260</v>
      </c>
      <c r="H992" s="826" t="s">
        <v>4261</v>
      </c>
      <c r="I992" s="832">
        <v>15801</v>
      </c>
      <c r="J992" s="832">
        <v>3</v>
      </c>
      <c r="K992" s="833">
        <v>47403</v>
      </c>
    </row>
    <row r="993" spans="1:11" ht="14.45" customHeight="1" x14ac:dyDescent="0.2">
      <c r="A993" s="822" t="s">
        <v>575</v>
      </c>
      <c r="B993" s="823" t="s">
        <v>576</v>
      </c>
      <c r="C993" s="826" t="s">
        <v>600</v>
      </c>
      <c r="D993" s="840" t="s">
        <v>601</v>
      </c>
      <c r="E993" s="826" t="s">
        <v>4200</v>
      </c>
      <c r="F993" s="840" t="s">
        <v>4201</v>
      </c>
      <c r="G993" s="826" t="s">
        <v>4262</v>
      </c>
      <c r="H993" s="826" t="s">
        <v>4263</v>
      </c>
      <c r="I993" s="832">
        <v>15801</v>
      </c>
      <c r="J993" s="832">
        <v>1</v>
      </c>
      <c r="K993" s="833">
        <v>15801</v>
      </c>
    </row>
    <row r="994" spans="1:11" ht="14.45" customHeight="1" x14ac:dyDescent="0.2">
      <c r="A994" s="822" t="s">
        <v>575</v>
      </c>
      <c r="B994" s="823" t="s">
        <v>576</v>
      </c>
      <c r="C994" s="826" t="s">
        <v>600</v>
      </c>
      <c r="D994" s="840" t="s">
        <v>601</v>
      </c>
      <c r="E994" s="826" t="s">
        <v>4200</v>
      </c>
      <c r="F994" s="840" t="s">
        <v>4201</v>
      </c>
      <c r="G994" s="826" t="s">
        <v>4264</v>
      </c>
      <c r="H994" s="826" t="s">
        <v>4265</v>
      </c>
      <c r="I994" s="832">
        <v>15801</v>
      </c>
      <c r="J994" s="832">
        <v>5</v>
      </c>
      <c r="K994" s="833">
        <v>79005</v>
      </c>
    </row>
    <row r="995" spans="1:11" ht="14.45" customHeight="1" x14ac:dyDescent="0.2">
      <c r="A995" s="822" t="s">
        <v>575</v>
      </c>
      <c r="B995" s="823" t="s">
        <v>576</v>
      </c>
      <c r="C995" s="826" t="s">
        <v>600</v>
      </c>
      <c r="D995" s="840" t="s">
        <v>601</v>
      </c>
      <c r="E995" s="826" t="s">
        <v>4200</v>
      </c>
      <c r="F995" s="840" t="s">
        <v>4201</v>
      </c>
      <c r="G995" s="826" t="s">
        <v>4266</v>
      </c>
      <c r="H995" s="826" t="s">
        <v>4267</v>
      </c>
      <c r="I995" s="832">
        <v>15801</v>
      </c>
      <c r="J995" s="832">
        <v>1</v>
      </c>
      <c r="K995" s="833">
        <v>15801</v>
      </c>
    </row>
    <row r="996" spans="1:11" ht="14.45" customHeight="1" x14ac:dyDescent="0.2">
      <c r="A996" s="822" t="s">
        <v>575</v>
      </c>
      <c r="B996" s="823" t="s">
        <v>576</v>
      </c>
      <c r="C996" s="826" t="s">
        <v>600</v>
      </c>
      <c r="D996" s="840" t="s">
        <v>601</v>
      </c>
      <c r="E996" s="826" t="s">
        <v>4200</v>
      </c>
      <c r="F996" s="840" t="s">
        <v>4201</v>
      </c>
      <c r="G996" s="826" t="s">
        <v>4250</v>
      </c>
      <c r="H996" s="826" t="s">
        <v>4268</v>
      </c>
      <c r="I996" s="832">
        <v>15620.2197265625</v>
      </c>
      <c r="J996" s="832">
        <v>2</v>
      </c>
      <c r="K996" s="833">
        <v>31240.439453125</v>
      </c>
    </row>
    <row r="997" spans="1:11" ht="14.45" customHeight="1" x14ac:dyDescent="0.2">
      <c r="A997" s="822" t="s">
        <v>575</v>
      </c>
      <c r="B997" s="823" t="s">
        <v>576</v>
      </c>
      <c r="C997" s="826" t="s">
        <v>600</v>
      </c>
      <c r="D997" s="840" t="s">
        <v>601</v>
      </c>
      <c r="E997" s="826" t="s">
        <v>4200</v>
      </c>
      <c r="F997" s="840" t="s">
        <v>4201</v>
      </c>
      <c r="G997" s="826" t="s">
        <v>4252</v>
      </c>
      <c r="H997" s="826" t="s">
        <v>4269</v>
      </c>
      <c r="I997" s="832">
        <v>13016.389811197916</v>
      </c>
      <c r="J997" s="832">
        <v>5</v>
      </c>
      <c r="K997" s="833">
        <v>78097.418867170811</v>
      </c>
    </row>
    <row r="998" spans="1:11" ht="14.45" customHeight="1" x14ac:dyDescent="0.2">
      <c r="A998" s="822" t="s">
        <v>575</v>
      </c>
      <c r="B998" s="823" t="s">
        <v>576</v>
      </c>
      <c r="C998" s="826" t="s">
        <v>600</v>
      </c>
      <c r="D998" s="840" t="s">
        <v>601</v>
      </c>
      <c r="E998" s="826" t="s">
        <v>4200</v>
      </c>
      <c r="F998" s="840" t="s">
        <v>4201</v>
      </c>
      <c r="G998" s="826" t="s">
        <v>4254</v>
      </c>
      <c r="H998" s="826" t="s">
        <v>4270</v>
      </c>
      <c r="I998" s="832">
        <v>15619.851757812499</v>
      </c>
      <c r="J998" s="832">
        <v>5</v>
      </c>
      <c r="K998" s="833">
        <v>78099.2587890625</v>
      </c>
    </row>
    <row r="999" spans="1:11" ht="14.45" customHeight="1" x14ac:dyDescent="0.2">
      <c r="A999" s="822" t="s">
        <v>575</v>
      </c>
      <c r="B999" s="823" t="s">
        <v>576</v>
      </c>
      <c r="C999" s="826" t="s">
        <v>600</v>
      </c>
      <c r="D999" s="840" t="s">
        <v>601</v>
      </c>
      <c r="E999" s="826" t="s">
        <v>4200</v>
      </c>
      <c r="F999" s="840" t="s">
        <v>4201</v>
      </c>
      <c r="G999" s="826" t="s">
        <v>4258</v>
      </c>
      <c r="H999" s="826" t="s">
        <v>4271</v>
      </c>
      <c r="I999" s="832">
        <v>15801</v>
      </c>
      <c r="J999" s="832">
        <v>7</v>
      </c>
      <c r="K999" s="833">
        <v>110607</v>
      </c>
    </row>
    <row r="1000" spans="1:11" ht="14.45" customHeight="1" x14ac:dyDescent="0.2">
      <c r="A1000" s="822" t="s">
        <v>575</v>
      </c>
      <c r="B1000" s="823" t="s">
        <v>576</v>
      </c>
      <c r="C1000" s="826" t="s">
        <v>600</v>
      </c>
      <c r="D1000" s="840" t="s">
        <v>601</v>
      </c>
      <c r="E1000" s="826" t="s">
        <v>4200</v>
      </c>
      <c r="F1000" s="840" t="s">
        <v>4201</v>
      </c>
      <c r="G1000" s="826" t="s">
        <v>4260</v>
      </c>
      <c r="H1000" s="826" t="s">
        <v>4272</v>
      </c>
      <c r="I1000" s="832">
        <v>15801</v>
      </c>
      <c r="J1000" s="832">
        <v>4</v>
      </c>
      <c r="K1000" s="833">
        <v>63204</v>
      </c>
    </row>
    <row r="1001" spans="1:11" ht="14.45" customHeight="1" x14ac:dyDescent="0.2">
      <c r="A1001" s="822" t="s">
        <v>575</v>
      </c>
      <c r="B1001" s="823" t="s">
        <v>576</v>
      </c>
      <c r="C1001" s="826" t="s">
        <v>600</v>
      </c>
      <c r="D1001" s="840" t="s">
        <v>601</v>
      </c>
      <c r="E1001" s="826" t="s">
        <v>4200</v>
      </c>
      <c r="F1001" s="840" t="s">
        <v>4201</v>
      </c>
      <c r="G1001" s="826" t="s">
        <v>4266</v>
      </c>
      <c r="H1001" s="826" t="s">
        <v>4273</v>
      </c>
      <c r="I1001" s="832">
        <v>15801</v>
      </c>
      <c r="J1001" s="832">
        <v>1</v>
      </c>
      <c r="K1001" s="833">
        <v>15801</v>
      </c>
    </row>
    <row r="1002" spans="1:11" ht="14.45" customHeight="1" x14ac:dyDescent="0.2">
      <c r="A1002" s="822" t="s">
        <v>575</v>
      </c>
      <c r="B1002" s="823" t="s">
        <v>576</v>
      </c>
      <c r="C1002" s="826" t="s">
        <v>600</v>
      </c>
      <c r="D1002" s="840" t="s">
        <v>601</v>
      </c>
      <c r="E1002" s="826" t="s">
        <v>4200</v>
      </c>
      <c r="F1002" s="840" t="s">
        <v>4201</v>
      </c>
      <c r="G1002" s="826" t="s">
        <v>4274</v>
      </c>
      <c r="H1002" s="826" t="s">
        <v>4275</v>
      </c>
      <c r="I1002" s="832">
        <v>959.0999755859375</v>
      </c>
      <c r="J1002" s="832">
        <v>5</v>
      </c>
      <c r="K1002" s="833">
        <v>4795.5</v>
      </c>
    </row>
    <row r="1003" spans="1:11" ht="14.45" customHeight="1" x14ac:dyDescent="0.2">
      <c r="A1003" s="822" t="s">
        <v>575</v>
      </c>
      <c r="B1003" s="823" t="s">
        <v>576</v>
      </c>
      <c r="C1003" s="826" t="s">
        <v>600</v>
      </c>
      <c r="D1003" s="840" t="s">
        <v>601</v>
      </c>
      <c r="E1003" s="826" t="s">
        <v>4200</v>
      </c>
      <c r="F1003" s="840" t="s">
        <v>4201</v>
      </c>
      <c r="G1003" s="826" t="s">
        <v>4276</v>
      </c>
      <c r="H1003" s="826" t="s">
        <v>4277</v>
      </c>
      <c r="I1003" s="832">
        <v>1122.2900390625</v>
      </c>
      <c r="J1003" s="832">
        <v>7</v>
      </c>
      <c r="K1003" s="833">
        <v>7856</v>
      </c>
    </row>
    <row r="1004" spans="1:11" ht="14.45" customHeight="1" x14ac:dyDescent="0.2">
      <c r="A1004" s="822" t="s">
        <v>575</v>
      </c>
      <c r="B1004" s="823" t="s">
        <v>576</v>
      </c>
      <c r="C1004" s="826" t="s">
        <v>600</v>
      </c>
      <c r="D1004" s="840" t="s">
        <v>601</v>
      </c>
      <c r="E1004" s="826" t="s">
        <v>4200</v>
      </c>
      <c r="F1004" s="840" t="s">
        <v>4201</v>
      </c>
      <c r="G1004" s="826" t="s">
        <v>4278</v>
      </c>
      <c r="H1004" s="826" t="s">
        <v>4279</v>
      </c>
      <c r="I1004" s="832">
        <v>1081.4900207519531</v>
      </c>
      <c r="J1004" s="832">
        <v>45</v>
      </c>
      <c r="K1004" s="833">
        <v>48381.4091796875</v>
      </c>
    </row>
    <row r="1005" spans="1:11" ht="14.45" customHeight="1" x14ac:dyDescent="0.2">
      <c r="A1005" s="822" t="s">
        <v>575</v>
      </c>
      <c r="B1005" s="823" t="s">
        <v>576</v>
      </c>
      <c r="C1005" s="826" t="s">
        <v>600</v>
      </c>
      <c r="D1005" s="840" t="s">
        <v>601</v>
      </c>
      <c r="E1005" s="826" t="s">
        <v>4200</v>
      </c>
      <c r="F1005" s="840" t="s">
        <v>4201</v>
      </c>
      <c r="G1005" s="826" t="s">
        <v>4280</v>
      </c>
      <c r="H1005" s="826" t="s">
        <v>4281</v>
      </c>
      <c r="I1005" s="832">
        <v>1081.4925231933594</v>
      </c>
      <c r="J1005" s="832">
        <v>55</v>
      </c>
      <c r="K1005" s="833">
        <v>60583.3798828125</v>
      </c>
    </row>
    <row r="1006" spans="1:11" ht="14.45" customHeight="1" x14ac:dyDescent="0.2">
      <c r="A1006" s="822" t="s">
        <v>575</v>
      </c>
      <c r="B1006" s="823" t="s">
        <v>576</v>
      </c>
      <c r="C1006" s="826" t="s">
        <v>600</v>
      </c>
      <c r="D1006" s="840" t="s">
        <v>601</v>
      </c>
      <c r="E1006" s="826" t="s">
        <v>4200</v>
      </c>
      <c r="F1006" s="840" t="s">
        <v>4201</v>
      </c>
      <c r="G1006" s="826" t="s">
        <v>4282</v>
      </c>
      <c r="H1006" s="826" t="s">
        <v>4283</v>
      </c>
      <c r="I1006" s="832">
        <v>1089.6520263671875</v>
      </c>
      <c r="J1006" s="832">
        <v>57</v>
      </c>
      <c r="K1006" s="833">
        <v>62338.40966796875</v>
      </c>
    </row>
    <row r="1007" spans="1:11" ht="14.45" customHeight="1" x14ac:dyDescent="0.2">
      <c r="A1007" s="822" t="s">
        <v>575</v>
      </c>
      <c r="B1007" s="823" t="s">
        <v>576</v>
      </c>
      <c r="C1007" s="826" t="s">
        <v>600</v>
      </c>
      <c r="D1007" s="840" t="s">
        <v>601</v>
      </c>
      <c r="E1007" s="826" t="s">
        <v>4200</v>
      </c>
      <c r="F1007" s="840" t="s">
        <v>4201</v>
      </c>
      <c r="G1007" s="826" t="s">
        <v>4284</v>
      </c>
      <c r="H1007" s="826" t="s">
        <v>4285</v>
      </c>
      <c r="I1007" s="832">
        <v>44040</v>
      </c>
      <c r="J1007" s="832">
        <v>1</v>
      </c>
      <c r="K1007" s="833">
        <v>44040</v>
      </c>
    </row>
    <row r="1008" spans="1:11" ht="14.45" customHeight="1" x14ac:dyDescent="0.2">
      <c r="A1008" s="822" t="s">
        <v>575</v>
      </c>
      <c r="B1008" s="823" t="s">
        <v>576</v>
      </c>
      <c r="C1008" s="826" t="s">
        <v>600</v>
      </c>
      <c r="D1008" s="840" t="s">
        <v>601</v>
      </c>
      <c r="E1008" s="826" t="s">
        <v>4200</v>
      </c>
      <c r="F1008" s="840" t="s">
        <v>4201</v>
      </c>
      <c r="G1008" s="826" t="s">
        <v>4274</v>
      </c>
      <c r="H1008" s="826" t="s">
        <v>4286</v>
      </c>
      <c r="I1008" s="832">
        <v>959.0999755859375</v>
      </c>
      <c r="J1008" s="832">
        <v>2</v>
      </c>
      <c r="K1008" s="833">
        <v>1918.199951171875</v>
      </c>
    </row>
    <row r="1009" spans="1:11" ht="14.45" customHeight="1" x14ac:dyDescent="0.2">
      <c r="A1009" s="822" t="s">
        <v>575</v>
      </c>
      <c r="B1009" s="823" t="s">
        <v>576</v>
      </c>
      <c r="C1009" s="826" t="s">
        <v>600</v>
      </c>
      <c r="D1009" s="840" t="s">
        <v>601</v>
      </c>
      <c r="E1009" s="826" t="s">
        <v>4200</v>
      </c>
      <c r="F1009" s="840" t="s">
        <v>4201</v>
      </c>
      <c r="G1009" s="826" t="s">
        <v>4276</v>
      </c>
      <c r="H1009" s="826" t="s">
        <v>4287</v>
      </c>
      <c r="I1009" s="832">
        <v>959.0999755859375</v>
      </c>
      <c r="J1009" s="832">
        <v>31</v>
      </c>
      <c r="K1009" s="833">
        <v>29732.1005859375</v>
      </c>
    </row>
    <row r="1010" spans="1:11" ht="14.45" customHeight="1" x14ac:dyDescent="0.2">
      <c r="A1010" s="822" t="s">
        <v>575</v>
      </c>
      <c r="B1010" s="823" t="s">
        <v>576</v>
      </c>
      <c r="C1010" s="826" t="s">
        <v>600</v>
      </c>
      <c r="D1010" s="840" t="s">
        <v>601</v>
      </c>
      <c r="E1010" s="826" t="s">
        <v>4200</v>
      </c>
      <c r="F1010" s="840" t="s">
        <v>4201</v>
      </c>
      <c r="G1010" s="826" t="s">
        <v>4278</v>
      </c>
      <c r="H1010" s="826" t="s">
        <v>4288</v>
      </c>
      <c r="I1010" s="832">
        <v>959.0999755859375</v>
      </c>
      <c r="J1010" s="832">
        <v>47</v>
      </c>
      <c r="K1010" s="833">
        <v>45077.69970703125</v>
      </c>
    </row>
    <row r="1011" spans="1:11" ht="14.45" customHeight="1" x14ac:dyDescent="0.2">
      <c r="A1011" s="822" t="s">
        <v>575</v>
      </c>
      <c r="B1011" s="823" t="s">
        <v>576</v>
      </c>
      <c r="C1011" s="826" t="s">
        <v>600</v>
      </c>
      <c r="D1011" s="840" t="s">
        <v>601</v>
      </c>
      <c r="E1011" s="826" t="s">
        <v>4200</v>
      </c>
      <c r="F1011" s="840" t="s">
        <v>4201</v>
      </c>
      <c r="G1011" s="826" t="s">
        <v>4280</v>
      </c>
      <c r="H1011" s="826" t="s">
        <v>4289</v>
      </c>
      <c r="I1011" s="832">
        <v>959.0999755859375</v>
      </c>
      <c r="J1011" s="832">
        <v>45</v>
      </c>
      <c r="K1011" s="833">
        <v>43159.50048828125</v>
      </c>
    </row>
    <row r="1012" spans="1:11" ht="14.45" customHeight="1" x14ac:dyDescent="0.2">
      <c r="A1012" s="822" t="s">
        <v>575</v>
      </c>
      <c r="B1012" s="823" t="s">
        <v>576</v>
      </c>
      <c r="C1012" s="826" t="s">
        <v>600</v>
      </c>
      <c r="D1012" s="840" t="s">
        <v>601</v>
      </c>
      <c r="E1012" s="826" t="s">
        <v>4200</v>
      </c>
      <c r="F1012" s="840" t="s">
        <v>4201</v>
      </c>
      <c r="G1012" s="826" t="s">
        <v>4282</v>
      </c>
      <c r="H1012" s="826" t="s">
        <v>4290</v>
      </c>
      <c r="I1012" s="832">
        <v>959.0999755859375</v>
      </c>
      <c r="J1012" s="832">
        <v>32</v>
      </c>
      <c r="K1012" s="833">
        <v>30691.2001953125</v>
      </c>
    </row>
    <row r="1013" spans="1:11" ht="14.45" customHeight="1" x14ac:dyDescent="0.2">
      <c r="A1013" s="822" t="s">
        <v>575</v>
      </c>
      <c r="B1013" s="823" t="s">
        <v>576</v>
      </c>
      <c r="C1013" s="826" t="s">
        <v>600</v>
      </c>
      <c r="D1013" s="840" t="s">
        <v>601</v>
      </c>
      <c r="E1013" s="826" t="s">
        <v>4291</v>
      </c>
      <c r="F1013" s="840" t="s">
        <v>4292</v>
      </c>
      <c r="G1013" s="826" t="s">
        <v>4293</v>
      </c>
      <c r="H1013" s="826" t="s">
        <v>4294</v>
      </c>
      <c r="I1013" s="832">
        <v>14800.009765625</v>
      </c>
      <c r="J1013" s="832">
        <v>1</v>
      </c>
      <c r="K1013" s="833">
        <v>14800.009765625</v>
      </c>
    </row>
    <row r="1014" spans="1:11" ht="14.45" customHeight="1" x14ac:dyDescent="0.2">
      <c r="A1014" s="822" t="s">
        <v>575</v>
      </c>
      <c r="B1014" s="823" t="s">
        <v>576</v>
      </c>
      <c r="C1014" s="826" t="s">
        <v>600</v>
      </c>
      <c r="D1014" s="840" t="s">
        <v>601</v>
      </c>
      <c r="E1014" s="826" t="s">
        <v>4291</v>
      </c>
      <c r="F1014" s="840" t="s">
        <v>4292</v>
      </c>
      <c r="G1014" s="826" t="s">
        <v>4295</v>
      </c>
      <c r="H1014" s="826" t="s">
        <v>4296</v>
      </c>
      <c r="I1014" s="832">
        <v>41371.73046875</v>
      </c>
      <c r="J1014" s="832">
        <v>5</v>
      </c>
      <c r="K1014" s="833">
        <v>206858.65234375</v>
      </c>
    </row>
    <row r="1015" spans="1:11" ht="14.45" customHeight="1" x14ac:dyDescent="0.2">
      <c r="A1015" s="822" t="s">
        <v>575</v>
      </c>
      <c r="B1015" s="823" t="s">
        <v>576</v>
      </c>
      <c r="C1015" s="826" t="s">
        <v>600</v>
      </c>
      <c r="D1015" s="840" t="s">
        <v>601</v>
      </c>
      <c r="E1015" s="826" t="s">
        <v>4291</v>
      </c>
      <c r="F1015" s="840" t="s">
        <v>4292</v>
      </c>
      <c r="G1015" s="826" t="s">
        <v>4297</v>
      </c>
      <c r="H1015" s="826" t="s">
        <v>4298</v>
      </c>
      <c r="I1015" s="832">
        <v>41371.73046875</v>
      </c>
      <c r="J1015" s="832">
        <v>3</v>
      </c>
      <c r="K1015" s="833">
        <v>124115.19140625</v>
      </c>
    </row>
    <row r="1016" spans="1:11" ht="14.45" customHeight="1" x14ac:dyDescent="0.2">
      <c r="A1016" s="822" t="s">
        <v>575</v>
      </c>
      <c r="B1016" s="823" t="s">
        <v>576</v>
      </c>
      <c r="C1016" s="826" t="s">
        <v>600</v>
      </c>
      <c r="D1016" s="840" t="s">
        <v>601</v>
      </c>
      <c r="E1016" s="826" t="s">
        <v>4291</v>
      </c>
      <c r="F1016" s="840" t="s">
        <v>4292</v>
      </c>
      <c r="G1016" s="826" t="s">
        <v>4299</v>
      </c>
      <c r="H1016" s="826" t="s">
        <v>4300</v>
      </c>
      <c r="I1016" s="832">
        <v>41371.73046875</v>
      </c>
      <c r="J1016" s="832">
        <v>1</v>
      </c>
      <c r="K1016" s="833">
        <v>41371.73046875</v>
      </c>
    </row>
    <row r="1017" spans="1:11" ht="14.45" customHeight="1" x14ac:dyDescent="0.2">
      <c r="A1017" s="822" t="s">
        <v>575</v>
      </c>
      <c r="B1017" s="823" t="s">
        <v>576</v>
      </c>
      <c r="C1017" s="826" t="s">
        <v>600</v>
      </c>
      <c r="D1017" s="840" t="s">
        <v>601</v>
      </c>
      <c r="E1017" s="826" t="s">
        <v>4291</v>
      </c>
      <c r="F1017" s="840" t="s">
        <v>4292</v>
      </c>
      <c r="G1017" s="826" t="s">
        <v>4301</v>
      </c>
      <c r="H1017" s="826" t="s">
        <v>4302</v>
      </c>
      <c r="I1017" s="832">
        <v>41371.73046875</v>
      </c>
      <c r="J1017" s="832">
        <v>1</v>
      </c>
      <c r="K1017" s="833">
        <v>41371.73046875</v>
      </c>
    </row>
    <row r="1018" spans="1:11" ht="14.45" customHeight="1" x14ac:dyDescent="0.2">
      <c r="A1018" s="822" t="s">
        <v>575</v>
      </c>
      <c r="B1018" s="823" t="s">
        <v>576</v>
      </c>
      <c r="C1018" s="826" t="s">
        <v>600</v>
      </c>
      <c r="D1018" s="840" t="s">
        <v>601</v>
      </c>
      <c r="E1018" s="826" t="s">
        <v>4291</v>
      </c>
      <c r="F1018" s="840" t="s">
        <v>4292</v>
      </c>
      <c r="G1018" s="826" t="s">
        <v>4303</v>
      </c>
      <c r="H1018" s="826" t="s">
        <v>4304</v>
      </c>
      <c r="I1018" s="832">
        <v>41371.734375</v>
      </c>
      <c r="J1018" s="832">
        <v>2</v>
      </c>
      <c r="K1018" s="833">
        <v>82743.46875</v>
      </c>
    </row>
    <row r="1019" spans="1:11" ht="14.45" customHeight="1" x14ac:dyDescent="0.2">
      <c r="A1019" s="822" t="s">
        <v>575</v>
      </c>
      <c r="B1019" s="823" t="s">
        <v>576</v>
      </c>
      <c r="C1019" s="826" t="s">
        <v>600</v>
      </c>
      <c r="D1019" s="840" t="s">
        <v>601</v>
      </c>
      <c r="E1019" s="826" t="s">
        <v>4291</v>
      </c>
      <c r="F1019" s="840" t="s">
        <v>4292</v>
      </c>
      <c r="G1019" s="826" t="s">
        <v>4305</v>
      </c>
      <c r="H1019" s="826" t="s">
        <v>4306</v>
      </c>
      <c r="I1019" s="832">
        <v>9917.599609375</v>
      </c>
      <c r="J1019" s="832">
        <v>7</v>
      </c>
      <c r="K1019" s="833">
        <v>69423.197265625</v>
      </c>
    </row>
    <row r="1020" spans="1:11" ht="14.45" customHeight="1" x14ac:dyDescent="0.2">
      <c r="A1020" s="822" t="s">
        <v>575</v>
      </c>
      <c r="B1020" s="823" t="s">
        <v>576</v>
      </c>
      <c r="C1020" s="826" t="s">
        <v>600</v>
      </c>
      <c r="D1020" s="840" t="s">
        <v>601</v>
      </c>
      <c r="E1020" s="826" t="s">
        <v>4291</v>
      </c>
      <c r="F1020" s="840" t="s">
        <v>4292</v>
      </c>
      <c r="G1020" s="826" t="s">
        <v>4307</v>
      </c>
      <c r="H1020" s="826" t="s">
        <v>4308</v>
      </c>
      <c r="I1020" s="832">
        <v>9891.150390625</v>
      </c>
      <c r="J1020" s="832">
        <v>4</v>
      </c>
      <c r="K1020" s="833">
        <v>39564.6015625</v>
      </c>
    </row>
    <row r="1021" spans="1:11" ht="14.45" customHeight="1" x14ac:dyDescent="0.2">
      <c r="A1021" s="822" t="s">
        <v>575</v>
      </c>
      <c r="B1021" s="823" t="s">
        <v>576</v>
      </c>
      <c r="C1021" s="826" t="s">
        <v>600</v>
      </c>
      <c r="D1021" s="840" t="s">
        <v>601</v>
      </c>
      <c r="E1021" s="826" t="s">
        <v>4291</v>
      </c>
      <c r="F1021" s="840" t="s">
        <v>4292</v>
      </c>
      <c r="G1021" s="826" t="s">
        <v>4309</v>
      </c>
      <c r="H1021" s="826" t="s">
        <v>4310</v>
      </c>
      <c r="I1021" s="832">
        <v>10810.765380859375</v>
      </c>
      <c r="J1021" s="832">
        <v>4</v>
      </c>
      <c r="K1021" s="833">
        <v>43243.0615234375</v>
      </c>
    </row>
    <row r="1022" spans="1:11" ht="14.45" customHeight="1" x14ac:dyDescent="0.2">
      <c r="A1022" s="822" t="s">
        <v>575</v>
      </c>
      <c r="B1022" s="823" t="s">
        <v>576</v>
      </c>
      <c r="C1022" s="826" t="s">
        <v>600</v>
      </c>
      <c r="D1022" s="840" t="s">
        <v>601</v>
      </c>
      <c r="E1022" s="826" t="s">
        <v>4291</v>
      </c>
      <c r="F1022" s="840" t="s">
        <v>4292</v>
      </c>
      <c r="G1022" s="826" t="s">
        <v>4311</v>
      </c>
      <c r="H1022" s="826" t="s">
        <v>4312</v>
      </c>
      <c r="I1022" s="832">
        <v>9850.900390625</v>
      </c>
      <c r="J1022" s="832">
        <v>1</v>
      </c>
      <c r="K1022" s="833">
        <v>9850.900390625</v>
      </c>
    </row>
    <row r="1023" spans="1:11" ht="14.45" customHeight="1" x14ac:dyDescent="0.2">
      <c r="A1023" s="822" t="s">
        <v>575</v>
      </c>
      <c r="B1023" s="823" t="s">
        <v>576</v>
      </c>
      <c r="C1023" s="826" t="s">
        <v>600</v>
      </c>
      <c r="D1023" s="840" t="s">
        <v>601</v>
      </c>
      <c r="E1023" s="826" t="s">
        <v>4291</v>
      </c>
      <c r="F1023" s="840" t="s">
        <v>4292</v>
      </c>
      <c r="G1023" s="826" t="s">
        <v>4313</v>
      </c>
      <c r="H1023" s="826" t="s">
        <v>4314</v>
      </c>
      <c r="I1023" s="832">
        <v>6989.7001953125</v>
      </c>
      <c r="J1023" s="832">
        <v>11</v>
      </c>
      <c r="K1023" s="833">
        <v>76886.7021484375</v>
      </c>
    </row>
    <row r="1024" spans="1:11" ht="14.45" customHeight="1" x14ac:dyDescent="0.2">
      <c r="A1024" s="822" t="s">
        <v>575</v>
      </c>
      <c r="B1024" s="823" t="s">
        <v>576</v>
      </c>
      <c r="C1024" s="826" t="s">
        <v>600</v>
      </c>
      <c r="D1024" s="840" t="s">
        <v>601</v>
      </c>
      <c r="E1024" s="826" t="s">
        <v>4291</v>
      </c>
      <c r="F1024" s="840" t="s">
        <v>4292</v>
      </c>
      <c r="G1024" s="826" t="s">
        <v>4315</v>
      </c>
      <c r="H1024" s="826" t="s">
        <v>4316</v>
      </c>
      <c r="I1024" s="832">
        <v>6989.7099609375</v>
      </c>
      <c r="J1024" s="832">
        <v>2</v>
      </c>
      <c r="K1024" s="833">
        <v>13979.419921875</v>
      </c>
    </row>
    <row r="1025" spans="1:11" ht="14.45" customHeight="1" x14ac:dyDescent="0.2">
      <c r="A1025" s="822" t="s">
        <v>575</v>
      </c>
      <c r="B1025" s="823" t="s">
        <v>576</v>
      </c>
      <c r="C1025" s="826" t="s">
        <v>600</v>
      </c>
      <c r="D1025" s="840" t="s">
        <v>601</v>
      </c>
      <c r="E1025" s="826" t="s">
        <v>4291</v>
      </c>
      <c r="F1025" s="840" t="s">
        <v>4292</v>
      </c>
      <c r="G1025" s="826" t="s">
        <v>4317</v>
      </c>
      <c r="H1025" s="826" t="s">
        <v>4318</v>
      </c>
      <c r="I1025" s="832">
        <v>6989.7001953125</v>
      </c>
      <c r="J1025" s="832">
        <v>1</v>
      </c>
      <c r="K1025" s="833">
        <v>6989.7001953125</v>
      </c>
    </row>
    <row r="1026" spans="1:11" ht="14.45" customHeight="1" x14ac:dyDescent="0.2">
      <c r="A1026" s="822" t="s">
        <v>575</v>
      </c>
      <c r="B1026" s="823" t="s">
        <v>576</v>
      </c>
      <c r="C1026" s="826" t="s">
        <v>600</v>
      </c>
      <c r="D1026" s="840" t="s">
        <v>601</v>
      </c>
      <c r="E1026" s="826" t="s">
        <v>4291</v>
      </c>
      <c r="F1026" s="840" t="s">
        <v>4292</v>
      </c>
      <c r="G1026" s="826" t="s">
        <v>4319</v>
      </c>
      <c r="H1026" s="826" t="s">
        <v>4320</v>
      </c>
      <c r="I1026" s="832">
        <v>8159.2998046875</v>
      </c>
      <c r="J1026" s="832">
        <v>2</v>
      </c>
      <c r="K1026" s="833">
        <v>16318.58984375</v>
      </c>
    </row>
    <row r="1027" spans="1:11" ht="14.45" customHeight="1" x14ac:dyDescent="0.2">
      <c r="A1027" s="822" t="s">
        <v>575</v>
      </c>
      <c r="B1027" s="823" t="s">
        <v>576</v>
      </c>
      <c r="C1027" s="826" t="s">
        <v>600</v>
      </c>
      <c r="D1027" s="840" t="s">
        <v>601</v>
      </c>
      <c r="E1027" s="826" t="s">
        <v>4291</v>
      </c>
      <c r="F1027" s="840" t="s">
        <v>4292</v>
      </c>
      <c r="G1027" s="826" t="s">
        <v>4321</v>
      </c>
      <c r="H1027" s="826" t="s">
        <v>4322</v>
      </c>
      <c r="I1027" s="832">
        <v>8159.2998046875</v>
      </c>
      <c r="J1027" s="832">
        <v>2</v>
      </c>
      <c r="K1027" s="833">
        <v>16318.58984375</v>
      </c>
    </row>
    <row r="1028" spans="1:11" ht="14.45" customHeight="1" x14ac:dyDescent="0.2">
      <c r="A1028" s="822" t="s">
        <v>575</v>
      </c>
      <c r="B1028" s="823" t="s">
        <v>576</v>
      </c>
      <c r="C1028" s="826" t="s">
        <v>600</v>
      </c>
      <c r="D1028" s="840" t="s">
        <v>601</v>
      </c>
      <c r="E1028" s="826" t="s">
        <v>4291</v>
      </c>
      <c r="F1028" s="840" t="s">
        <v>4292</v>
      </c>
      <c r="G1028" s="826" t="s">
        <v>4295</v>
      </c>
      <c r="H1028" s="826" t="s">
        <v>4323</v>
      </c>
      <c r="I1028" s="832">
        <v>41371.73046875</v>
      </c>
      <c r="J1028" s="832">
        <v>2</v>
      </c>
      <c r="K1028" s="833">
        <v>82743.4609375</v>
      </c>
    </row>
    <row r="1029" spans="1:11" ht="14.45" customHeight="1" x14ac:dyDescent="0.2">
      <c r="A1029" s="822" t="s">
        <v>575</v>
      </c>
      <c r="B1029" s="823" t="s">
        <v>576</v>
      </c>
      <c r="C1029" s="826" t="s">
        <v>600</v>
      </c>
      <c r="D1029" s="840" t="s">
        <v>601</v>
      </c>
      <c r="E1029" s="826" t="s">
        <v>4291</v>
      </c>
      <c r="F1029" s="840" t="s">
        <v>4292</v>
      </c>
      <c r="G1029" s="826" t="s">
        <v>4297</v>
      </c>
      <c r="H1029" s="826" t="s">
        <v>4324</v>
      </c>
      <c r="I1029" s="832">
        <v>41371.73046875</v>
      </c>
      <c r="J1029" s="832">
        <v>1</v>
      </c>
      <c r="K1029" s="833">
        <v>41371.73046875</v>
      </c>
    </row>
    <row r="1030" spans="1:11" ht="14.45" customHeight="1" x14ac:dyDescent="0.2">
      <c r="A1030" s="822" t="s">
        <v>575</v>
      </c>
      <c r="B1030" s="823" t="s">
        <v>576</v>
      </c>
      <c r="C1030" s="826" t="s">
        <v>600</v>
      </c>
      <c r="D1030" s="840" t="s">
        <v>601</v>
      </c>
      <c r="E1030" s="826" t="s">
        <v>4291</v>
      </c>
      <c r="F1030" s="840" t="s">
        <v>4292</v>
      </c>
      <c r="G1030" s="826" t="s">
        <v>4299</v>
      </c>
      <c r="H1030" s="826" t="s">
        <v>4325</v>
      </c>
      <c r="I1030" s="832">
        <v>41371.73046875</v>
      </c>
      <c r="J1030" s="832">
        <v>1</v>
      </c>
      <c r="K1030" s="833">
        <v>41371.73046875</v>
      </c>
    </row>
    <row r="1031" spans="1:11" ht="14.45" customHeight="1" x14ac:dyDescent="0.2">
      <c r="A1031" s="822" t="s">
        <v>575</v>
      </c>
      <c r="B1031" s="823" t="s">
        <v>576</v>
      </c>
      <c r="C1031" s="826" t="s">
        <v>600</v>
      </c>
      <c r="D1031" s="840" t="s">
        <v>601</v>
      </c>
      <c r="E1031" s="826" t="s">
        <v>4291</v>
      </c>
      <c r="F1031" s="840" t="s">
        <v>4292</v>
      </c>
      <c r="G1031" s="826" t="s">
        <v>4303</v>
      </c>
      <c r="H1031" s="826" t="s">
        <v>4326</v>
      </c>
      <c r="I1031" s="832">
        <v>31028.865234375</v>
      </c>
      <c r="J1031" s="832">
        <v>3</v>
      </c>
      <c r="K1031" s="833">
        <v>124115.20093750954</v>
      </c>
    </row>
    <row r="1032" spans="1:11" ht="14.45" customHeight="1" x14ac:dyDescent="0.2">
      <c r="A1032" s="822" t="s">
        <v>575</v>
      </c>
      <c r="B1032" s="823" t="s">
        <v>576</v>
      </c>
      <c r="C1032" s="826" t="s">
        <v>600</v>
      </c>
      <c r="D1032" s="840" t="s">
        <v>601</v>
      </c>
      <c r="E1032" s="826" t="s">
        <v>4291</v>
      </c>
      <c r="F1032" s="840" t="s">
        <v>4292</v>
      </c>
      <c r="G1032" s="826" t="s">
        <v>4327</v>
      </c>
      <c r="H1032" s="826" t="s">
        <v>4328</v>
      </c>
      <c r="I1032" s="832">
        <v>9850.900390625</v>
      </c>
      <c r="J1032" s="832">
        <v>3</v>
      </c>
      <c r="K1032" s="833">
        <v>29552.701171875</v>
      </c>
    </row>
    <row r="1033" spans="1:11" ht="14.45" customHeight="1" x14ac:dyDescent="0.2">
      <c r="A1033" s="822" t="s">
        <v>575</v>
      </c>
      <c r="B1033" s="823" t="s">
        <v>576</v>
      </c>
      <c r="C1033" s="826" t="s">
        <v>600</v>
      </c>
      <c r="D1033" s="840" t="s">
        <v>601</v>
      </c>
      <c r="E1033" s="826" t="s">
        <v>4291</v>
      </c>
      <c r="F1033" s="840" t="s">
        <v>4292</v>
      </c>
      <c r="G1033" s="826" t="s">
        <v>4305</v>
      </c>
      <c r="H1033" s="826" t="s">
        <v>4329</v>
      </c>
      <c r="I1033" s="832">
        <v>9917.599609375</v>
      </c>
      <c r="J1033" s="832">
        <v>3</v>
      </c>
      <c r="K1033" s="833">
        <v>29752.798828125</v>
      </c>
    </row>
    <row r="1034" spans="1:11" ht="14.45" customHeight="1" x14ac:dyDescent="0.2">
      <c r="A1034" s="822" t="s">
        <v>575</v>
      </c>
      <c r="B1034" s="823" t="s">
        <v>576</v>
      </c>
      <c r="C1034" s="826" t="s">
        <v>600</v>
      </c>
      <c r="D1034" s="840" t="s">
        <v>601</v>
      </c>
      <c r="E1034" s="826" t="s">
        <v>4291</v>
      </c>
      <c r="F1034" s="840" t="s">
        <v>4292</v>
      </c>
      <c r="G1034" s="826" t="s">
        <v>4307</v>
      </c>
      <c r="H1034" s="826" t="s">
        <v>4330</v>
      </c>
      <c r="I1034" s="832">
        <v>9891.150390625</v>
      </c>
      <c r="J1034" s="832">
        <v>4</v>
      </c>
      <c r="K1034" s="833">
        <v>39564.6015625</v>
      </c>
    </row>
    <row r="1035" spans="1:11" ht="14.45" customHeight="1" x14ac:dyDescent="0.2">
      <c r="A1035" s="822" t="s">
        <v>575</v>
      </c>
      <c r="B1035" s="823" t="s">
        <v>576</v>
      </c>
      <c r="C1035" s="826" t="s">
        <v>600</v>
      </c>
      <c r="D1035" s="840" t="s">
        <v>601</v>
      </c>
      <c r="E1035" s="826" t="s">
        <v>4291</v>
      </c>
      <c r="F1035" s="840" t="s">
        <v>4292</v>
      </c>
      <c r="G1035" s="826" t="s">
        <v>4309</v>
      </c>
      <c r="H1035" s="826" t="s">
        <v>4331</v>
      </c>
      <c r="I1035" s="832">
        <v>9850.900390625</v>
      </c>
      <c r="J1035" s="832">
        <v>3</v>
      </c>
      <c r="K1035" s="833">
        <v>29552.701171875</v>
      </c>
    </row>
    <row r="1036" spans="1:11" ht="14.45" customHeight="1" x14ac:dyDescent="0.2">
      <c r="A1036" s="822" t="s">
        <v>575</v>
      </c>
      <c r="B1036" s="823" t="s">
        <v>576</v>
      </c>
      <c r="C1036" s="826" t="s">
        <v>600</v>
      </c>
      <c r="D1036" s="840" t="s">
        <v>601</v>
      </c>
      <c r="E1036" s="826" t="s">
        <v>4291</v>
      </c>
      <c r="F1036" s="840" t="s">
        <v>4292</v>
      </c>
      <c r="G1036" s="826" t="s">
        <v>4332</v>
      </c>
      <c r="H1036" s="826" t="s">
        <v>4333</v>
      </c>
      <c r="I1036" s="832">
        <v>9850.900390625</v>
      </c>
      <c r="J1036" s="832">
        <v>1</v>
      </c>
      <c r="K1036" s="833">
        <v>9850.900390625</v>
      </c>
    </row>
    <row r="1037" spans="1:11" ht="14.45" customHeight="1" x14ac:dyDescent="0.2">
      <c r="A1037" s="822" t="s">
        <v>575</v>
      </c>
      <c r="B1037" s="823" t="s">
        <v>576</v>
      </c>
      <c r="C1037" s="826" t="s">
        <v>600</v>
      </c>
      <c r="D1037" s="840" t="s">
        <v>601</v>
      </c>
      <c r="E1037" s="826" t="s">
        <v>4291</v>
      </c>
      <c r="F1037" s="840" t="s">
        <v>4292</v>
      </c>
      <c r="G1037" s="826" t="s">
        <v>4311</v>
      </c>
      <c r="H1037" s="826" t="s">
        <v>4334</v>
      </c>
      <c r="I1037" s="832">
        <v>9850.900390625</v>
      </c>
      <c r="J1037" s="832">
        <v>1</v>
      </c>
      <c r="K1037" s="833">
        <v>9850.900390625</v>
      </c>
    </row>
    <row r="1038" spans="1:11" ht="14.45" customHeight="1" x14ac:dyDescent="0.2">
      <c r="A1038" s="822" t="s">
        <v>575</v>
      </c>
      <c r="B1038" s="823" t="s">
        <v>576</v>
      </c>
      <c r="C1038" s="826" t="s">
        <v>600</v>
      </c>
      <c r="D1038" s="840" t="s">
        <v>601</v>
      </c>
      <c r="E1038" s="826" t="s">
        <v>4291</v>
      </c>
      <c r="F1038" s="840" t="s">
        <v>4292</v>
      </c>
      <c r="G1038" s="826" t="s">
        <v>4313</v>
      </c>
      <c r="H1038" s="826" t="s">
        <v>4335</v>
      </c>
      <c r="I1038" s="832">
        <v>6989.7001953125</v>
      </c>
      <c r="J1038" s="832">
        <v>4</v>
      </c>
      <c r="K1038" s="833">
        <v>27958.80078125</v>
      </c>
    </row>
    <row r="1039" spans="1:11" ht="14.45" customHeight="1" x14ac:dyDescent="0.2">
      <c r="A1039" s="822" t="s">
        <v>575</v>
      </c>
      <c r="B1039" s="823" t="s">
        <v>576</v>
      </c>
      <c r="C1039" s="826" t="s">
        <v>600</v>
      </c>
      <c r="D1039" s="840" t="s">
        <v>601</v>
      </c>
      <c r="E1039" s="826" t="s">
        <v>4291</v>
      </c>
      <c r="F1039" s="840" t="s">
        <v>4292</v>
      </c>
      <c r="G1039" s="826" t="s">
        <v>4336</v>
      </c>
      <c r="H1039" s="826" t="s">
        <v>4337</v>
      </c>
      <c r="I1039" s="832">
        <v>64.800003051757813</v>
      </c>
      <c r="J1039" s="832">
        <v>456</v>
      </c>
      <c r="K1039" s="833">
        <v>29549.699951171875</v>
      </c>
    </row>
    <row r="1040" spans="1:11" ht="14.45" customHeight="1" x14ac:dyDescent="0.2">
      <c r="A1040" s="822" t="s">
        <v>575</v>
      </c>
      <c r="B1040" s="823" t="s">
        <v>576</v>
      </c>
      <c r="C1040" s="826" t="s">
        <v>600</v>
      </c>
      <c r="D1040" s="840" t="s">
        <v>601</v>
      </c>
      <c r="E1040" s="826" t="s">
        <v>4291</v>
      </c>
      <c r="F1040" s="840" t="s">
        <v>4292</v>
      </c>
      <c r="G1040" s="826" t="s">
        <v>4336</v>
      </c>
      <c r="H1040" s="826" t="s">
        <v>4338</v>
      </c>
      <c r="I1040" s="832">
        <v>64.800003051757813</v>
      </c>
      <c r="J1040" s="832">
        <v>216</v>
      </c>
      <c r="K1040" s="833">
        <v>13997.340087890625</v>
      </c>
    </row>
    <row r="1041" spans="1:11" ht="14.45" customHeight="1" x14ac:dyDescent="0.2">
      <c r="A1041" s="822" t="s">
        <v>575</v>
      </c>
      <c r="B1041" s="823" t="s">
        <v>576</v>
      </c>
      <c r="C1041" s="826" t="s">
        <v>600</v>
      </c>
      <c r="D1041" s="840" t="s">
        <v>601</v>
      </c>
      <c r="E1041" s="826" t="s">
        <v>4291</v>
      </c>
      <c r="F1041" s="840" t="s">
        <v>4292</v>
      </c>
      <c r="G1041" s="826" t="s">
        <v>4339</v>
      </c>
      <c r="H1041" s="826" t="s">
        <v>4340</v>
      </c>
      <c r="I1041" s="832">
        <v>1725</v>
      </c>
      <c r="J1041" s="832">
        <v>10</v>
      </c>
      <c r="K1041" s="833">
        <v>17250</v>
      </c>
    </row>
    <row r="1042" spans="1:11" ht="14.45" customHeight="1" x14ac:dyDescent="0.2">
      <c r="A1042" s="822" t="s">
        <v>575</v>
      </c>
      <c r="B1042" s="823" t="s">
        <v>576</v>
      </c>
      <c r="C1042" s="826" t="s">
        <v>600</v>
      </c>
      <c r="D1042" s="840" t="s">
        <v>601</v>
      </c>
      <c r="E1042" s="826" t="s">
        <v>4291</v>
      </c>
      <c r="F1042" s="840" t="s">
        <v>4292</v>
      </c>
      <c r="G1042" s="826" t="s">
        <v>4341</v>
      </c>
      <c r="H1042" s="826" t="s">
        <v>4342</v>
      </c>
      <c r="I1042" s="832">
        <v>7927.5240234374996</v>
      </c>
      <c r="J1042" s="832">
        <v>5</v>
      </c>
      <c r="K1042" s="833">
        <v>39637.6201171875</v>
      </c>
    </row>
    <row r="1043" spans="1:11" ht="14.45" customHeight="1" x14ac:dyDescent="0.2">
      <c r="A1043" s="822" t="s">
        <v>575</v>
      </c>
      <c r="B1043" s="823" t="s">
        <v>576</v>
      </c>
      <c r="C1043" s="826" t="s">
        <v>600</v>
      </c>
      <c r="D1043" s="840" t="s">
        <v>601</v>
      </c>
      <c r="E1043" s="826" t="s">
        <v>4291</v>
      </c>
      <c r="F1043" s="840" t="s">
        <v>4292</v>
      </c>
      <c r="G1043" s="826" t="s">
        <v>4341</v>
      </c>
      <c r="H1043" s="826" t="s">
        <v>4343</v>
      </c>
      <c r="I1043" s="832">
        <v>8228</v>
      </c>
      <c r="J1043" s="832">
        <v>3</v>
      </c>
      <c r="K1043" s="833">
        <v>24684</v>
      </c>
    </row>
    <row r="1044" spans="1:11" ht="14.45" customHeight="1" x14ac:dyDescent="0.2">
      <c r="A1044" s="822" t="s">
        <v>575</v>
      </c>
      <c r="B1044" s="823" t="s">
        <v>576</v>
      </c>
      <c r="C1044" s="826" t="s">
        <v>600</v>
      </c>
      <c r="D1044" s="840" t="s">
        <v>601</v>
      </c>
      <c r="E1044" s="826" t="s">
        <v>3065</v>
      </c>
      <c r="F1044" s="840" t="s">
        <v>3066</v>
      </c>
      <c r="G1044" s="826" t="s">
        <v>3672</v>
      </c>
      <c r="H1044" s="826" t="s">
        <v>3673</v>
      </c>
      <c r="I1044" s="832">
        <v>5445</v>
      </c>
      <c r="J1044" s="832">
        <v>7</v>
      </c>
      <c r="K1044" s="833">
        <v>38115</v>
      </c>
    </row>
    <row r="1045" spans="1:11" ht="14.45" customHeight="1" x14ac:dyDescent="0.2">
      <c r="A1045" s="822" t="s">
        <v>575</v>
      </c>
      <c r="B1045" s="823" t="s">
        <v>576</v>
      </c>
      <c r="C1045" s="826" t="s">
        <v>600</v>
      </c>
      <c r="D1045" s="840" t="s">
        <v>601</v>
      </c>
      <c r="E1045" s="826" t="s">
        <v>3065</v>
      </c>
      <c r="F1045" s="840" t="s">
        <v>3066</v>
      </c>
      <c r="G1045" s="826" t="s">
        <v>3674</v>
      </c>
      <c r="H1045" s="826" t="s">
        <v>3675</v>
      </c>
      <c r="I1045" s="832">
        <v>5445</v>
      </c>
      <c r="J1045" s="832">
        <v>7</v>
      </c>
      <c r="K1045" s="833">
        <v>38115</v>
      </c>
    </row>
    <row r="1046" spans="1:11" ht="14.45" customHeight="1" x14ac:dyDescent="0.2">
      <c r="A1046" s="822" t="s">
        <v>575</v>
      </c>
      <c r="B1046" s="823" t="s">
        <v>576</v>
      </c>
      <c r="C1046" s="826" t="s">
        <v>600</v>
      </c>
      <c r="D1046" s="840" t="s">
        <v>601</v>
      </c>
      <c r="E1046" s="826" t="s">
        <v>3065</v>
      </c>
      <c r="F1046" s="840" t="s">
        <v>3066</v>
      </c>
      <c r="G1046" s="826" t="s">
        <v>3676</v>
      </c>
      <c r="H1046" s="826" t="s">
        <v>3677</v>
      </c>
      <c r="I1046" s="832">
        <v>5445</v>
      </c>
      <c r="J1046" s="832">
        <v>6</v>
      </c>
      <c r="K1046" s="833">
        <v>32670</v>
      </c>
    </row>
    <row r="1047" spans="1:11" ht="14.45" customHeight="1" x14ac:dyDescent="0.2">
      <c r="A1047" s="822" t="s">
        <v>575</v>
      </c>
      <c r="B1047" s="823" t="s">
        <v>576</v>
      </c>
      <c r="C1047" s="826" t="s">
        <v>600</v>
      </c>
      <c r="D1047" s="840" t="s">
        <v>601</v>
      </c>
      <c r="E1047" s="826" t="s">
        <v>3065</v>
      </c>
      <c r="F1047" s="840" t="s">
        <v>3066</v>
      </c>
      <c r="G1047" s="826" t="s">
        <v>3678</v>
      </c>
      <c r="H1047" s="826" t="s">
        <v>3679</v>
      </c>
      <c r="I1047" s="832">
        <v>5445</v>
      </c>
      <c r="J1047" s="832">
        <v>2</v>
      </c>
      <c r="K1047" s="833">
        <v>10890</v>
      </c>
    </row>
    <row r="1048" spans="1:11" ht="14.45" customHeight="1" x14ac:dyDescent="0.2">
      <c r="A1048" s="822" t="s">
        <v>575</v>
      </c>
      <c r="B1048" s="823" t="s">
        <v>576</v>
      </c>
      <c r="C1048" s="826" t="s">
        <v>600</v>
      </c>
      <c r="D1048" s="840" t="s">
        <v>601</v>
      </c>
      <c r="E1048" s="826" t="s">
        <v>3065</v>
      </c>
      <c r="F1048" s="840" t="s">
        <v>3066</v>
      </c>
      <c r="G1048" s="826" t="s">
        <v>3071</v>
      </c>
      <c r="H1048" s="826" t="s">
        <v>3072</v>
      </c>
      <c r="I1048" s="832">
        <v>141.58000183105469</v>
      </c>
      <c r="J1048" s="832">
        <v>11</v>
      </c>
      <c r="K1048" s="833">
        <v>1557.3800048828125</v>
      </c>
    </row>
    <row r="1049" spans="1:11" ht="14.45" customHeight="1" x14ac:dyDescent="0.2">
      <c r="A1049" s="822" t="s">
        <v>575</v>
      </c>
      <c r="B1049" s="823" t="s">
        <v>576</v>
      </c>
      <c r="C1049" s="826" t="s">
        <v>600</v>
      </c>
      <c r="D1049" s="840" t="s">
        <v>601</v>
      </c>
      <c r="E1049" s="826" t="s">
        <v>3065</v>
      </c>
      <c r="F1049" s="840" t="s">
        <v>3066</v>
      </c>
      <c r="G1049" s="826" t="s">
        <v>3071</v>
      </c>
      <c r="H1049" s="826" t="s">
        <v>3073</v>
      </c>
      <c r="I1049" s="832">
        <v>159.96199951171874</v>
      </c>
      <c r="J1049" s="832">
        <v>19</v>
      </c>
      <c r="K1049" s="833">
        <v>3057.6699523925781</v>
      </c>
    </row>
    <row r="1050" spans="1:11" ht="14.45" customHeight="1" x14ac:dyDescent="0.2">
      <c r="A1050" s="822" t="s">
        <v>575</v>
      </c>
      <c r="B1050" s="823" t="s">
        <v>576</v>
      </c>
      <c r="C1050" s="826" t="s">
        <v>600</v>
      </c>
      <c r="D1050" s="840" t="s">
        <v>601</v>
      </c>
      <c r="E1050" s="826" t="s">
        <v>3065</v>
      </c>
      <c r="F1050" s="840" t="s">
        <v>3066</v>
      </c>
      <c r="G1050" s="826" t="s">
        <v>3685</v>
      </c>
      <c r="H1050" s="826" t="s">
        <v>3686</v>
      </c>
      <c r="I1050" s="832">
        <v>3035.31005859375</v>
      </c>
      <c r="J1050" s="832">
        <v>7</v>
      </c>
      <c r="K1050" s="833">
        <v>21247.17041015625</v>
      </c>
    </row>
    <row r="1051" spans="1:11" ht="14.45" customHeight="1" x14ac:dyDescent="0.2">
      <c r="A1051" s="822" t="s">
        <v>575</v>
      </c>
      <c r="B1051" s="823" t="s">
        <v>576</v>
      </c>
      <c r="C1051" s="826" t="s">
        <v>600</v>
      </c>
      <c r="D1051" s="840" t="s">
        <v>601</v>
      </c>
      <c r="E1051" s="826" t="s">
        <v>3065</v>
      </c>
      <c r="F1051" s="840" t="s">
        <v>3066</v>
      </c>
      <c r="G1051" s="826" t="s">
        <v>3687</v>
      </c>
      <c r="H1051" s="826" t="s">
        <v>3688</v>
      </c>
      <c r="I1051" s="832">
        <v>3035.31005859375</v>
      </c>
      <c r="J1051" s="832">
        <v>2</v>
      </c>
      <c r="K1051" s="833">
        <v>6070.6201171875</v>
      </c>
    </row>
    <row r="1052" spans="1:11" ht="14.45" customHeight="1" x14ac:dyDescent="0.2">
      <c r="A1052" s="822" t="s">
        <v>575</v>
      </c>
      <c r="B1052" s="823" t="s">
        <v>576</v>
      </c>
      <c r="C1052" s="826" t="s">
        <v>600</v>
      </c>
      <c r="D1052" s="840" t="s">
        <v>601</v>
      </c>
      <c r="E1052" s="826" t="s">
        <v>3065</v>
      </c>
      <c r="F1052" s="840" t="s">
        <v>3066</v>
      </c>
      <c r="G1052" s="826" t="s">
        <v>3685</v>
      </c>
      <c r="H1052" s="826" t="s">
        <v>3693</v>
      </c>
      <c r="I1052" s="832">
        <v>3035.31005859375</v>
      </c>
      <c r="J1052" s="832">
        <v>5</v>
      </c>
      <c r="K1052" s="833">
        <v>15176.55029296875</v>
      </c>
    </row>
    <row r="1053" spans="1:11" ht="14.45" customHeight="1" x14ac:dyDescent="0.2">
      <c r="A1053" s="822" t="s">
        <v>575</v>
      </c>
      <c r="B1053" s="823" t="s">
        <v>576</v>
      </c>
      <c r="C1053" s="826" t="s">
        <v>600</v>
      </c>
      <c r="D1053" s="840" t="s">
        <v>601</v>
      </c>
      <c r="E1053" s="826" t="s">
        <v>3065</v>
      </c>
      <c r="F1053" s="840" t="s">
        <v>3066</v>
      </c>
      <c r="G1053" s="826" t="s">
        <v>3687</v>
      </c>
      <c r="H1053" s="826" t="s">
        <v>3694</v>
      </c>
      <c r="I1053" s="832">
        <v>3035.31005859375</v>
      </c>
      <c r="J1053" s="832">
        <v>4</v>
      </c>
      <c r="K1053" s="833">
        <v>12141.240234375</v>
      </c>
    </row>
    <row r="1054" spans="1:11" ht="14.45" customHeight="1" x14ac:dyDescent="0.2">
      <c r="A1054" s="822" t="s">
        <v>575</v>
      </c>
      <c r="B1054" s="823" t="s">
        <v>576</v>
      </c>
      <c r="C1054" s="826" t="s">
        <v>600</v>
      </c>
      <c r="D1054" s="840" t="s">
        <v>601</v>
      </c>
      <c r="E1054" s="826" t="s">
        <v>3065</v>
      </c>
      <c r="F1054" s="840" t="s">
        <v>3066</v>
      </c>
      <c r="G1054" s="826" t="s">
        <v>3714</v>
      </c>
      <c r="H1054" s="826" t="s">
        <v>3715</v>
      </c>
      <c r="I1054" s="832">
        <v>3130.75</v>
      </c>
      <c r="J1054" s="832">
        <v>4</v>
      </c>
      <c r="K1054" s="833">
        <v>12523</v>
      </c>
    </row>
    <row r="1055" spans="1:11" ht="14.45" customHeight="1" x14ac:dyDescent="0.2">
      <c r="A1055" s="822" t="s">
        <v>575</v>
      </c>
      <c r="B1055" s="823" t="s">
        <v>576</v>
      </c>
      <c r="C1055" s="826" t="s">
        <v>600</v>
      </c>
      <c r="D1055" s="840" t="s">
        <v>601</v>
      </c>
      <c r="E1055" s="826" t="s">
        <v>3065</v>
      </c>
      <c r="F1055" s="840" t="s">
        <v>3066</v>
      </c>
      <c r="G1055" s="826" t="s">
        <v>3714</v>
      </c>
      <c r="H1055" s="826" t="s">
        <v>3716</v>
      </c>
      <c r="I1055" s="832">
        <v>3130.75</v>
      </c>
      <c r="J1055" s="832">
        <v>4</v>
      </c>
      <c r="K1055" s="833">
        <v>12523</v>
      </c>
    </row>
    <row r="1056" spans="1:11" ht="14.45" customHeight="1" x14ac:dyDescent="0.2">
      <c r="A1056" s="822" t="s">
        <v>575</v>
      </c>
      <c r="B1056" s="823" t="s">
        <v>576</v>
      </c>
      <c r="C1056" s="826" t="s">
        <v>600</v>
      </c>
      <c r="D1056" s="840" t="s">
        <v>601</v>
      </c>
      <c r="E1056" s="826" t="s">
        <v>3065</v>
      </c>
      <c r="F1056" s="840" t="s">
        <v>3066</v>
      </c>
      <c r="G1056" s="826" t="s">
        <v>3717</v>
      </c>
      <c r="H1056" s="826" t="s">
        <v>3718</v>
      </c>
      <c r="I1056" s="832">
        <v>213.35000610351563</v>
      </c>
      <c r="J1056" s="832">
        <v>29</v>
      </c>
      <c r="K1056" s="833">
        <v>6187.0699768066406</v>
      </c>
    </row>
    <row r="1057" spans="1:11" ht="14.45" customHeight="1" x14ac:dyDescent="0.2">
      <c r="A1057" s="822" t="s">
        <v>575</v>
      </c>
      <c r="B1057" s="823" t="s">
        <v>576</v>
      </c>
      <c r="C1057" s="826" t="s">
        <v>600</v>
      </c>
      <c r="D1057" s="840" t="s">
        <v>601</v>
      </c>
      <c r="E1057" s="826" t="s">
        <v>3065</v>
      </c>
      <c r="F1057" s="840" t="s">
        <v>3066</v>
      </c>
      <c r="G1057" s="826" t="s">
        <v>3721</v>
      </c>
      <c r="H1057" s="826" t="s">
        <v>3722</v>
      </c>
      <c r="I1057" s="832">
        <v>2722.5</v>
      </c>
      <c r="J1057" s="832">
        <v>17</v>
      </c>
      <c r="K1057" s="833">
        <v>46282.5</v>
      </c>
    </row>
    <row r="1058" spans="1:11" ht="14.45" customHeight="1" x14ac:dyDescent="0.2">
      <c r="A1058" s="822" t="s">
        <v>575</v>
      </c>
      <c r="B1058" s="823" t="s">
        <v>576</v>
      </c>
      <c r="C1058" s="826" t="s">
        <v>600</v>
      </c>
      <c r="D1058" s="840" t="s">
        <v>601</v>
      </c>
      <c r="E1058" s="826" t="s">
        <v>3065</v>
      </c>
      <c r="F1058" s="840" t="s">
        <v>3066</v>
      </c>
      <c r="G1058" s="826" t="s">
        <v>3721</v>
      </c>
      <c r="H1058" s="826" t="s">
        <v>3723</v>
      </c>
      <c r="I1058" s="832">
        <v>2722.5</v>
      </c>
      <c r="J1058" s="832">
        <v>16</v>
      </c>
      <c r="K1058" s="833">
        <v>43560</v>
      </c>
    </row>
    <row r="1059" spans="1:11" ht="14.45" customHeight="1" x14ac:dyDescent="0.2">
      <c r="A1059" s="822" t="s">
        <v>575</v>
      </c>
      <c r="B1059" s="823" t="s">
        <v>576</v>
      </c>
      <c r="C1059" s="826" t="s">
        <v>600</v>
      </c>
      <c r="D1059" s="840" t="s">
        <v>601</v>
      </c>
      <c r="E1059" s="826" t="s">
        <v>3735</v>
      </c>
      <c r="F1059" s="840" t="s">
        <v>3736</v>
      </c>
      <c r="G1059" s="826" t="s">
        <v>4344</v>
      </c>
      <c r="H1059" s="826" t="s">
        <v>4345</v>
      </c>
      <c r="I1059" s="832">
        <v>38.360000610351563</v>
      </c>
      <c r="J1059" s="832">
        <v>8</v>
      </c>
      <c r="K1059" s="833">
        <v>306.8599853515625</v>
      </c>
    </row>
    <row r="1060" spans="1:11" ht="14.45" customHeight="1" x14ac:dyDescent="0.2">
      <c r="A1060" s="822" t="s">
        <v>575</v>
      </c>
      <c r="B1060" s="823" t="s">
        <v>576</v>
      </c>
      <c r="C1060" s="826" t="s">
        <v>600</v>
      </c>
      <c r="D1060" s="840" t="s">
        <v>601</v>
      </c>
      <c r="E1060" s="826" t="s">
        <v>3735</v>
      </c>
      <c r="F1060" s="840" t="s">
        <v>3736</v>
      </c>
      <c r="G1060" s="826" t="s">
        <v>4344</v>
      </c>
      <c r="H1060" s="826" t="s">
        <v>4346</v>
      </c>
      <c r="I1060" s="832">
        <v>38.360000610351563</v>
      </c>
      <c r="J1060" s="832">
        <v>3</v>
      </c>
      <c r="K1060" s="833">
        <v>115.06999969482422</v>
      </c>
    </row>
    <row r="1061" spans="1:11" ht="14.45" customHeight="1" x14ac:dyDescent="0.2">
      <c r="A1061" s="822" t="s">
        <v>575</v>
      </c>
      <c r="B1061" s="823" t="s">
        <v>576</v>
      </c>
      <c r="C1061" s="826" t="s">
        <v>600</v>
      </c>
      <c r="D1061" s="840" t="s">
        <v>601</v>
      </c>
      <c r="E1061" s="826" t="s">
        <v>3081</v>
      </c>
      <c r="F1061" s="840" t="s">
        <v>3082</v>
      </c>
      <c r="G1061" s="826" t="s">
        <v>4347</v>
      </c>
      <c r="H1061" s="826" t="s">
        <v>4348</v>
      </c>
      <c r="I1061" s="832">
        <v>65.199996948242188</v>
      </c>
      <c r="J1061" s="832">
        <v>110</v>
      </c>
      <c r="K1061" s="833">
        <v>7172</v>
      </c>
    </row>
    <row r="1062" spans="1:11" ht="14.45" customHeight="1" x14ac:dyDescent="0.2">
      <c r="A1062" s="822" t="s">
        <v>575</v>
      </c>
      <c r="B1062" s="823" t="s">
        <v>576</v>
      </c>
      <c r="C1062" s="826" t="s">
        <v>600</v>
      </c>
      <c r="D1062" s="840" t="s">
        <v>601</v>
      </c>
      <c r="E1062" s="826" t="s">
        <v>3081</v>
      </c>
      <c r="F1062" s="840" t="s">
        <v>3082</v>
      </c>
      <c r="G1062" s="826" t="s">
        <v>4349</v>
      </c>
      <c r="H1062" s="826" t="s">
        <v>4350</v>
      </c>
      <c r="I1062" s="832">
        <v>41.169998168945313</v>
      </c>
      <c r="J1062" s="832">
        <v>90</v>
      </c>
      <c r="K1062" s="833">
        <v>3705.300048828125</v>
      </c>
    </row>
    <row r="1063" spans="1:11" ht="14.45" customHeight="1" x14ac:dyDescent="0.2">
      <c r="A1063" s="822" t="s">
        <v>575</v>
      </c>
      <c r="B1063" s="823" t="s">
        <v>576</v>
      </c>
      <c r="C1063" s="826" t="s">
        <v>600</v>
      </c>
      <c r="D1063" s="840" t="s">
        <v>601</v>
      </c>
      <c r="E1063" s="826" t="s">
        <v>3081</v>
      </c>
      <c r="F1063" s="840" t="s">
        <v>3082</v>
      </c>
      <c r="G1063" s="826" t="s">
        <v>4347</v>
      </c>
      <c r="H1063" s="826" t="s">
        <v>4351</v>
      </c>
      <c r="I1063" s="832">
        <v>65.199996948242188</v>
      </c>
      <c r="J1063" s="832">
        <v>60</v>
      </c>
      <c r="K1063" s="833">
        <v>3912</v>
      </c>
    </row>
    <row r="1064" spans="1:11" ht="14.45" customHeight="1" x14ac:dyDescent="0.2">
      <c r="A1064" s="822" t="s">
        <v>575</v>
      </c>
      <c r="B1064" s="823" t="s">
        <v>576</v>
      </c>
      <c r="C1064" s="826" t="s">
        <v>600</v>
      </c>
      <c r="D1064" s="840" t="s">
        <v>601</v>
      </c>
      <c r="E1064" s="826" t="s">
        <v>3081</v>
      </c>
      <c r="F1064" s="840" t="s">
        <v>3082</v>
      </c>
      <c r="G1064" s="826" t="s">
        <v>4349</v>
      </c>
      <c r="H1064" s="826" t="s">
        <v>4352</v>
      </c>
      <c r="I1064" s="832">
        <v>41.169998168945313</v>
      </c>
      <c r="J1064" s="832">
        <v>70</v>
      </c>
      <c r="K1064" s="833">
        <v>2881.9000854492188</v>
      </c>
    </row>
    <row r="1065" spans="1:11" ht="14.45" customHeight="1" x14ac:dyDescent="0.2">
      <c r="A1065" s="822" t="s">
        <v>575</v>
      </c>
      <c r="B1065" s="823" t="s">
        <v>576</v>
      </c>
      <c r="C1065" s="826" t="s">
        <v>600</v>
      </c>
      <c r="D1065" s="840" t="s">
        <v>601</v>
      </c>
      <c r="E1065" s="826" t="s">
        <v>3081</v>
      </c>
      <c r="F1065" s="840" t="s">
        <v>3082</v>
      </c>
      <c r="G1065" s="826" t="s">
        <v>3085</v>
      </c>
      <c r="H1065" s="826" t="s">
        <v>3086</v>
      </c>
      <c r="I1065" s="832">
        <v>1259.7100219726563</v>
      </c>
      <c r="J1065" s="832">
        <v>11</v>
      </c>
      <c r="K1065" s="833">
        <v>13736.64990234375</v>
      </c>
    </row>
    <row r="1066" spans="1:11" ht="14.45" customHeight="1" x14ac:dyDescent="0.2">
      <c r="A1066" s="822" t="s">
        <v>575</v>
      </c>
      <c r="B1066" s="823" t="s">
        <v>576</v>
      </c>
      <c r="C1066" s="826" t="s">
        <v>600</v>
      </c>
      <c r="D1066" s="840" t="s">
        <v>601</v>
      </c>
      <c r="E1066" s="826" t="s">
        <v>3081</v>
      </c>
      <c r="F1066" s="840" t="s">
        <v>3082</v>
      </c>
      <c r="G1066" s="826" t="s">
        <v>4353</v>
      </c>
      <c r="H1066" s="826" t="s">
        <v>4354</v>
      </c>
      <c r="I1066" s="832">
        <v>0.98000001907348633</v>
      </c>
      <c r="J1066" s="832">
        <v>500</v>
      </c>
      <c r="K1066" s="833">
        <v>490</v>
      </c>
    </row>
    <row r="1067" spans="1:11" ht="14.45" customHeight="1" x14ac:dyDescent="0.2">
      <c r="A1067" s="822" t="s">
        <v>575</v>
      </c>
      <c r="B1067" s="823" t="s">
        <v>576</v>
      </c>
      <c r="C1067" s="826" t="s">
        <v>600</v>
      </c>
      <c r="D1067" s="840" t="s">
        <v>601</v>
      </c>
      <c r="E1067" s="826" t="s">
        <v>3081</v>
      </c>
      <c r="F1067" s="840" t="s">
        <v>3082</v>
      </c>
      <c r="G1067" s="826" t="s">
        <v>4353</v>
      </c>
      <c r="H1067" s="826" t="s">
        <v>4355</v>
      </c>
      <c r="I1067" s="832">
        <v>0.98000001907348633</v>
      </c>
      <c r="J1067" s="832">
        <v>1000</v>
      </c>
      <c r="K1067" s="833">
        <v>980</v>
      </c>
    </row>
    <row r="1068" spans="1:11" ht="14.45" customHeight="1" x14ac:dyDescent="0.2">
      <c r="A1068" s="822" t="s">
        <v>575</v>
      </c>
      <c r="B1068" s="823" t="s">
        <v>576</v>
      </c>
      <c r="C1068" s="826" t="s">
        <v>600</v>
      </c>
      <c r="D1068" s="840" t="s">
        <v>601</v>
      </c>
      <c r="E1068" s="826" t="s">
        <v>3081</v>
      </c>
      <c r="F1068" s="840" t="s">
        <v>3082</v>
      </c>
      <c r="G1068" s="826" t="s">
        <v>3099</v>
      </c>
      <c r="H1068" s="826" t="s">
        <v>3101</v>
      </c>
      <c r="I1068" s="832">
        <v>0.43000000715255737</v>
      </c>
      <c r="J1068" s="832">
        <v>1300</v>
      </c>
      <c r="K1068" s="833">
        <v>559</v>
      </c>
    </row>
    <row r="1069" spans="1:11" ht="14.45" customHeight="1" x14ac:dyDescent="0.2">
      <c r="A1069" s="822" t="s">
        <v>575</v>
      </c>
      <c r="B1069" s="823" t="s">
        <v>576</v>
      </c>
      <c r="C1069" s="826" t="s">
        <v>600</v>
      </c>
      <c r="D1069" s="840" t="s">
        <v>601</v>
      </c>
      <c r="E1069" s="826" t="s">
        <v>3081</v>
      </c>
      <c r="F1069" s="840" t="s">
        <v>3082</v>
      </c>
      <c r="G1069" s="826" t="s">
        <v>3113</v>
      </c>
      <c r="H1069" s="826" t="s">
        <v>3114</v>
      </c>
      <c r="I1069" s="832">
        <v>1.1811110708448622</v>
      </c>
      <c r="J1069" s="832">
        <v>700</v>
      </c>
      <c r="K1069" s="833">
        <v>828.5</v>
      </c>
    </row>
    <row r="1070" spans="1:11" ht="14.45" customHeight="1" x14ac:dyDescent="0.2">
      <c r="A1070" s="822" t="s">
        <v>575</v>
      </c>
      <c r="B1070" s="823" t="s">
        <v>576</v>
      </c>
      <c r="C1070" s="826" t="s">
        <v>600</v>
      </c>
      <c r="D1070" s="840" t="s">
        <v>601</v>
      </c>
      <c r="E1070" s="826" t="s">
        <v>3081</v>
      </c>
      <c r="F1070" s="840" t="s">
        <v>3082</v>
      </c>
      <c r="G1070" s="826" t="s">
        <v>3113</v>
      </c>
      <c r="H1070" s="826" t="s">
        <v>3115</v>
      </c>
      <c r="I1070" s="832">
        <v>1.1799999475479126</v>
      </c>
      <c r="J1070" s="832">
        <v>200</v>
      </c>
      <c r="K1070" s="833">
        <v>236</v>
      </c>
    </row>
    <row r="1071" spans="1:11" ht="14.45" customHeight="1" x14ac:dyDescent="0.2">
      <c r="A1071" s="822" t="s">
        <v>575</v>
      </c>
      <c r="B1071" s="823" t="s">
        <v>576</v>
      </c>
      <c r="C1071" s="826" t="s">
        <v>600</v>
      </c>
      <c r="D1071" s="840" t="s">
        <v>601</v>
      </c>
      <c r="E1071" s="826" t="s">
        <v>3081</v>
      </c>
      <c r="F1071" s="840" t="s">
        <v>3082</v>
      </c>
      <c r="G1071" s="826" t="s">
        <v>3122</v>
      </c>
      <c r="H1071" s="826" t="s">
        <v>3123</v>
      </c>
      <c r="I1071" s="832">
        <v>6.3299999237060547</v>
      </c>
      <c r="J1071" s="832">
        <v>100</v>
      </c>
      <c r="K1071" s="833">
        <v>633</v>
      </c>
    </row>
    <row r="1072" spans="1:11" ht="14.45" customHeight="1" x14ac:dyDescent="0.2">
      <c r="A1072" s="822" t="s">
        <v>575</v>
      </c>
      <c r="B1072" s="823" t="s">
        <v>576</v>
      </c>
      <c r="C1072" s="826" t="s">
        <v>600</v>
      </c>
      <c r="D1072" s="840" t="s">
        <v>601</v>
      </c>
      <c r="E1072" s="826" t="s">
        <v>3081</v>
      </c>
      <c r="F1072" s="840" t="s">
        <v>3082</v>
      </c>
      <c r="G1072" s="826" t="s">
        <v>4356</v>
      </c>
      <c r="H1072" s="826" t="s">
        <v>4357</v>
      </c>
      <c r="I1072" s="832">
        <v>138</v>
      </c>
      <c r="J1072" s="832">
        <v>30</v>
      </c>
      <c r="K1072" s="833">
        <v>4140</v>
      </c>
    </row>
    <row r="1073" spans="1:11" ht="14.45" customHeight="1" x14ac:dyDescent="0.2">
      <c r="A1073" s="822" t="s">
        <v>575</v>
      </c>
      <c r="B1073" s="823" t="s">
        <v>576</v>
      </c>
      <c r="C1073" s="826" t="s">
        <v>600</v>
      </c>
      <c r="D1073" s="840" t="s">
        <v>601</v>
      </c>
      <c r="E1073" s="826" t="s">
        <v>3081</v>
      </c>
      <c r="F1073" s="840" t="s">
        <v>3082</v>
      </c>
      <c r="G1073" s="826" t="s">
        <v>4358</v>
      </c>
      <c r="H1073" s="826" t="s">
        <v>4359</v>
      </c>
      <c r="I1073" s="832">
        <v>167.83000183105469</v>
      </c>
      <c r="J1073" s="832">
        <v>30</v>
      </c>
      <c r="K1073" s="833">
        <v>5034.89990234375</v>
      </c>
    </row>
    <row r="1074" spans="1:11" ht="14.45" customHeight="1" x14ac:dyDescent="0.2">
      <c r="A1074" s="822" t="s">
        <v>575</v>
      </c>
      <c r="B1074" s="823" t="s">
        <v>576</v>
      </c>
      <c r="C1074" s="826" t="s">
        <v>600</v>
      </c>
      <c r="D1074" s="840" t="s">
        <v>601</v>
      </c>
      <c r="E1074" s="826" t="s">
        <v>3081</v>
      </c>
      <c r="F1074" s="840" t="s">
        <v>3082</v>
      </c>
      <c r="G1074" s="826" t="s">
        <v>4360</v>
      </c>
      <c r="H1074" s="826" t="s">
        <v>4361</v>
      </c>
      <c r="I1074" s="832">
        <v>517.5</v>
      </c>
      <c r="J1074" s="832">
        <v>100</v>
      </c>
      <c r="K1074" s="833">
        <v>51750</v>
      </c>
    </row>
    <row r="1075" spans="1:11" ht="14.45" customHeight="1" x14ac:dyDescent="0.2">
      <c r="A1075" s="822" t="s">
        <v>575</v>
      </c>
      <c r="B1075" s="823" t="s">
        <v>576</v>
      </c>
      <c r="C1075" s="826" t="s">
        <v>600</v>
      </c>
      <c r="D1075" s="840" t="s">
        <v>601</v>
      </c>
      <c r="E1075" s="826" t="s">
        <v>3081</v>
      </c>
      <c r="F1075" s="840" t="s">
        <v>3082</v>
      </c>
      <c r="G1075" s="826" t="s">
        <v>4362</v>
      </c>
      <c r="H1075" s="826" t="s">
        <v>4363</v>
      </c>
      <c r="I1075" s="832">
        <v>3835.02001953125</v>
      </c>
      <c r="J1075" s="832">
        <v>12</v>
      </c>
      <c r="K1075" s="833">
        <v>46020.23828125</v>
      </c>
    </row>
    <row r="1076" spans="1:11" ht="14.45" customHeight="1" x14ac:dyDescent="0.2">
      <c r="A1076" s="822" t="s">
        <v>575</v>
      </c>
      <c r="B1076" s="823" t="s">
        <v>576</v>
      </c>
      <c r="C1076" s="826" t="s">
        <v>600</v>
      </c>
      <c r="D1076" s="840" t="s">
        <v>601</v>
      </c>
      <c r="E1076" s="826" t="s">
        <v>3081</v>
      </c>
      <c r="F1076" s="840" t="s">
        <v>3082</v>
      </c>
      <c r="G1076" s="826" t="s">
        <v>4364</v>
      </c>
      <c r="H1076" s="826" t="s">
        <v>4365</v>
      </c>
      <c r="I1076" s="832">
        <v>1380</v>
      </c>
      <c r="J1076" s="832">
        <v>10</v>
      </c>
      <c r="K1076" s="833">
        <v>13800</v>
      </c>
    </row>
    <row r="1077" spans="1:11" ht="14.45" customHeight="1" x14ac:dyDescent="0.2">
      <c r="A1077" s="822" t="s">
        <v>575</v>
      </c>
      <c r="B1077" s="823" t="s">
        <v>576</v>
      </c>
      <c r="C1077" s="826" t="s">
        <v>600</v>
      </c>
      <c r="D1077" s="840" t="s">
        <v>601</v>
      </c>
      <c r="E1077" s="826" t="s">
        <v>3081</v>
      </c>
      <c r="F1077" s="840" t="s">
        <v>3082</v>
      </c>
      <c r="G1077" s="826" t="s">
        <v>3135</v>
      </c>
      <c r="H1077" s="826" t="s">
        <v>3136</v>
      </c>
      <c r="I1077" s="832">
        <v>22.149999618530273</v>
      </c>
      <c r="J1077" s="832">
        <v>20</v>
      </c>
      <c r="K1077" s="833">
        <v>443</v>
      </c>
    </row>
    <row r="1078" spans="1:11" ht="14.45" customHeight="1" x14ac:dyDescent="0.2">
      <c r="A1078" s="822" t="s">
        <v>575</v>
      </c>
      <c r="B1078" s="823" t="s">
        <v>576</v>
      </c>
      <c r="C1078" s="826" t="s">
        <v>600</v>
      </c>
      <c r="D1078" s="840" t="s">
        <v>601</v>
      </c>
      <c r="E1078" s="826" t="s">
        <v>3081</v>
      </c>
      <c r="F1078" s="840" t="s">
        <v>3082</v>
      </c>
      <c r="G1078" s="826" t="s">
        <v>3149</v>
      </c>
      <c r="H1078" s="826" t="s">
        <v>3150</v>
      </c>
      <c r="I1078" s="832">
        <v>176.58999633789063</v>
      </c>
      <c r="J1078" s="832">
        <v>3</v>
      </c>
      <c r="K1078" s="833">
        <v>492.34999084472656</v>
      </c>
    </row>
    <row r="1079" spans="1:11" ht="14.45" customHeight="1" x14ac:dyDescent="0.2">
      <c r="A1079" s="822" t="s">
        <v>575</v>
      </c>
      <c r="B1079" s="823" t="s">
        <v>576</v>
      </c>
      <c r="C1079" s="826" t="s">
        <v>600</v>
      </c>
      <c r="D1079" s="840" t="s">
        <v>601</v>
      </c>
      <c r="E1079" s="826" t="s">
        <v>3081</v>
      </c>
      <c r="F1079" s="840" t="s">
        <v>3082</v>
      </c>
      <c r="G1079" s="826" t="s">
        <v>4366</v>
      </c>
      <c r="H1079" s="826" t="s">
        <v>4367</v>
      </c>
      <c r="I1079" s="832">
        <v>376.16500549316407</v>
      </c>
      <c r="J1079" s="832">
        <v>16</v>
      </c>
      <c r="K1079" s="833">
        <v>6032.9000854492188</v>
      </c>
    </row>
    <row r="1080" spans="1:11" ht="14.45" customHeight="1" x14ac:dyDescent="0.2">
      <c r="A1080" s="822" t="s">
        <v>575</v>
      </c>
      <c r="B1080" s="823" t="s">
        <v>576</v>
      </c>
      <c r="C1080" s="826" t="s">
        <v>600</v>
      </c>
      <c r="D1080" s="840" t="s">
        <v>601</v>
      </c>
      <c r="E1080" s="826" t="s">
        <v>3081</v>
      </c>
      <c r="F1080" s="840" t="s">
        <v>3082</v>
      </c>
      <c r="G1080" s="826" t="s">
        <v>3161</v>
      </c>
      <c r="H1080" s="826" t="s">
        <v>3162</v>
      </c>
      <c r="I1080" s="832">
        <v>22.944000244140625</v>
      </c>
      <c r="J1080" s="832">
        <v>450</v>
      </c>
      <c r="K1080" s="833">
        <v>10324</v>
      </c>
    </row>
    <row r="1081" spans="1:11" ht="14.45" customHeight="1" x14ac:dyDescent="0.2">
      <c r="A1081" s="822" t="s">
        <v>575</v>
      </c>
      <c r="B1081" s="823" t="s">
        <v>576</v>
      </c>
      <c r="C1081" s="826" t="s">
        <v>600</v>
      </c>
      <c r="D1081" s="840" t="s">
        <v>601</v>
      </c>
      <c r="E1081" s="826" t="s">
        <v>3081</v>
      </c>
      <c r="F1081" s="840" t="s">
        <v>3082</v>
      </c>
      <c r="G1081" s="826" t="s">
        <v>3122</v>
      </c>
      <c r="H1081" s="826" t="s">
        <v>3166</v>
      </c>
      <c r="I1081" s="832">
        <v>6.3266666730244951</v>
      </c>
      <c r="J1081" s="832">
        <v>400</v>
      </c>
      <c r="K1081" s="833">
        <v>2530</v>
      </c>
    </row>
    <row r="1082" spans="1:11" ht="14.45" customHeight="1" x14ac:dyDescent="0.2">
      <c r="A1082" s="822" t="s">
        <v>575</v>
      </c>
      <c r="B1082" s="823" t="s">
        <v>576</v>
      </c>
      <c r="C1082" s="826" t="s">
        <v>600</v>
      </c>
      <c r="D1082" s="840" t="s">
        <v>601</v>
      </c>
      <c r="E1082" s="826" t="s">
        <v>3081</v>
      </c>
      <c r="F1082" s="840" t="s">
        <v>3082</v>
      </c>
      <c r="G1082" s="826" t="s">
        <v>4356</v>
      </c>
      <c r="H1082" s="826" t="s">
        <v>4368</v>
      </c>
      <c r="I1082" s="832">
        <v>138</v>
      </c>
      <c r="J1082" s="832">
        <v>15</v>
      </c>
      <c r="K1082" s="833">
        <v>2070</v>
      </c>
    </row>
    <row r="1083" spans="1:11" ht="14.45" customHeight="1" x14ac:dyDescent="0.2">
      <c r="A1083" s="822" t="s">
        <v>575</v>
      </c>
      <c r="B1083" s="823" t="s">
        <v>576</v>
      </c>
      <c r="C1083" s="826" t="s">
        <v>600</v>
      </c>
      <c r="D1083" s="840" t="s">
        <v>601</v>
      </c>
      <c r="E1083" s="826" t="s">
        <v>3081</v>
      </c>
      <c r="F1083" s="840" t="s">
        <v>3082</v>
      </c>
      <c r="G1083" s="826" t="s">
        <v>4358</v>
      </c>
      <c r="H1083" s="826" t="s">
        <v>4369</v>
      </c>
      <c r="I1083" s="832">
        <v>167.83000183105469</v>
      </c>
      <c r="J1083" s="832">
        <v>15</v>
      </c>
      <c r="K1083" s="833">
        <v>2517.449951171875</v>
      </c>
    </row>
    <row r="1084" spans="1:11" ht="14.45" customHeight="1" x14ac:dyDescent="0.2">
      <c r="A1084" s="822" t="s">
        <v>575</v>
      </c>
      <c r="B1084" s="823" t="s">
        <v>576</v>
      </c>
      <c r="C1084" s="826" t="s">
        <v>600</v>
      </c>
      <c r="D1084" s="840" t="s">
        <v>601</v>
      </c>
      <c r="E1084" s="826" t="s">
        <v>3081</v>
      </c>
      <c r="F1084" s="840" t="s">
        <v>3082</v>
      </c>
      <c r="G1084" s="826" t="s">
        <v>4360</v>
      </c>
      <c r="H1084" s="826" t="s">
        <v>4370</v>
      </c>
      <c r="I1084" s="832">
        <v>517.5</v>
      </c>
      <c r="J1084" s="832">
        <v>60</v>
      </c>
      <c r="K1084" s="833">
        <v>31050</v>
      </c>
    </row>
    <row r="1085" spans="1:11" ht="14.45" customHeight="1" x14ac:dyDescent="0.2">
      <c r="A1085" s="822" t="s">
        <v>575</v>
      </c>
      <c r="B1085" s="823" t="s">
        <v>576</v>
      </c>
      <c r="C1085" s="826" t="s">
        <v>600</v>
      </c>
      <c r="D1085" s="840" t="s">
        <v>601</v>
      </c>
      <c r="E1085" s="826" t="s">
        <v>3081</v>
      </c>
      <c r="F1085" s="840" t="s">
        <v>3082</v>
      </c>
      <c r="G1085" s="826" t="s">
        <v>4362</v>
      </c>
      <c r="H1085" s="826" t="s">
        <v>4371</v>
      </c>
      <c r="I1085" s="832">
        <v>3835.02001953125</v>
      </c>
      <c r="J1085" s="832">
        <v>3</v>
      </c>
      <c r="K1085" s="833">
        <v>11505.0595703125</v>
      </c>
    </row>
    <row r="1086" spans="1:11" ht="14.45" customHeight="1" x14ac:dyDescent="0.2">
      <c r="A1086" s="822" t="s">
        <v>575</v>
      </c>
      <c r="B1086" s="823" t="s">
        <v>576</v>
      </c>
      <c r="C1086" s="826" t="s">
        <v>600</v>
      </c>
      <c r="D1086" s="840" t="s">
        <v>601</v>
      </c>
      <c r="E1086" s="826" t="s">
        <v>3081</v>
      </c>
      <c r="F1086" s="840" t="s">
        <v>3082</v>
      </c>
      <c r="G1086" s="826" t="s">
        <v>4372</v>
      </c>
      <c r="H1086" s="826" t="s">
        <v>4373</v>
      </c>
      <c r="I1086" s="832">
        <v>98.419998168945313</v>
      </c>
      <c r="J1086" s="832">
        <v>10</v>
      </c>
      <c r="K1086" s="833">
        <v>984.19000244140625</v>
      </c>
    </row>
    <row r="1087" spans="1:11" ht="14.45" customHeight="1" x14ac:dyDescent="0.2">
      <c r="A1087" s="822" t="s">
        <v>575</v>
      </c>
      <c r="B1087" s="823" t="s">
        <v>576</v>
      </c>
      <c r="C1087" s="826" t="s">
        <v>600</v>
      </c>
      <c r="D1087" s="840" t="s">
        <v>601</v>
      </c>
      <c r="E1087" s="826" t="s">
        <v>3081</v>
      </c>
      <c r="F1087" s="840" t="s">
        <v>3082</v>
      </c>
      <c r="G1087" s="826" t="s">
        <v>3149</v>
      </c>
      <c r="H1087" s="826" t="s">
        <v>3179</v>
      </c>
      <c r="I1087" s="832">
        <v>139.16999816894531</v>
      </c>
      <c r="J1087" s="832">
        <v>1</v>
      </c>
      <c r="K1087" s="833">
        <v>139.16999816894531</v>
      </c>
    </row>
    <row r="1088" spans="1:11" ht="14.45" customHeight="1" x14ac:dyDescent="0.2">
      <c r="A1088" s="822" t="s">
        <v>575</v>
      </c>
      <c r="B1088" s="823" t="s">
        <v>576</v>
      </c>
      <c r="C1088" s="826" t="s">
        <v>600</v>
      </c>
      <c r="D1088" s="840" t="s">
        <v>601</v>
      </c>
      <c r="E1088" s="826" t="s">
        <v>3081</v>
      </c>
      <c r="F1088" s="840" t="s">
        <v>3082</v>
      </c>
      <c r="G1088" s="826" t="s">
        <v>4366</v>
      </c>
      <c r="H1088" s="826" t="s">
        <v>4374</v>
      </c>
      <c r="I1088" s="832">
        <v>372.60000610351563</v>
      </c>
      <c r="J1088" s="832">
        <v>7</v>
      </c>
      <c r="K1088" s="833">
        <v>2608.2000427246094</v>
      </c>
    </row>
    <row r="1089" spans="1:11" ht="14.45" customHeight="1" x14ac:dyDescent="0.2">
      <c r="A1089" s="822" t="s">
        <v>575</v>
      </c>
      <c r="B1089" s="823" t="s">
        <v>576</v>
      </c>
      <c r="C1089" s="826" t="s">
        <v>600</v>
      </c>
      <c r="D1089" s="840" t="s">
        <v>601</v>
      </c>
      <c r="E1089" s="826" t="s">
        <v>3081</v>
      </c>
      <c r="F1089" s="840" t="s">
        <v>3082</v>
      </c>
      <c r="G1089" s="826" t="s">
        <v>4375</v>
      </c>
      <c r="H1089" s="826" t="s">
        <v>4376</v>
      </c>
      <c r="I1089" s="832">
        <v>41.240001678466797</v>
      </c>
      <c r="J1089" s="832">
        <v>100</v>
      </c>
      <c r="K1089" s="833">
        <v>4124.35986328125</v>
      </c>
    </row>
    <row r="1090" spans="1:11" ht="14.45" customHeight="1" x14ac:dyDescent="0.2">
      <c r="A1090" s="822" t="s">
        <v>575</v>
      </c>
      <c r="B1090" s="823" t="s">
        <v>576</v>
      </c>
      <c r="C1090" s="826" t="s">
        <v>600</v>
      </c>
      <c r="D1090" s="840" t="s">
        <v>601</v>
      </c>
      <c r="E1090" s="826" t="s">
        <v>3081</v>
      </c>
      <c r="F1090" s="840" t="s">
        <v>3082</v>
      </c>
      <c r="G1090" s="826" t="s">
        <v>3184</v>
      </c>
      <c r="H1090" s="826" t="s">
        <v>3185</v>
      </c>
      <c r="I1090" s="832">
        <v>1.3799999952316284</v>
      </c>
      <c r="J1090" s="832">
        <v>1750</v>
      </c>
      <c r="K1090" s="833">
        <v>2415</v>
      </c>
    </row>
    <row r="1091" spans="1:11" ht="14.45" customHeight="1" x14ac:dyDescent="0.2">
      <c r="A1091" s="822" t="s">
        <v>575</v>
      </c>
      <c r="B1091" s="823" t="s">
        <v>576</v>
      </c>
      <c r="C1091" s="826" t="s">
        <v>600</v>
      </c>
      <c r="D1091" s="840" t="s">
        <v>601</v>
      </c>
      <c r="E1091" s="826" t="s">
        <v>3081</v>
      </c>
      <c r="F1091" s="840" t="s">
        <v>3082</v>
      </c>
      <c r="G1091" s="826" t="s">
        <v>3190</v>
      </c>
      <c r="H1091" s="826" t="s">
        <v>3191</v>
      </c>
      <c r="I1091" s="832">
        <v>2.0611110528310141</v>
      </c>
      <c r="J1091" s="832">
        <v>900</v>
      </c>
      <c r="K1091" s="833">
        <v>1855</v>
      </c>
    </row>
    <row r="1092" spans="1:11" ht="14.45" customHeight="1" x14ac:dyDescent="0.2">
      <c r="A1092" s="822" t="s">
        <v>575</v>
      </c>
      <c r="B1092" s="823" t="s">
        <v>576</v>
      </c>
      <c r="C1092" s="826" t="s">
        <v>600</v>
      </c>
      <c r="D1092" s="840" t="s">
        <v>601</v>
      </c>
      <c r="E1092" s="826" t="s">
        <v>3081</v>
      </c>
      <c r="F1092" s="840" t="s">
        <v>3082</v>
      </c>
      <c r="G1092" s="826" t="s">
        <v>3194</v>
      </c>
      <c r="H1092" s="826" t="s">
        <v>3195</v>
      </c>
      <c r="I1092" s="832">
        <v>5.8762500286102295</v>
      </c>
      <c r="J1092" s="832">
        <v>700</v>
      </c>
      <c r="K1092" s="833">
        <v>4113.52001953125</v>
      </c>
    </row>
    <row r="1093" spans="1:11" ht="14.45" customHeight="1" x14ac:dyDescent="0.2">
      <c r="A1093" s="822" t="s">
        <v>575</v>
      </c>
      <c r="B1093" s="823" t="s">
        <v>576</v>
      </c>
      <c r="C1093" s="826" t="s">
        <v>600</v>
      </c>
      <c r="D1093" s="840" t="s">
        <v>601</v>
      </c>
      <c r="E1093" s="826" t="s">
        <v>3081</v>
      </c>
      <c r="F1093" s="840" t="s">
        <v>3082</v>
      </c>
      <c r="G1093" s="826" t="s">
        <v>3204</v>
      </c>
      <c r="H1093" s="826" t="s">
        <v>3205</v>
      </c>
      <c r="I1093" s="832">
        <v>98.375</v>
      </c>
      <c r="J1093" s="832">
        <v>3</v>
      </c>
      <c r="K1093" s="833">
        <v>295.12000274658203</v>
      </c>
    </row>
    <row r="1094" spans="1:11" ht="14.45" customHeight="1" x14ac:dyDescent="0.2">
      <c r="A1094" s="822" t="s">
        <v>575</v>
      </c>
      <c r="B1094" s="823" t="s">
        <v>576</v>
      </c>
      <c r="C1094" s="826" t="s">
        <v>600</v>
      </c>
      <c r="D1094" s="840" t="s">
        <v>601</v>
      </c>
      <c r="E1094" s="826" t="s">
        <v>3081</v>
      </c>
      <c r="F1094" s="840" t="s">
        <v>3082</v>
      </c>
      <c r="G1094" s="826" t="s">
        <v>3206</v>
      </c>
      <c r="H1094" s="826" t="s">
        <v>3207</v>
      </c>
      <c r="I1094" s="832">
        <v>0.37999999523162842</v>
      </c>
      <c r="J1094" s="832">
        <v>10</v>
      </c>
      <c r="K1094" s="833">
        <v>3.7999999523162842</v>
      </c>
    </row>
    <row r="1095" spans="1:11" ht="14.45" customHeight="1" x14ac:dyDescent="0.2">
      <c r="A1095" s="822" t="s">
        <v>575</v>
      </c>
      <c r="B1095" s="823" t="s">
        <v>576</v>
      </c>
      <c r="C1095" s="826" t="s">
        <v>600</v>
      </c>
      <c r="D1095" s="840" t="s">
        <v>601</v>
      </c>
      <c r="E1095" s="826" t="s">
        <v>3081</v>
      </c>
      <c r="F1095" s="840" t="s">
        <v>3082</v>
      </c>
      <c r="G1095" s="826" t="s">
        <v>3210</v>
      </c>
      <c r="H1095" s="826" t="s">
        <v>3211</v>
      </c>
      <c r="I1095" s="832">
        <v>7.7012500166893005</v>
      </c>
      <c r="J1095" s="832">
        <v>180</v>
      </c>
      <c r="K1095" s="833">
        <v>1386.9599838256836</v>
      </c>
    </row>
    <row r="1096" spans="1:11" ht="14.45" customHeight="1" x14ac:dyDescent="0.2">
      <c r="A1096" s="822" t="s">
        <v>575</v>
      </c>
      <c r="B1096" s="823" t="s">
        <v>576</v>
      </c>
      <c r="C1096" s="826" t="s">
        <v>600</v>
      </c>
      <c r="D1096" s="840" t="s">
        <v>601</v>
      </c>
      <c r="E1096" s="826" t="s">
        <v>3081</v>
      </c>
      <c r="F1096" s="840" t="s">
        <v>3082</v>
      </c>
      <c r="G1096" s="826" t="s">
        <v>3809</v>
      </c>
      <c r="H1096" s="826" t="s">
        <v>3810</v>
      </c>
      <c r="I1096" s="832">
        <v>25.553332646687824</v>
      </c>
      <c r="J1096" s="832">
        <v>72</v>
      </c>
      <c r="K1096" s="833">
        <v>1839.9400024414063</v>
      </c>
    </row>
    <row r="1097" spans="1:11" ht="14.45" customHeight="1" x14ac:dyDescent="0.2">
      <c r="A1097" s="822" t="s">
        <v>575</v>
      </c>
      <c r="B1097" s="823" t="s">
        <v>576</v>
      </c>
      <c r="C1097" s="826" t="s">
        <v>600</v>
      </c>
      <c r="D1097" s="840" t="s">
        <v>601</v>
      </c>
      <c r="E1097" s="826" t="s">
        <v>3081</v>
      </c>
      <c r="F1097" s="840" t="s">
        <v>3082</v>
      </c>
      <c r="G1097" s="826" t="s">
        <v>3184</v>
      </c>
      <c r="H1097" s="826" t="s">
        <v>3214</v>
      </c>
      <c r="I1097" s="832">
        <v>1.3799999952316284</v>
      </c>
      <c r="J1097" s="832">
        <v>1200</v>
      </c>
      <c r="K1097" s="833">
        <v>1656</v>
      </c>
    </row>
    <row r="1098" spans="1:11" ht="14.45" customHeight="1" x14ac:dyDescent="0.2">
      <c r="A1098" s="822" t="s">
        <v>575</v>
      </c>
      <c r="B1098" s="823" t="s">
        <v>576</v>
      </c>
      <c r="C1098" s="826" t="s">
        <v>600</v>
      </c>
      <c r="D1098" s="840" t="s">
        <v>601</v>
      </c>
      <c r="E1098" s="826" t="s">
        <v>3081</v>
      </c>
      <c r="F1098" s="840" t="s">
        <v>3082</v>
      </c>
      <c r="G1098" s="826" t="s">
        <v>3190</v>
      </c>
      <c r="H1098" s="826" t="s">
        <v>3217</v>
      </c>
      <c r="I1098" s="832">
        <v>2.0614285128457204</v>
      </c>
      <c r="J1098" s="832">
        <v>600</v>
      </c>
      <c r="K1098" s="833">
        <v>1236.5</v>
      </c>
    </row>
    <row r="1099" spans="1:11" ht="14.45" customHeight="1" x14ac:dyDescent="0.2">
      <c r="A1099" s="822" t="s">
        <v>575</v>
      </c>
      <c r="B1099" s="823" t="s">
        <v>576</v>
      </c>
      <c r="C1099" s="826" t="s">
        <v>600</v>
      </c>
      <c r="D1099" s="840" t="s">
        <v>601</v>
      </c>
      <c r="E1099" s="826" t="s">
        <v>3081</v>
      </c>
      <c r="F1099" s="840" t="s">
        <v>3082</v>
      </c>
      <c r="G1099" s="826" t="s">
        <v>3194</v>
      </c>
      <c r="H1099" s="826" t="s">
        <v>3219</v>
      </c>
      <c r="I1099" s="832">
        <v>5.8733332951863604</v>
      </c>
      <c r="J1099" s="832">
        <v>300</v>
      </c>
      <c r="K1099" s="833">
        <v>1762</v>
      </c>
    </row>
    <row r="1100" spans="1:11" ht="14.45" customHeight="1" x14ac:dyDescent="0.2">
      <c r="A1100" s="822" t="s">
        <v>575</v>
      </c>
      <c r="B1100" s="823" t="s">
        <v>576</v>
      </c>
      <c r="C1100" s="826" t="s">
        <v>600</v>
      </c>
      <c r="D1100" s="840" t="s">
        <v>601</v>
      </c>
      <c r="E1100" s="826" t="s">
        <v>3081</v>
      </c>
      <c r="F1100" s="840" t="s">
        <v>3082</v>
      </c>
      <c r="G1100" s="826" t="s">
        <v>3204</v>
      </c>
      <c r="H1100" s="826" t="s">
        <v>3221</v>
      </c>
      <c r="I1100" s="832">
        <v>98.379997253417969</v>
      </c>
      <c r="J1100" s="832">
        <v>2</v>
      </c>
      <c r="K1100" s="833">
        <v>196.75999450683594</v>
      </c>
    </row>
    <row r="1101" spans="1:11" ht="14.45" customHeight="1" x14ac:dyDescent="0.2">
      <c r="A1101" s="822" t="s">
        <v>575</v>
      </c>
      <c r="B1101" s="823" t="s">
        <v>576</v>
      </c>
      <c r="C1101" s="826" t="s">
        <v>600</v>
      </c>
      <c r="D1101" s="840" t="s">
        <v>601</v>
      </c>
      <c r="E1101" s="826" t="s">
        <v>3081</v>
      </c>
      <c r="F1101" s="840" t="s">
        <v>3082</v>
      </c>
      <c r="G1101" s="826" t="s">
        <v>4377</v>
      </c>
      <c r="H1101" s="826" t="s">
        <v>4378</v>
      </c>
      <c r="I1101" s="832">
        <v>5.619999885559082</v>
      </c>
      <c r="J1101" s="832">
        <v>48</v>
      </c>
      <c r="K1101" s="833">
        <v>269.92001342773438</v>
      </c>
    </row>
    <row r="1102" spans="1:11" ht="14.45" customHeight="1" x14ac:dyDescent="0.2">
      <c r="A1102" s="822" t="s">
        <v>575</v>
      </c>
      <c r="B1102" s="823" t="s">
        <v>576</v>
      </c>
      <c r="C1102" s="826" t="s">
        <v>600</v>
      </c>
      <c r="D1102" s="840" t="s">
        <v>601</v>
      </c>
      <c r="E1102" s="826" t="s">
        <v>3081</v>
      </c>
      <c r="F1102" s="840" t="s">
        <v>3082</v>
      </c>
      <c r="G1102" s="826" t="s">
        <v>3210</v>
      </c>
      <c r="H1102" s="826" t="s">
        <v>3816</v>
      </c>
      <c r="I1102" s="832">
        <v>7.630000114440918</v>
      </c>
      <c r="J1102" s="832">
        <v>120</v>
      </c>
      <c r="K1102" s="833">
        <v>915.5999755859375</v>
      </c>
    </row>
    <row r="1103" spans="1:11" ht="14.45" customHeight="1" x14ac:dyDescent="0.2">
      <c r="A1103" s="822" t="s">
        <v>575</v>
      </c>
      <c r="B1103" s="823" t="s">
        <v>576</v>
      </c>
      <c r="C1103" s="826" t="s">
        <v>600</v>
      </c>
      <c r="D1103" s="840" t="s">
        <v>601</v>
      </c>
      <c r="E1103" s="826" t="s">
        <v>3081</v>
      </c>
      <c r="F1103" s="840" t="s">
        <v>3082</v>
      </c>
      <c r="G1103" s="826" t="s">
        <v>3809</v>
      </c>
      <c r="H1103" s="826" t="s">
        <v>3819</v>
      </c>
      <c r="I1103" s="832">
        <v>25.559999465942383</v>
      </c>
      <c r="J1103" s="832">
        <v>48</v>
      </c>
      <c r="K1103" s="833">
        <v>1226.7200317382813</v>
      </c>
    </row>
    <row r="1104" spans="1:11" ht="14.45" customHeight="1" x14ac:dyDescent="0.2">
      <c r="A1104" s="822" t="s">
        <v>575</v>
      </c>
      <c r="B1104" s="823" t="s">
        <v>576</v>
      </c>
      <c r="C1104" s="826" t="s">
        <v>600</v>
      </c>
      <c r="D1104" s="840" t="s">
        <v>601</v>
      </c>
      <c r="E1104" s="826" t="s">
        <v>3081</v>
      </c>
      <c r="F1104" s="840" t="s">
        <v>3082</v>
      </c>
      <c r="G1104" s="826" t="s">
        <v>4379</v>
      </c>
      <c r="H1104" s="826" t="s">
        <v>4380</v>
      </c>
      <c r="I1104" s="832">
        <v>10.525000095367432</v>
      </c>
      <c r="J1104" s="832">
        <v>180</v>
      </c>
      <c r="K1104" s="833">
        <v>1894.4000244140625</v>
      </c>
    </row>
    <row r="1105" spans="1:11" ht="14.45" customHeight="1" x14ac:dyDescent="0.2">
      <c r="A1105" s="822" t="s">
        <v>575</v>
      </c>
      <c r="B1105" s="823" t="s">
        <v>576</v>
      </c>
      <c r="C1105" s="826" t="s">
        <v>600</v>
      </c>
      <c r="D1105" s="840" t="s">
        <v>601</v>
      </c>
      <c r="E1105" s="826" t="s">
        <v>3081</v>
      </c>
      <c r="F1105" s="840" t="s">
        <v>3082</v>
      </c>
      <c r="G1105" s="826" t="s">
        <v>4379</v>
      </c>
      <c r="H1105" s="826" t="s">
        <v>4381</v>
      </c>
      <c r="I1105" s="832">
        <v>10.525000095367432</v>
      </c>
      <c r="J1105" s="832">
        <v>80</v>
      </c>
      <c r="K1105" s="833">
        <v>842</v>
      </c>
    </row>
    <row r="1106" spans="1:11" ht="14.45" customHeight="1" x14ac:dyDescent="0.2">
      <c r="A1106" s="822" t="s">
        <v>575</v>
      </c>
      <c r="B1106" s="823" t="s">
        <v>576</v>
      </c>
      <c r="C1106" s="826" t="s">
        <v>600</v>
      </c>
      <c r="D1106" s="840" t="s">
        <v>601</v>
      </c>
      <c r="E1106" s="826" t="s">
        <v>3081</v>
      </c>
      <c r="F1106" s="840" t="s">
        <v>3082</v>
      </c>
      <c r="G1106" s="826" t="s">
        <v>3236</v>
      </c>
      <c r="H1106" s="826" t="s">
        <v>3237</v>
      </c>
      <c r="I1106" s="832">
        <v>1490.1900024414063</v>
      </c>
      <c r="J1106" s="832">
        <v>11</v>
      </c>
      <c r="K1106" s="833">
        <v>16392.10009765625</v>
      </c>
    </row>
    <row r="1107" spans="1:11" ht="14.45" customHeight="1" x14ac:dyDescent="0.2">
      <c r="A1107" s="822" t="s">
        <v>575</v>
      </c>
      <c r="B1107" s="823" t="s">
        <v>576</v>
      </c>
      <c r="C1107" s="826" t="s">
        <v>600</v>
      </c>
      <c r="D1107" s="840" t="s">
        <v>601</v>
      </c>
      <c r="E1107" s="826" t="s">
        <v>3081</v>
      </c>
      <c r="F1107" s="840" t="s">
        <v>3082</v>
      </c>
      <c r="G1107" s="826" t="s">
        <v>4382</v>
      </c>
      <c r="H1107" s="826" t="s">
        <v>4383</v>
      </c>
      <c r="I1107" s="832">
        <v>10.976666450500488</v>
      </c>
      <c r="J1107" s="832">
        <v>25500</v>
      </c>
      <c r="K1107" s="833">
        <v>280252.19873046875</v>
      </c>
    </row>
    <row r="1108" spans="1:11" ht="14.45" customHeight="1" x14ac:dyDescent="0.2">
      <c r="A1108" s="822" t="s">
        <v>575</v>
      </c>
      <c r="B1108" s="823" t="s">
        <v>576</v>
      </c>
      <c r="C1108" s="826" t="s">
        <v>600</v>
      </c>
      <c r="D1108" s="840" t="s">
        <v>601</v>
      </c>
      <c r="E1108" s="826" t="s">
        <v>3081</v>
      </c>
      <c r="F1108" s="840" t="s">
        <v>3082</v>
      </c>
      <c r="G1108" s="826" t="s">
        <v>4382</v>
      </c>
      <c r="H1108" s="826" t="s">
        <v>4384</v>
      </c>
      <c r="I1108" s="832">
        <v>10.869999885559082</v>
      </c>
      <c r="J1108" s="832">
        <v>7500</v>
      </c>
      <c r="K1108" s="833">
        <v>81506.25</v>
      </c>
    </row>
    <row r="1109" spans="1:11" ht="14.45" customHeight="1" x14ac:dyDescent="0.2">
      <c r="A1109" s="822" t="s">
        <v>575</v>
      </c>
      <c r="B1109" s="823" t="s">
        <v>576</v>
      </c>
      <c r="C1109" s="826" t="s">
        <v>600</v>
      </c>
      <c r="D1109" s="840" t="s">
        <v>601</v>
      </c>
      <c r="E1109" s="826" t="s">
        <v>3081</v>
      </c>
      <c r="F1109" s="840" t="s">
        <v>3082</v>
      </c>
      <c r="G1109" s="826" t="s">
        <v>4385</v>
      </c>
      <c r="H1109" s="826" t="s">
        <v>4386</v>
      </c>
      <c r="I1109" s="832">
        <v>3.7999999523162842</v>
      </c>
      <c r="J1109" s="832">
        <v>750</v>
      </c>
      <c r="K1109" s="833">
        <v>2846.25</v>
      </c>
    </row>
    <row r="1110" spans="1:11" ht="14.45" customHeight="1" x14ac:dyDescent="0.2">
      <c r="A1110" s="822" t="s">
        <v>575</v>
      </c>
      <c r="B1110" s="823" t="s">
        <v>576</v>
      </c>
      <c r="C1110" s="826" t="s">
        <v>600</v>
      </c>
      <c r="D1110" s="840" t="s">
        <v>601</v>
      </c>
      <c r="E1110" s="826" t="s">
        <v>3081</v>
      </c>
      <c r="F1110" s="840" t="s">
        <v>3082</v>
      </c>
      <c r="G1110" s="826" t="s">
        <v>4387</v>
      </c>
      <c r="H1110" s="826" t="s">
        <v>4388</v>
      </c>
      <c r="I1110" s="832">
        <v>8.7399997711181641</v>
      </c>
      <c r="J1110" s="832">
        <v>500</v>
      </c>
      <c r="K1110" s="833">
        <v>4370</v>
      </c>
    </row>
    <row r="1111" spans="1:11" ht="14.45" customHeight="1" x14ac:dyDescent="0.2">
      <c r="A1111" s="822" t="s">
        <v>575</v>
      </c>
      <c r="B1111" s="823" t="s">
        <v>576</v>
      </c>
      <c r="C1111" s="826" t="s">
        <v>600</v>
      </c>
      <c r="D1111" s="840" t="s">
        <v>601</v>
      </c>
      <c r="E1111" s="826" t="s">
        <v>3081</v>
      </c>
      <c r="F1111" s="840" t="s">
        <v>3082</v>
      </c>
      <c r="G1111" s="826" t="s">
        <v>4389</v>
      </c>
      <c r="H1111" s="826" t="s">
        <v>4390</v>
      </c>
      <c r="I1111" s="832">
        <v>408.6400146484375</v>
      </c>
      <c r="J1111" s="832">
        <v>50</v>
      </c>
      <c r="K1111" s="833">
        <v>20432.049560546875</v>
      </c>
    </row>
    <row r="1112" spans="1:11" ht="14.45" customHeight="1" x14ac:dyDescent="0.2">
      <c r="A1112" s="822" t="s">
        <v>575</v>
      </c>
      <c r="B1112" s="823" t="s">
        <v>576</v>
      </c>
      <c r="C1112" s="826" t="s">
        <v>600</v>
      </c>
      <c r="D1112" s="840" t="s">
        <v>601</v>
      </c>
      <c r="E1112" s="826" t="s">
        <v>3081</v>
      </c>
      <c r="F1112" s="840" t="s">
        <v>3082</v>
      </c>
      <c r="G1112" s="826" t="s">
        <v>4389</v>
      </c>
      <c r="H1112" s="826" t="s">
        <v>4391</v>
      </c>
      <c r="I1112" s="832">
        <v>408.6400146484375</v>
      </c>
      <c r="J1112" s="832">
        <v>20</v>
      </c>
      <c r="K1112" s="833">
        <v>8172.81982421875</v>
      </c>
    </row>
    <row r="1113" spans="1:11" ht="14.45" customHeight="1" x14ac:dyDescent="0.2">
      <c r="A1113" s="822" t="s">
        <v>575</v>
      </c>
      <c r="B1113" s="823" t="s">
        <v>576</v>
      </c>
      <c r="C1113" s="826" t="s">
        <v>600</v>
      </c>
      <c r="D1113" s="840" t="s">
        <v>601</v>
      </c>
      <c r="E1113" s="826" t="s">
        <v>3081</v>
      </c>
      <c r="F1113" s="840" t="s">
        <v>3082</v>
      </c>
      <c r="G1113" s="826" t="s">
        <v>4392</v>
      </c>
      <c r="H1113" s="826" t="s">
        <v>4393</v>
      </c>
      <c r="I1113" s="832">
        <v>7.4800000190734863</v>
      </c>
      <c r="J1113" s="832">
        <v>100</v>
      </c>
      <c r="K1113" s="833">
        <v>747.5</v>
      </c>
    </row>
    <row r="1114" spans="1:11" ht="14.45" customHeight="1" x14ac:dyDescent="0.2">
      <c r="A1114" s="822" t="s">
        <v>575</v>
      </c>
      <c r="B1114" s="823" t="s">
        <v>576</v>
      </c>
      <c r="C1114" s="826" t="s">
        <v>600</v>
      </c>
      <c r="D1114" s="840" t="s">
        <v>601</v>
      </c>
      <c r="E1114" s="826" t="s">
        <v>3081</v>
      </c>
      <c r="F1114" s="840" t="s">
        <v>3082</v>
      </c>
      <c r="G1114" s="826" t="s">
        <v>4392</v>
      </c>
      <c r="H1114" s="826" t="s">
        <v>4394</v>
      </c>
      <c r="I1114" s="832">
        <v>7.4800000190734863</v>
      </c>
      <c r="J1114" s="832">
        <v>100</v>
      </c>
      <c r="K1114" s="833">
        <v>747.5</v>
      </c>
    </row>
    <row r="1115" spans="1:11" ht="14.45" customHeight="1" x14ac:dyDescent="0.2">
      <c r="A1115" s="822" t="s">
        <v>575</v>
      </c>
      <c r="B1115" s="823" t="s">
        <v>576</v>
      </c>
      <c r="C1115" s="826" t="s">
        <v>600</v>
      </c>
      <c r="D1115" s="840" t="s">
        <v>601</v>
      </c>
      <c r="E1115" s="826" t="s">
        <v>3081</v>
      </c>
      <c r="F1115" s="840" t="s">
        <v>3082</v>
      </c>
      <c r="G1115" s="826" t="s">
        <v>3246</v>
      </c>
      <c r="H1115" s="826" t="s">
        <v>4395</v>
      </c>
      <c r="I1115" s="832">
        <v>4347</v>
      </c>
      <c r="J1115" s="832">
        <v>5</v>
      </c>
      <c r="K1115" s="833">
        <v>21735</v>
      </c>
    </row>
    <row r="1116" spans="1:11" ht="14.45" customHeight="1" x14ac:dyDescent="0.2">
      <c r="A1116" s="822" t="s">
        <v>575</v>
      </c>
      <c r="B1116" s="823" t="s">
        <v>576</v>
      </c>
      <c r="C1116" s="826" t="s">
        <v>600</v>
      </c>
      <c r="D1116" s="840" t="s">
        <v>601</v>
      </c>
      <c r="E1116" s="826" t="s">
        <v>3081</v>
      </c>
      <c r="F1116" s="840" t="s">
        <v>3082</v>
      </c>
      <c r="G1116" s="826" t="s">
        <v>3250</v>
      </c>
      <c r="H1116" s="826" t="s">
        <v>3251</v>
      </c>
      <c r="I1116" s="832">
        <v>0.49818181991577148</v>
      </c>
      <c r="J1116" s="832">
        <v>8400</v>
      </c>
      <c r="K1116" s="833">
        <v>4187</v>
      </c>
    </row>
    <row r="1117" spans="1:11" ht="14.45" customHeight="1" x14ac:dyDescent="0.2">
      <c r="A1117" s="822" t="s">
        <v>575</v>
      </c>
      <c r="B1117" s="823" t="s">
        <v>576</v>
      </c>
      <c r="C1117" s="826" t="s">
        <v>600</v>
      </c>
      <c r="D1117" s="840" t="s">
        <v>601</v>
      </c>
      <c r="E1117" s="826" t="s">
        <v>3081</v>
      </c>
      <c r="F1117" s="840" t="s">
        <v>3082</v>
      </c>
      <c r="G1117" s="826" t="s">
        <v>4396</v>
      </c>
      <c r="H1117" s="826" t="s">
        <v>4397</v>
      </c>
      <c r="I1117" s="832">
        <v>2.3820001125335692</v>
      </c>
      <c r="J1117" s="832">
        <v>2200</v>
      </c>
      <c r="K1117" s="833">
        <v>5241.1999816894531</v>
      </c>
    </row>
    <row r="1118" spans="1:11" ht="14.45" customHeight="1" x14ac:dyDescent="0.2">
      <c r="A1118" s="822" t="s">
        <v>575</v>
      </c>
      <c r="B1118" s="823" t="s">
        <v>576</v>
      </c>
      <c r="C1118" s="826" t="s">
        <v>600</v>
      </c>
      <c r="D1118" s="840" t="s">
        <v>601</v>
      </c>
      <c r="E1118" s="826" t="s">
        <v>3081</v>
      </c>
      <c r="F1118" s="840" t="s">
        <v>3082</v>
      </c>
      <c r="G1118" s="826" t="s">
        <v>3250</v>
      </c>
      <c r="H1118" s="826" t="s">
        <v>3252</v>
      </c>
      <c r="I1118" s="832">
        <v>0.49666666984558105</v>
      </c>
      <c r="J1118" s="832">
        <v>5500</v>
      </c>
      <c r="K1118" s="833">
        <v>2730</v>
      </c>
    </row>
    <row r="1119" spans="1:11" ht="14.45" customHeight="1" x14ac:dyDescent="0.2">
      <c r="A1119" s="822" t="s">
        <v>575</v>
      </c>
      <c r="B1119" s="823" t="s">
        <v>576</v>
      </c>
      <c r="C1119" s="826" t="s">
        <v>600</v>
      </c>
      <c r="D1119" s="840" t="s">
        <v>601</v>
      </c>
      <c r="E1119" s="826" t="s">
        <v>3081</v>
      </c>
      <c r="F1119" s="840" t="s">
        <v>3082</v>
      </c>
      <c r="G1119" s="826" t="s">
        <v>4396</v>
      </c>
      <c r="H1119" s="826" t="s">
        <v>4398</v>
      </c>
      <c r="I1119" s="832">
        <v>2.3920001029968261</v>
      </c>
      <c r="J1119" s="832">
        <v>1120</v>
      </c>
      <c r="K1119" s="833">
        <v>2674.3999938964844</v>
      </c>
    </row>
    <row r="1120" spans="1:11" ht="14.45" customHeight="1" x14ac:dyDescent="0.2">
      <c r="A1120" s="822" t="s">
        <v>575</v>
      </c>
      <c r="B1120" s="823" t="s">
        <v>576</v>
      </c>
      <c r="C1120" s="826" t="s">
        <v>600</v>
      </c>
      <c r="D1120" s="840" t="s">
        <v>601</v>
      </c>
      <c r="E1120" s="826" t="s">
        <v>3081</v>
      </c>
      <c r="F1120" s="840" t="s">
        <v>3082</v>
      </c>
      <c r="G1120" s="826" t="s">
        <v>4399</v>
      </c>
      <c r="H1120" s="826" t="s">
        <v>4400</v>
      </c>
      <c r="I1120" s="832">
        <v>5.1774998903274536</v>
      </c>
      <c r="J1120" s="832">
        <v>6000</v>
      </c>
      <c r="K1120" s="833">
        <v>31050</v>
      </c>
    </row>
    <row r="1121" spans="1:11" ht="14.45" customHeight="1" x14ac:dyDescent="0.2">
      <c r="A1121" s="822" t="s">
        <v>575</v>
      </c>
      <c r="B1121" s="823" t="s">
        <v>576</v>
      </c>
      <c r="C1121" s="826" t="s">
        <v>600</v>
      </c>
      <c r="D1121" s="840" t="s">
        <v>601</v>
      </c>
      <c r="E1121" s="826" t="s">
        <v>3081</v>
      </c>
      <c r="F1121" s="840" t="s">
        <v>3082</v>
      </c>
      <c r="G1121" s="826" t="s">
        <v>4399</v>
      </c>
      <c r="H1121" s="826" t="s">
        <v>4401</v>
      </c>
      <c r="I1121" s="832">
        <v>5.1774998903274536</v>
      </c>
      <c r="J1121" s="832">
        <v>4400</v>
      </c>
      <c r="K1121" s="833">
        <v>22770.010009765625</v>
      </c>
    </row>
    <row r="1122" spans="1:11" ht="14.45" customHeight="1" x14ac:dyDescent="0.2">
      <c r="A1122" s="822" t="s">
        <v>575</v>
      </c>
      <c r="B1122" s="823" t="s">
        <v>576</v>
      </c>
      <c r="C1122" s="826" t="s">
        <v>600</v>
      </c>
      <c r="D1122" s="840" t="s">
        <v>601</v>
      </c>
      <c r="E1122" s="826" t="s">
        <v>3264</v>
      </c>
      <c r="F1122" s="840" t="s">
        <v>3265</v>
      </c>
      <c r="G1122" s="826" t="s">
        <v>4402</v>
      </c>
      <c r="H1122" s="826" t="s">
        <v>4403</v>
      </c>
      <c r="I1122" s="832">
        <v>9.9700002670288086</v>
      </c>
      <c r="J1122" s="832">
        <v>100</v>
      </c>
      <c r="K1122" s="833">
        <v>997.03997802734375</v>
      </c>
    </row>
    <row r="1123" spans="1:11" ht="14.45" customHeight="1" x14ac:dyDescent="0.2">
      <c r="A1123" s="822" t="s">
        <v>575</v>
      </c>
      <c r="B1123" s="823" t="s">
        <v>576</v>
      </c>
      <c r="C1123" s="826" t="s">
        <v>600</v>
      </c>
      <c r="D1123" s="840" t="s">
        <v>601</v>
      </c>
      <c r="E1123" s="826" t="s">
        <v>3264</v>
      </c>
      <c r="F1123" s="840" t="s">
        <v>3265</v>
      </c>
      <c r="G1123" s="826" t="s">
        <v>4402</v>
      </c>
      <c r="H1123" s="826" t="s">
        <v>4404</v>
      </c>
      <c r="I1123" s="832">
        <v>9.9700002670288086</v>
      </c>
      <c r="J1123" s="832">
        <v>100</v>
      </c>
      <c r="K1123" s="833">
        <v>997.03997802734375</v>
      </c>
    </row>
    <row r="1124" spans="1:11" ht="14.45" customHeight="1" x14ac:dyDescent="0.2">
      <c r="A1124" s="822" t="s">
        <v>575</v>
      </c>
      <c r="B1124" s="823" t="s">
        <v>576</v>
      </c>
      <c r="C1124" s="826" t="s">
        <v>600</v>
      </c>
      <c r="D1124" s="840" t="s">
        <v>601</v>
      </c>
      <c r="E1124" s="826" t="s">
        <v>3264</v>
      </c>
      <c r="F1124" s="840" t="s">
        <v>3265</v>
      </c>
      <c r="G1124" s="826" t="s">
        <v>4405</v>
      </c>
      <c r="H1124" s="826" t="s">
        <v>4406</v>
      </c>
      <c r="I1124" s="832">
        <v>1.2100000381469727</v>
      </c>
      <c r="J1124" s="832">
        <v>4</v>
      </c>
      <c r="K1124" s="833">
        <v>4.8400001525878906</v>
      </c>
    </row>
    <row r="1125" spans="1:11" ht="14.45" customHeight="1" x14ac:dyDescent="0.2">
      <c r="A1125" s="822" t="s">
        <v>575</v>
      </c>
      <c r="B1125" s="823" t="s">
        <v>576</v>
      </c>
      <c r="C1125" s="826" t="s">
        <v>600</v>
      </c>
      <c r="D1125" s="840" t="s">
        <v>601</v>
      </c>
      <c r="E1125" s="826" t="s">
        <v>3264</v>
      </c>
      <c r="F1125" s="840" t="s">
        <v>3265</v>
      </c>
      <c r="G1125" s="826" t="s">
        <v>4407</v>
      </c>
      <c r="H1125" s="826" t="s">
        <v>4408</v>
      </c>
      <c r="I1125" s="832">
        <v>935</v>
      </c>
      <c r="J1125" s="832">
        <v>4</v>
      </c>
      <c r="K1125" s="833">
        <v>3740</v>
      </c>
    </row>
    <row r="1126" spans="1:11" ht="14.45" customHeight="1" x14ac:dyDescent="0.2">
      <c r="A1126" s="822" t="s">
        <v>575</v>
      </c>
      <c r="B1126" s="823" t="s">
        <v>576</v>
      </c>
      <c r="C1126" s="826" t="s">
        <v>600</v>
      </c>
      <c r="D1126" s="840" t="s">
        <v>601</v>
      </c>
      <c r="E1126" s="826" t="s">
        <v>3264</v>
      </c>
      <c r="F1126" s="840" t="s">
        <v>3265</v>
      </c>
      <c r="G1126" s="826" t="s">
        <v>3272</v>
      </c>
      <c r="H1126" s="826" t="s">
        <v>3273</v>
      </c>
      <c r="I1126" s="832">
        <v>2.9066667556762695</v>
      </c>
      <c r="J1126" s="832">
        <v>300</v>
      </c>
      <c r="K1126" s="833">
        <v>872</v>
      </c>
    </row>
    <row r="1127" spans="1:11" ht="14.45" customHeight="1" x14ac:dyDescent="0.2">
      <c r="A1127" s="822" t="s">
        <v>575</v>
      </c>
      <c r="B1127" s="823" t="s">
        <v>576</v>
      </c>
      <c r="C1127" s="826" t="s">
        <v>600</v>
      </c>
      <c r="D1127" s="840" t="s">
        <v>601</v>
      </c>
      <c r="E1127" s="826" t="s">
        <v>3264</v>
      </c>
      <c r="F1127" s="840" t="s">
        <v>3265</v>
      </c>
      <c r="G1127" s="826" t="s">
        <v>4409</v>
      </c>
      <c r="H1127" s="826" t="s">
        <v>4410</v>
      </c>
      <c r="I1127" s="832">
        <v>2.9000000953674316</v>
      </c>
      <c r="J1127" s="832">
        <v>300</v>
      </c>
      <c r="K1127" s="833">
        <v>870</v>
      </c>
    </row>
    <row r="1128" spans="1:11" ht="14.45" customHeight="1" x14ac:dyDescent="0.2">
      <c r="A1128" s="822" t="s">
        <v>575</v>
      </c>
      <c r="B1128" s="823" t="s">
        <v>576</v>
      </c>
      <c r="C1128" s="826" t="s">
        <v>600</v>
      </c>
      <c r="D1128" s="840" t="s">
        <v>601</v>
      </c>
      <c r="E1128" s="826" t="s">
        <v>3264</v>
      </c>
      <c r="F1128" s="840" t="s">
        <v>3265</v>
      </c>
      <c r="G1128" s="826" t="s">
        <v>4411</v>
      </c>
      <c r="H1128" s="826" t="s">
        <v>4412</v>
      </c>
      <c r="I1128" s="832">
        <v>2.9000000953674316</v>
      </c>
      <c r="J1128" s="832">
        <v>200</v>
      </c>
      <c r="K1128" s="833">
        <v>580.39999389648438</v>
      </c>
    </row>
    <row r="1129" spans="1:11" ht="14.45" customHeight="1" x14ac:dyDescent="0.2">
      <c r="A1129" s="822" t="s">
        <v>575</v>
      </c>
      <c r="B1129" s="823" t="s">
        <v>576</v>
      </c>
      <c r="C1129" s="826" t="s">
        <v>600</v>
      </c>
      <c r="D1129" s="840" t="s">
        <v>601</v>
      </c>
      <c r="E1129" s="826" t="s">
        <v>3264</v>
      </c>
      <c r="F1129" s="840" t="s">
        <v>3265</v>
      </c>
      <c r="G1129" s="826" t="s">
        <v>3837</v>
      </c>
      <c r="H1129" s="826" t="s">
        <v>3838</v>
      </c>
      <c r="I1129" s="832">
        <v>13.800000190734863</v>
      </c>
      <c r="J1129" s="832">
        <v>10</v>
      </c>
      <c r="K1129" s="833">
        <v>138.00999450683594</v>
      </c>
    </row>
    <row r="1130" spans="1:11" ht="14.45" customHeight="1" x14ac:dyDescent="0.2">
      <c r="A1130" s="822" t="s">
        <v>575</v>
      </c>
      <c r="B1130" s="823" t="s">
        <v>576</v>
      </c>
      <c r="C1130" s="826" t="s">
        <v>600</v>
      </c>
      <c r="D1130" s="840" t="s">
        <v>601</v>
      </c>
      <c r="E1130" s="826" t="s">
        <v>3264</v>
      </c>
      <c r="F1130" s="840" t="s">
        <v>3265</v>
      </c>
      <c r="G1130" s="826" t="s">
        <v>4413</v>
      </c>
      <c r="H1130" s="826" t="s">
        <v>4414</v>
      </c>
      <c r="I1130" s="832">
        <v>41091.6015625</v>
      </c>
      <c r="J1130" s="832">
        <v>1</v>
      </c>
      <c r="K1130" s="833">
        <v>41091.6015625</v>
      </c>
    </row>
    <row r="1131" spans="1:11" ht="14.45" customHeight="1" x14ac:dyDescent="0.2">
      <c r="A1131" s="822" t="s">
        <v>575</v>
      </c>
      <c r="B1131" s="823" t="s">
        <v>576</v>
      </c>
      <c r="C1131" s="826" t="s">
        <v>600</v>
      </c>
      <c r="D1131" s="840" t="s">
        <v>601</v>
      </c>
      <c r="E1131" s="826" t="s">
        <v>3264</v>
      </c>
      <c r="F1131" s="840" t="s">
        <v>3265</v>
      </c>
      <c r="G1131" s="826" t="s">
        <v>4415</v>
      </c>
      <c r="H1131" s="826" t="s">
        <v>4416</v>
      </c>
      <c r="I1131" s="832">
        <v>39930</v>
      </c>
      <c r="J1131" s="832">
        <v>5</v>
      </c>
      <c r="K1131" s="833">
        <v>199650</v>
      </c>
    </row>
    <row r="1132" spans="1:11" ht="14.45" customHeight="1" x14ac:dyDescent="0.2">
      <c r="A1132" s="822" t="s">
        <v>575</v>
      </c>
      <c r="B1132" s="823" t="s">
        <v>576</v>
      </c>
      <c r="C1132" s="826" t="s">
        <v>600</v>
      </c>
      <c r="D1132" s="840" t="s">
        <v>601</v>
      </c>
      <c r="E1132" s="826" t="s">
        <v>3264</v>
      </c>
      <c r="F1132" s="840" t="s">
        <v>3265</v>
      </c>
      <c r="G1132" s="826" t="s">
        <v>4417</v>
      </c>
      <c r="H1132" s="826" t="s">
        <v>4418</v>
      </c>
      <c r="I1132" s="832">
        <v>1488.300048828125</v>
      </c>
      <c r="J1132" s="832">
        <v>12</v>
      </c>
      <c r="K1132" s="833">
        <v>17859.599609375</v>
      </c>
    </row>
    <row r="1133" spans="1:11" ht="14.45" customHeight="1" x14ac:dyDescent="0.2">
      <c r="A1133" s="822" t="s">
        <v>575</v>
      </c>
      <c r="B1133" s="823" t="s">
        <v>576</v>
      </c>
      <c r="C1133" s="826" t="s">
        <v>600</v>
      </c>
      <c r="D1133" s="840" t="s">
        <v>601</v>
      </c>
      <c r="E1133" s="826" t="s">
        <v>3264</v>
      </c>
      <c r="F1133" s="840" t="s">
        <v>3265</v>
      </c>
      <c r="G1133" s="826" t="s">
        <v>4409</v>
      </c>
      <c r="H1133" s="826" t="s">
        <v>4419</v>
      </c>
      <c r="I1133" s="832">
        <v>2.9050000905990601</v>
      </c>
      <c r="J1133" s="832">
        <v>200</v>
      </c>
      <c r="K1133" s="833">
        <v>581</v>
      </c>
    </row>
    <row r="1134" spans="1:11" ht="14.45" customHeight="1" x14ac:dyDescent="0.2">
      <c r="A1134" s="822" t="s">
        <v>575</v>
      </c>
      <c r="B1134" s="823" t="s">
        <v>576</v>
      </c>
      <c r="C1134" s="826" t="s">
        <v>600</v>
      </c>
      <c r="D1134" s="840" t="s">
        <v>601</v>
      </c>
      <c r="E1134" s="826" t="s">
        <v>3264</v>
      </c>
      <c r="F1134" s="840" t="s">
        <v>3265</v>
      </c>
      <c r="G1134" s="826" t="s">
        <v>4411</v>
      </c>
      <c r="H1134" s="826" t="s">
        <v>4420</v>
      </c>
      <c r="I1134" s="832">
        <v>2.9000000953674316</v>
      </c>
      <c r="J1134" s="832">
        <v>200</v>
      </c>
      <c r="K1134" s="833">
        <v>580.79998779296875</v>
      </c>
    </row>
    <row r="1135" spans="1:11" ht="14.45" customHeight="1" x14ac:dyDescent="0.2">
      <c r="A1135" s="822" t="s">
        <v>575</v>
      </c>
      <c r="B1135" s="823" t="s">
        <v>576</v>
      </c>
      <c r="C1135" s="826" t="s">
        <v>600</v>
      </c>
      <c r="D1135" s="840" t="s">
        <v>601</v>
      </c>
      <c r="E1135" s="826" t="s">
        <v>3264</v>
      </c>
      <c r="F1135" s="840" t="s">
        <v>3265</v>
      </c>
      <c r="G1135" s="826" t="s">
        <v>4421</v>
      </c>
      <c r="H1135" s="826" t="s">
        <v>4422</v>
      </c>
      <c r="I1135" s="832">
        <v>1221</v>
      </c>
      <c r="J1135" s="832">
        <v>170</v>
      </c>
      <c r="K1135" s="833">
        <v>207569.94140625</v>
      </c>
    </row>
    <row r="1136" spans="1:11" ht="14.45" customHeight="1" x14ac:dyDescent="0.2">
      <c r="A1136" s="822" t="s">
        <v>575</v>
      </c>
      <c r="B1136" s="823" t="s">
        <v>576</v>
      </c>
      <c r="C1136" s="826" t="s">
        <v>600</v>
      </c>
      <c r="D1136" s="840" t="s">
        <v>601</v>
      </c>
      <c r="E1136" s="826" t="s">
        <v>3264</v>
      </c>
      <c r="F1136" s="840" t="s">
        <v>3265</v>
      </c>
      <c r="G1136" s="826" t="s">
        <v>4421</v>
      </c>
      <c r="H1136" s="826" t="s">
        <v>4423</v>
      </c>
      <c r="I1136" s="832">
        <v>1221</v>
      </c>
      <c r="J1136" s="832">
        <v>100</v>
      </c>
      <c r="K1136" s="833">
        <v>122099.94140625</v>
      </c>
    </row>
    <row r="1137" spans="1:11" ht="14.45" customHeight="1" x14ac:dyDescent="0.2">
      <c r="A1137" s="822" t="s">
        <v>575</v>
      </c>
      <c r="B1137" s="823" t="s">
        <v>576</v>
      </c>
      <c r="C1137" s="826" t="s">
        <v>600</v>
      </c>
      <c r="D1137" s="840" t="s">
        <v>601</v>
      </c>
      <c r="E1137" s="826" t="s">
        <v>3264</v>
      </c>
      <c r="F1137" s="840" t="s">
        <v>3265</v>
      </c>
      <c r="G1137" s="826" t="s">
        <v>4424</v>
      </c>
      <c r="H1137" s="826" t="s">
        <v>4425</v>
      </c>
      <c r="I1137" s="832">
        <v>250.80000305175781</v>
      </c>
      <c r="J1137" s="832">
        <v>25</v>
      </c>
      <c r="K1137" s="833">
        <v>6269.919921875</v>
      </c>
    </row>
    <row r="1138" spans="1:11" ht="14.45" customHeight="1" x14ac:dyDescent="0.2">
      <c r="A1138" s="822" t="s">
        <v>575</v>
      </c>
      <c r="B1138" s="823" t="s">
        <v>576</v>
      </c>
      <c r="C1138" s="826" t="s">
        <v>600</v>
      </c>
      <c r="D1138" s="840" t="s">
        <v>601</v>
      </c>
      <c r="E1138" s="826" t="s">
        <v>3264</v>
      </c>
      <c r="F1138" s="840" t="s">
        <v>3265</v>
      </c>
      <c r="G1138" s="826" t="s">
        <v>4426</v>
      </c>
      <c r="H1138" s="826" t="s">
        <v>4427</v>
      </c>
      <c r="I1138" s="832">
        <v>971.57000732421875</v>
      </c>
      <c r="J1138" s="832">
        <v>2</v>
      </c>
      <c r="K1138" s="833">
        <v>1943.1400146484375</v>
      </c>
    </row>
    <row r="1139" spans="1:11" ht="14.45" customHeight="1" x14ac:dyDescent="0.2">
      <c r="A1139" s="822" t="s">
        <v>575</v>
      </c>
      <c r="B1139" s="823" t="s">
        <v>576</v>
      </c>
      <c r="C1139" s="826" t="s">
        <v>600</v>
      </c>
      <c r="D1139" s="840" t="s">
        <v>601</v>
      </c>
      <c r="E1139" s="826" t="s">
        <v>3264</v>
      </c>
      <c r="F1139" s="840" t="s">
        <v>3265</v>
      </c>
      <c r="G1139" s="826" t="s">
        <v>4428</v>
      </c>
      <c r="H1139" s="826" t="s">
        <v>4429</v>
      </c>
      <c r="I1139" s="832">
        <v>8.4700002670288086</v>
      </c>
      <c r="J1139" s="832">
        <v>1130</v>
      </c>
      <c r="K1139" s="833">
        <v>9571.0999755859375</v>
      </c>
    </row>
    <row r="1140" spans="1:11" ht="14.45" customHeight="1" x14ac:dyDescent="0.2">
      <c r="A1140" s="822" t="s">
        <v>575</v>
      </c>
      <c r="B1140" s="823" t="s">
        <v>576</v>
      </c>
      <c r="C1140" s="826" t="s">
        <v>600</v>
      </c>
      <c r="D1140" s="840" t="s">
        <v>601</v>
      </c>
      <c r="E1140" s="826" t="s">
        <v>3264</v>
      </c>
      <c r="F1140" s="840" t="s">
        <v>3265</v>
      </c>
      <c r="G1140" s="826" t="s">
        <v>4430</v>
      </c>
      <c r="H1140" s="826" t="s">
        <v>4431</v>
      </c>
      <c r="I1140" s="832">
        <v>8.4700002670288086</v>
      </c>
      <c r="J1140" s="832">
        <v>20</v>
      </c>
      <c r="K1140" s="833">
        <v>169.39999389648438</v>
      </c>
    </row>
    <row r="1141" spans="1:11" ht="14.45" customHeight="1" x14ac:dyDescent="0.2">
      <c r="A1141" s="822" t="s">
        <v>575</v>
      </c>
      <c r="B1141" s="823" t="s">
        <v>576</v>
      </c>
      <c r="C1141" s="826" t="s">
        <v>600</v>
      </c>
      <c r="D1141" s="840" t="s">
        <v>601</v>
      </c>
      <c r="E1141" s="826" t="s">
        <v>3264</v>
      </c>
      <c r="F1141" s="840" t="s">
        <v>3265</v>
      </c>
      <c r="G1141" s="826" t="s">
        <v>4432</v>
      </c>
      <c r="H1141" s="826" t="s">
        <v>4433</v>
      </c>
      <c r="I1141" s="832">
        <v>8.4700002670288086</v>
      </c>
      <c r="J1141" s="832">
        <v>20</v>
      </c>
      <c r="K1141" s="833">
        <v>169.39999389648438</v>
      </c>
    </row>
    <row r="1142" spans="1:11" ht="14.45" customHeight="1" x14ac:dyDescent="0.2">
      <c r="A1142" s="822" t="s">
        <v>575</v>
      </c>
      <c r="B1142" s="823" t="s">
        <v>576</v>
      </c>
      <c r="C1142" s="826" t="s">
        <v>600</v>
      </c>
      <c r="D1142" s="840" t="s">
        <v>601</v>
      </c>
      <c r="E1142" s="826" t="s">
        <v>3264</v>
      </c>
      <c r="F1142" s="840" t="s">
        <v>3265</v>
      </c>
      <c r="G1142" s="826" t="s">
        <v>4434</v>
      </c>
      <c r="H1142" s="826" t="s">
        <v>4435</v>
      </c>
      <c r="I1142" s="832">
        <v>8.4700002670288086</v>
      </c>
      <c r="J1142" s="832">
        <v>20</v>
      </c>
      <c r="K1142" s="833">
        <v>169.39999389648438</v>
      </c>
    </row>
    <row r="1143" spans="1:11" ht="14.45" customHeight="1" x14ac:dyDescent="0.2">
      <c r="A1143" s="822" t="s">
        <v>575</v>
      </c>
      <c r="B1143" s="823" t="s">
        <v>576</v>
      </c>
      <c r="C1143" s="826" t="s">
        <v>600</v>
      </c>
      <c r="D1143" s="840" t="s">
        <v>601</v>
      </c>
      <c r="E1143" s="826" t="s">
        <v>3264</v>
      </c>
      <c r="F1143" s="840" t="s">
        <v>3265</v>
      </c>
      <c r="G1143" s="826" t="s">
        <v>4436</v>
      </c>
      <c r="H1143" s="826" t="s">
        <v>4437</v>
      </c>
      <c r="I1143" s="832">
        <v>216.19999694824219</v>
      </c>
      <c r="J1143" s="832">
        <v>30</v>
      </c>
      <c r="K1143" s="833">
        <v>6486.080078125</v>
      </c>
    </row>
    <row r="1144" spans="1:11" ht="14.45" customHeight="1" x14ac:dyDescent="0.2">
      <c r="A1144" s="822" t="s">
        <v>575</v>
      </c>
      <c r="B1144" s="823" t="s">
        <v>576</v>
      </c>
      <c r="C1144" s="826" t="s">
        <v>600</v>
      </c>
      <c r="D1144" s="840" t="s">
        <v>601</v>
      </c>
      <c r="E1144" s="826" t="s">
        <v>3264</v>
      </c>
      <c r="F1144" s="840" t="s">
        <v>3265</v>
      </c>
      <c r="G1144" s="826" t="s">
        <v>4438</v>
      </c>
      <c r="H1144" s="826" t="s">
        <v>4439</v>
      </c>
      <c r="I1144" s="832">
        <v>138.8800048828125</v>
      </c>
      <c r="J1144" s="832">
        <v>50</v>
      </c>
      <c r="K1144" s="833">
        <v>6944.189697265625</v>
      </c>
    </row>
    <row r="1145" spans="1:11" ht="14.45" customHeight="1" x14ac:dyDescent="0.2">
      <c r="A1145" s="822" t="s">
        <v>575</v>
      </c>
      <c r="B1145" s="823" t="s">
        <v>576</v>
      </c>
      <c r="C1145" s="826" t="s">
        <v>600</v>
      </c>
      <c r="D1145" s="840" t="s">
        <v>601</v>
      </c>
      <c r="E1145" s="826" t="s">
        <v>3264</v>
      </c>
      <c r="F1145" s="840" t="s">
        <v>3265</v>
      </c>
      <c r="G1145" s="826" t="s">
        <v>4424</v>
      </c>
      <c r="H1145" s="826" t="s">
        <v>4440</v>
      </c>
      <c r="I1145" s="832">
        <v>250.80000305175781</v>
      </c>
      <c r="J1145" s="832">
        <v>25</v>
      </c>
      <c r="K1145" s="833">
        <v>6269.919921875</v>
      </c>
    </row>
    <row r="1146" spans="1:11" ht="14.45" customHeight="1" x14ac:dyDescent="0.2">
      <c r="A1146" s="822" t="s">
        <v>575</v>
      </c>
      <c r="B1146" s="823" t="s">
        <v>576</v>
      </c>
      <c r="C1146" s="826" t="s">
        <v>600</v>
      </c>
      <c r="D1146" s="840" t="s">
        <v>601</v>
      </c>
      <c r="E1146" s="826" t="s">
        <v>3264</v>
      </c>
      <c r="F1146" s="840" t="s">
        <v>3265</v>
      </c>
      <c r="G1146" s="826" t="s">
        <v>4428</v>
      </c>
      <c r="H1146" s="826" t="s">
        <v>4441</v>
      </c>
      <c r="I1146" s="832">
        <v>8.4700002670288086</v>
      </c>
      <c r="J1146" s="832">
        <v>635</v>
      </c>
      <c r="K1146" s="833">
        <v>5378.4500122070313</v>
      </c>
    </row>
    <row r="1147" spans="1:11" ht="14.45" customHeight="1" x14ac:dyDescent="0.2">
      <c r="A1147" s="822" t="s">
        <v>575</v>
      </c>
      <c r="B1147" s="823" t="s">
        <v>576</v>
      </c>
      <c r="C1147" s="826" t="s">
        <v>600</v>
      </c>
      <c r="D1147" s="840" t="s">
        <v>601</v>
      </c>
      <c r="E1147" s="826" t="s">
        <v>3264</v>
      </c>
      <c r="F1147" s="840" t="s">
        <v>3265</v>
      </c>
      <c r="G1147" s="826" t="s">
        <v>4430</v>
      </c>
      <c r="H1147" s="826" t="s">
        <v>4442</v>
      </c>
      <c r="I1147" s="832">
        <v>8.4700002670288086</v>
      </c>
      <c r="J1147" s="832">
        <v>20</v>
      </c>
      <c r="K1147" s="833">
        <v>169.39999389648438</v>
      </c>
    </row>
    <row r="1148" spans="1:11" ht="14.45" customHeight="1" x14ac:dyDescent="0.2">
      <c r="A1148" s="822" t="s">
        <v>575</v>
      </c>
      <c r="B1148" s="823" t="s">
        <v>576</v>
      </c>
      <c r="C1148" s="826" t="s">
        <v>600</v>
      </c>
      <c r="D1148" s="840" t="s">
        <v>601</v>
      </c>
      <c r="E1148" s="826" t="s">
        <v>3264</v>
      </c>
      <c r="F1148" s="840" t="s">
        <v>3265</v>
      </c>
      <c r="G1148" s="826" t="s">
        <v>4432</v>
      </c>
      <c r="H1148" s="826" t="s">
        <v>4443</v>
      </c>
      <c r="I1148" s="832">
        <v>8.4700002670288086</v>
      </c>
      <c r="J1148" s="832">
        <v>20</v>
      </c>
      <c r="K1148" s="833">
        <v>169.39999389648438</v>
      </c>
    </row>
    <row r="1149" spans="1:11" ht="14.45" customHeight="1" x14ac:dyDescent="0.2">
      <c r="A1149" s="822" t="s">
        <v>575</v>
      </c>
      <c r="B1149" s="823" t="s">
        <v>576</v>
      </c>
      <c r="C1149" s="826" t="s">
        <v>600</v>
      </c>
      <c r="D1149" s="840" t="s">
        <v>601</v>
      </c>
      <c r="E1149" s="826" t="s">
        <v>3264</v>
      </c>
      <c r="F1149" s="840" t="s">
        <v>3265</v>
      </c>
      <c r="G1149" s="826" t="s">
        <v>4434</v>
      </c>
      <c r="H1149" s="826" t="s">
        <v>4444</v>
      </c>
      <c r="I1149" s="832">
        <v>8.4700002670288086</v>
      </c>
      <c r="J1149" s="832">
        <v>20</v>
      </c>
      <c r="K1149" s="833">
        <v>169.39999389648438</v>
      </c>
    </row>
    <row r="1150" spans="1:11" ht="14.45" customHeight="1" x14ac:dyDescent="0.2">
      <c r="A1150" s="822" t="s">
        <v>575</v>
      </c>
      <c r="B1150" s="823" t="s">
        <v>576</v>
      </c>
      <c r="C1150" s="826" t="s">
        <v>600</v>
      </c>
      <c r="D1150" s="840" t="s">
        <v>601</v>
      </c>
      <c r="E1150" s="826" t="s">
        <v>3264</v>
      </c>
      <c r="F1150" s="840" t="s">
        <v>3265</v>
      </c>
      <c r="G1150" s="826" t="s">
        <v>3280</v>
      </c>
      <c r="H1150" s="826" t="s">
        <v>3281</v>
      </c>
      <c r="I1150" s="832">
        <v>6.0500001907348633</v>
      </c>
      <c r="J1150" s="832">
        <v>10</v>
      </c>
      <c r="K1150" s="833">
        <v>60.5</v>
      </c>
    </row>
    <row r="1151" spans="1:11" ht="14.45" customHeight="1" x14ac:dyDescent="0.2">
      <c r="A1151" s="822" t="s">
        <v>575</v>
      </c>
      <c r="B1151" s="823" t="s">
        <v>576</v>
      </c>
      <c r="C1151" s="826" t="s">
        <v>600</v>
      </c>
      <c r="D1151" s="840" t="s">
        <v>601</v>
      </c>
      <c r="E1151" s="826" t="s">
        <v>3264</v>
      </c>
      <c r="F1151" s="840" t="s">
        <v>3265</v>
      </c>
      <c r="G1151" s="826" t="s">
        <v>4445</v>
      </c>
      <c r="H1151" s="826" t="s">
        <v>4446</v>
      </c>
      <c r="I1151" s="832">
        <v>878.46002197265625</v>
      </c>
      <c r="J1151" s="832">
        <v>70</v>
      </c>
      <c r="K1151" s="833">
        <v>61492.197265625</v>
      </c>
    </row>
    <row r="1152" spans="1:11" ht="14.45" customHeight="1" x14ac:dyDescent="0.2">
      <c r="A1152" s="822" t="s">
        <v>575</v>
      </c>
      <c r="B1152" s="823" t="s">
        <v>576</v>
      </c>
      <c r="C1152" s="826" t="s">
        <v>600</v>
      </c>
      <c r="D1152" s="840" t="s">
        <v>601</v>
      </c>
      <c r="E1152" s="826" t="s">
        <v>3264</v>
      </c>
      <c r="F1152" s="840" t="s">
        <v>3265</v>
      </c>
      <c r="G1152" s="826" t="s">
        <v>3854</v>
      </c>
      <c r="H1152" s="826" t="s">
        <v>3856</v>
      </c>
      <c r="I1152" s="832">
        <v>601.3699951171875</v>
      </c>
      <c r="J1152" s="832">
        <v>46</v>
      </c>
      <c r="K1152" s="833">
        <v>27663.020751953125</v>
      </c>
    </row>
    <row r="1153" spans="1:11" ht="14.45" customHeight="1" x14ac:dyDescent="0.2">
      <c r="A1153" s="822" t="s">
        <v>575</v>
      </c>
      <c r="B1153" s="823" t="s">
        <v>576</v>
      </c>
      <c r="C1153" s="826" t="s">
        <v>600</v>
      </c>
      <c r="D1153" s="840" t="s">
        <v>601</v>
      </c>
      <c r="E1153" s="826" t="s">
        <v>3264</v>
      </c>
      <c r="F1153" s="840" t="s">
        <v>3265</v>
      </c>
      <c r="G1153" s="826" t="s">
        <v>4445</v>
      </c>
      <c r="H1153" s="826" t="s">
        <v>4447</v>
      </c>
      <c r="I1153" s="832">
        <v>878.46002197265625</v>
      </c>
      <c r="J1153" s="832">
        <v>30</v>
      </c>
      <c r="K1153" s="833">
        <v>26353.798828125</v>
      </c>
    </row>
    <row r="1154" spans="1:11" ht="14.45" customHeight="1" x14ac:dyDescent="0.2">
      <c r="A1154" s="822" t="s">
        <v>575</v>
      </c>
      <c r="B1154" s="823" t="s">
        <v>576</v>
      </c>
      <c r="C1154" s="826" t="s">
        <v>600</v>
      </c>
      <c r="D1154" s="840" t="s">
        <v>601</v>
      </c>
      <c r="E1154" s="826" t="s">
        <v>3264</v>
      </c>
      <c r="F1154" s="840" t="s">
        <v>3265</v>
      </c>
      <c r="G1154" s="826" t="s">
        <v>3854</v>
      </c>
      <c r="H1154" s="826" t="s">
        <v>3857</v>
      </c>
      <c r="I1154" s="832">
        <v>601.3699951171875</v>
      </c>
      <c r="J1154" s="832">
        <v>30</v>
      </c>
      <c r="K1154" s="833">
        <v>18041.1005859375</v>
      </c>
    </row>
    <row r="1155" spans="1:11" ht="14.45" customHeight="1" x14ac:dyDescent="0.2">
      <c r="A1155" s="822" t="s">
        <v>575</v>
      </c>
      <c r="B1155" s="823" t="s">
        <v>576</v>
      </c>
      <c r="C1155" s="826" t="s">
        <v>600</v>
      </c>
      <c r="D1155" s="840" t="s">
        <v>601</v>
      </c>
      <c r="E1155" s="826" t="s">
        <v>3264</v>
      </c>
      <c r="F1155" s="840" t="s">
        <v>3265</v>
      </c>
      <c r="G1155" s="826" t="s">
        <v>3858</v>
      </c>
      <c r="H1155" s="826" t="s">
        <v>3859</v>
      </c>
      <c r="I1155" s="832">
        <v>2.7305882257573746</v>
      </c>
      <c r="J1155" s="832">
        <v>5640</v>
      </c>
      <c r="K1155" s="833">
        <v>15367.199989318848</v>
      </c>
    </row>
    <row r="1156" spans="1:11" ht="14.45" customHeight="1" x14ac:dyDescent="0.2">
      <c r="A1156" s="822" t="s">
        <v>575</v>
      </c>
      <c r="B1156" s="823" t="s">
        <v>576</v>
      </c>
      <c r="C1156" s="826" t="s">
        <v>600</v>
      </c>
      <c r="D1156" s="840" t="s">
        <v>601</v>
      </c>
      <c r="E1156" s="826" t="s">
        <v>3264</v>
      </c>
      <c r="F1156" s="840" t="s">
        <v>3265</v>
      </c>
      <c r="G1156" s="826" t="s">
        <v>4448</v>
      </c>
      <c r="H1156" s="826" t="s">
        <v>4449</v>
      </c>
      <c r="I1156" s="832">
        <v>162.49000549316406</v>
      </c>
      <c r="J1156" s="832">
        <v>24</v>
      </c>
      <c r="K1156" s="833">
        <v>3899.659912109375</v>
      </c>
    </row>
    <row r="1157" spans="1:11" ht="14.45" customHeight="1" x14ac:dyDescent="0.2">
      <c r="A1157" s="822" t="s">
        <v>575</v>
      </c>
      <c r="B1157" s="823" t="s">
        <v>576</v>
      </c>
      <c r="C1157" s="826" t="s">
        <v>600</v>
      </c>
      <c r="D1157" s="840" t="s">
        <v>601</v>
      </c>
      <c r="E1157" s="826" t="s">
        <v>3264</v>
      </c>
      <c r="F1157" s="840" t="s">
        <v>3265</v>
      </c>
      <c r="G1157" s="826" t="s">
        <v>4448</v>
      </c>
      <c r="H1157" s="826" t="s">
        <v>4450</v>
      </c>
      <c r="I1157" s="832">
        <v>165.77000427246094</v>
      </c>
      <c r="J1157" s="832">
        <v>24</v>
      </c>
      <c r="K1157" s="833">
        <v>3978.47998046875</v>
      </c>
    </row>
    <row r="1158" spans="1:11" ht="14.45" customHeight="1" x14ac:dyDescent="0.2">
      <c r="A1158" s="822" t="s">
        <v>575</v>
      </c>
      <c r="B1158" s="823" t="s">
        <v>576</v>
      </c>
      <c r="C1158" s="826" t="s">
        <v>600</v>
      </c>
      <c r="D1158" s="840" t="s">
        <v>601</v>
      </c>
      <c r="E1158" s="826" t="s">
        <v>3264</v>
      </c>
      <c r="F1158" s="840" t="s">
        <v>3265</v>
      </c>
      <c r="G1158" s="826" t="s">
        <v>4451</v>
      </c>
      <c r="H1158" s="826" t="s">
        <v>4452</v>
      </c>
      <c r="I1158" s="832">
        <v>17.299999237060547</v>
      </c>
      <c r="J1158" s="832">
        <v>50</v>
      </c>
      <c r="K1158" s="833">
        <v>865.1500244140625</v>
      </c>
    </row>
    <row r="1159" spans="1:11" ht="14.45" customHeight="1" x14ac:dyDescent="0.2">
      <c r="A1159" s="822" t="s">
        <v>575</v>
      </c>
      <c r="B1159" s="823" t="s">
        <v>576</v>
      </c>
      <c r="C1159" s="826" t="s">
        <v>600</v>
      </c>
      <c r="D1159" s="840" t="s">
        <v>601</v>
      </c>
      <c r="E1159" s="826" t="s">
        <v>3264</v>
      </c>
      <c r="F1159" s="840" t="s">
        <v>3265</v>
      </c>
      <c r="G1159" s="826" t="s">
        <v>4453</v>
      </c>
      <c r="H1159" s="826" t="s">
        <v>4454</v>
      </c>
      <c r="I1159" s="832">
        <v>62.558572496686665</v>
      </c>
      <c r="J1159" s="832">
        <v>550</v>
      </c>
      <c r="K1159" s="833">
        <v>34406.650390625</v>
      </c>
    </row>
    <row r="1160" spans="1:11" ht="14.45" customHeight="1" x14ac:dyDescent="0.2">
      <c r="A1160" s="822" t="s">
        <v>575</v>
      </c>
      <c r="B1160" s="823" t="s">
        <v>576</v>
      </c>
      <c r="C1160" s="826" t="s">
        <v>600</v>
      </c>
      <c r="D1160" s="840" t="s">
        <v>601</v>
      </c>
      <c r="E1160" s="826" t="s">
        <v>3264</v>
      </c>
      <c r="F1160" s="840" t="s">
        <v>3265</v>
      </c>
      <c r="G1160" s="826" t="s">
        <v>4453</v>
      </c>
      <c r="H1160" s="826" t="s">
        <v>4455</v>
      </c>
      <c r="I1160" s="832">
        <v>62.557500839233398</v>
      </c>
      <c r="J1160" s="832">
        <v>400</v>
      </c>
      <c r="K1160" s="833">
        <v>25022.650390625</v>
      </c>
    </row>
    <row r="1161" spans="1:11" ht="14.45" customHeight="1" x14ac:dyDescent="0.2">
      <c r="A1161" s="822" t="s">
        <v>575</v>
      </c>
      <c r="B1161" s="823" t="s">
        <v>576</v>
      </c>
      <c r="C1161" s="826" t="s">
        <v>600</v>
      </c>
      <c r="D1161" s="840" t="s">
        <v>601</v>
      </c>
      <c r="E1161" s="826" t="s">
        <v>3264</v>
      </c>
      <c r="F1161" s="840" t="s">
        <v>3265</v>
      </c>
      <c r="G1161" s="826" t="s">
        <v>4456</v>
      </c>
      <c r="H1161" s="826" t="s">
        <v>4457</v>
      </c>
      <c r="I1161" s="832">
        <v>146.44999694824219</v>
      </c>
      <c r="J1161" s="832">
        <v>12</v>
      </c>
      <c r="K1161" s="833">
        <v>1757.449951171875</v>
      </c>
    </row>
    <row r="1162" spans="1:11" ht="14.45" customHeight="1" x14ac:dyDescent="0.2">
      <c r="A1162" s="822" t="s">
        <v>575</v>
      </c>
      <c r="B1162" s="823" t="s">
        <v>576</v>
      </c>
      <c r="C1162" s="826" t="s">
        <v>600</v>
      </c>
      <c r="D1162" s="840" t="s">
        <v>601</v>
      </c>
      <c r="E1162" s="826" t="s">
        <v>3264</v>
      </c>
      <c r="F1162" s="840" t="s">
        <v>3265</v>
      </c>
      <c r="G1162" s="826" t="s">
        <v>4458</v>
      </c>
      <c r="H1162" s="826" t="s">
        <v>4459</v>
      </c>
      <c r="I1162" s="832">
        <v>33.880001068115234</v>
      </c>
      <c r="J1162" s="832">
        <v>2</v>
      </c>
      <c r="K1162" s="833">
        <v>67.760002136230469</v>
      </c>
    </row>
    <row r="1163" spans="1:11" ht="14.45" customHeight="1" x14ac:dyDescent="0.2">
      <c r="A1163" s="822" t="s">
        <v>575</v>
      </c>
      <c r="B1163" s="823" t="s">
        <v>576</v>
      </c>
      <c r="C1163" s="826" t="s">
        <v>600</v>
      </c>
      <c r="D1163" s="840" t="s">
        <v>601</v>
      </c>
      <c r="E1163" s="826" t="s">
        <v>3264</v>
      </c>
      <c r="F1163" s="840" t="s">
        <v>3265</v>
      </c>
      <c r="G1163" s="826" t="s">
        <v>4460</v>
      </c>
      <c r="H1163" s="826" t="s">
        <v>4461</v>
      </c>
      <c r="I1163" s="832">
        <v>11.496999931335449</v>
      </c>
      <c r="J1163" s="832">
        <v>210</v>
      </c>
      <c r="K1163" s="833">
        <v>2414.2000122070313</v>
      </c>
    </row>
    <row r="1164" spans="1:11" ht="14.45" customHeight="1" x14ac:dyDescent="0.2">
      <c r="A1164" s="822" t="s">
        <v>575</v>
      </c>
      <c r="B1164" s="823" t="s">
        <v>576</v>
      </c>
      <c r="C1164" s="826" t="s">
        <v>600</v>
      </c>
      <c r="D1164" s="840" t="s">
        <v>601</v>
      </c>
      <c r="E1164" s="826" t="s">
        <v>3264</v>
      </c>
      <c r="F1164" s="840" t="s">
        <v>3265</v>
      </c>
      <c r="G1164" s="826" t="s">
        <v>4460</v>
      </c>
      <c r="H1164" s="826" t="s">
        <v>4462</v>
      </c>
      <c r="I1164" s="832">
        <v>11.496666590372721</v>
      </c>
      <c r="J1164" s="832">
        <v>90</v>
      </c>
      <c r="K1164" s="833">
        <v>1034.5</v>
      </c>
    </row>
    <row r="1165" spans="1:11" ht="14.45" customHeight="1" x14ac:dyDescent="0.2">
      <c r="A1165" s="822" t="s">
        <v>575</v>
      </c>
      <c r="B1165" s="823" t="s">
        <v>576</v>
      </c>
      <c r="C1165" s="826" t="s">
        <v>600</v>
      </c>
      <c r="D1165" s="840" t="s">
        <v>601</v>
      </c>
      <c r="E1165" s="826" t="s">
        <v>3264</v>
      </c>
      <c r="F1165" s="840" t="s">
        <v>3265</v>
      </c>
      <c r="G1165" s="826" t="s">
        <v>3292</v>
      </c>
      <c r="H1165" s="826" t="s">
        <v>3293</v>
      </c>
      <c r="I1165" s="832">
        <v>21.220999336242677</v>
      </c>
      <c r="J1165" s="832">
        <v>650</v>
      </c>
      <c r="K1165" s="833">
        <v>13794.720092773438</v>
      </c>
    </row>
    <row r="1166" spans="1:11" ht="14.45" customHeight="1" x14ac:dyDescent="0.2">
      <c r="A1166" s="822" t="s">
        <v>575</v>
      </c>
      <c r="B1166" s="823" t="s">
        <v>576</v>
      </c>
      <c r="C1166" s="826" t="s">
        <v>600</v>
      </c>
      <c r="D1166" s="840" t="s">
        <v>601</v>
      </c>
      <c r="E1166" s="826" t="s">
        <v>3264</v>
      </c>
      <c r="F1166" s="840" t="s">
        <v>3265</v>
      </c>
      <c r="G1166" s="826" t="s">
        <v>3292</v>
      </c>
      <c r="H1166" s="826" t="s">
        <v>3862</v>
      </c>
      <c r="I1166" s="832">
        <v>21.22333272298177</v>
      </c>
      <c r="J1166" s="832">
        <v>325</v>
      </c>
      <c r="K1166" s="833">
        <v>6897.52001953125</v>
      </c>
    </row>
    <row r="1167" spans="1:11" ht="14.45" customHeight="1" x14ac:dyDescent="0.2">
      <c r="A1167" s="822" t="s">
        <v>575</v>
      </c>
      <c r="B1167" s="823" t="s">
        <v>576</v>
      </c>
      <c r="C1167" s="826" t="s">
        <v>600</v>
      </c>
      <c r="D1167" s="840" t="s">
        <v>601</v>
      </c>
      <c r="E1167" s="826" t="s">
        <v>3264</v>
      </c>
      <c r="F1167" s="840" t="s">
        <v>3265</v>
      </c>
      <c r="G1167" s="826" t="s">
        <v>3294</v>
      </c>
      <c r="H1167" s="826" t="s">
        <v>3295</v>
      </c>
      <c r="I1167" s="832">
        <v>11.145789397390265</v>
      </c>
      <c r="J1167" s="832">
        <v>1640</v>
      </c>
      <c r="K1167" s="833">
        <v>18277.5</v>
      </c>
    </row>
    <row r="1168" spans="1:11" ht="14.45" customHeight="1" x14ac:dyDescent="0.2">
      <c r="A1168" s="822" t="s">
        <v>575</v>
      </c>
      <c r="B1168" s="823" t="s">
        <v>576</v>
      </c>
      <c r="C1168" s="826" t="s">
        <v>600</v>
      </c>
      <c r="D1168" s="840" t="s">
        <v>601</v>
      </c>
      <c r="E1168" s="826" t="s">
        <v>3264</v>
      </c>
      <c r="F1168" s="840" t="s">
        <v>3265</v>
      </c>
      <c r="G1168" s="826" t="s">
        <v>3294</v>
      </c>
      <c r="H1168" s="826" t="s">
        <v>3296</v>
      </c>
      <c r="I1168" s="832">
        <v>11.146666526794434</v>
      </c>
      <c r="J1168" s="832">
        <v>1000</v>
      </c>
      <c r="K1168" s="833">
        <v>11146</v>
      </c>
    </row>
    <row r="1169" spans="1:11" ht="14.45" customHeight="1" x14ac:dyDescent="0.2">
      <c r="A1169" s="822" t="s">
        <v>575</v>
      </c>
      <c r="B1169" s="823" t="s">
        <v>576</v>
      </c>
      <c r="C1169" s="826" t="s">
        <v>600</v>
      </c>
      <c r="D1169" s="840" t="s">
        <v>601</v>
      </c>
      <c r="E1169" s="826" t="s">
        <v>3264</v>
      </c>
      <c r="F1169" s="840" t="s">
        <v>3265</v>
      </c>
      <c r="G1169" s="826" t="s">
        <v>4463</v>
      </c>
      <c r="H1169" s="826" t="s">
        <v>4464</v>
      </c>
      <c r="I1169" s="832">
        <v>26.341667175292969</v>
      </c>
      <c r="J1169" s="832">
        <v>440</v>
      </c>
      <c r="K1169" s="833">
        <v>11601.479858398438</v>
      </c>
    </row>
    <row r="1170" spans="1:11" ht="14.45" customHeight="1" x14ac:dyDescent="0.2">
      <c r="A1170" s="822" t="s">
        <v>575</v>
      </c>
      <c r="B1170" s="823" t="s">
        <v>576</v>
      </c>
      <c r="C1170" s="826" t="s">
        <v>600</v>
      </c>
      <c r="D1170" s="840" t="s">
        <v>601</v>
      </c>
      <c r="E1170" s="826" t="s">
        <v>3264</v>
      </c>
      <c r="F1170" s="840" t="s">
        <v>3265</v>
      </c>
      <c r="G1170" s="826" t="s">
        <v>3308</v>
      </c>
      <c r="H1170" s="826" t="s">
        <v>3309</v>
      </c>
      <c r="I1170" s="832">
        <v>26.341667175292969</v>
      </c>
      <c r="J1170" s="832">
        <v>400</v>
      </c>
      <c r="K1170" s="833">
        <v>10551.210083007813</v>
      </c>
    </row>
    <row r="1171" spans="1:11" ht="14.45" customHeight="1" x14ac:dyDescent="0.2">
      <c r="A1171" s="822" t="s">
        <v>575</v>
      </c>
      <c r="B1171" s="823" t="s">
        <v>576</v>
      </c>
      <c r="C1171" s="826" t="s">
        <v>600</v>
      </c>
      <c r="D1171" s="840" t="s">
        <v>601</v>
      </c>
      <c r="E1171" s="826" t="s">
        <v>3264</v>
      </c>
      <c r="F1171" s="840" t="s">
        <v>3265</v>
      </c>
      <c r="G1171" s="826" t="s">
        <v>3655</v>
      </c>
      <c r="H1171" s="826" t="s">
        <v>4465</v>
      </c>
      <c r="I1171" s="832">
        <v>26.341667175292969</v>
      </c>
      <c r="J1171" s="832">
        <v>680</v>
      </c>
      <c r="K1171" s="833">
        <v>17846.080078125</v>
      </c>
    </row>
    <row r="1172" spans="1:11" ht="14.45" customHeight="1" x14ac:dyDescent="0.2">
      <c r="A1172" s="822" t="s">
        <v>575</v>
      </c>
      <c r="B1172" s="823" t="s">
        <v>576</v>
      </c>
      <c r="C1172" s="826" t="s">
        <v>600</v>
      </c>
      <c r="D1172" s="840" t="s">
        <v>601</v>
      </c>
      <c r="E1172" s="826" t="s">
        <v>3264</v>
      </c>
      <c r="F1172" s="840" t="s">
        <v>3265</v>
      </c>
      <c r="G1172" s="826" t="s">
        <v>3655</v>
      </c>
      <c r="H1172" s="826" t="s">
        <v>3656</v>
      </c>
      <c r="I1172" s="832">
        <v>26.020000457763672</v>
      </c>
      <c r="J1172" s="832">
        <v>680</v>
      </c>
      <c r="K1172" s="833">
        <v>17691.05029296875</v>
      </c>
    </row>
    <row r="1173" spans="1:11" ht="14.45" customHeight="1" x14ac:dyDescent="0.2">
      <c r="A1173" s="822" t="s">
        <v>575</v>
      </c>
      <c r="B1173" s="823" t="s">
        <v>576</v>
      </c>
      <c r="C1173" s="826" t="s">
        <v>600</v>
      </c>
      <c r="D1173" s="840" t="s">
        <v>601</v>
      </c>
      <c r="E1173" s="826" t="s">
        <v>3264</v>
      </c>
      <c r="F1173" s="840" t="s">
        <v>3265</v>
      </c>
      <c r="G1173" s="826" t="s">
        <v>4463</v>
      </c>
      <c r="H1173" s="826" t="s">
        <v>4466</v>
      </c>
      <c r="I1173" s="832">
        <v>26.020000457763672</v>
      </c>
      <c r="J1173" s="832">
        <v>360</v>
      </c>
      <c r="K1173" s="833">
        <v>9365.39990234375</v>
      </c>
    </row>
    <row r="1174" spans="1:11" ht="14.45" customHeight="1" x14ac:dyDescent="0.2">
      <c r="A1174" s="822" t="s">
        <v>575</v>
      </c>
      <c r="B1174" s="823" t="s">
        <v>576</v>
      </c>
      <c r="C1174" s="826" t="s">
        <v>600</v>
      </c>
      <c r="D1174" s="840" t="s">
        <v>601</v>
      </c>
      <c r="E1174" s="826" t="s">
        <v>3264</v>
      </c>
      <c r="F1174" s="840" t="s">
        <v>3265</v>
      </c>
      <c r="G1174" s="826" t="s">
        <v>3308</v>
      </c>
      <c r="H1174" s="826" t="s">
        <v>3310</v>
      </c>
      <c r="I1174" s="832">
        <v>26.020000457763672</v>
      </c>
      <c r="J1174" s="832">
        <v>300</v>
      </c>
      <c r="K1174" s="833">
        <v>7804.510009765625</v>
      </c>
    </row>
    <row r="1175" spans="1:11" ht="14.45" customHeight="1" x14ac:dyDescent="0.2">
      <c r="A1175" s="822" t="s">
        <v>575</v>
      </c>
      <c r="B1175" s="823" t="s">
        <v>576</v>
      </c>
      <c r="C1175" s="826" t="s">
        <v>600</v>
      </c>
      <c r="D1175" s="840" t="s">
        <v>601</v>
      </c>
      <c r="E1175" s="826" t="s">
        <v>3264</v>
      </c>
      <c r="F1175" s="840" t="s">
        <v>3265</v>
      </c>
      <c r="G1175" s="826" t="s">
        <v>4467</v>
      </c>
      <c r="H1175" s="826" t="s">
        <v>4468</v>
      </c>
      <c r="I1175" s="832">
        <v>548.1300048828125</v>
      </c>
      <c r="J1175" s="832">
        <v>20</v>
      </c>
      <c r="K1175" s="833">
        <v>10962.599609375</v>
      </c>
    </row>
    <row r="1176" spans="1:11" ht="14.45" customHeight="1" x14ac:dyDescent="0.2">
      <c r="A1176" s="822" t="s">
        <v>575</v>
      </c>
      <c r="B1176" s="823" t="s">
        <v>576</v>
      </c>
      <c r="C1176" s="826" t="s">
        <v>600</v>
      </c>
      <c r="D1176" s="840" t="s">
        <v>601</v>
      </c>
      <c r="E1176" s="826" t="s">
        <v>3264</v>
      </c>
      <c r="F1176" s="840" t="s">
        <v>3265</v>
      </c>
      <c r="G1176" s="826" t="s">
        <v>3655</v>
      </c>
      <c r="H1176" s="826" t="s">
        <v>4469</v>
      </c>
      <c r="I1176" s="832">
        <v>26.020000457763672</v>
      </c>
      <c r="J1176" s="832">
        <v>720</v>
      </c>
      <c r="K1176" s="833">
        <v>18730.870361328125</v>
      </c>
    </row>
    <row r="1177" spans="1:11" ht="14.45" customHeight="1" x14ac:dyDescent="0.2">
      <c r="A1177" s="822" t="s">
        <v>575</v>
      </c>
      <c r="B1177" s="823" t="s">
        <v>576</v>
      </c>
      <c r="C1177" s="826" t="s">
        <v>600</v>
      </c>
      <c r="D1177" s="840" t="s">
        <v>601</v>
      </c>
      <c r="E1177" s="826" t="s">
        <v>3264</v>
      </c>
      <c r="F1177" s="840" t="s">
        <v>3265</v>
      </c>
      <c r="G1177" s="826" t="s">
        <v>4463</v>
      </c>
      <c r="H1177" s="826" t="s">
        <v>4470</v>
      </c>
      <c r="I1177" s="832">
        <v>26.020000457763672</v>
      </c>
      <c r="J1177" s="832">
        <v>400</v>
      </c>
      <c r="K1177" s="833">
        <v>10406.039794921875</v>
      </c>
    </row>
    <row r="1178" spans="1:11" ht="14.45" customHeight="1" x14ac:dyDescent="0.2">
      <c r="A1178" s="822" t="s">
        <v>575</v>
      </c>
      <c r="B1178" s="823" t="s">
        <v>576</v>
      </c>
      <c r="C1178" s="826" t="s">
        <v>600</v>
      </c>
      <c r="D1178" s="840" t="s">
        <v>601</v>
      </c>
      <c r="E1178" s="826" t="s">
        <v>3264</v>
      </c>
      <c r="F1178" s="840" t="s">
        <v>3265</v>
      </c>
      <c r="G1178" s="826" t="s">
        <v>3308</v>
      </c>
      <c r="H1178" s="826" t="s">
        <v>3315</v>
      </c>
      <c r="I1178" s="832">
        <v>26.020000457763672</v>
      </c>
      <c r="J1178" s="832">
        <v>475</v>
      </c>
      <c r="K1178" s="833">
        <v>12357.519897460938</v>
      </c>
    </row>
    <row r="1179" spans="1:11" ht="14.45" customHeight="1" x14ac:dyDescent="0.2">
      <c r="A1179" s="822" t="s">
        <v>575</v>
      </c>
      <c r="B1179" s="823" t="s">
        <v>576</v>
      </c>
      <c r="C1179" s="826" t="s">
        <v>600</v>
      </c>
      <c r="D1179" s="840" t="s">
        <v>601</v>
      </c>
      <c r="E1179" s="826" t="s">
        <v>3264</v>
      </c>
      <c r="F1179" s="840" t="s">
        <v>3265</v>
      </c>
      <c r="G1179" s="826" t="s">
        <v>3884</v>
      </c>
      <c r="H1179" s="826" t="s">
        <v>4471</v>
      </c>
      <c r="I1179" s="832">
        <v>49.909999847412109</v>
      </c>
      <c r="J1179" s="832">
        <v>50</v>
      </c>
      <c r="K1179" s="833">
        <v>2495.6298828125</v>
      </c>
    </row>
    <row r="1180" spans="1:11" ht="14.45" customHeight="1" x14ac:dyDescent="0.2">
      <c r="A1180" s="822" t="s">
        <v>575</v>
      </c>
      <c r="B1180" s="823" t="s">
        <v>576</v>
      </c>
      <c r="C1180" s="826" t="s">
        <v>600</v>
      </c>
      <c r="D1180" s="840" t="s">
        <v>601</v>
      </c>
      <c r="E1180" s="826" t="s">
        <v>3264</v>
      </c>
      <c r="F1180" s="840" t="s">
        <v>3265</v>
      </c>
      <c r="G1180" s="826" t="s">
        <v>4472</v>
      </c>
      <c r="H1180" s="826" t="s">
        <v>4473</v>
      </c>
      <c r="I1180" s="832">
        <v>10808.9296875</v>
      </c>
      <c r="J1180" s="832">
        <v>3</v>
      </c>
      <c r="K1180" s="833">
        <v>32426.7890625</v>
      </c>
    </row>
    <row r="1181" spans="1:11" ht="14.45" customHeight="1" x14ac:dyDescent="0.2">
      <c r="A1181" s="822" t="s">
        <v>575</v>
      </c>
      <c r="B1181" s="823" t="s">
        <v>576</v>
      </c>
      <c r="C1181" s="826" t="s">
        <v>600</v>
      </c>
      <c r="D1181" s="840" t="s">
        <v>601</v>
      </c>
      <c r="E1181" s="826" t="s">
        <v>3264</v>
      </c>
      <c r="F1181" s="840" t="s">
        <v>3265</v>
      </c>
      <c r="G1181" s="826" t="s">
        <v>4474</v>
      </c>
      <c r="H1181" s="826" t="s">
        <v>4475</v>
      </c>
      <c r="I1181" s="832">
        <v>1596.510009765625</v>
      </c>
      <c r="J1181" s="832">
        <v>5</v>
      </c>
      <c r="K1181" s="833">
        <v>7982.5498046875</v>
      </c>
    </row>
    <row r="1182" spans="1:11" ht="14.45" customHeight="1" x14ac:dyDescent="0.2">
      <c r="A1182" s="822" t="s">
        <v>575</v>
      </c>
      <c r="B1182" s="823" t="s">
        <v>576</v>
      </c>
      <c r="C1182" s="826" t="s">
        <v>600</v>
      </c>
      <c r="D1182" s="840" t="s">
        <v>601</v>
      </c>
      <c r="E1182" s="826" t="s">
        <v>3264</v>
      </c>
      <c r="F1182" s="840" t="s">
        <v>3265</v>
      </c>
      <c r="G1182" s="826" t="s">
        <v>3891</v>
      </c>
      <c r="H1182" s="826" t="s">
        <v>3892</v>
      </c>
      <c r="I1182" s="832">
        <v>32.900001525878906</v>
      </c>
      <c r="J1182" s="832">
        <v>570</v>
      </c>
      <c r="K1182" s="833">
        <v>18752.93994140625</v>
      </c>
    </row>
    <row r="1183" spans="1:11" ht="14.45" customHeight="1" x14ac:dyDescent="0.2">
      <c r="A1183" s="822" t="s">
        <v>575</v>
      </c>
      <c r="B1183" s="823" t="s">
        <v>576</v>
      </c>
      <c r="C1183" s="826" t="s">
        <v>600</v>
      </c>
      <c r="D1183" s="840" t="s">
        <v>601</v>
      </c>
      <c r="E1183" s="826" t="s">
        <v>3264</v>
      </c>
      <c r="F1183" s="840" t="s">
        <v>3265</v>
      </c>
      <c r="G1183" s="826" t="s">
        <v>3891</v>
      </c>
      <c r="H1183" s="826" t="s">
        <v>3893</v>
      </c>
      <c r="I1183" s="832">
        <v>32.900001525878906</v>
      </c>
      <c r="J1183" s="832">
        <v>300</v>
      </c>
      <c r="K1183" s="833">
        <v>9869.969970703125</v>
      </c>
    </row>
    <row r="1184" spans="1:11" ht="14.45" customHeight="1" x14ac:dyDescent="0.2">
      <c r="A1184" s="822" t="s">
        <v>575</v>
      </c>
      <c r="B1184" s="823" t="s">
        <v>576</v>
      </c>
      <c r="C1184" s="826" t="s">
        <v>600</v>
      </c>
      <c r="D1184" s="840" t="s">
        <v>601</v>
      </c>
      <c r="E1184" s="826" t="s">
        <v>3264</v>
      </c>
      <c r="F1184" s="840" t="s">
        <v>3265</v>
      </c>
      <c r="G1184" s="826" t="s">
        <v>4476</v>
      </c>
      <c r="H1184" s="826" t="s">
        <v>4477</v>
      </c>
      <c r="I1184" s="832">
        <v>1422.3299560546875</v>
      </c>
      <c r="J1184" s="832">
        <v>2</v>
      </c>
      <c r="K1184" s="833">
        <v>2844.659912109375</v>
      </c>
    </row>
    <row r="1185" spans="1:11" ht="14.45" customHeight="1" x14ac:dyDescent="0.2">
      <c r="A1185" s="822" t="s">
        <v>575</v>
      </c>
      <c r="B1185" s="823" t="s">
        <v>576</v>
      </c>
      <c r="C1185" s="826" t="s">
        <v>600</v>
      </c>
      <c r="D1185" s="840" t="s">
        <v>601</v>
      </c>
      <c r="E1185" s="826" t="s">
        <v>3264</v>
      </c>
      <c r="F1185" s="840" t="s">
        <v>3265</v>
      </c>
      <c r="G1185" s="826" t="s">
        <v>4478</v>
      </c>
      <c r="H1185" s="826" t="s">
        <v>4479</v>
      </c>
      <c r="I1185" s="832">
        <v>1145.3900146484375</v>
      </c>
      <c r="J1185" s="832">
        <v>60</v>
      </c>
      <c r="K1185" s="833">
        <v>68723.1591796875</v>
      </c>
    </row>
    <row r="1186" spans="1:11" ht="14.45" customHeight="1" x14ac:dyDescent="0.2">
      <c r="A1186" s="822" t="s">
        <v>575</v>
      </c>
      <c r="B1186" s="823" t="s">
        <v>576</v>
      </c>
      <c r="C1186" s="826" t="s">
        <v>600</v>
      </c>
      <c r="D1186" s="840" t="s">
        <v>601</v>
      </c>
      <c r="E1186" s="826" t="s">
        <v>3264</v>
      </c>
      <c r="F1186" s="840" t="s">
        <v>3265</v>
      </c>
      <c r="G1186" s="826" t="s">
        <v>4480</v>
      </c>
      <c r="H1186" s="826" t="s">
        <v>4481</v>
      </c>
      <c r="I1186" s="832">
        <v>1145.3900146484375</v>
      </c>
      <c r="J1186" s="832">
        <v>20</v>
      </c>
      <c r="K1186" s="833">
        <v>22907.720703125</v>
      </c>
    </row>
    <row r="1187" spans="1:11" ht="14.45" customHeight="1" x14ac:dyDescent="0.2">
      <c r="A1187" s="822" t="s">
        <v>575</v>
      </c>
      <c r="B1187" s="823" t="s">
        <v>576</v>
      </c>
      <c r="C1187" s="826" t="s">
        <v>600</v>
      </c>
      <c r="D1187" s="840" t="s">
        <v>601</v>
      </c>
      <c r="E1187" s="826" t="s">
        <v>3264</v>
      </c>
      <c r="F1187" s="840" t="s">
        <v>3265</v>
      </c>
      <c r="G1187" s="826" t="s">
        <v>4482</v>
      </c>
      <c r="H1187" s="826" t="s">
        <v>4483</v>
      </c>
      <c r="I1187" s="832">
        <v>52.130832354227699</v>
      </c>
      <c r="J1187" s="832">
        <v>460</v>
      </c>
      <c r="K1187" s="833">
        <v>199.2392578125</v>
      </c>
    </row>
    <row r="1188" spans="1:11" ht="14.45" customHeight="1" x14ac:dyDescent="0.2">
      <c r="A1188" s="822" t="s">
        <v>575</v>
      </c>
      <c r="B1188" s="823" t="s">
        <v>576</v>
      </c>
      <c r="C1188" s="826" t="s">
        <v>600</v>
      </c>
      <c r="D1188" s="840" t="s">
        <v>601</v>
      </c>
      <c r="E1188" s="826" t="s">
        <v>3264</v>
      </c>
      <c r="F1188" s="840" t="s">
        <v>3265</v>
      </c>
      <c r="G1188" s="826" t="s">
        <v>4482</v>
      </c>
      <c r="H1188" s="826" t="s">
        <v>4484</v>
      </c>
      <c r="I1188" s="832">
        <v>71.087498664855957</v>
      </c>
      <c r="J1188" s="832">
        <v>240</v>
      </c>
      <c r="K1188" s="833">
        <v>13648.80029296875</v>
      </c>
    </row>
    <row r="1189" spans="1:11" ht="14.45" customHeight="1" x14ac:dyDescent="0.2">
      <c r="A1189" s="822" t="s">
        <v>575</v>
      </c>
      <c r="B1189" s="823" t="s">
        <v>576</v>
      </c>
      <c r="C1189" s="826" t="s">
        <v>600</v>
      </c>
      <c r="D1189" s="840" t="s">
        <v>601</v>
      </c>
      <c r="E1189" s="826" t="s">
        <v>3264</v>
      </c>
      <c r="F1189" s="840" t="s">
        <v>3265</v>
      </c>
      <c r="G1189" s="826" t="s">
        <v>3610</v>
      </c>
      <c r="H1189" s="826" t="s">
        <v>3611</v>
      </c>
      <c r="I1189" s="832">
        <v>11380.990234375</v>
      </c>
      <c r="J1189" s="832">
        <v>1</v>
      </c>
      <c r="K1189" s="833">
        <v>11380.990234375</v>
      </c>
    </row>
    <row r="1190" spans="1:11" ht="14.45" customHeight="1" x14ac:dyDescent="0.2">
      <c r="A1190" s="822" t="s">
        <v>575</v>
      </c>
      <c r="B1190" s="823" t="s">
        <v>576</v>
      </c>
      <c r="C1190" s="826" t="s">
        <v>600</v>
      </c>
      <c r="D1190" s="840" t="s">
        <v>601</v>
      </c>
      <c r="E1190" s="826" t="s">
        <v>3264</v>
      </c>
      <c r="F1190" s="840" t="s">
        <v>3265</v>
      </c>
      <c r="G1190" s="826" t="s">
        <v>3612</v>
      </c>
      <c r="H1190" s="826" t="s">
        <v>3613</v>
      </c>
      <c r="I1190" s="832">
        <v>11380.99267578125</v>
      </c>
      <c r="J1190" s="832">
        <v>9</v>
      </c>
      <c r="K1190" s="833">
        <v>102428.931640625</v>
      </c>
    </row>
    <row r="1191" spans="1:11" ht="14.45" customHeight="1" x14ac:dyDescent="0.2">
      <c r="A1191" s="822" t="s">
        <v>575</v>
      </c>
      <c r="B1191" s="823" t="s">
        <v>576</v>
      </c>
      <c r="C1191" s="826" t="s">
        <v>600</v>
      </c>
      <c r="D1191" s="840" t="s">
        <v>601</v>
      </c>
      <c r="E1191" s="826" t="s">
        <v>3264</v>
      </c>
      <c r="F1191" s="840" t="s">
        <v>3265</v>
      </c>
      <c r="G1191" s="826" t="s">
        <v>3614</v>
      </c>
      <c r="H1191" s="826" t="s">
        <v>3615</v>
      </c>
      <c r="I1191" s="832">
        <v>11380.990234375</v>
      </c>
      <c r="J1191" s="832">
        <v>2</v>
      </c>
      <c r="K1191" s="833">
        <v>22761.98046875</v>
      </c>
    </row>
    <row r="1192" spans="1:11" ht="14.45" customHeight="1" x14ac:dyDescent="0.2">
      <c r="A1192" s="822" t="s">
        <v>575</v>
      </c>
      <c r="B1192" s="823" t="s">
        <v>576</v>
      </c>
      <c r="C1192" s="826" t="s">
        <v>600</v>
      </c>
      <c r="D1192" s="840" t="s">
        <v>601</v>
      </c>
      <c r="E1192" s="826" t="s">
        <v>3264</v>
      </c>
      <c r="F1192" s="840" t="s">
        <v>3265</v>
      </c>
      <c r="G1192" s="826" t="s">
        <v>3616</v>
      </c>
      <c r="H1192" s="826" t="s">
        <v>3617</v>
      </c>
      <c r="I1192" s="832">
        <v>13850.990234375</v>
      </c>
      <c r="J1192" s="832">
        <v>2</v>
      </c>
      <c r="K1192" s="833">
        <v>27701.98046875</v>
      </c>
    </row>
    <row r="1193" spans="1:11" ht="14.45" customHeight="1" x14ac:dyDescent="0.2">
      <c r="A1193" s="822" t="s">
        <v>575</v>
      </c>
      <c r="B1193" s="823" t="s">
        <v>576</v>
      </c>
      <c r="C1193" s="826" t="s">
        <v>600</v>
      </c>
      <c r="D1193" s="840" t="s">
        <v>601</v>
      </c>
      <c r="E1193" s="826" t="s">
        <v>3264</v>
      </c>
      <c r="F1193" s="840" t="s">
        <v>3265</v>
      </c>
      <c r="G1193" s="826" t="s">
        <v>3618</v>
      </c>
      <c r="H1193" s="826" t="s">
        <v>3619</v>
      </c>
      <c r="I1193" s="832">
        <v>13850.990234375</v>
      </c>
      <c r="J1193" s="832">
        <v>5</v>
      </c>
      <c r="K1193" s="833">
        <v>69254.951171875</v>
      </c>
    </row>
    <row r="1194" spans="1:11" ht="14.45" customHeight="1" x14ac:dyDescent="0.2">
      <c r="A1194" s="822" t="s">
        <v>575</v>
      </c>
      <c r="B1194" s="823" t="s">
        <v>576</v>
      </c>
      <c r="C1194" s="826" t="s">
        <v>600</v>
      </c>
      <c r="D1194" s="840" t="s">
        <v>601</v>
      </c>
      <c r="E1194" s="826" t="s">
        <v>3264</v>
      </c>
      <c r="F1194" s="840" t="s">
        <v>3265</v>
      </c>
      <c r="G1194" s="826" t="s">
        <v>3620</v>
      </c>
      <c r="H1194" s="826" t="s">
        <v>3621</v>
      </c>
      <c r="I1194" s="832">
        <v>13850.99267578125</v>
      </c>
      <c r="J1194" s="832">
        <v>8</v>
      </c>
      <c r="K1194" s="833">
        <v>110807.94140625</v>
      </c>
    </row>
    <row r="1195" spans="1:11" ht="14.45" customHeight="1" x14ac:dyDescent="0.2">
      <c r="A1195" s="822" t="s">
        <v>575</v>
      </c>
      <c r="B1195" s="823" t="s">
        <v>576</v>
      </c>
      <c r="C1195" s="826" t="s">
        <v>600</v>
      </c>
      <c r="D1195" s="840" t="s">
        <v>601</v>
      </c>
      <c r="E1195" s="826" t="s">
        <v>3264</v>
      </c>
      <c r="F1195" s="840" t="s">
        <v>3265</v>
      </c>
      <c r="G1195" s="826" t="s">
        <v>3610</v>
      </c>
      <c r="H1195" s="826" t="s">
        <v>4485</v>
      </c>
      <c r="I1195" s="832">
        <v>11380.993489583334</v>
      </c>
      <c r="J1195" s="832">
        <v>7</v>
      </c>
      <c r="K1195" s="833">
        <v>79666.951171875</v>
      </c>
    </row>
    <row r="1196" spans="1:11" ht="14.45" customHeight="1" x14ac:dyDescent="0.2">
      <c r="A1196" s="822" t="s">
        <v>575</v>
      </c>
      <c r="B1196" s="823" t="s">
        <v>576</v>
      </c>
      <c r="C1196" s="826" t="s">
        <v>600</v>
      </c>
      <c r="D1196" s="840" t="s">
        <v>601</v>
      </c>
      <c r="E1196" s="826" t="s">
        <v>3264</v>
      </c>
      <c r="F1196" s="840" t="s">
        <v>3265</v>
      </c>
      <c r="G1196" s="826" t="s">
        <v>3612</v>
      </c>
      <c r="H1196" s="826" t="s">
        <v>4486</v>
      </c>
      <c r="I1196" s="832">
        <v>11380.99267578125</v>
      </c>
      <c r="J1196" s="832">
        <v>4</v>
      </c>
      <c r="K1196" s="833">
        <v>45523.970703125</v>
      </c>
    </row>
    <row r="1197" spans="1:11" ht="14.45" customHeight="1" x14ac:dyDescent="0.2">
      <c r="A1197" s="822" t="s">
        <v>575</v>
      </c>
      <c r="B1197" s="823" t="s">
        <v>576</v>
      </c>
      <c r="C1197" s="826" t="s">
        <v>600</v>
      </c>
      <c r="D1197" s="840" t="s">
        <v>601</v>
      </c>
      <c r="E1197" s="826" t="s">
        <v>3264</v>
      </c>
      <c r="F1197" s="840" t="s">
        <v>3265</v>
      </c>
      <c r="G1197" s="826" t="s">
        <v>3614</v>
      </c>
      <c r="H1197" s="826" t="s">
        <v>4487</v>
      </c>
      <c r="I1197" s="832">
        <v>11380.990234375</v>
      </c>
      <c r="J1197" s="832">
        <v>4</v>
      </c>
      <c r="K1197" s="833">
        <v>45523.9609375</v>
      </c>
    </row>
    <row r="1198" spans="1:11" ht="14.45" customHeight="1" x14ac:dyDescent="0.2">
      <c r="A1198" s="822" t="s">
        <v>575</v>
      </c>
      <c r="B1198" s="823" t="s">
        <v>576</v>
      </c>
      <c r="C1198" s="826" t="s">
        <v>600</v>
      </c>
      <c r="D1198" s="840" t="s">
        <v>601</v>
      </c>
      <c r="E1198" s="826" t="s">
        <v>3264</v>
      </c>
      <c r="F1198" s="840" t="s">
        <v>3265</v>
      </c>
      <c r="G1198" s="826" t="s">
        <v>3616</v>
      </c>
      <c r="H1198" s="826" t="s">
        <v>4488</v>
      </c>
      <c r="I1198" s="832">
        <v>13850.990234375</v>
      </c>
      <c r="J1198" s="832">
        <v>3</v>
      </c>
      <c r="K1198" s="833">
        <v>41552.970703125</v>
      </c>
    </row>
    <row r="1199" spans="1:11" ht="14.45" customHeight="1" x14ac:dyDescent="0.2">
      <c r="A1199" s="822" t="s">
        <v>575</v>
      </c>
      <c r="B1199" s="823" t="s">
        <v>576</v>
      </c>
      <c r="C1199" s="826" t="s">
        <v>600</v>
      </c>
      <c r="D1199" s="840" t="s">
        <v>601</v>
      </c>
      <c r="E1199" s="826" t="s">
        <v>3264</v>
      </c>
      <c r="F1199" s="840" t="s">
        <v>3265</v>
      </c>
      <c r="G1199" s="826" t="s">
        <v>3618</v>
      </c>
      <c r="H1199" s="826" t="s">
        <v>4489</v>
      </c>
      <c r="I1199" s="832">
        <v>13850.990234375</v>
      </c>
      <c r="J1199" s="832">
        <v>4</v>
      </c>
      <c r="K1199" s="833">
        <v>55403.9609375</v>
      </c>
    </row>
    <row r="1200" spans="1:11" ht="14.45" customHeight="1" x14ac:dyDescent="0.2">
      <c r="A1200" s="822" t="s">
        <v>575</v>
      </c>
      <c r="B1200" s="823" t="s">
        <v>576</v>
      </c>
      <c r="C1200" s="826" t="s">
        <v>600</v>
      </c>
      <c r="D1200" s="840" t="s">
        <v>601</v>
      </c>
      <c r="E1200" s="826" t="s">
        <v>3264</v>
      </c>
      <c r="F1200" s="840" t="s">
        <v>3265</v>
      </c>
      <c r="G1200" s="826" t="s">
        <v>3620</v>
      </c>
      <c r="H1200" s="826" t="s">
        <v>4490</v>
      </c>
      <c r="I1200" s="832">
        <v>13850.990234375</v>
      </c>
      <c r="J1200" s="832">
        <v>8</v>
      </c>
      <c r="K1200" s="833">
        <v>110807.921875</v>
      </c>
    </row>
    <row r="1201" spans="1:11" ht="14.45" customHeight="1" x14ac:dyDescent="0.2">
      <c r="A1201" s="822" t="s">
        <v>575</v>
      </c>
      <c r="B1201" s="823" t="s">
        <v>576</v>
      </c>
      <c r="C1201" s="826" t="s">
        <v>600</v>
      </c>
      <c r="D1201" s="840" t="s">
        <v>601</v>
      </c>
      <c r="E1201" s="826" t="s">
        <v>3264</v>
      </c>
      <c r="F1201" s="840" t="s">
        <v>3265</v>
      </c>
      <c r="G1201" s="826" t="s">
        <v>4491</v>
      </c>
      <c r="H1201" s="826" t="s">
        <v>4492</v>
      </c>
      <c r="I1201" s="832">
        <v>1500.4000244140625</v>
      </c>
      <c r="J1201" s="832">
        <v>2</v>
      </c>
      <c r="K1201" s="833">
        <v>3000.800048828125</v>
      </c>
    </row>
    <row r="1202" spans="1:11" ht="14.45" customHeight="1" x14ac:dyDescent="0.2">
      <c r="A1202" s="822" t="s">
        <v>575</v>
      </c>
      <c r="B1202" s="823" t="s">
        <v>576</v>
      </c>
      <c r="C1202" s="826" t="s">
        <v>600</v>
      </c>
      <c r="D1202" s="840" t="s">
        <v>601</v>
      </c>
      <c r="E1202" s="826" t="s">
        <v>3264</v>
      </c>
      <c r="F1202" s="840" t="s">
        <v>3265</v>
      </c>
      <c r="G1202" s="826" t="s">
        <v>4493</v>
      </c>
      <c r="H1202" s="826" t="s">
        <v>4494</v>
      </c>
      <c r="I1202" s="832">
        <v>1500.3800048828125</v>
      </c>
      <c r="J1202" s="832">
        <v>1</v>
      </c>
      <c r="K1202" s="833">
        <v>1500.3800048828125</v>
      </c>
    </row>
    <row r="1203" spans="1:11" ht="14.45" customHeight="1" x14ac:dyDescent="0.2">
      <c r="A1203" s="822" t="s">
        <v>575</v>
      </c>
      <c r="B1203" s="823" t="s">
        <v>576</v>
      </c>
      <c r="C1203" s="826" t="s">
        <v>600</v>
      </c>
      <c r="D1203" s="840" t="s">
        <v>601</v>
      </c>
      <c r="E1203" s="826" t="s">
        <v>3264</v>
      </c>
      <c r="F1203" s="840" t="s">
        <v>3265</v>
      </c>
      <c r="G1203" s="826" t="s">
        <v>4495</v>
      </c>
      <c r="H1203" s="826" t="s">
        <v>4496</v>
      </c>
      <c r="I1203" s="832">
        <v>1500.4000244140625</v>
      </c>
      <c r="J1203" s="832">
        <v>1</v>
      </c>
      <c r="K1203" s="833">
        <v>1500.4000244140625</v>
      </c>
    </row>
    <row r="1204" spans="1:11" ht="14.45" customHeight="1" x14ac:dyDescent="0.2">
      <c r="A1204" s="822" t="s">
        <v>575</v>
      </c>
      <c r="B1204" s="823" t="s">
        <v>576</v>
      </c>
      <c r="C1204" s="826" t="s">
        <v>600</v>
      </c>
      <c r="D1204" s="840" t="s">
        <v>601</v>
      </c>
      <c r="E1204" s="826" t="s">
        <v>3264</v>
      </c>
      <c r="F1204" s="840" t="s">
        <v>3265</v>
      </c>
      <c r="G1204" s="826" t="s">
        <v>4497</v>
      </c>
      <c r="H1204" s="826" t="s">
        <v>4498</v>
      </c>
      <c r="I1204" s="832">
        <v>3539.25</v>
      </c>
      <c r="J1204" s="832">
        <v>5</v>
      </c>
      <c r="K1204" s="833">
        <v>17696.25</v>
      </c>
    </row>
    <row r="1205" spans="1:11" ht="14.45" customHeight="1" x14ac:dyDescent="0.2">
      <c r="A1205" s="822" t="s">
        <v>575</v>
      </c>
      <c r="B1205" s="823" t="s">
        <v>576</v>
      </c>
      <c r="C1205" s="826" t="s">
        <v>600</v>
      </c>
      <c r="D1205" s="840" t="s">
        <v>601</v>
      </c>
      <c r="E1205" s="826" t="s">
        <v>3264</v>
      </c>
      <c r="F1205" s="840" t="s">
        <v>3265</v>
      </c>
      <c r="G1205" s="826" t="s">
        <v>4499</v>
      </c>
      <c r="H1205" s="826" t="s">
        <v>4500</v>
      </c>
      <c r="I1205" s="832">
        <v>3539.25</v>
      </c>
      <c r="J1205" s="832">
        <v>10</v>
      </c>
      <c r="K1205" s="833">
        <v>35392.5</v>
      </c>
    </row>
    <row r="1206" spans="1:11" ht="14.45" customHeight="1" x14ac:dyDescent="0.2">
      <c r="A1206" s="822" t="s">
        <v>575</v>
      </c>
      <c r="B1206" s="823" t="s">
        <v>576</v>
      </c>
      <c r="C1206" s="826" t="s">
        <v>600</v>
      </c>
      <c r="D1206" s="840" t="s">
        <v>601</v>
      </c>
      <c r="E1206" s="826" t="s">
        <v>3264</v>
      </c>
      <c r="F1206" s="840" t="s">
        <v>3265</v>
      </c>
      <c r="G1206" s="826" t="s">
        <v>4501</v>
      </c>
      <c r="H1206" s="826" t="s">
        <v>4502</v>
      </c>
      <c r="I1206" s="832">
        <v>3539.25</v>
      </c>
      <c r="J1206" s="832">
        <v>7</v>
      </c>
      <c r="K1206" s="833">
        <v>24774.75</v>
      </c>
    </row>
    <row r="1207" spans="1:11" ht="14.45" customHeight="1" x14ac:dyDescent="0.2">
      <c r="A1207" s="822" t="s">
        <v>575</v>
      </c>
      <c r="B1207" s="823" t="s">
        <v>576</v>
      </c>
      <c r="C1207" s="826" t="s">
        <v>600</v>
      </c>
      <c r="D1207" s="840" t="s">
        <v>601</v>
      </c>
      <c r="E1207" s="826" t="s">
        <v>3264</v>
      </c>
      <c r="F1207" s="840" t="s">
        <v>3265</v>
      </c>
      <c r="G1207" s="826" t="s">
        <v>4503</v>
      </c>
      <c r="H1207" s="826" t="s">
        <v>4504</v>
      </c>
      <c r="I1207" s="832">
        <v>45.979999542236328</v>
      </c>
      <c r="J1207" s="832">
        <v>20</v>
      </c>
      <c r="K1207" s="833">
        <v>919.5999755859375</v>
      </c>
    </row>
    <row r="1208" spans="1:11" ht="14.45" customHeight="1" x14ac:dyDescent="0.2">
      <c r="A1208" s="822" t="s">
        <v>575</v>
      </c>
      <c r="B1208" s="823" t="s">
        <v>576</v>
      </c>
      <c r="C1208" s="826" t="s">
        <v>600</v>
      </c>
      <c r="D1208" s="840" t="s">
        <v>601</v>
      </c>
      <c r="E1208" s="826" t="s">
        <v>3264</v>
      </c>
      <c r="F1208" s="840" t="s">
        <v>3265</v>
      </c>
      <c r="G1208" s="826" t="s">
        <v>4503</v>
      </c>
      <c r="H1208" s="826" t="s">
        <v>4505</v>
      </c>
      <c r="I1208" s="832">
        <v>45.979999542236328</v>
      </c>
      <c r="J1208" s="832">
        <v>20</v>
      </c>
      <c r="K1208" s="833">
        <v>919.5999755859375</v>
      </c>
    </row>
    <row r="1209" spans="1:11" ht="14.45" customHeight="1" x14ac:dyDescent="0.2">
      <c r="A1209" s="822" t="s">
        <v>575</v>
      </c>
      <c r="B1209" s="823" t="s">
        <v>576</v>
      </c>
      <c r="C1209" s="826" t="s">
        <v>600</v>
      </c>
      <c r="D1209" s="840" t="s">
        <v>601</v>
      </c>
      <c r="E1209" s="826" t="s">
        <v>3264</v>
      </c>
      <c r="F1209" s="840" t="s">
        <v>3265</v>
      </c>
      <c r="G1209" s="826" t="s">
        <v>3894</v>
      </c>
      <c r="H1209" s="826" t="s">
        <v>3895</v>
      </c>
      <c r="I1209" s="832">
        <v>45.979999542236328</v>
      </c>
      <c r="J1209" s="832">
        <v>240</v>
      </c>
      <c r="K1209" s="833">
        <v>11035.19970703125</v>
      </c>
    </row>
    <row r="1210" spans="1:11" ht="14.45" customHeight="1" x14ac:dyDescent="0.2">
      <c r="A1210" s="822" t="s">
        <v>575</v>
      </c>
      <c r="B1210" s="823" t="s">
        <v>576</v>
      </c>
      <c r="C1210" s="826" t="s">
        <v>600</v>
      </c>
      <c r="D1210" s="840" t="s">
        <v>601</v>
      </c>
      <c r="E1210" s="826" t="s">
        <v>3264</v>
      </c>
      <c r="F1210" s="840" t="s">
        <v>3265</v>
      </c>
      <c r="G1210" s="826" t="s">
        <v>3894</v>
      </c>
      <c r="H1210" s="826" t="s">
        <v>4506</v>
      </c>
      <c r="I1210" s="832">
        <v>45.979999542236328</v>
      </c>
      <c r="J1210" s="832">
        <v>40</v>
      </c>
      <c r="K1210" s="833">
        <v>1839.199951171875</v>
      </c>
    </row>
    <row r="1211" spans="1:11" ht="14.45" customHeight="1" x14ac:dyDescent="0.2">
      <c r="A1211" s="822" t="s">
        <v>575</v>
      </c>
      <c r="B1211" s="823" t="s">
        <v>576</v>
      </c>
      <c r="C1211" s="826" t="s">
        <v>600</v>
      </c>
      <c r="D1211" s="840" t="s">
        <v>601</v>
      </c>
      <c r="E1211" s="826" t="s">
        <v>3264</v>
      </c>
      <c r="F1211" s="840" t="s">
        <v>3265</v>
      </c>
      <c r="G1211" s="826" t="s">
        <v>3898</v>
      </c>
      <c r="H1211" s="826" t="s">
        <v>3899</v>
      </c>
      <c r="I1211" s="832">
        <v>45.979999542236328</v>
      </c>
      <c r="J1211" s="832">
        <v>20</v>
      </c>
      <c r="K1211" s="833">
        <v>919.5999755859375</v>
      </c>
    </row>
    <row r="1212" spans="1:11" ht="14.45" customHeight="1" x14ac:dyDescent="0.2">
      <c r="A1212" s="822" t="s">
        <v>575</v>
      </c>
      <c r="B1212" s="823" t="s">
        <v>576</v>
      </c>
      <c r="C1212" s="826" t="s">
        <v>600</v>
      </c>
      <c r="D1212" s="840" t="s">
        <v>601</v>
      </c>
      <c r="E1212" s="826" t="s">
        <v>3264</v>
      </c>
      <c r="F1212" s="840" t="s">
        <v>3265</v>
      </c>
      <c r="G1212" s="826" t="s">
        <v>3902</v>
      </c>
      <c r="H1212" s="826" t="s">
        <v>3903</v>
      </c>
      <c r="I1212" s="832">
        <v>45.979999542236328</v>
      </c>
      <c r="J1212" s="832">
        <v>420</v>
      </c>
      <c r="K1212" s="833">
        <v>19311.759643554688</v>
      </c>
    </row>
    <row r="1213" spans="1:11" ht="14.45" customHeight="1" x14ac:dyDescent="0.2">
      <c r="A1213" s="822" t="s">
        <v>575</v>
      </c>
      <c r="B1213" s="823" t="s">
        <v>576</v>
      </c>
      <c r="C1213" s="826" t="s">
        <v>600</v>
      </c>
      <c r="D1213" s="840" t="s">
        <v>601</v>
      </c>
      <c r="E1213" s="826" t="s">
        <v>3264</v>
      </c>
      <c r="F1213" s="840" t="s">
        <v>3265</v>
      </c>
      <c r="G1213" s="826" t="s">
        <v>3902</v>
      </c>
      <c r="H1213" s="826" t="s">
        <v>3904</v>
      </c>
      <c r="I1213" s="832">
        <v>45.979999542236328</v>
      </c>
      <c r="J1213" s="832">
        <v>240</v>
      </c>
      <c r="K1213" s="833">
        <v>11035.259887695313</v>
      </c>
    </row>
    <row r="1214" spans="1:11" ht="14.45" customHeight="1" x14ac:dyDescent="0.2">
      <c r="A1214" s="822" t="s">
        <v>575</v>
      </c>
      <c r="B1214" s="823" t="s">
        <v>576</v>
      </c>
      <c r="C1214" s="826" t="s">
        <v>600</v>
      </c>
      <c r="D1214" s="840" t="s">
        <v>601</v>
      </c>
      <c r="E1214" s="826" t="s">
        <v>3264</v>
      </c>
      <c r="F1214" s="840" t="s">
        <v>3265</v>
      </c>
      <c r="G1214" s="826" t="s">
        <v>4507</v>
      </c>
      <c r="H1214" s="826" t="s">
        <v>4508</v>
      </c>
      <c r="I1214" s="832">
        <v>3162.93994140625</v>
      </c>
      <c r="J1214" s="832">
        <v>1</v>
      </c>
      <c r="K1214" s="833">
        <v>3162.93994140625</v>
      </c>
    </row>
    <row r="1215" spans="1:11" ht="14.45" customHeight="1" x14ac:dyDescent="0.2">
      <c r="A1215" s="822" t="s">
        <v>575</v>
      </c>
      <c r="B1215" s="823" t="s">
        <v>576</v>
      </c>
      <c r="C1215" s="826" t="s">
        <v>600</v>
      </c>
      <c r="D1215" s="840" t="s">
        <v>601</v>
      </c>
      <c r="E1215" s="826" t="s">
        <v>3264</v>
      </c>
      <c r="F1215" s="840" t="s">
        <v>3265</v>
      </c>
      <c r="G1215" s="826" t="s">
        <v>4509</v>
      </c>
      <c r="H1215" s="826" t="s">
        <v>4510</v>
      </c>
      <c r="I1215" s="832">
        <v>3162.93994140625</v>
      </c>
      <c r="J1215" s="832">
        <v>4</v>
      </c>
      <c r="K1215" s="833">
        <v>12651.759765625</v>
      </c>
    </row>
    <row r="1216" spans="1:11" ht="14.45" customHeight="1" x14ac:dyDescent="0.2">
      <c r="A1216" s="822" t="s">
        <v>575</v>
      </c>
      <c r="B1216" s="823" t="s">
        <v>576</v>
      </c>
      <c r="C1216" s="826" t="s">
        <v>600</v>
      </c>
      <c r="D1216" s="840" t="s">
        <v>601</v>
      </c>
      <c r="E1216" s="826" t="s">
        <v>3264</v>
      </c>
      <c r="F1216" s="840" t="s">
        <v>3265</v>
      </c>
      <c r="G1216" s="826" t="s">
        <v>4511</v>
      </c>
      <c r="H1216" s="826" t="s">
        <v>4512</v>
      </c>
      <c r="I1216" s="832">
        <v>3162.93994140625</v>
      </c>
      <c r="J1216" s="832">
        <v>11</v>
      </c>
      <c r="K1216" s="833">
        <v>34792.34033203125</v>
      </c>
    </row>
    <row r="1217" spans="1:11" ht="14.45" customHeight="1" x14ac:dyDescent="0.2">
      <c r="A1217" s="822" t="s">
        <v>575</v>
      </c>
      <c r="B1217" s="823" t="s">
        <v>576</v>
      </c>
      <c r="C1217" s="826" t="s">
        <v>600</v>
      </c>
      <c r="D1217" s="840" t="s">
        <v>601</v>
      </c>
      <c r="E1217" s="826" t="s">
        <v>3264</v>
      </c>
      <c r="F1217" s="840" t="s">
        <v>3265</v>
      </c>
      <c r="G1217" s="826" t="s">
        <v>4513</v>
      </c>
      <c r="H1217" s="826" t="s">
        <v>4514</v>
      </c>
      <c r="I1217" s="832">
        <v>3162.93994140625</v>
      </c>
      <c r="J1217" s="832">
        <v>10</v>
      </c>
      <c r="K1217" s="833">
        <v>31629.400390625</v>
      </c>
    </row>
    <row r="1218" spans="1:11" ht="14.45" customHeight="1" x14ac:dyDescent="0.2">
      <c r="A1218" s="822" t="s">
        <v>575</v>
      </c>
      <c r="B1218" s="823" t="s">
        <v>576</v>
      </c>
      <c r="C1218" s="826" t="s">
        <v>600</v>
      </c>
      <c r="D1218" s="840" t="s">
        <v>601</v>
      </c>
      <c r="E1218" s="826" t="s">
        <v>3264</v>
      </c>
      <c r="F1218" s="840" t="s">
        <v>3265</v>
      </c>
      <c r="G1218" s="826" t="s">
        <v>4507</v>
      </c>
      <c r="H1218" s="826" t="s">
        <v>4515</v>
      </c>
      <c r="I1218" s="832">
        <v>3162.93994140625</v>
      </c>
      <c r="J1218" s="832">
        <v>4</v>
      </c>
      <c r="K1218" s="833">
        <v>12651.759765625</v>
      </c>
    </row>
    <row r="1219" spans="1:11" ht="14.45" customHeight="1" x14ac:dyDescent="0.2">
      <c r="A1219" s="822" t="s">
        <v>575</v>
      </c>
      <c r="B1219" s="823" t="s">
        <v>576</v>
      </c>
      <c r="C1219" s="826" t="s">
        <v>600</v>
      </c>
      <c r="D1219" s="840" t="s">
        <v>601</v>
      </c>
      <c r="E1219" s="826" t="s">
        <v>3264</v>
      </c>
      <c r="F1219" s="840" t="s">
        <v>3265</v>
      </c>
      <c r="G1219" s="826" t="s">
        <v>4509</v>
      </c>
      <c r="H1219" s="826" t="s">
        <v>4516</v>
      </c>
      <c r="I1219" s="832">
        <v>3162.93994140625</v>
      </c>
      <c r="J1219" s="832">
        <v>3</v>
      </c>
      <c r="K1219" s="833">
        <v>9488.81982421875</v>
      </c>
    </row>
    <row r="1220" spans="1:11" ht="14.45" customHeight="1" x14ac:dyDescent="0.2">
      <c r="A1220" s="822" t="s">
        <v>575</v>
      </c>
      <c r="B1220" s="823" t="s">
        <v>576</v>
      </c>
      <c r="C1220" s="826" t="s">
        <v>600</v>
      </c>
      <c r="D1220" s="840" t="s">
        <v>601</v>
      </c>
      <c r="E1220" s="826" t="s">
        <v>3264</v>
      </c>
      <c r="F1220" s="840" t="s">
        <v>3265</v>
      </c>
      <c r="G1220" s="826" t="s">
        <v>4511</v>
      </c>
      <c r="H1220" s="826" t="s">
        <v>4517</v>
      </c>
      <c r="I1220" s="832">
        <v>3162.93994140625</v>
      </c>
      <c r="J1220" s="832">
        <v>8</v>
      </c>
      <c r="K1220" s="833">
        <v>25303.51953125</v>
      </c>
    </row>
    <row r="1221" spans="1:11" ht="14.45" customHeight="1" x14ac:dyDescent="0.2">
      <c r="A1221" s="822" t="s">
        <v>575</v>
      </c>
      <c r="B1221" s="823" t="s">
        <v>576</v>
      </c>
      <c r="C1221" s="826" t="s">
        <v>600</v>
      </c>
      <c r="D1221" s="840" t="s">
        <v>601</v>
      </c>
      <c r="E1221" s="826" t="s">
        <v>3264</v>
      </c>
      <c r="F1221" s="840" t="s">
        <v>3265</v>
      </c>
      <c r="G1221" s="826" t="s">
        <v>4513</v>
      </c>
      <c r="H1221" s="826" t="s">
        <v>4518</v>
      </c>
      <c r="I1221" s="832">
        <v>3162.93994140625</v>
      </c>
      <c r="J1221" s="832">
        <v>7</v>
      </c>
      <c r="K1221" s="833">
        <v>22140.57958984375</v>
      </c>
    </row>
    <row r="1222" spans="1:11" ht="14.45" customHeight="1" x14ac:dyDescent="0.2">
      <c r="A1222" s="822" t="s">
        <v>575</v>
      </c>
      <c r="B1222" s="823" t="s">
        <v>576</v>
      </c>
      <c r="C1222" s="826" t="s">
        <v>600</v>
      </c>
      <c r="D1222" s="840" t="s">
        <v>601</v>
      </c>
      <c r="E1222" s="826" t="s">
        <v>3264</v>
      </c>
      <c r="F1222" s="840" t="s">
        <v>3265</v>
      </c>
      <c r="G1222" s="826" t="s">
        <v>4519</v>
      </c>
      <c r="H1222" s="826" t="s">
        <v>4520</v>
      </c>
      <c r="I1222" s="832">
        <v>1076.9000244140625</v>
      </c>
      <c r="J1222" s="832">
        <v>70</v>
      </c>
      <c r="K1222" s="833">
        <v>75383</v>
      </c>
    </row>
    <row r="1223" spans="1:11" ht="14.45" customHeight="1" x14ac:dyDescent="0.2">
      <c r="A1223" s="822" t="s">
        <v>575</v>
      </c>
      <c r="B1223" s="823" t="s">
        <v>576</v>
      </c>
      <c r="C1223" s="826" t="s">
        <v>600</v>
      </c>
      <c r="D1223" s="840" t="s">
        <v>601</v>
      </c>
      <c r="E1223" s="826" t="s">
        <v>3264</v>
      </c>
      <c r="F1223" s="840" t="s">
        <v>3265</v>
      </c>
      <c r="G1223" s="826" t="s">
        <v>4521</v>
      </c>
      <c r="H1223" s="826" t="s">
        <v>4522</v>
      </c>
      <c r="I1223" s="832">
        <v>1076.9000244140625</v>
      </c>
      <c r="J1223" s="832">
        <v>260</v>
      </c>
      <c r="K1223" s="833">
        <v>279994</v>
      </c>
    </row>
    <row r="1224" spans="1:11" ht="14.45" customHeight="1" x14ac:dyDescent="0.2">
      <c r="A1224" s="822" t="s">
        <v>575</v>
      </c>
      <c r="B1224" s="823" t="s">
        <v>576</v>
      </c>
      <c r="C1224" s="826" t="s">
        <v>600</v>
      </c>
      <c r="D1224" s="840" t="s">
        <v>601</v>
      </c>
      <c r="E1224" s="826" t="s">
        <v>3264</v>
      </c>
      <c r="F1224" s="840" t="s">
        <v>3265</v>
      </c>
      <c r="G1224" s="826" t="s">
        <v>4519</v>
      </c>
      <c r="H1224" s="826" t="s">
        <v>4523</v>
      </c>
      <c r="I1224" s="832">
        <v>1076.9000244140625</v>
      </c>
      <c r="J1224" s="832">
        <v>50</v>
      </c>
      <c r="K1224" s="833">
        <v>53845</v>
      </c>
    </row>
    <row r="1225" spans="1:11" ht="14.45" customHeight="1" x14ac:dyDescent="0.2">
      <c r="A1225" s="822" t="s">
        <v>575</v>
      </c>
      <c r="B1225" s="823" t="s">
        <v>576</v>
      </c>
      <c r="C1225" s="826" t="s">
        <v>600</v>
      </c>
      <c r="D1225" s="840" t="s">
        <v>601</v>
      </c>
      <c r="E1225" s="826" t="s">
        <v>3264</v>
      </c>
      <c r="F1225" s="840" t="s">
        <v>3265</v>
      </c>
      <c r="G1225" s="826" t="s">
        <v>4521</v>
      </c>
      <c r="H1225" s="826" t="s">
        <v>4524</v>
      </c>
      <c r="I1225" s="832">
        <v>1076.9000244140625</v>
      </c>
      <c r="J1225" s="832">
        <v>180</v>
      </c>
      <c r="K1225" s="833">
        <v>193842</v>
      </c>
    </row>
    <row r="1226" spans="1:11" ht="14.45" customHeight="1" x14ac:dyDescent="0.2">
      <c r="A1226" s="822" t="s">
        <v>575</v>
      </c>
      <c r="B1226" s="823" t="s">
        <v>576</v>
      </c>
      <c r="C1226" s="826" t="s">
        <v>600</v>
      </c>
      <c r="D1226" s="840" t="s">
        <v>601</v>
      </c>
      <c r="E1226" s="826" t="s">
        <v>3264</v>
      </c>
      <c r="F1226" s="840" t="s">
        <v>3265</v>
      </c>
      <c r="G1226" s="826" t="s">
        <v>4525</v>
      </c>
      <c r="H1226" s="826" t="s">
        <v>4526</v>
      </c>
      <c r="I1226" s="832">
        <v>1006.9800109863281</v>
      </c>
      <c r="J1226" s="832">
        <v>16</v>
      </c>
      <c r="K1226" s="833">
        <v>16111.6201171875</v>
      </c>
    </row>
    <row r="1227" spans="1:11" ht="14.45" customHeight="1" x14ac:dyDescent="0.2">
      <c r="A1227" s="822" t="s">
        <v>575</v>
      </c>
      <c r="B1227" s="823" t="s">
        <v>576</v>
      </c>
      <c r="C1227" s="826" t="s">
        <v>600</v>
      </c>
      <c r="D1227" s="840" t="s">
        <v>601</v>
      </c>
      <c r="E1227" s="826" t="s">
        <v>3264</v>
      </c>
      <c r="F1227" s="840" t="s">
        <v>3265</v>
      </c>
      <c r="G1227" s="826" t="s">
        <v>4527</v>
      </c>
      <c r="H1227" s="826" t="s">
        <v>4528</v>
      </c>
      <c r="I1227" s="832">
        <v>1006.9600219726563</v>
      </c>
      <c r="J1227" s="832">
        <v>10</v>
      </c>
      <c r="K1227" s="833">
        <v>10069.6201171875</v>
      </c>
    </row>
    <row r="1228" spans="1:11" ht="14.45" customHeight="1" x14ac:dyDescent="0.2">
      <c r="A1228" s="822" t="s">
        <v>575</v>
      </c>
      <c r="B1228" s="823" t="s">
        <v>576</v>
      </c>
      <c r="C1228" s="826" t="s">
        <v>600</v>
      </c>
      <c r="D1228" s="840" t="s">
        <v>601</v>
      </c>
      <c r="E1228" s="826" t="s">
        <v>3264</v>
      </c>
      <c r="F1228" s="840" t="s">
        <v>3265</v>
      </c>
      <c r="G1228" s="826" t="s">
        <v>4525</v>
      </c>
      <c r="H1228" s="826" t="s">
        <v>4529</v>
      </c>
      <c r="I1228" s="832">
        <v>1006.9850158691406</v>
      </c>
      <c r="J1228" s="832">
        <v>14</v>
      </c>
      <c r="K1228" s="833">
        <v>14097.92041015625</v>
      </c>
    </row>
    <row r="1229" spans="1:11" ht="14.45" customHeight="1" x14ac:dyDescent="0.2">
      <c r="A1229" s="822" t="s">
        <v>575</v>
      </c>
      <c r="B1229" s="823" t="s">
        <v>576</v>
      </c>
      <c r="C1229" s="826" t="s">
        <v>600</v>
      </c>
      <c r="D1229" s="840" t="s">
        <v>601</v>
      </c>
      <c r="E1229" s="826" t="s">
        <v>3264</v>
      </c>
      <c r="F1229" s="840" t="s">
        <v>3265</v>
      </c>
      <c r="G1229" s="826" t="s">
        <v>4527</v>
      </c>
      <c r="H1229" s="826" t="s">
        <v>4530</v>
      </c>
      <c r="I1229" s="832">
        <v>1006.97998046875</v>
      </c>
      <c r="J1229" s="832">
        <v>10</v>
      </c>
      <c r="K1229" s="833">
        <v>10069.83984375</v>
      </c>
    </row>
    <row r="1230" spans="1:11" ht="14.45" customHeight="1" x14ac:dyDescent="0.2">
      <c r="A1230" s="822" t="s">
        <v>575</v>
      </c>
      <c r="B1230" s="823" t="s">
        <v>576</v>
      </c>
      <c r="C1230" s="826" t="s">
        <v>600</v>
      </c>
      <c r="D1230" s="840" t="s">
        <v>601</v>
      </c>
      <c r="E1230" s="826" t="s">
        <v>3264</v>
      </c>
      <c r="F1230" s="840" t="s">
        <v>3265</v>
      </c>
      <c r="G1230" s="826" t="s">
        <v>4531</v>
      </c>
      <c r="H1230" s="826" t="s">
        <v>4532</v>
      </c>
      <c r="I1230" s="832">
        <v>1006.9700012207031</v>
      </c>
      <c r="J1230" s="832">
        <v>20</v>
      </c>
      <c r="K1230" s="833">
        <v>20139.4599609375</v>
      </c>
    </row>
    <row r="1231" spans="1:11" ht="14.45" customHeight="1" x14ac:dyDescent="0.2">
      <c r="A1231" s="822" t="s">
        <v>575</v>
      </c>
      <c r="B1231" s="823" t="s">
        <v>576</v>
      </c>
      <c r="C1231" s="826" t="s">
        <v>600</v>
      </c>
      <c r="D1231" s="840" t="s">
        <v>601</v>
      </c>
      <c r="E1231" s="826" t="s">
        <v>3264</v>
      </c>
      <c r="F1231" s="840" t="s">
        <v>3265</v>
      </c>
      <c r="G1231" s="826" t="s">
        <v>4533</v>
      </c>
      <c r="H1231" s="826" t="s">
        <v>4534</v>
      </c>
      <c r="I1231" s="832">
        <v>268.39999112215907</v>
      </c>
      <c r="J1231" s="832">
        <v>380</v>
      </c>
      <c r="K1231" s="833">
        <v>122986.3466796875</v>
      </c>
    </row>
    <row r="1232" spans="1:11" ht="14.45" customHeight="1" x14ac:dyDescent="0.2">
      <c r="A1232" s="822" t="s">
        <v>575</v>
      </c>
      <c r="B1232" s="823" t="s">
        <v>576</v>
      </c>
      <c r="C1232" s="826" t="s">
        <v>600</v>
      </c>
      <c r="D1232" s="840" t="s">
        <v>601</v>
      </c>
      <c r="E1232" s="826" t="s">
        <v>3264</v>
      </c>
      <c r="F1232" s="840" t="s">
        <v>3265</v>
      </c>
      <c r="G1232" s="826" t="s">
        <v>4535</v>
      </c>
      <c r="H1232" s="826" t="s">
        <v>4536</v>
      </c>
      <c r="I1232" s="832">
        <v>726</v>
      </c>
      <c r="J1232" s="832">
        <v>20</v>
      </c>
      <c r="K1232" s="833">
        <v>14520</v>
      </c>
    </row>
    <row r="1233" spans="1:11" ht="14.45" customHeight="1" x14ac:dyDescent="0.2">
      <c r="A1233" s="822" t="s">
        <v>575</v>
      </c>
      <c r="B1233" s="823" t="s">
        <v>576</v>
      </c>
      <c r="C1233" s="826" t="s">
        <v>600</v>
      </c>
      <c r="D1233" s="840" t="s">
        <v>601</v>
      </c>
      <c r="E1233" s="826" t="s">
        <v>3264</v>
      </c>
      <c r="F1233" s="840" t="s">
        <v>3265</v>
      </c>
      <c r="G1233" s="826" t="s">
        <v>4537</v>
      </c>
      <c r="H1233" s="826" t="s">
        <v>4538</v>
      </c>
      <c r="I1233" s="832">
        <v>454.42667643229169</v>
      </c>
      <c r="J1233" s="832">
        <v>160</v>
      </c>
      <c r="K1233" s="833">
        <v>84757.8798828125</v>
      </c>
    </row>
    <row r="1234" spans="1:11" ht="14.45" customHeight="1" x14ac:dyDescent="0.2">
      <c r="A1234" s="822" t="s">
        <v>575</v>
      </c>
      <c r="B1234" s="823" t="s">
        <v>576</v>
      </c>
      <c r="C1234" s="826" t="s">
        <v>600</v>
      </c>
      <c r="D1234" s="840" t="s">
        <v>601</v>
      </c>
      <c r="E1234" s="826" t="s">
        <v>3264</v>
      </c>
      <c r="F1234" s="840" t="s">
        <v>3265</v>
      </c>
      <c r="G1234" s="826" t="s">
        <v>4533</v>
      </c>
      <c r="H1234" s="826" t="s">
        <v>4539</v>
      </c>
      <c r="I1234" s="832">
        <v>295.239990234375</v>
      </c>
      <c r="J1234" s="832">
        <v>220</v>
      </c>
      <c r="K1234" s="833">
        <v>64952.7978515625</v>
      </c>
    </row>
    <row r="1235" spans="1:11" ht="14.45" customHeight="1" x14ac:dyDescent="0.2">
      <c r="A1235" s="822" t="s">
        <v>575</v>
      </c>
      <c r="B1235" s="823" t="s">
        <v>576</v>
      </c>
      <c r="C1235" s="826" t="s">
        <v>600</v>
      </c>
      <c r="D1235" s="840" t="s">
        <v>601</v>
      </c>
      <c r="E1235" s="826" t="s">
        <v>3264</v>
      </c>
      <c r="F1235" s="840" t="s">
        <v>3265</v>
      </c>
      <c r="G1235" s="826" t="s">
        <v>4540</v>
      </c>
      <c r="H1235" s="826" t="s">
        <v>4541</v>
      </c>
      <c r="I1235" s="832">
        <v>365.42001342773438</v>
      </c>
      <c r="J1235" s="832">
        <v>20</v>
      </c>
      <c r="K1235" s="833">
        <v>7308.39990234375</v>
      </c>
    </row>
    <row r="1236" spans="1:11" ht="14.45" customHeight="1" x14ac:dyDescent="0.2">
      <c r="A1236" s="822" t="s">
        <v>575</v>
      </c>
      <c r="B1236" s="823" t="s">
        <v>576</v>
      </c>
      <c r="C1236" s="826" t="s">
        <v>600</v>
      </c>
      <c r="D1236" s="840" t="s">
        <v>601</v>
      </c>
      <c r="E1236" s="826" t="s">
        <v>3264</v>
      </c>
      <c r="F1236" s="840" t="s">
        <v>3265</v>
      </c>
      <c r="G1236" s="826" t="s">
        <v>4537</v>
      </c>
      <c r="H1236" s="826" t="s">
        <v>4542</v>
      </c>
      <c r="I1236" s="832">
        <v>501.07000122070315</v>
      </c>
      <c r="J1236" s="832">
        <v>120</v>
      </c>
      <c r="K1236" s="833">
        <v>60330</v>
      </c>
    </row>
    <row r="1237" spans="1:11" ht="14.45" customHeight="1" x14ac:dyDescent="0.2">
      <c r="A1237" s="822" t="s">
        <v>575</v>
      </c>
      <c r="B1237" s="823" t="s">
        <v>576</v>
      </c>
      <c r="C1237" s="826" t="s">
        <v>600</v>
      </c>
      <c r="D1237" s="840" t="s">
        <v>601</v>
      </c>
      <c r="E1237" s="826" t="s">
        <v>3264</v>
      </c>
      <c r="F1237" s="840" t="s">
        <v>3265</v>
      </c>
      <c r="G1237" s="826" t="s">
        <v>4543</v>
      </c>
      <c r="H1237" s="826" t="s">
        <v>4544</v>
      </c>
      <c r="I1237" s="832">
        <v>2577.300048828125</v>
      </c>
      <c r="J1237" s="832">
        <v>40</v>
      </c>
      <c r="K1237" s="833">
        <v>103092</v>
      </c>
    </row>
    <row r="1238" spans="1:11" ht="14.45" customHeight="1" x14ac:dyDescent="0.2">
      <c r="A1238" s="822" t="s">
        <v>575</v>
      </c>
      <c r="B1238" s="823" t="s">
        <v>576</v>
      </c>
      <c r="C1238" s="826" t="s">
        <v>600</v>
      </c>
      <c r="D1238" s="840" t="s">
        <v>601</v>
      </c>
      <c r="E1238" s="826" t="s">
        <v>3264</v>
      </c>
      <c r="F1238" s="840" t="s">
        <v>3265</v>
      </c>
      <c r="G1238" s="826" t="s">
        <v>4543</v>
      </c>
      <c r="H1238" s="826" t="s">
        <v>4545</v>
      </c>
      <c r="I1238" s="832">
        <v>2577.300048828125</v>
      </c>
      <c r="J1238" s="832">
        <v>20</v>
      </c>
      <c r="K1238" s="833">
        <v>51546</v>
      </c>
    </row>
    <row r="1239" spans="1:11" ht="14.45" customHeight="1" x14ac:dyDescent="0.2">
      <c r="A1239" s="822" t="s">
        <v>575</v>
      </c>
      <c r="B1239" s="823" t="s">
        <v>576</v>
      </c>
      <c r="C1239" s="826" t="s">
        <v>600</v>
      </c>
      <c r="D1239" s="840" t="s">
        <v>601</v>
      </c>
      <c r="E1239" s="826" t="s">
        <v>3264</v>
      </c>
      <c r="F1239" s="840" t="s">
        <v>3265</v>
      </c>
      <c r="G1239" s="826" t="s">
        <v>4497</v>
      </c>
      <c r="H1239" s="826" t="s">
        <v>4546</v>
      </c>
      <c r="I1239" s="832">
        <v>3539.25</v>
      </c>
      <c r="J1239" s="832">
        <v>4</v>
      </c>
      <c r="K1239" s="833">
        <v>14157</v>
      </c>
    </row>
    <row r="1240" spans="1:11" ht="14.45" customHeight="1" x14ac:dyDescent="0.2">
      <c r="A1240" s="822" t="s">
        <v>575</v>
      </c>
      <c r="B1240" s="823" t="s">
        <v>576</v>
      </c>
      <c r="C1240" s="826" t="s">
        <v>600</v>
      </c>
      <c r="D1240" s="840" t="s">
        <v>601</v>
      </c>
      <c r="E1240" s="826" t="s">
        <v>3264</v>
      </c>
      <c r="F1240" s="840" t="s">
        <v>3265</v>
      </c>
      <c r="G1240" s="826" t="s">
        <v>4499</v>
      </c>
      <c r="H1240" s="826" t="s">
        <v>4547</v>
      </c>
      <c r="I1240" s="832">
        <v>3539.25</v>
      </c>
      <c r="J1240" s="832">
        <v>8</v>
      </c>
      <c r="K1240" s="833">
        <v>28314</v>
      </c>
    </row>
    <row r="1241" spans="1:11" ht="14.45" customHeight="1" x14ac:dyDescent="0.2">
      <c r="A1241" s="822" t="s">
        <v>575</v>
      </c>
      <c r="B1241" s="823" t="s">
        <v>576</v>
      </c>
      <c r="C1241" s="826" t="s">
        <v>600</v>
      </c>
      <c r="D1241" s="840" t="s">
        <v>601</v>
      </c>
      <c r="E1241" s="826" t="s">
        <v>3264</v>
      </c>
      <c r="F1241" s="840" t="s">
        <v>3265</v>
      </c>
      <c r="G1241" s="826" t="s">
        <v>4501</v>
      </c>
      <c r="H1241" s="826" t="s">
        <v>4548</v>
      </c>
      <c r="I1241" s="832">
        <v>3539.25</v>
      </c>
      <c r="J1241" s="832">
        <v>2</v>
      </c>
      <c r="K1241" s="833">
        <v>7078.5</v>
      </c>
    </row>
    <row r="1242" spans="1:11" ht="14.45" customHeight="1" x14ac:dyDescent="0.2">
      <c r="A1242" s="822" t="s">
        <v>575</v>
      </c>
      <c r="B1242" s="823" t="s">
        <v>576</v>
      </c>
      <c r="C1242" s="826" t="s">
        <v>600</v>
      </c>
      <c r="D1242" s="840" t="s">
        <v>601</v>
      </c>
      <c r="E1242" s="826" t="s">
        <v>3264</v>
      </c>
      <c r="F1242" s="840" t="s">
        <v>3265</v>
      </c>
      <c r="G1242" s="826" t="s">
        <v>4497</v>
      </c>
      <c r="H1242" s="826" t="s">
        <v>4549</v>
      </c>
      <c r="I1242" s="832">
        <v>3539.25</v>
      </c>
      <c r="J1242" s="832">
        <v>4</v>
      </c>
      <c r="K1242" s="833">
        <v>14157</v>
      </c>
    </row>
    <row r="1243" spans="1:11" ht="14.45" customHeight="1" x14ac:dyDescent="0.2">
      <c r="A1243" s="822" t="s">
        <v>575</v>
      </c>
      <c r="B1243" s="823" t="s">
        <v>576</v>
      </c>
      <c r="C1243" s="826" t="s">
        <v>600</v>
      </c>
      <c r="D1243" s="840" t="s">
        <v>601</v>
      </c>
      <c r="E1243" s="826" t="s">
        <v>3264</v>
      </c>
      <c r="F1243" s="840" t="s">
        <v>3265</v>
      </c>
      <c r="G1243" s="826" t="s">
        <v>4499</v>
      </c>
      <c r="H1243" s="826" t="s">
        <v>4550</v>
      </c>
      <c r="I1243" s="832">
        <v>3539.25</v>
      </c>
      <c r="J1243" s="832">
        <v>7</v>
      </c>
      <c r="K1243" s="833">
        <v>24774.75</v>
      </c>
    </row>
    <row r="1244" spans="1:11" ht="14.45" customHeight="1" x14ac:dyDescent="0.2">
      <c r="A1244" s="822" t="s">
        <v>575</v>
      </c>
      <c r="B1244" s="823" t="s">
        <v>576</v>
      </c>
      <c r="C1244" s="826" t="s">
        <v>600</v>
      </c>
      <c r="D1244" s="840" t="s">
        <v>601</v>
      </c>
      <c r="E1244" s="826" t="s">
        <v>3264</v>
      </c>
      <c r="F1244" s="840" t="s">
        <v>3265</v>
      </c>
      <c r="G1244" s="826" t="s">
        <v>4501</v>
      </c>
      <c r="H1244" s="826" t="s">
        <v>4551</v>
      </c>
      <c r="I1244" s="832">
        <v>3539.25</v>
      </c>
      <c r="J1244" s="832">
        <v>3</v>
      </c>
      <c r="K1244" s="833">
        <v>10617.75</v>
      </c>
    </row>
    <row r="1245" spans="1:11" ht="14.45" customHeight="1" x14ac:dyDescent="0.2">
      <c r="A1245" s="822" t="s">
        <v>575</v>
      </c>
      <c r="B1245" s="823" t="s">
        <v>576</v>
      </c>
      <c r="C1245" s="826" t="s">
        <v>600</v>
      </c>
      <c r="D1245" s="840" t="s">
        <v>601</v>
      </c>
      <c r="E1245" s="826" t="s">
        <v>3264</v>
      </c>
      <c r="F1245" s="840" t="s">
        <v>3265</v>
      </c>
      <c r="G1245" s="826" t="s">
        <v>4552</v>
      </c>
      <c r="H1245" s="826" t="s">
        <v>4553</v>
      </c>
      <c r="I1245" s="832">
        <v>17.979999542236328</v>
      </c>
      <c r="J1245" s="832">
        <v>400</v>
      </c>
      <c r="K1245" s="833">
        <v>7192.2701416015625</v>
      </c>
    </row>
    <row r="1246" spans="1:11" ht="14.45" customHeight="1" x14ac:dyDescent="0.2">
      <c r="A1246" s="822" t="s">
        <v>575</v>
      </c>
      <c r="B1246" s="823" t="s">
        <v>576</v>
      </c>
      <c r="C1246" s="826" t="s">
        <v>600</v>
      </c>
      <c r="D1246" s="840" t="s">
        <v>601</v>
      </c>
      <c r="E1246" s="826" t="s">
        <v>3264</v>
      </c>
      <c r="F1246" s="840" t="s">
        <v>3265</v>
      </c>
      <c r="G1246" s="826" t="s">
        <v>4552</v>
      </c>
      <c r="H1246" s="826" t="s">
        <v>4554</v>
      </c>
      <c r="I1246" s="832">
        <v>17.979999542236328</v>
      </c>
      <c r="J1246" s="832">
        <v>250</v>
      </c>
      <c r="K1246" s="833">
        <v>4495.150146484375</v>
      </c>
    </row>
    <row r="1247" spans="1:11" ht="14.45" customHeight="1" x14ac:dyDescent="0.2">
      <c r="A1247" s="822" t="s">
        <v>575</v>
      </c>
      <c r="B1247" s="823" t="s">
        <v>576</v>
      </c>
      <c r="C1247" s="826" t="s">
        <v>600</v>
      </c>
      <c r="D1247" s="840" t="s">
        <v>601</v>
      </c>
      <c r="E1247" s="826" t="s">
        <v>3264</v>
      </c>
      <c r="F1247" s="840" t="s">
        <v>3265</v>
      </c>
      <c r="G1247" s="826" t="s">
        <v>3322</v>
      </c>
      <c r="H1247" s="826" t="s">
        <v>4555</v>
      </c>
      <c r="I1247" s="832">
        <v>17.979999542236328</v>
      </c>
      <c r="J1247" s="832">
        <v>200</v>
      </c>
      <c r="K1247" s="833">
        <v>3596.090087890625</v>
      </c>
    </row>
    <row r="1248" spans="1:11" ht="14.45" customHeight="1" x14ac:dyDescent="0.2">
      <c r="A1248" s="822" t="s">
        <v>575</v>
      </c>
      <c r="B1248" s="823" t="s">
        <v>576</v>
      </c>
      <c r="C1248" s="826" t="s">
        <v>600</v>
      </c>
      <c r="D1248" s="840" t="s">
        <v>601</v>
      </c>
      <c r="E1248" s="826" t="s">
        <v>3264</v>
      </c>
      <c r="F1248" s="840" t="s">
        <v>3265</v>
      </c>
      <c r="G1248" s="826" t="s">
        <v>3322</v>
      </c>
      <c r="H1248" s="826" t="s">
        <v>3323</v>
      </c>
      <c r="I1248" s="832">
        <v>17.979999542236328</v>
      </c>
      <c r="J1248" s="832">
        <v>150</v>
      </c>
      <c r="K1248" s="833">
        <v>2697.1200561523438</v>
      </c>
    </row>
    <row r="1249" spans="1:11" ht="14.45" customHeight="1" x14ac:dyDescent="0.2">
      <c r="A1249" s="822" t="s">
        <v>575</v>
      </c>
      <c r="B1249" s="823" t="s">
        <v>576</v>
      </c>
      <c r="C1249" s="826" t="s">
        <v>600</v>
      </c>
      <c r="D1249" s="840" t="s">
        <v>601</v>
      </c>
      <c r="E1249" s="826" t="s">
        <v>3264</v>
      </c>
      <c r="F1249" s="840" t="s">
        <v>3265</v>
      </c>
      <c r="G1249" s="826" t="s">
        <v>4556</v>
      </c>
      <c r="H1249" s="826" t="s">
        <v>4557</v>
      </c>
      <c r="I1249" s="832">
        <v>17.979999542236328</v>
      </c>
      <c r="J1249" s="832">
        <v>150</v>
      </c>
      <c r="K1249" s="833">
        <v>2697</v>
      </c>
    </row>
    <row r="1250" spans="1:11" ht="14.45" customHeight="1" x14ac:dyDescent="0.2">
      <c r="A1250" s="822" t="s">
        <v>575</v>
      </c>
      <c r="B1250" s="823" t="s">
        <v>576</v>
      </c>
      <c r="C1250" s="826" t="s">
        <v>600</v>
      </c>
      <c r="D1250" s="840" t="s">
        <v>601</v>
      </c>
      <c r="E1250" s="826" t="s">
        <v>3264</v>
      </c>
      <c r="F1250" s="840" t="s">
        <v>3265</v>
      </c>
      <c r="G1250" s="826" t="s">
        <v>4556</v>
      </c>
      <c r="H1250" s="826" t="s">
        <v>4558</v>
      </c>
      <c r="I1250" s="832">
        <v>17.979999542236328</v>
      </c>
      <c r="J1250" s="832">
        <v>50</v>
      </c>
      <c r="K1250" s="833">
        <v>899</v>
      </c>
    </row>
    <row r="1251" spans="1:11" ht="14.45" customHeight="1" x14ac:dyDescent="0.2">
      <c r="A1251" s="822" t="s">
        <v>575</v>
      </c>
      <c r="B1251" s="823" t="s">
        <v>576</v>
      </c>
      <c r="C1251" s="826" t="s">
        <v>600</v>
      </c>
      <c r="D1251" s="840" t="s">
        <v>601</v>
      </c>
      <c r="E1251" s="826" t="s">
        <v>3264</v>
      </c>
      <c r="F1251" s="840" t="s">
        <v>3265</v>
      </c>
      <c r="G1251" s="826" t="s">
        <v>3918</v>
      </c>
      <c r="H1251" s="826" t="s">
        <v>3920</v>
      </c>
      <c r="I1251" s="832">
        <v>17.989999771118164</v>
      </c>
      <c r="J1251" s="832">
        <v>50</v>
      </c>
      <c r="K1251" s="833">
        <v>899.5</v>
      </c>
    </row>
    <row r="1252" spans="1:11" ht="14.45" customHeight="1" x14ac:dyDescent="0.2">
      <c r="A1252" s="822" t="s">
        <v>575</v>
      </c>
      <c r="B1252" s="823" t="s">
        <v>576</v>
      </c>
      <c r="C1252" s="826" t="s">
        <v>600</v>
      </c>
      <c r="D1252" s="840" t="s">
        <v>601</v>
      </c>
      <c r="E1252" s="826" t="s">
        <v>3264</v>
      </c>
      <c r="F1252" s="840" t="s">
        <v>3265</v>
      </c>
      <c r="G1252" s="826" t="s">
        <v>4559</v>
      </c>
      <c r="H1252" s="826" t="s">
        <v>4560</v>
      </c>
      <c r="I1252" s="832">
        <v>1542.75</v>
      </c>
      <c r="J1252" s="832">
        <v>230</v>
      </c>
      <c r="K1252" s="833">
        <v>354832.5</v>
      </c>
    </row>
    <row r="1253" spans="1:11" ht="14.45" customHeight="1" x14ac:dyDescent="0.2">
      <c r="A1253" s="822" t="s">
        <v>575</v>
      </c>
      <c r="B1253" s="823" t="s">
        <v>576</v>
      </c>
      <c r="C1253" s="826" t="s">
        <v>600</v>
      </c>
      <c r="D1253" s="840" t="s">
        <v>601</v>
      </c>
      <c r="E1253" s="826" t="s">
        <v>3264</v>
      </c>
      <c r="F1253" s="840" t="s">
        <v>3265</v>
      </c>
      <c r="G1253" s="826" t="s">
        <v>4561</v>
      </c>
      <c r="H1253" s="826" t="s">
        <v>4562</v>
      </c>
      <c r="I1253" s="832">
        <v>1304.3800048828125</v>
      </c>
      <c r="J1253" s="832">
        <v>10</v>
      </c>
      <c r="K1253" s="833">
        <v>13043.7998046875</v>
      </c>
    </row>
    <row r="1254" spans="1:11" ht="14.45" customHeight="1" x14ac:dyDescent="0.2">
      <c r="A1254" s="822" t="s">
        <v>575</v>
      </c>
      <c r="B1254" s="823" t="s">
        <v>576</v>
      </c>
      <c r="C1254" s="826" t="s">
        <v>600</v>
      </c>
      <c r="D1254" s="840" t="s">
        <v>601</v>
      </c>
      <c r="E1254" s="826" t="s">
        <v>3264</v>
      </c>
      <c r="F1254" s="840" t="s">
        <v>3265</v>
      </c>
      <c r="G1254" s="826" t="s">
        <v>4563</v>
      </c>
      <c r="H1254" s="826" t="s">
        <v>4564</v>
      </c>
      <c r="I1254" s="832">
        <v>1542.75</v>
      </c>
      <c r="J1254" s="832">
        <v>30</v>
      </c>
      <c r="K1254" s="833">
        <v>46282.5</v>
      </c>
    </row>
    <row r="1255" spans="1:11" ht="14.45" customHeight="1" x14ac:dyDescent="0.2">
      <c r="A1255" s="822" t="s">
        <v>575</v>
      </c>
      <c r="B1255" s="823" t="s">
        <v>576</v>
      </c>
      <c r="C1255" s="826" t="s">
        <v>600</v>
      </c>
      <c r="D1255" s="840" t="s">
        <v>601</v>
      </c>
      <c r="E1255" s="826" t="s">
        <v>3264</v>
      </c>
      <c r="F1255" s="840" t="s">
        <v>3265</v>
      </c>
      <c r="G1255" s="826" t="s">
        <v>4565</v>
      </c>
      <c r="H1255" s="826" t="s">
        <v>4566</v>
      </c>
      <c r="I1255" s="832">
        <v>1304.3800048828125</v>
      </c>
      <c r="J1255" s="832">
        <v>10</v>
      </c>
      <c r="K1255" s="833">
        <v>13043.7998046875</v>
      </c>
    </row>
    <row r="1256" spans="1:11" ht="14.45" customHeight="1" x14ac:dyDescent="0.2">
      <c r="A1256" s="822" t="s">
        <v>575</v>
      </c>
      <c r="B1256" s="823" t="s">
        <v>576</v>
      </c>
      <c r="C1256" s="826" t="s">
        <v>600</v>
      </c>
      <c r="D1256" s="840" t="s">
        <v>601</v>
      </c>
      <c r="E1256" s="826" t="s">
        <v>3264</v>
      </c>
      <c r="F1256" s="840" t="s">
        <v>3265</v>
      </c>
      <c r="G1256" s="826" t="s">
        <v>4567</v>
      </c>
      <c r="H1256" s="826" t="s">
        <v>4568</v>
      </c>
      <c r="I1256" s="832">
        <v>5493.39990234375</v>
      </c>
      <c r="J1256" s="832">
        <v>1</v>
      </c>
      <c r="K1256" s="833">
        <v>5493.39990234375</v>
      </c>
    </row>
    <row r="1257" spans="1:11" ht="14.45" customHeight="1" x14ac:dyDescent="0.2">
      <c r="A1257" s="822" t="s">
        <v>575</v>
      </c>
      <c r="B1257" s="823" t="s">
        <v>576</v>
      </c>
      <c r="C1257" s="826" t="s">
        <v>600</v>
      </c>
      <c r="D1257" s="840" t="s">
        <v>601</v>
      </c>
      <c r="E1257" s="826" t="s">
        <v>3264</v>
      </c>
      <c r="F1257" s="840" t="s">
        <v>3265</v>
      </c>
      <c r="G1257" s="826" t="s">
        <v>4569</v>
      </c>
      <c r="H1257" s="826" t="s">
        <v>4570</v>
      </c>
      <c r="I1257" s="832">
        <v>5493.39990234375</v>
      </c>
      <c r="J1257" s="832">
        <v>1</v>
      </c>
      <c r="K1257" s="833">
        <v>5493.39990234375</v>
      </c>
    </row>
    <row r="1258" spans="1:11" ht="14.45" customHeight="1" x14ac:dyDescent="0.2">
      <c r="A1258" s="822" t="s">
        <v>575</v>
      </c>
      <c r="B1258" s="823" t="s">
        <v>576</v>
      </c>
      <c r="C1258" s="826" t="s">
        <v>600</v>
      </c>
      <c r="D1258" s="840" t="s">
        <v>601</v>
      </c>
      <c r="E1258" s="826" t="s">
        <v>3264</v>
      </c>
      <c r="F1258" s="840" t="s">
        <v>3265</v>
      </c>
      <c r="G1258" s="826" t="s">
        <v>4571</v>
      </c>
      <c r="H1258" s="826" t="s">
        <v>4572</v>
      </c>
      <c r="I1258" s="832">
        <v>5493.39990234375</v>
      </c>
      <c r="J1258" s="832">
        <v>2</v>
      </c>
      <c r="K1258" s="833">
        <v>10986.7998046875</v>
      </c>
    </row>
    <row r="1259" spans="1:11" ht="14.45" customHeight="1" x14ac:dyDescent="0.2">
      <c r="A1259" s="822" t="s">
        <v>575</v>
      </c>
      <c r="B1259" s="823" t="s">
        <v>576</v>
      </c>
      <c r="C1259" s="826" t="s">
        <v>600</v>
      </c>
      <c r="D1259" s="840" t="s">
        <v>601</v>
      </c>
      <c r="E1259" s="826" t="s">
        <v>3264</v>
      </c>
      <c r="F1259" s="840" t="s">
        <v>3265</v>
      </c>
      <c r="G1259" s="826" t="s">
        <v>4573</v>
      </c>
      <c r="H1259" s="826" t="s">
        <v>4574</v>
      </c>
      <c r="I1259" s="832">
        <v>5493.39990234375</v>
      </c>
      <c r="J1259" s="832">
        <v>3</v>
      </c>
      <c r="K1259" s="833">
        <v>16480.19970703125</v>
      </c>
    </row>
    <row r="1260" spans="1:11" ht="14.45" customHeight="1" x14ac:dyDescent="0.2">
      <c r="A1260" s="822" t="s">
        <v>575</v>
      </c>
      <c r="B1260" s="823" t="s">
        <v>576</v>
      </c>
      <c r="C1260" s="826" t="s">
        <v>600</v>
      </c>
      <c r="D1260" s="840" t="s">
        <v>601</v>
      </c>
      <c r="E1260" s="826" t="s">
        <v>3264</v>
      </c>
      <c r="F1260" s="840" t="s">
        <v>3265</v>
      </c>
      <c r="G1260" s="826" t="s">
        <v>4575</v>
      </c>
      <c r="H1260" s="826" t="s">
        <v>4576</v>
      </c>
      <c r="I1260" s="832">
        <v>834.9000244140625</v>
      </c>
      <c r="J1260" s="832">
        <v>10</v>
      </c>
      <c r="K1260" s="833">
        <v>8349</v>
      </c>
    </row>
    <row r="1261" spans="1:11" ht="14.45" customHeight="1" x14ac:dyDescent="0.2">
      <c r="A1261" s="822" t="s">
        <v>575</v>
      </c>
      <c r="B1261" s="823" t="s">
        <v>576</v>
      </c>
      <c r="C1261" s="826" t="s">
        <v>600</v>
      </c>
      <c r="D1261" s="840" t="s">
        <v>601</v>
      </c>
      <c r="E1261" s="826" t="s">
        <v>3264</v>
      </c>
      <c r="F1261" s="840" t="s">
        <v>3265</v>
      </c>
      <c r="G1261" s="826" t="s">
        <v>4577</v>
      </c>
      <c r="H1261" s="826" t="s">
        <v>4578</v>
      </c>
      <c r="I1261" s="832">
        <v>556.60001627604163</v>
      </c>
      <c r="J1261" s="832">
        <v>20</v>
      </c>
      <c r="K1261" s="833">
        <v>23631.93017578125</v>
      </c>
    </row>
    <row r="1262" spans="1:11" ht="14.45" customHeight="1" x14ac:dyDescent="0.2">
      <c r="A1262" s="822" t="s">
        <v>575</v>
      </c>
      <c r="B1262" s="823" t="s">
        <v>576</v>
      </c>
      <c r="C1262" s="826" t="s">
        <v>600</v>
      </c>
      <c r="D1262" s="840" t="s">
        <v>601</v>
      </c>
      <c r="E1262" s="826" t="s">
        <v>3264</v>
      </c>
      <c r="F1262" s="840" t="s">
        <v>3265</v>
      </c>
      <c r="G1262" s="826" t="s">
        <v>4579</v>
      </c>
      <c r="H1262" s="826" t="s">
        <v>4580</v>
      </c>
      <c r="I1262" s="832">
        <v>834.9000244140625</v>
      </c>
      <c r="J1262" s="832">
        <v>10</v>
      </c>
      <c r="K1262" s="833">
        <v>8349</v>
      </c>
    </row>
    <row r="1263" spans="1:11" ht="14.45" customHeight="1" x14ac:dyDescent="0.2">
      <c r="A1263" s="822" t="s">
        <v>575</v>
      </c>
      <c r="B1263" s="823" t="s">
        <v>576</v>
      </c>
      <c r="C1263" s="826" t="s">
        <v>600</v>
      </c>
      <c r="D1263" s="840" t="s">
        <v>601</v>
      </c>
      <c r="E1263" s="826" t="s">
        <v>3264</v>
      </c>
      <c r="F1263" s="840" t="s">
        <v>3265</v>
      </c>
      <c r="G1263" s="826" t="s">
        <v>4581</v>
      </c>
      <c r="H1263" s="826" t="s">
        <v>4582</v>
      </c>
      <c r="I1263" s="832">
        <v>556.60001627604163</v>
      </c>
      <c r="J1263" s="832">
        <v>20</v>
      </c>
      <c r="K1263" s="833">
        <v>21968</v>
      </c>
    </row>
    <row r="1264" spans="1:11" ht="14.45" customHeight="1" x14ac:dyDescent="0.2">
      <c r="A1264" s="822" t="s">
        <v>575</v>
      </c>
      <c r="B1264" s="823" t="s">
        <v>576</v>
      </c>
      <c r="C1264" s="826" t="s">
        <v>600</v>
      </c>
      <c r="D1264" s="840" t="s">
        <v>601</v>
      </c>
      <c r="E1264" s="826" t="s">
        <v>3264</v>
      </c>
      <c r="F1264" s="840" t="s">
        <v>3265</v>
      </c>
      <c r="G1264" s="826" t="s">
        <v>4583</v>
      </c>
      <c r="H1264" s="826" t="s">
        <v>4584</v>
      </c>
      <c r="I1264" s="832">
        <v>834.9000244140625</v>
      </c>
      <c r="J1264" s="832">
        <v>20</v>
      </c>
      <c r="K1264" s="833">
        <v>16698</v>
      </c>
    </row>
    <row r="1265" spans="1:11" ht="14.45" customHeight="1" x14ac:dyDescent="0.2">
      <c r="A1265" s="822" t="s">
        <v>575</v>
      </c>
      <c r="B1265" s="823" t="s">
        <v>576</v>
      </c>
      <c r="C1265" s="826" t="s">
        <v>600</v>
      </c>
      <c r="D1265" s="840" t="s">
        <v>601</v>
      </c>
      <c r="E1265" s="826" t="s">
        <v>3264</v>
      </c>
      <c r="F1265" s="840" t="s">
        <v>3265</v>
      </c>
      <c r="G1265" s="826" t="s">
        <v>4585</v>
      </c>
      <c r="H1265" s="826" t="s">
        <v>4586</v>
      </c>
      <c r="I1265" s="832">
        <v>834.9000244140625</v>
      </c>
      <c r="J1265" s="832">
        <v>20</v>
      </c>
      <c r="K1265" s="833">
        <v>16698</v>
      </c>
    </row>
    <row r="1266" spans="1:11" ht="14.45" customHeight="1" x14ac:dyDescent="0.2">
      <c r="A1266" s="822" t="s">
        <v>575</v>
      </c>
      <c r="B1266" s="823" t="s">
        <v>576</v>
      </c>
      <c r="C1266" s="826" t="s">
        <v>600</v>
      </c>
      <c r="D1266" s="840" t="s">
        <v>601</v>
      </c>
      <c r="E1266" s="826" t="s">
        <v>3264</v>
      </c>
      <c r="F1266" s="840" t="s">
        <v>3265</v>
      </c>
      <c r="G1266" s="826" t="s">
        <v>4559</v>
      </c>
      <c r="H1266" s="826" t="s">
        <v>4587</v>
      </c>
      <c r="I1266" s="832">
        <v>1542.75</v>
      </c>
      <c r="J1266" s="832">
        <v>190</v>
      </c>
      <c r="K1266" s="833">
        <v>293122.5</v>
      </c>
    </row>
    <row r="1267" spans="1:11" ht="14.45" customHeight="1" x14ac:dyDescent="0.2">
      <c r="A1267" s="822" t="s">
        <v>575</v>
      </c>
      <c r="B1267" s="823" t="s">
        <v>576</v>
      </c>
      <c r="C1267" s="826" t="s">
        <v>600</v>
      </c>
      <c r="D1267" s="840" t="s">
        <v>601</v>
      </c>
      <c r="E1267" s="826" t="s">
        <v>3264</v>
      </c>
      <c r="F1267" s="840" t="s">
        <v>3265</v>
      </c>
      <c r="G1267" s="826" t="s">
        <v>4561</v>
      </c>
      <c r="H1267" s="826" t="s">
        <v>4588</v>
      </c>
      <c r="I1267" s="832">
        <v>1304.3800048828125</v>
      </c>
      <c r="J1267" s="832">
        <v>10</v>
      </c>
      <c r="K1267" s="833">
        <v>13043.7998046875</v>
      </c>
    </row>
    <row r="1268" spans="1:11" ht="14.45" customHeight="1" x14ac:dyDescent="0.2">
      <c r="A1268" s="822" t="s">
        <v>575</v>
      </c>
      <c r="B1268" s="823" t="s">
        <v>576</v>
      </c>
      <c r="C1268" s="826" t="s">
        <v>600</v>
      </c>
      <c r="D1268" s="840" t="s">
        <v>601</v>
      </c>
      <c r="E1268" s="826" t="s">
        <v>3264</v>
      </c>
      <c r="F1268" s="840" t="s">
        <v>3265</v>
      </c>
      <c r="G1268" s="826" t="s">
        <v>4563</v>
      </c>
      <c r="H1268" s="826" t="s">
        <v>4589</v>
      </c>
      <c r="I1268" s="832">
        <v>1542.75</v>
      </c>
      <c r="J1268" s="832">
        <v>30</v>
      </c>
      <c r="K1268" s="833">
        <v>46282.5</v>
      </c>
    </row>
    <row r="1269" spans="1:11" ht="14.45" customHeight="1" x14ac:dyDescent="0.2">
      <c r="A1269" s="822" t="s">
        <v>575</v>
      </c>
      <c r="B1269" s="823" t="s">
        <v>576</v>
      </c>
      <c r="C1269" s="826" t="s">
        <v>600</v>
      </c>
      <c r="D1269" s="840" t="s">
        <v>601</v>
      </c>
      <c r="E1269" s="826" t="s">
        <v>3264</v>
      </c>
      <c r="F1269" s="840" t="s">
        <v>3265</v>
      </c>
      <c r="G1269" s="826" t="s">
        <v>4565</v>
      </c>
      <c r="H1269" s="826" t="s">
        <v>4590</v>
      </c>
      <c r="I1269" s="832">
        <v>1304.3800048828125</v>
      </c>
      <c r="J1269" s="832">
        <v>10</v>
      </c>
      <c r="K1269" s="833">
        <v>13043.7998046875</v>
      </c>
    </row>
    <row r="1270" spans="1:11" ht="14.45" customHeight="1" x14ac:dyDescent="0.2">
      <c r="A1270" s="822" t="s">
        <v>575</v>
      </c>
      <c r="B1270" s="823" t="s">
        <v>576</v>
      </c>
      <c r="C1270" s="826" t="s">
        <v>600</v>
      </c>
      <c r="D1270" s="840" t="s">
        <v>601</v>
      </c>
      <c r="E1270" s="826" t="s">
        <v>3264</v>
      </c>
      <c r="F1270" s="840" t="s">
        <v>3265</v>
      </c>
      <c r="G1270" s="826" t="s">
        <v>4567</v>
      </c>
      <c r="H1270" s="826" t="s">
        <v>4591</v>
      </c>
      <c r="I1270" s="832">
        <v>5493.39990234375</v>
      </c>
      <c r="J1270" s="832">
        <v>1</v>
      </c>
      <c r="K1270" s="833">
        <v>5493.39990234375</v>
      </c>
    </row>
    <row r="1271" spans="1:11" ht="14.45" customHeight="1" x14ac:dyDescent="0.2">
      <c r="A1271" s="822" t="s">
        <v>575</v>
      </c>
      <c r="B1271" s="823" t="s">
        <v>576</v>
      </c>
      <c r="C1271" s="826" t="s">
        <v>600</v>
      </c>
      <c r="D1271" s="840" t="s">
        <v>601</v>
      </c>
      <c r="E1271" s="826" t="s">
        <v>3264</v>
      </c>
      <c r="F1271" s="840" t="s">
        <v>3265</v>
      </c>
      <c r="G1271" s="826" t="s">
        <v>4571</v>
      </c>
      <c r="H1271" s="826" t="s">
        <v>4592</v>
      </c>
      <c r="I1271" s="832">
        <v>5493.39990234375</v>
      </c>
      <c r="J1271" s="832">
        <v>1</v>
      </c>
      <c r="K1271" s="833">
        <v>5493.39990234375</v>
      </c>
    </row>
    <row r="1272" spans="1:11" ht="14.45" customHeight="1" x14ac:dyDescent="0.2">
      <c r="A1272" s="822" t="s">
        <v>575</v>
      </c>
      <c r="B1272" s="823" t="s">
        <v>576</v>
      </c>
      <c r="C1272" s="826" t="s">
        <v>600</v>
      </c>
      <c r="D1272" s="840" t="s">
        <v>601</v>
      </c>
      <c r="E1272" s="826" t="s">
        <v>3264</v>
      </c>
      <c r="F1272" s="840" t="s">
        <v>3265</v>
      </c>
      <c r="G1272" s="826" t="s">
        <v>4575</v>
      </c>
      <c r="H1272" s="826" t="s">
        <v>4593</v>
      </c>
      <c r="I1272" s="832">
        <v>834.9000244140625</v>
      </c>
      <c r="J1272" s="832">
        <v>10</v>
      </c>
      <c r="K1272" s="833">
        <v>8349</v>
      </c>
    </row>
    <row r="1273" spans="1:11" ht="14.45" customHeight="1" x14ac:dyDescent="0.2">
      <c r="A1273" s="822" t="s">
        <v>575</v>
      </c>
      <c r="B1273" s="823" t="s">
        <v>576</v>
      </c>
      <c r="C1273" s="826" t="s">
        <v>600</v>
      </c>
      <c r="D1273" s="840" t="s">
        <v>601</v>
      </c>
      <c r="E1273" s="826" t="s">
        <v>3264</v>
      </c>
      <c r="F1273" s="840" t="s">
        <v>3265</v>
      </c>
      <c r="G1273" s="826" t="s">
        <v>4577</v>
      </c>
      <c r="H1273" s="826" t="s">
        <v>4594</v>
      </c>
      <c r="I1273" s="832">
        <v>834.9000244140625</v>
      </c>
      <c r="J1273" s="832">
        <v>20</v>
      </c>
      <c r="K1273" s="833">
        <v>16698</v>
      </c>
    </row>
    <row r="1274" spans="1:11" ht="14.45" customHeight="1" x14ac:dyDescent="0.2">
      <c r="A1274" s="822" t="s">
        <v>575</v>
      </c>
      <c r="B1274" s="823" t="s">
        <v>576</v>
      </c>
      <c r="C1274" s="826" t="s">
        <v>600</v>
      </c>
      <c r="D1274" s="840" t="s">
        <v>601</v>
      </c>
      <c r="E1274" s="826" t="s">
        <v>3264</v>
      </c>
      <c r="F1274" s="840" t="s">
        <v>3265</v>
      </c>
      <c r="G1274" s="826" t="s">
        <v>4579</v>
      </c>
      <c r="H1274" s="826" t="s">
        <v>4595</v>
      </c>
      <c r="I1274" s="832">
        <v>834.9000244140625</v>
      </c>
      <c r="J1274" s="832">
        <v>30</v>
      </c>
      <c r="K1274" s="833">
        <v>25047</v>
      </c>
    </row>
    <row r="1275" spans="1:11" ht="14.45" customHeight="1" x14ac:dyDescent="0.2">
      <c r="A1275" s="822" t="s">
        <v>575</v>
      </c>
      <c r="B1275" s="823" t="s">
        <v>576</v>
      </c>
      <c r="C1275" s="826" t="s">
        <v>600</v>
      </c>
      <c r="D1275" s="840" t="s">
        <v>601</v>
      </c>
      <c r="E1275" s="826" t="s">
        <v>3264</v>
      </c>
      <c r="F1275" s="840" t="s">
        <v>3265</v>
      </c>
      <c r="G1275" s="826" t="s">
        <v>4581</v>
      </c>
      <c r="H1275" s="826" t="s">
        <v>4596</v>
      </c>
      <c r="I1275" s="832">
        <v>834.9000244140625</v>
      </c>
      <c r="J1275" s="832">
        <v>40</v>
      </c>
      <c r="K1275" s="833">
        <v>33396</v>
      </c>
    </row>
    <row r="1276" spans="1:11" ht="14.45" customHeight="1" x14ac:dyDescent="0.2">
      <c r="A1276" s="822" t="s">
        <v>575</v>
      </c>
      <c r="B1276" s="823" t="s">
        <v>576</v>
      </c>
      <c r="C1276" s="826" t="s">
        <v>600</v>
      </c>
      <c r="D1276" s="840" t="s">
        <v>601</v>
      </c>
      <c r="E1276" s="826" t="s">
        <v>3264</v>
      </c>
      <c r="F1276" s="840" t="s">
        <v>3265</v>
      </c>
      <c r="G1276" s="826" t="s">
        <v>4597</v>
      </c>
      <c r="H1276" s="826" t="s">
        <v>4598</v>
      </c>
      <c r="I1276" s="832">
        <v>652.91998291015625</v>
      </c>
      <c r="J1276" s="832">
        <v>150</v>
      </c>
      <c r="K1276" s="833">
        <v>97937.40234375</v>
      </c>
    </row>
    <row r="1277" spans="1:11" ht="14.45" customHeight="1" x14ac:dyDescent="0.2">
      <c r="A1277" s="822" t="s">
        <v>575</v>
      </c>
      <c r="B1277" s="823" t="s">
        <v>576</v>
      </c>
      <c r="C1277" s="826" t="s">
        <v>600</v>
      </c>
      <c r="D1277" s="840" t="s">
        <v>601</v>
      </c>
      <c r="E1277" s="826" t="s">
        <v>3264</v>
      </c>
      <c r="F1277" s="840" t="s">
        <v>3265</v>
      </c>
      <c r="G1277" s="826" t="s">
        <v>4597</v>
      </c>
      <c r="H1277" s="826" t="s">
        <v>4599</v>
      </c>
      <c r="I1277" s="832">
        <v>652.91998291015625</v>
      </c>
      <c r="J1277" s="832">
        <v>70</v>
      </c>
      <c r="K1277" s="833">
        <v>45704.12109375</v>
      </c>
    </row>
    <row r="1278" spans="1:11" ht="14.45" customHeight="1" x14ac:dyDescent="0.2">
      <c r="A1278" s="822" t="s">
        <v>575</v>
      </c>
      <c r="B1278" s="823" t="s">
        <v>576</v>
      </c>
      <c r="C1278" s="826" t="s">
        <v>600</v>
      </c>
      <c r="D1278" s="840" t="s">
        <v>601</v>
      </c>
      <c r="E1278" s="826" t="s">
        <v>3264</v>
      </c>
      <c r="F1278" s="840" t="s">
        <v>3265</v>
      </c>
      <c r="G1278" s="826" t="s">
        <v>4600</v>
      </c>
      <c r="H1278" s="826" t="s">
        <v>4601</v>
      </c>
      <c r="I1278" s="832">
        <v>16.340000152587891</v>
      </c>
      <c r="J1278" s="832">
        <v>24</v>
      </c>
      <c r="K1278" s="833">
        <v>392.04000854492188</v>
      </c>
    </row>
    <row r="1279" spans="1:11" ht="14.45" customHeight="1" x14ac:dyDescent="0.2">
      <c r="A1279" s="822" t="s">
        <v>575</v>
      </c>
      <c r="B1279" s="823" t="s">
        <v>576</v>
      </c>
      <c r="C1279" s="826" t="s">
        <v>600</v>
      </c>
      <c r="D1279" s="840" t="s">
        <v>601</v>
      </c>
      <c r="E1279" s="826" t="s">
        <v>3264</v>
      </c>
      <c r="F1279" s="840" t="s">
        <v>3265</v>
      </c>
      <c r="G1279" s="826" t="s">
        <v>3330</v>
      </c>
      <c r="H1279" s="826" t="s">
        <v>3331</v>
      </c>
      <c r="I1279" s="832">
        <v>13.200908920981668</v>
      </c>
      <c r="J1279" s="832">
        <v>510</v>
      </c>
      <c r="K1279" s="833">
        <v>6732.3800048828125</v>
      </c>
    </row>
    <row r="1280" spans="1:11" ht="14.45" customHeight="1" x14ac:dyDescent="0.2">
      <c r="A1280" s="822" t="s">
        <v>575</v>
      </c>
      <c r="B1280" s="823" t="s">
        <v>576</v>
      </c>
      <c r="C1280" s="826" t="s">
        <v>600</v>
      </c>
      <c r="D1280" s="840" t="s">
        <v>601</v>
      </c>
      <c r="E1280" s="826" t="s">
        <v>3264</v>
      </c>
      <c r="F1280" s="840" t="s">
        <v>3265</v>
      </c>
      <c r="G1280" s="826" t="s">
        <v>3923</v>
      </c>
      <c r="H1280" s="826" t="s">
        <v>3924</v>
      </c>
      <c r="I1280" s="832">
        <v>320.26833089192706</v>
      </c>
      <c r="J1280" s="832">
        <v>25</v>
      </c>
      <c r="K1280" s="833">
        <v>8003.369873046875</v>
      </c>
    </row>
    <row r="1281" spans="1:11" ht="14.45" customHeight="1" x14ac:dyDescent="0.2">
      <c r="A1281" s="822" t="s">
        <v>575</v>
      </c>
      <c r="B1281" s="823" t="s">
        <v>576</v>
      </c>
      <c r="C1281" s="826" t="s">
        <v>600</v>
      </c>
      <c r="D1281" s="840" t="s">
        <v>601</v>
      </c>
      <c r="E1281" s="826" t="s">
        <v>3264</v>
      </c>
      <c r="F1281" s="840" t="s">
        <v>3265</v>
      </c>
      <c r="G1281" s="826" t="s">
        <v>4602</v>
      </c>
      <c r="H1281" s="826" t="s">
        <v>4603</v>
      </c>
      <c r="I1281" s="832">
        <v>423.5</v>
      </c>
      <c r="J1281" s="832">
        <v>20</v>
      </c>
      <c r="K1281" s="833">
        <v>8470</v>
      </c>
    </row>
    <row r="1282" spans="1:11" ht="14.45" customHeight="1" x14ac:dyDescent="0.2">
      <c r="A1282" s="822" t="s">
        <v>575</v>
      </c>
      <c r="B1282" s="823" t="s">
        <v>576</v>
      </c>
      <c r="C1282" s="826" t="s">
        <v>600</v>
      </c>
      <c r="D1282" s="840" t="s">
        <v>601</v>
      </c>
      <c r="E1282" s="826" t="s">
        <v>3264</v>
      </c>
      <c r="F1282" s="840" t="s">
        <v>3265</v>
      </c>
      <c r="G1282" s="826" t="s">
        <v>4604</v>
      </c>
      <c r="H1282" s="826" t="s">
        <v>4605</v>
      </c>
      <c r="I1282" s="832">
        <v>22.870000839233398</v>
      </c>
      <c r="J1282" s="832">
        <v>12</v>
      </c>
      <c r="K1282" s="833">
        <v>274.44000244140625</v>
      </c>
    </row>
    <row r="1283" spans="1:11" ht="14.45" customHeight="1" x14ac:dyDescent="0.2">
      <c r="A1283" s="822" t="s">
        <v>575</v>
      </c>
      <c r="B1283" s="823" t="s">
        <v>576</v>
      </c>
      <c r="C1283" s="826" t="s">
        <v>600</v>
      </c>
      <c r="D1283" s="840" t="s">
        <v>601</v>
      </c>
      <c r="E1283" s="826" t="s">
        <v>3264</v>
      </c>
      <c r="F1283" s="840" t="s">
        <v>3265</v>
      </c>
      <c r="G1283" s="826" t="s">
        <v>4600</v>
      </c>
      <c r="H1283" s="826" t="s">
        <v>4606</v>
      </c>
      <c r="I1283" s="832">
        <v>16.515000343322754</v>
      </c>
      <c r="J1283" s="832">
        <v>24</v>
      </c>
      <c r="K1283" s="833">
        <v>396.35000610351563</v>
      </c>
    </row>
    <row r="1284" spans="1:11" ht="14.45" customHeight="1" x14ac:dyDescent="0.2">
      <c r="A1284" s="822" t="s">
        <v>575</v>
      </c>
      <c r="B1284" s="823" t="s">
        <v>576</v>
      </c>
      <c r="C1284" s="826" t="s">
        <v>600</v>
      </c>
      <c r="D1284" s="840" t="s">
        <v>601</v>
      </c>
      <c r="E1284" s="826" t="s">
        <v>3264</v>
      </c>
      <c r="F1284" s="840" t="s">
        <v>3265</v>
      </c>
      <c r="G1284" s="826" t="s">
        <v>3330</v>
      </c>
      <c r="H1284" s="826" t="s">
        <v>3335</v>
      </c>
      <c r="I1284" s="832">
        <v>13.199999809265137</v>
      </c>
      <c r="J1284" s="832">
        <v>280</v>
      </c>
      <c r="K1284" s="833">
        <v>3696</v>
      </c>
    </row>
    <row r="1285" spans="1:11" ht="14.45" customHeight="1" x14ac:dyDescent="0.2">
      <c r="A1285" s="822" t="s">
        <v>575</v>
      </c>
      <c r="B1285" s="823" t="s">
        <v>576</v>
      </c>
      <c r="C1285" s="826" t="s">
        <v>600</v>
      </c>
      <c r="D1285" s="840" t="s">
        <v>601</v>
      </c>
      <c r="E1285" s="826" t="s">
        <v>3264</v>
      </c>
      <c r="F1285" s="840" t="s">
        <v>3265</v>
      </c>
      <c r="G1285" s="826" t="s">
        <v>4602</v>
      </c>
      <c r="H1285" s="826" t="s">
        <v>4607</v>
      </c>
      <c r="I1285" s="832">
        <v>423.5</v>
      </c>
      <c r="J1285" s="832">
        <v>20</v>
      </c>
      <c r="K1285" s="833">
        <v>8470</v>
      </c>
    </row>
    <row r="1286" spans="1:11" ht="14.45" customHeight="1" x14ac:dyDescent="0.2">
      <c r="A1286" s="822" t="s">
        <v>575</v>
      </c>
      <c r="B1286" s="823" t="s">
        <v>576</v>
      </c>
      <c r="C1286" s="826" t="s">
        <v>600</v>
      </c>
      <c r="D1286" s="840" t="s">
        <v>601</v>
      </c>
      <c r="E1286" s="826" t="s">
        <v>3264</v>
      </c>
      <c r="F1286" s="840" t="s">
        <v>3265</v>
      </c>
      <c r="G1286" s="826" t="s">
        <v>4608</v>
      </c>
      <c r="H1286" s="826" t="s">
        <v>4609</v>
      </c>
      <c r="I1286" s="832">
        <v>1305.8199462890625</v>
      </c>
      <c r="J1286" s="832">
        <v>60</v>
      </c>
      <c r="K1286" s="833">
        <v>78349.1806640625</v>
      </c>
    </row>
    <row r="1287" spans="1:11" ht="14.45" customHeight="1" x14ac:dyDescent="0.2">
      <c r="A1287" s="822" t="s">
        <v>575</v>
      </c>
      <c r="B1287" s="823" t="s">
        <v>576</v>
      </c>
      <c r="C1287" s="826" t="s">
        <v>600</v>
      </c>
      <c r="D1287" s="840" t="s">
        <v>601</v>
      </c>
      <c r="E1287" s="826" t="s">
        <v>3264</v>
      </c>
      <c r="F1287" s="840" t="s">
        <v>3265</v>
      </c>
      <c r="G1287" s="826" t="s">
        <v>4610</v>
      </c>
      <c r="H1287" s="826" t="s">
        <v>4611</v>
      </c>
      <c r="I1287" s="832">
        <v>490</v>
      </c>
      <c r="J1287" s="832">
        <v>20</v>
      </c>
      <c r="K1287" s="833">
        <v>9800.0400390625</v>
      </c>
    </row>
    <row r="1288" spans="1:11" ht="14.45" customHeight="1" x14ac:dyDescent="0.2">
      <c r="A1288" s="822" t="s">
        <v>575</v>
      </c>
      <c r="B1288" s="823" t="s">
        <v>576</v>
      </c>
      <c r="C1288" s="826" t="s">
        <v>600</v>
      </c>
      <c r="D1288" s="840" t="s">
        <v>601</v>
      </c>
      <c r="E1288" s="826" t="s">
        <v>3264</v>
      </c>
      <c r="F1288" s="840" t="s">
        <v>3265</v>
      </c>
      <c r="G1288" s="826" t="s">
        <v>4610</v>
      </c>
      <c r="H1288" s="826" t="s">
        <v>4612</v>
      </c>
      <c r="I1288" s="832">
        <v>490</v>
      </c>
      <c r="J1288" s="832">
        <v>10</v>
      </c>
      <c r="K1288" s="833">
        <v>4900.02001953125</v>
      </c>
    </row>
    <row r="1289" spans="1:11" ht="14.45" customHeight="1" x14ac:dyDescent="0.2">
      <c r="A1289" s="822" t="s">
        <v>575</v>
      </c>
      <c r="B1289" s="823" t="s">
        <v>576</v>
      </c>
      <c r="C1289" s="826" t="s">
        <v>600</v>
      </c>
      <c r="D1289" s="840" t="s">
        <v>601</v>
      </c>
      <c r="E1289" s="826" t="s">
        <v>3264</v>
      </c>
      <c r="F1289" s="840" t="s">
        <v>3265</v>
      </c>
      <c r="G1289" s="826" t="s">
        <v>4613</v>
      </c>
      <c r="H1289" s="826" t="s">
        <v>4614</v>
      </c>
      <c r="I1289" s="832">
        <v>57180.256009615383</v>
      </c>
      <c r="J1289" s="832">
        <v>22</v>
      </c>
      <c r="K1289" s="833">
        <v>1232385</v>
      </c>
    </row>
    <row r="1290" spans="1:11" ht="14.45" customHeight="1" x14ac:dyDescent="0.2">
      <c r="A1290" s="822" t="s">
        <v>575</v>
      </c>
      <c r="B1290" s="823" t="s">
        <v>576</v>
      </c>
      <c r="C1290" s="826" t="s">
        <v>600</v>
      </c>
      <c r="D1290" s="840" t="s">
        <v>601</v>
      </c>
      <c r="E1290" s="826" t="s">
        <v>3264</v>
      </c>
      <c r="F1290" s="840" t="s">
        <v>3265</v>
      </c>
      <c r="G1290" s="826" t="s">
        <v>4613</v>
      </c>
      <c r="H1290" s="826" t="s">
        <v>4615</v>
      </c>
      <c r="I1290" s="832">
        <v>58685</v>
      </c>
      <c r="J1290" s="832">
        <v>11</v>
      </c>
      <c r="K1290" s="833">
        <v>645535</v>
      </c>
    </row>
    <row r="1291" spans="1:11" ht="14.45" customHeight="1" x14ac:dyDescent="0.2">
      <c r="A1291" s="822" t="s">
        <v>575</v>
      </c>
      <c r="B1291" s="823" t="s">
        <v>576</v>
      </c>
      <c r="C1291" s="826" t="s">
        <v>600</v>
      </c>
      <c r="D1291" s="840" t="s">
        <v>601</v>
      </c>
      <c r="E1291" s="826" t="s">
        <v>3264</v>
      </c>
      <c r="F1291" s="840" t="s">
        <v>3265</v>
      </c>
      <c r="G1291" s="826" t="s">
        <v>4616</v>
      </c>
      <c r="H1291" s="826" t="s">
        <v>4617</v>
      </c>
      <c r="I1291" s="832">
        <v>1246.300048828125</v>
      </c>
      <c r="J1291" s="832">
        <v>3</v>
      </c>
      <c r="K1291" s="833">
        <v>3738.89990234375</v>
      </c>
    </row>
    <row r="1292" spans="1:11" ht="14.45" customHeight="1" x14ac:dyDescent="0.2">
      <c r="A1292" s="822" t="s">
        <v>575</v>
      </c>
      <c r="B1292" s="823" t="s">
        <v>576</v>
      </c>
      <c r="C1292" s="826" t="s">
        <v>600</v>
      </c>
      <c r="D1292" s="840" t="s">
        <v>601</v>
      </c>
      <c r="E1292" s="826" t="s">
        <v>3264</v>
      </c>
      <c r="F1292" s="840" t="s">
        <v>3265</v>
      </c>
      <c r="G1292" s="826" t="s">
        <v>4618</v>
      </c>
      <c r="H1292" s="826" t="s">
        <v>4619</v>
      </c>
      <c r="I1292" s="832">
        <v>139.25999450683594</v>
      </c>
      <c r="J1292" s="832">
        <v>180</v>
      </c>
      <c r="K1292" s="833">
        <v>25066.609375</v>
      </c>
    </row>
    <row r="1293" spans="1:11" ht="14.45" customHeight="1" x14ac:dyDescent="0.2">
      <c r="A1293" s="822" t="s">
        <v>575</v>
      </c>
      <c r="B1293" s="823" t="s">
        <v>576</v>
      </c>
      <c r="C1293" s="826" t="s">
        <v>600</v>
      </c>
      <c r="D1293" s="840" t="s">
        <v>601</v>
      </c>
      <c r="E1293" s="826" t="s">
        <v>3264</v>
      </c>
      <c r="F1293" s="840" t="s">
        <v>3265</v>
      </c>
      <c r="G1293" s="826" t="s">
        <v>4618</v>
      </c>
      <c r="H1293" s="826" t="s">
        <v>4620</v>
      </c>
      <c r="I1293" s="832">
        <v>139.25999450683594</v>
      </c>
      <c r="J1293" s="832">
        <v>180</v>
      </c>
      <c r="K1293" s="833">
        <v>25066.599609375</v>
      </c>
    </row>
    <row r="1294" spans="1:11" ht="14.45" customHeight="1" x14ac:dyDescent="0.2">
      <c r="A1294" s="822" t="s">
        <v>575</v>
      </c>
      <c r="B1294" s="823" t="s">
        <v>576</v>
      </c>
      <c r="C1294" s="826" t="s">
        <v>600</v>
      </c>
      <c r="D1294" s="840" t="s">
        <v>601</v>
      </c>
      <c r="E1294" s="826" t="s">
        <v>3264</v>
      </c>
      <c r="F1294" s="840" t="s">
        <v>3265</v>
      </c>
      <c r="G1294" s="826" t="s">
        <v>4621</v>
      </c>
      <c r="H1294" s="826" t="s">
        <v>4622</v>
      </c>
      <c r="I1294" s="832">
        <v>139.25999450683594</v>
      </c>
      <c r="J1294" s="832">
        <v>3240</v>
      </c>
      <c r="K1294" s="833">
        <v>451198.79296875</v>
      </c>
    </row>
    <row r="1295" spans="1:11" ht="14.45" customHeight="1" x14ac:dyDescent="0.2">
      <c r="A1295" s="822" t="s">
        <v>575</v>
      </c>
      <c r="B1295" s="823" t="s">
        <v>576</v>
      </c>
      <c r="C1295" s="826" t="s">
        <v>600</v>
      </c>
      <c r="D1295" s="840" t="s">
        <v>601</v>
      </c>
      <c r="E1295" s="826" t="s">
        <v>3264</v>
      </c>
      <c r="F1295" s="840" t="s">
        <v>3265</v>
      </c>
      <c r="G1295" s="826" t="s">
        <v>4621</v>
      </c>
      <c r="H1295" s="826" t="s">
        <v>4623</v>
      </c>
      <c r="I1295" s="832">
        <v>139.25999450683594</v>
      </c>
      <c r="J1295" s="832">
        <v>2160</v>
      </c>
      <c r="K1295" s="833">
        <v>300799.20703125</v>
      </c>
    </row>
    <row r="1296" spans="1:11" ht="14.45" customHeight="1" x14ac:dyDescent="0.2">
      <c r="A1296" s="822" t="s">
        <v>575</v>
      </c>
      <c r="B1296" s="823" t="s">
        <v>576</v>
      </c>
      <c r="C1296" s="826" t="s">
        <v>600</v>
      </c>
      <c r="D1296" s="840" t="s">
        <v>601</v>
      </c>
      <c r="E1296" s="826" t="s">
        <v>3264</v>
      </c>
      <c r="F1296" s="840" t="s">
        <v>3265</v>
      </c>
      <c r="G1296" s="826" t="s">
        <v>3341</v>
      </c>
      <c r="H1296" s="826" t="s">
        <v>3342</v>
      </c>
      <c r="I1296" s="832">
        <v>4.0287501811981201</v>
      </c>
      <c r="J1296" s="832">
        <v>750</v>
      </c>
      <c r="K1296" s="833">
        <v>3021.5</v>
      </c>
    </row>
    <row r="1297" spans="1:11" ht="14.45" customHeight="1" x14ac:dyDescent="0.2">
      <c r="A1297" s="822" t="s">
        <v>575</v>
      </c>
      <c r="B1297" s="823" t="s">
        <v>576</v>
      </c>
      <c r="C1297" s="826" t="s">
        <v>600</v>
      </c>
      <c r="D1297" s="840" t="s">
        <v>601</v>
      </c>
      <c r="E1297" s="826" t="s">
        <v>3264</v>
      </c>
      <c r="F1297" s="840" t="s">
        <v>3265</v>
      </c>
      <c r="G1297" s="826" t="s">
        <v>3658</v>
      </c>
      <c r="H1297" s="826" t="s">
        <v>3659</v>
      </c>
      <c r="I1297" s="832">
        <v>3.1500000953674316</v>
      </c>
      <c r="J1297" s="832">
        <v>50</v>
      </c>
      <c r="K1297" s="833">
        <v>157.5</v>
      </c>
    </row>
    <row r="1298" spans="1:11" ht="14.45" customHeight="1" x14ac:dyDescent="0.2">
      <c r="A1298" s="822" t="s">
        <v>575</v>
      </c>
      <c r="B1298" s="823" t="s">
        <v>576</v>
      </c>
      <c r="C1298" s="826" t="s">
        <v>600</v>
      </c>
      <c r="D1298" s="840" t="s">
        <v>601</v>
      </c>
      <c r="E1298" s="826" t="s">
        <v>3264</v>
      </c>
      <c r="F1298" s="840" t="s">
        <v>3265</v>
      </c>
      <c r="G1298" s="826" t="s">
        <v>3658</v>
      </c>
      <c r="H1298" s="826" t="s">
        <v>3660</v>
      </c>
      <c r="I1298" s="832">
        <v>3.1500000953674316</v>
      </c>
      <c r="J1298" s="832">
        <v>10</v>
      </c>
      <c r="K1298" s="833">
        <v>31.5</v>
      </c>
    </row>
    <row r="1299" spans="1:11" ht="14.45" customHeight="1" x14ac:dyDescent="0.2">
      <c r="A1299" s="822" t="s">
        <v>575</v>
      </c>
      <c r="B1299" s="823" t="s">
        <v>576</v>
      </c>
      <c r="C1299" s="826" t="s">
        <v>600</v>
      </c>
      <c r="D1299" s="840" t="s">
        <v>601</v>
      </c>
      <c r="E1299" s="826" t="s">
        <v>3264</v>
      </c>
      <c r="F1299" s="840" t="s">
        <v>3265</v>
      </c>
      <c r="G1299" s="826" t="s">
        <v>4624</v>
      </c>
      <c r="H1299" s="826" t="s">
        <v>4625</v>
      </c>
      <c r="I1299" s="832">
        <v>167.52000427246094</v>
      </c>
      <c r="J1299" s="832">
        <v>4455</v>
      </c>
      <c r="K1299" s="833">
        <v>746291.708984375</v>
      </c>
    </row>
    <row r="1300" spans="1:11" ht="14.45" customHeight="1" x14ac:dyDescent="0.2">
      <c r="A1300" s="822" t="s">
        <v>575</v>
      </c>
      <c r="B1300" s="823" t="s">
        <v>576</v>
      </c>
      <c r="C1300" s="826" t="s">
        <v>600</v>
      </c>
      <c r="D1300" s="840" t="s">
        <v>601</v>
      </c>
      <c r="E1300" s="826" t="s">
        <v>3264</v>
      </c>
      <c r="F1300" s="840" t="s">
        <v>3265</v>
      </c>
      <c r="G1300" s="826" t="s">
        <v>4458</v>
      </c>
      <c r="H1300" s="826" t="s">
        <v>4626</v>
      </c>
      <c r="I1300" s="832">
        <v>33.880001068115234</v>
      </c>
      <c r="J1300" s="832">
        <v>2</v>
      </c>
      <c r="K1300" s="833">
        <v>67.760002136230469</v>
      </c>
    </row>
    <row r="1301" spans="1:11" ht="14.45" customHeight="1" x14ac:dyDescent="0.2">
      <c r="A1301" s="822" t="s">
        <v>575</v>
      </c>
      <c r="B1301" s="823" t="s">
        <v>576</v>
      </c>
      <c r="C1301" s="826" t="s">
        <v>600</v>
      </c>
      <c r="D1301" s="840" t="s">
        <v>601</v>
      </c>
      <c r="E1301" s="826" t="s">
        <v>3264</v>
      </c>
      <c r="F1301" s="840" t="s">
        <v>3265</v>
      </c>
      <c r="G1301" s="826" t="s">
        <v>4627</v>
      </c>
      <c r="H1301" s="826" t="s">
        <v>4628</v>
      </c>
      <c r="I1301" s="832">
        <v>80.572500228881836</v>
      </c>
      <c r="J1301" s="832">
        <v>780</v>
      </c>
      <c r="K1301" s="833">
        <v>62846.6005859375</v>
      </c>
    </row>
    <row r="1302" spans="1:11" ht="14.45" customHeight="1" x14ac:dyDescent="0.2">
      <c r="A1302" s="822" t="s">
        <v>575</v>
      </c>
      <c r="B1302" s="823" t="s">
        <v>576</v>
      </c>
      <c r="C1302" s="826" t="s">
        <v>600</v>
      </c>
      <c r="D1302" s="840" t="s">
        <v>601</v>
      </c>
      <c r="E1302" s="826" t="s">
        <v>3264</v>
      </c>
      <c r="F1302" s="840" t="s">
        <v>3265</v>
      </c>
      <c r="G1302" s="826" t="s">
        <v>4629</v>
      </c>
      <c r="H1302" s="826" t="s">
        <v>4630</v>
      </c>
      <c r="I1302" s="832">
        <v>35.814166386922203</v>
      </c>
      <c r="J1302" s="832">
        <v>980</v>
      </c>
      <c r="K1302" s="833">
        <v>35025.800048828125</v>
      </c>
    </row>
    <row r="1303" spans="1:11" ht="14.45" customHeight="1" x14ac:dyDescent="0.2">
      <c r="A1303" s="822" t="s">
        <v>575</v>
      </c>
      <c r="B1303" s="823" t="s">
        <v>576</v>
      </c>
      <c r="C1303" s="826" t="s">
        <v>600</v>
      </c>
      <c r="D1303" s="840" t="s">
        <v>601</v>
      </c>
      <c r="E1303" s="826" t="s">
        <v>3264</v>
      </c>
      <c r="F1303" s="840" t="s">
        <v>3265</v>
      </c>
      <c r="G1303" s="826" t="s">
        <v>3940</v>
      </c>
      <c r="H1303" s="826" t="s">
        <v>3942</v>
      </c>
      <c r="I1303" s="832">
        <v>81.725002288818359</v>
      </c>
      <c r="J1303" s="832">
        <v>55</v>
      </c>
      <c r="K1303" s="833">
        <v>4495.0501098632813</v>
      </c>
    </row>
    <row r="1304" spans="1:11" ht="14.45" customHeight="1" x14ac:dyDescent="0.2">
      <c r="A1304" s="822" t="s">
        <v>575</v>
      </c>
      <c r="B1304" s="823" t="s">
        <v>576</v>
      </c>
      <c r="C1304" s="826" t="s">
        <v>600</v>
      </c>
      <c r="D1304" s="840" t="s">
        <v>601</v>
      </c>
      <c r="E1304" s="826" t="s">
        <v>3264</v>
      </c>
      <c r="F1304" s="840" t="s">
        <v>3265</v>
      </c>
      <c r="G1304" s="826" t="s">
        <v>4627</v>
      </c>
      <c r="H1304" s="826" t="s">
        <v>4631</v>
      </c>
      <c r="I1304" s="832">
        <v>80.571666717529297</v>
      </c>
      <c r="J1304" s="832">
        <v>480</v>
      </c>
      <c r="K1304" s="833">
        <v>38674.400390625</v>
      </c>
    </row>
    <row r="1305" spans="1:11" ht="14.45" customHeight="1" x14ac:dyDescent="0.2">
      <c r="A1305" s="822" t="s">
        <v>575</v>
      </c>
      <c r="B1305" s="823" t="s">
        <v>576</v>
      </c>
      <c r="C1305" s="826" t="s">
        <v>600</v>
      </c>
      <c r="D1305" s="840" t="s">
        <v>601</v>
      </c>
      <c r="E1305" s="826" t="s">
        <v>3264</v>
      </c>
      <c r="F1305" s="840" t="s">
        <v>3265</v>
      </c>
      <c r="G1305" s="826" t="s">
        <v>4629</v>
      </c>
      <c r="H1305" s="826" t="s">
        <v>4632</v>
      </c>
      <c r="I1305" s="832">
        <v>34</v>
      </c>
      <c r="J1305" s="832">
        <v>700</v>
      </c>
      <c r="K1305" s="833">
        <v>23800</v>
      </c>
    </row>
    <row r="1306" spans="1:11" ht="14.45" customHeight="1" x14ac:dyDescent="0.2">
      <c r="A1306" s="822" t="s">
        <v>575</v>
      </c>
      <c r="B1306" s="823" t="s">
        <v>576</v>
      </c>
      <c r="C1306" s="826" t="s">
        <v>600</v>
      </c>
      <c r="D1306" s="840" t="s">
        <v>601</v>
      </c>
      <c r="E1306" s="826" t="s">
        <v>3264</v>
      </c>
      <c r="F1306" s="840" t="s">
        <v>3265</v>
      </c>
      <c r="G1306" s="826" t="s">
        <v>4633</v>
      </c>
      <c r="H1306" s="826" t="s">
        <v>4634</v>
      </c>
      <c r="I1306" s="832">
        <v>18950</v>
      </c>
      <c r="J1306" s="832">
        <v>16</v>
      </c>
      <c r="K1306" s="833">
        <v>303200</v>
      </c>
    </row>
    <row r="1307" spans="1:11" ht="14.45" customHeight="1" x14ac:dyDescent="0.2">
      <c r="A1307" s="822" t="s">
        <v>575</v>
      </c>
      <c r="B1307" s="823" t="s">
        <v>576</v>
      </c>
      <c r="C1307" s="826" t="s">
        <v>600</v>
      </c>
      <c r="D1307" s="840" t="s">
        <v>601</v>
      </c>
      <c r="E1307" s="826" t="s">
        <v>3264</v>
      </c>
      <c r="F1307" s="840" t="s">
        <v>3265</v>
      </c>
      <c r="G1307" s="826" t="s">
        <v>4635</v>
      </c>
      <c r="H1307" s="826" t="s">
        <v>4636</v>
      </c>
      <c r="I1307" s="832">
        <v>5310.5279405381943</v>
      </c>
      <c r="J1307" s="832">
        <v>36</v>
      </c>
      <c r="K1307" s="833">
        <v>189453.30419921875</v>
      </c>
    </row>
    <row r="1308" spans="1:11" ht="14.45" customHeight="1" x14ac:dyDescent="0.2">
      <c r="A1308" s="822" t="s">
        <v>575</v>
      </c>
      <c r="B1308" s="823" t="s">
        <v>576</v>
      </c>
      <c r="C1308" s="826" t="s">
        <v>600</v>
      </c>
      <c r="D1308" s="840" t="s">
        <v>601</v>
      </c>
      <c r="E1308" s="826" t="s">
        <v>3264</v>
      </c>
      <c r="F1308" s="840" t="s">
        <v>3265</v>
      </c>
      <c r="G1308" s="826" t="s">
        <v>4637</v>
      </c>
      <c r="H1308" s="826" t="s">
        <v>4638</v>
      </c>
      <c r="I1308" s="832">
        <v>12270.001085069445</v>
      </c>
      <c r="J1308" s="832">
        <v>10</v>
      </c>
      <c r="K1308" s="833">
        <v>122700.009765625</v>
      </c>
    </row>
    <row r="1309" spans="1:11" ht="14.45" customHeight="1" x14ac:dyDescent="0.2">
      <c r="A1309" s="822" t="s">
        <v>575</v>
      </c>
      <c r="B1309" s="823" t="s">
        <v>576</v>
      </c>
      <c r="C1309" s="826" t="s">
        <v>600</v>
      </c>
      <c r="D1309" s="840" t="s">
        <v>601</v>
      </c>
      <c r="E1309" s="826" t="s">
        <v>3264</v>
      </c>
      <c r="F1309" s="840" t="s">
        <v>3265</v>
      </c>
      <c r="G1309" s="826" t="s">
        <v>4633</v>
      </c>
      <c r="H1309" s="826" t="s">
        <v>4639</v>
      </c>
      <c r="I1309" s="832">
        <v>18950.009765625</v>
      </c>
      <c r="J1309" s="832">
        <v>5</v>
      </c>
      <c r="K1309" s="833">
        <v>94750.0390625</v>
      </c>
    </row>
    <row r="1310" spans="1:11" ht="14.45" customHeight="1" x14ac:dyDescent="0.2">
      <c r="A1310" s="822" t="s">
        <v>575</v>
      </c>
      <c r="B1310" s="823" t="s">
        <v>576</v>
      </c>
      <c r="C1310" s="826" t="s">
        <v>600</v>
      </c>
      <c r="D1310" s="840" t="s">
        <v>601</v>
      </c>
      <c r="E1310" s="826" t="s">
        <v>3264</v>
      </c>
      <c r="F1310" s="840" t="s">
        <v>3265</v>
      </c>
      <c r="G1310" s="826" t="s">
        <v>4635</v>
      </c>
      <c r="H1310" s="826" t="s">
        <v>4640</v>
      </c>
      <c r="I1310" s="832">
        <v>5166.72021484375</v>
      </c>
      <c r="J1310" s="832">
        <v>18</v>
      </c>
      <c r="K1310" s="833">
        <v>93000.962890625</v>
      </c>
    </row>
    <row r="1311" spans="1:11" ht="14.45" customHeight="1" x14ac:dyDescent="0.2">
      <c r="A1311" s="822" t="s">
        <v>575</v>
      </c>
      <c r="B1311" s="823" t="s">
        <v>576</v>
      </c>
      <c r="C1311" s="826" t="s">
        <v>600</v>
      </c>
      <c r="D1311" s="840" t="s">
        <v>601</v>
      </c>
      <c r="E1311" s="826" t="s">
        <v>3264</v>
      </c>
      <c r="F1311" s="840" t="s">
        <v>3265</v>
      </c>
      <c r="G1311" s="826" t="s">
        <v>4637</v>
      </c>
      <c r="H1311" s="826" t="s">
        <v>4641</v>
      </c>
      <c r="I1311" s="832">
        <v>12270</v>
      </c>
      <c r="J1311" s="832">
        <v>4</v>
      </c>
      <c r="K1311" s="833">
        <v>49080</v>
      </c>
    </row>
    <row r="1312" spans="1:11" ht="14.45" customHeight="1" x14ac:dyDescent="0.2">
      <c r="A1312" s="822" t="s">
        <v>575</v>
      </c>
      <c r="B1312" s="823" t="s">
        <v>576</v>
      </c>
      <c r="C1312" s="826" t="s">
        <v>600</v>
      </c>
      <c r="D1312" s="840" t="s">
        <v>601</v>
      </c>
      <c r="E1312" s="826" t="s">
        <v>3264</v>
      </c>
      <c r="F1312" s="840" t="s">
        <v>3265</v>
      </c>
      <c r="G1312" s="826" t="s">
        <v>4642</v>
      </c>
      <c r="H1312" s="826" t="s">
        <v>4643</v>
      </c>
      <c r="I1312" s="832">
        <v>831.27001953125</v>
      </c>
      <c r="J1312" s="832">
        <v>12</v>
      </c>
      <c r="K1312" s="833">
        <v>9975.240234375</v>
      </c>
    </row>
    <row r="1313" spans="1:11" ht="14.45" customHeight="1" x14ac:dyDescent="0.2">
      <c r="A1313" s="822" t="s">
        <v>575</v>
      </c>
      <c r="B1313" s="823" t="s">
        <v>576</v>
      </c>
      <c r="C1313" s="826" t="s">
        <v>600</v>
      </c>
      <c r="D1313" s="840" t="s">
        <v>601</v>
      </c>
      <c r="E1313" s="826" t="s">
        <v>3264</v>
      </c>
      <c r="F1313" s="840" t="s">
        <v>3265</v>
      </c>
      <c r="G1313" s="826" t="s">
        <v>4642</v>
      </c>
      <c r="H1313" s="826" t="s">
        <v>4644</v>
      </c>
      <c r="I1313" s="832">
        <v>810.70001220703125</v>
      </c>
      <c r="J1313" s="832">
        <v>2</v>
      </c>
      <c r="K1313" s="833">
        <v>1621.4000244140625</v>
      </c>
    </row>
    <row r="1314" spans="1:11" ht="14.45" customHeight="1" x14ac:dyDescent="0.2">
      <c r="A1314" s="822" t="s">
        <v>575</v>
      </c>
      <c r="B1314" s="823" t="s">
        <v>576</v>
      </c>
      <c r="C1314" s="826" t="s">
        <v>600</v>
      </c>
      <c r="D1314" s="840" t="s">
        <v>601</v>
      </c>
      <c r="E1314" s="826" t="s">
        <v>3264</v>
      </c>
      <c r="F1314" s="840" t="s">
        <v>3265</v>
      </c>
      <c r="G1314" s="826" t="s">
        <v>4645</v>
      </c>
      <c r="H1314" s="826" t="s">
        <v>4646</v>
      </c>
      <c r="I1314" s="832">
        <v>385.9949951171875</v>
      </c>
      <c r="J1314" s="832">
        <v>3</v>
      </c>
      <c r="K1314" s="833">
        <v>1157.97998046875</v>
      </c>
    </row>
    <row r="1315" spans="1:11" ht="14.45" customHeight="1" x14ac:dyDescent="0.2">
      <c r="A1315" s="822" t="s">
        <v>575</v>
      </c>
      <c r="B1315" s="823" t="s">
        <v>576</v>
      </c>
      <c r="C1315" s="826" t="s">
        <v>600</v>
      </c>
      <c r="D1315" s="840" t="s">
        <v>601</v>
      </c>
      <c r="E1315" s="826" t="s">
        <v>3264</v>
      </c>
      <c r="F1315" s="840" t="s">
        <v>3265</v>
      </c>
      <c r="G1315" s="826" t="s">
        <v>4645</v>
      </c>
      <c r="H1315" s="826" t="s">
        <v>4647</v>
      </c>
      <c r="I1315" s="832">
        <v>385.989990234375</v>
      </c>
      <c r="J1315" s="832">
        <v>2</v>
      </c>
      <c r="K1315" s="833">
        <v>771.97998046875</v>
      </c>
    </row>
    <row r="1316" spans="1:11" ht="14.45" customHeight="1" x14ac:dyDescent="0.2">
      <c r="A1316" s="822" t="s">
        <v>575</v>
      </c>
      <c r="B1316" s="823" t="s">
        <v>576</v>
      </c>
      <c r="C1316" s="826" t="s">
        <v>600</v>
      </c>
      <c r="D1316" s="840" t="s">
        <v>601</v>
      </c>
      <c r="E1316" s="826" t="s">
        <v>3264</v>
      </c>
      <c r="F1316" s="840" t="s">
        <v>3265</v>
      </c>
      <c r="G1316" s="826" t="s">
        <v>4648</v>
      </c>
      <c r="H1316" s="826" t="s">
        <v>4649</v>
      </c>
      <c r="I1316" s="832">
        <v>200.05000305175781</v>
      </c>
      <c r="J1316" s="832">
        <v>240</v>
      </c>
      <c r="K1316" s="833">
        <v>48012.80078125</v>
      </c>
    </row>
    <row r="1317" spans="1:11" ht="14.45" customHeight="1" x14ac:dyDescent="0.2">
      <c r="A1317" s="822" t="s">
        <v>575</v>
      </c>
      <c r="B1317" s="823" t="s">
        <v>576</v>
      </c>
      <c r="C1317" s="826" t="s">
        <v>600</v>
      </c>
      <c r="D1317" s="840" t="s">
        <v>601</v>
      </c>
      <c r="E1317" s="826" t="s">
        <v>3264</v>
      </c>
      <c r="F1317" s="840" t="s">
        <v>3265</v>
      </c>
      <c r="G1317" s="826" t="s">
        <v>4648</v>
      </c>
      <c r="H1317" s="826" t="s">
        <v>4650</v>
      </c>
      <c r="I1317" s="832">
        <v>200.05000305175781</v>
      </c>
      <c r="J1317" s="832">
        <v>426</v>
      </c>
      <c r="K1317" s="833">
        <v>85222.720458984375</v>
      </c>
    </row>
    <row r="1318" spans="1:11" ht="14.45" customHeight="1" x14ac:dyDescent="0.2">
      <c r="A1318" s="822" t="s">
        <v>575</v>
      </c>
      <c r="B1318" s="823" t="s">
        <v>576</v>
      </c>
      <c r="C1318" s="826" t="s">
        <v>600</v>
      </c>
      <c r="D1318" s="840" t="s">
        <v>601</v>
      </c>
      <c r="E1318" s="826" t="s">
        <v>3264</v>
      </c>
      <c r="F1318" s="840" t="s">
        <v>3265</v>
      </c>
      <c r="G1318" s="826" t="s">
        <v>3362</v>
      </c>
      <c r="H1318" s="826" t="s">
        <v>3363</v>
      </c>
      <c r="I1318" s="832">
        <v>4.9699997901916504</v>
      </c>
      <c r="J1318" s="832">
        <v>30</v>
      </c>
      <c r="K1318" s="833">
        <v>149.10000610351563</v>
      </c>
    </row>
    <row r="1319" spans="1:11" ht="14.45" customHeight="1" x14ac:dyDescent="0.2">
      <c r="A1319" s="822" t="s">
        <v>575</v>
      </c>
      <c r="B1319" s="823" t="s">
        <v>576</v>
      </c>
      <c r="C1319" s="826" t="s">
        <v>600</v>
      </c>
      <c r="D1319" s="840" t="s">
        <v>601</v>
      </c>
      <c r="E1319" s="826" t="s">
        <v>3264</v>
      </c>
      <c r="F1319" s="840" t="s">
        <v>3265</v>
      </c>
      <c r="G1319" s="826" t="s">
        <v>4651</v>
      </c>
      <c r="H1319" s="826" t="s">
        <v>4652</v>
      </c>
      <c r="I1319" s="832">
        <v>13.25499963760376</v>
      </c>
      <c r="J1319" s="832">
        <v>70</v>
      </c>
      <c r="K1319" s="833">
        <v>927.67999267578125</v>
      </c>
    </row>
    <row r="1320" spans="1:11" ht="14.45" customHeight="1" x14ac:dyDescent="0.2">
      <c r="A1320" s="822" t="s">
        <v>575</v>
      </c>
      <c r="B1320" s="823" t="s">
        <v>576</v>
      </c>
      <c r="C1320" s="826" t="s">
        <v>600</v>
      </c>
      <c r="D1320" s="840" t="s">
        <v>601</v>
      </c>
      <c r="E1320" s="826" t="s">
        <v>3264</v>
      </c>
      <c r="F1320" s="840" t="s">
        <v>3265</v>
      </c>
      <c r="G1320" s="826" t="s">
        <v>4653</v>
      </c>
      <c r="H1320" s="826" t="s">
        <v>4654</v>
      </c>
      <c r="I1320" s="832">
        <v>7.7199997901916504</v>
      </c>
      <c r="J1320" s="832">
        <v>100</v>
      </c>
      <c r="K1320" s="833">
        <v>772.46002197265625</v>
      </c>
    </row>
    <row r="1321" spans="1:11" ht="14.45" customHeight="1" x14ac:dyDescent="0.2">
      <c r="A1321" s="822" t="s">
        <v>575</v>
      </c>
      <c r="B1321" s="823" t="s">
        <v>576</v>
      </c>
      <c r="C1321" s="826" t="s">
        <v>600</v>
      </c>
      <c r="D1321" s="840" t="s">
        <v>601</v>
      </c>
      <c r="E1321" s="826" t="s">
        <v>3264</v>
      </c>
      <c r="F1321" s="840" t="s">
        <v>3265</v>
      </c>
      <c r="G1321" s="826" t="s">
        <v>3364</v>
      </c>
      <c r="H1321" s="826" t="s">
        <v>3365</v>
      </c>
      <c r="I1321" s="832">
        <v>11.736363324252041</v>
      </c>
      <c r="J1321" s="832">
        <v>520</v>
      </c>
      <c r="K1321" s="833">
        <v>6102.9000549316406</v>
      </c>
    </row>
    <row r="1322" spans="1:11" ht="14.45" customHeight="1" x14ac:dyDescent="0.2">
      <c r="A1322" s="822" t="s">
        <v>575</v>
      </c>
      <c r="B1322" s="823" t="s">
        <v>576</v>
      </c>
      <c r="C1322" s="826" t="s">
        <v>600</v>
      </c>
      <c r="D1322" s="840" t="s">
        <v>601</v>
      </c>
      <c r="E1322" s="826" t="s">
        <v>3264</v>
      </c>
      <c r="F1322" s="840" t="s">
        <v>3265</v>
      </c>
      <c r="G1322" s="826" t="s">
        <v>3366</v>
      </c>
      <c r="H1322" s="826" t="s">
        <v>3367</v>
      </c>
      <c r="I1322" s="832">
        <v>13.310000419616699</v>
      </c>
      <c r="J1322" s="832">
        <v>50</v>
      </c>
      <c r="K1322" s="833">
        <v>665.5</v>
      </c>
    </row>
    <row r="1323" spans="1:11" ht="14.45" customHeight="1" x14ac:dyDescent="0.2">
      <c r="A1323" s="822" t="s">
        <v>575</v>
      </c>
      <c r="B1323" s="823" t="s">
        <v>576</v>
      </c>
      <c r="C1323" s="826" t="s">
        <v>600</v>
      </c>
      <c r="D1323" s="840" t="s">
        <v>601</v>
      </c>
      <c r="E1323" s="826" t="s">
        <v>3264</v>
      </c>
      <c r="F1323" s="840" t="s">
        <v>3265</v>
      </c>
      <c r="G1323" s="826" t="s">
        <v>4655</v>
      </c>
      <c r="H1323" s="826" t="s">
        <v>4656</v>
      </c>
      <c r="I1323" s="832">
        <v>198.44000244140625</v>
      </c>
      <c r="J1323" s="832">
        <v>440</v>
      </c>
      <c r="K1323" s="833">
        <v>87313.599365234375</v>
      </c>
    </row>
    <row r="1324" spans="1:11" ht="14.45" customHeight="1" x14ac:dyDescent="0.2">
      <c r="A1324" s="822" t="s">
        <v>575</v>
      </c>
      <c r="B1324" s="823" t="s">
        <v>576</v>
      </c>
      <c r="C1324" s="826" t="s">
        <v>600</v>
      </c>
      <c r="D1324" s="840" t="s">
        <v>601</v>
      </c>
      <c r="E1324" s="826" t="s">
        <v>3264</v>
      </c>
      <c r="F1324" s="840" t="s">
        <v>3265</v>
      </c>
      <c r="G1324" s="826" t="s">
        <v>3362</v>
      </c>
      <c r="H1324" s="826" t="s">
        <v>3372</v>
      </c>
      <c r="I1324" s="832">
        <v>4.9699997901916504</v>
      </c>
      <c r="J1324" s="832">
        <v>30</v>
      </c>
      <c r="K1324" s="833">
        <v>149.10000610351563</v>
      </c>
    </row>
    <row r="1325" spans="1:11" ht="14.45" customHeight="1" x14ac:dyDescent="0.2">
      <c r="A1325" s="822" t="s">
        <v>575</v>
      </c>
      <c r="B1325" s="823" t="s">
        <v>576</v>
      </c>
      <c r="C1325" s="826" t="s">
        <v>600</v>
      </c>
      <c r="D1325" s="840" t="s">
        <v>601</v>
      </c>
      <c r="E1325" s="826" t="s">
        <v>3264</v>
      </c>
      <c r="F1325" s="840" t="s">
        <v>3265</v>
      </c>
      <c r="G1325" s="826" t="s">
        <v>4651</v>
      </c>
      <c r="H1325" s="826" t="s">
        <v>4657</v>
      </c>
      <c r="I1325" s="832">
        <v>13.359999656677246</v>
      </c>
      <c r="J1325" s="832">
        <v>35</v>
      </c>
      <c r="K1325" s="833">
        <v>467.489990234375</v>
      </c>
    </row>
    <row r="1326" spans="1:11" ht="14.45" customHeight="1" x14ac:dyDescent="0.2">
      <c r="A1326" s="822" t="s">
        <v>575</v>
      </c>
      <c r="B1326" s="823" t="s">
        <v>576</v>
      </c>
      <c r="C1326" s="826" t="s">
        <v>600</v>
      </c>
      <c r="D1326" s="840" t="s">
        <v>601</v>
      </c>
      <c r="E1326" s="826" t="s">
        <v>3264</v>
      </c>
      <c r="F1326" s="840" t="s">
        <v>3265</v>
      </c>
      <c r="G1326" s="826" t="s">
        <v>3364</v>
      </c>
      <c r="H1326" s="826" t="s">
        <v>3373</v>
      </c>
      <c r="I1326" s="832">
        <v>11.733332951863607</v>
      </c>
      <c r="J1326" s="832">
        <v>410</v>
      </c>
      <c r="K1326" s="833">
        <v>4810.9000244140625</v>
      </c>
    </row>
    <row r="1327" spans="1:11" ht="14.45" customHeight="1" x14ac:dyDescent="0.2">
      <c r="A1327" s="822" t="s">
        <v>575</v>
      </c>
      <c r="B1327" s="823" t="s">
        <v>576</v>
      </c>
      <c r="C1327" s="826" t="s">
        <v>600</v>
      </c>
      <c r="D1327" s="840" t="s">
        <v>601</v>
      </c>
      <c r="E1327" s="826" t="s">
        <v>3264</v>
      </c>
      <c r="F1327" s="840" t="s">
        <v>3265</v>
      </c>
      <c r="G1327" s="826" t="s">
        <v>4655</v>
      </c>
      <c r="H1327" s="826" t="s">
        <v>4658</v>
      </c>
      <c r="I1327" s="832">
        <v>198.44000244140625</v>
      </c>
      <c r="J1327" s="832">
        <v>270</v>
      </c>
      <c r="K1327" s="833">
        <v>53578.80029296875</v>
      </c>
    </row>
    <row r="1328" spans="1:11" ht="14.45" customHeight="1" x14ac:dyDescent="0.2">
      <c r="A1328" s="822" t="s">
        <v>575</v>
      </c>
      <c r="B1328" s="823" t="s">
        <v>576</v>
      </c>
      <c r="C1328" s="826" t="s">
        <v>600</v>
      </c>
      <c r="D1328" s="840" t="s">
        <v>601</v>
      </c>
      <c r="E1328" s="826" t="s">
        <v>3264</v>
      </c>
      <c r="F1328" s="840" t="s">
        <v>3265</v>
      </c>
      <c r="G1328" s="826" t="s">
        <v>4659</v>
      </c>
      <c r="H1328" s="826" t="s">
        <v>4660</v>
      </c>
      <c r="I1328" s="832">
        <v>45.979999542236328</v>
      </c>
      <c r="J1328" s="832">
        <v>40</v>
      </c>
      <c r="K1328" s="833">
        <v>1839.199951171875</v>
      </c>
    </row>
    <row r="1329" spans="1:11" ht="14.45" customHeight="1" x14ac:dyDescent="0.2">
      <c r="A1329" s="822" t="s">
        <v>575</v>
      </c>
      <c r="B1329" s="823" t="s">
        <v>576</v>
      </c>
      <c r="C1329" s="826" t="s">
        <v>600</v>
      </c>
      <c r="D1329" s="840" t="s">
        <v>601</v>
      </c>
      <c r="E1329" s="826" t="s">
        <v>3264</v>
      </c>
      <c r="F1329" s="840" t="s">
        <v>3265</v>
      </c>
      <c r="G1329" s="826" t="s">
        <v>4661</v>
      </c>
      <c r="H1329" s="826" t="s">
        <v>4662</v>
      </c>
      <c r="I1329" s="832">
        <v>2046</v>
      </c>
      <c r="J1329" s="832">
        <v>6</v>
      </c>
      <c r="K1329" s="833">
        <v>12276</v>
      </c>
    </row>
    <row r="1330" spans="1:11" ht="14.45" customHeight="1" x14ac:dyDescent="0.2">
      <c r="A1330" s="822" t="s">
        <v>575</v>
      </c>
      <c r="B1330" s="823" t="s">
        <v>576</v>
      </c>
      <c r="C1330" s="826" t="s">
        <v>600</v>
      </c>
      <c r="D1330" s="840" t="s">
        <v>601</v>
      </c>
      <c r="E1330" s="826" t="s">
        <v>3264</v>
      </c>
      <c r="F1330" s="840" t="s">
        <v>3265</v>
      </c>
      <c r="G1330" s="826" t="s">
        <v>4663</v>
      </c>
      <c r="H1330" s="826" t="s">
        <v>4664</v>
      </c>
      <c r="I1330" s="832">
        <v>3463.02001953125</v>
      </c>
      <c r="J1330" s="832">
        <v>4</v>
      </c>
      <c r="K1330" s="833">
        <v>13852.07958984375</v>
      </c>
    </row>
    <row r="1331" spans="1:11" ht="14.45" customHeight="1" x14ac:dyDescent="0.2">
      <c r="A1331" s="822" t="s">
        <v>575</v>
      </c>
      <c r="B1331" s="823" t="s">
        <v>576</v>
      </c>
      <c r="C1331" s="826" t="s">
        <v>600</v>
      </c>
      <c r="D1331" s="840" t="s">
        <v>601</v>
      </c>
      <c r="E1331" s="826" t="s">
        <v>3264</v>
      </c>
      <c r="F1331" s="840" t="s">
        <v>3265</v>
      </c>
      <c r="G1331" s="826" t="s">
        <v>4665</v>
      </c>
      <c r="H1331" s="826" t="s">
        <v>4666</v>
      </c>
      <c r="I1331" s="832">
        <v>1212.4200439453125</v>
      </c>
      <c r="J1331" s="832">
        <v>100</v>
      </c>
      <c r="K1331" s="833">
        <v>121242.001953125</v>
      </c>
    </row>
    <row r="1332" spans="1:11" ht="14.45" customHeight="1" x14ac:dyDescent="0.2">
      <c r="A1332" s="822" t="s">
        <v>575</v>
      </c>
      <c r="B1332" s="823" t="s">
        <v>576</v>
      </c>
      <c r="C1332" s="826" t="s">
        <v>600</v>
      </c>
      <c r="D1332" s="840" t="s">
        <v>601</v>
      </c>
      <c r="E1332" s="826" t="s">
        <v>3264</v>
      </c>
      <c r="F1332" s="840" t="s">
        <v>3265</v>
      </c>
      <c r="G1332" s="826" t="s">
        <v>4667</v>
      </c>
      <c r="H1332" s="826" t="s">
        <v>4668</v>
      </c>
      <c r="I1332" s="832">
        <v>22000</v>
      </c>
      <c r="J1332" s="832">
        <v>12</v>
      </c>
      <c r="K1332" s="833">
        <v>264000</v>
      </c>
    </row>
    <row r="1333" spans="1:11" ht="14.45" customHeight="1" x14ac:dyDescent="0.2">
      <c r="A1333" s="822" t="s">
        <v>575</v>
      </c>
      <c r="B1333" s="823" t="s">
        <v>576</v>
      </c>
      <c r="C1333" s="826" t="s">
        <v>600</v>
      </c>
      <c r="D1333" s="840" t="s">
        <v>601</v>
      </c>
      <c r="E1333" s="826" t="s">
        <v>3264</v>
      </c>
      <c r="F1333" s="840" t="s">
        <v>3265</v>
      </c>
      <c r="G1333" s="826" t="s">
        <v>4669</v>
      </c>
      <c r="H1333" s="826" t="s">
        <v>4670</v>
      </c>
      <c r="I1333" s="832">
        <v>17424</v>
      </c>
      <c r="J1333" s="832">
        <v>377</v>
      </c>
      <c r="K1333" s="833">
        <v>6568848</v>
      </c>
    </row>
    <row r="1334" spans="1:11" ht="14.45" customHeight="1" x14ac:dyDescent="0.2">
      <c r="A1334" s="822" t="s">
        <v>575</v>
      </c>
      <c r="B1334" s="823" t="s">
        <v>576</v>
      </c>
      <c r="C1334" s="826" t="s">
        <v>600</v>
      </c>
      <c r="D1334" s="840" t="s">
        <v>601</v>
      </c>
      <c r="E1334" s="826" t="s">
        <v>3264</v>
      </c>
      <c r="F1334" s="840" t="s">
        <v>3265</v>
      </c>
      <c r="G1334" s="826" t="s">
        <v>4671</v>
      </c>
      <c r="H1334" s="826" t="s">
        <v>4672</v>
      </c>
      <c r="I1334" s="832">
        <v>17424</v>
      </c>
      <c r="J1334" s="832">
        <v>10</v>
      </c>
      <c r="K1334" s="833">
        <v>174240</v>
      </c>
    </row>
    <row r="1335" spans="1:11" ht="14.45" customHeight="1" x14ac:dyDescent="0.2">
      <c r="A1335" s="822" t="s">
        <v>575</v>
      </c>
      <c r="B1335" s="823" t="s">
        <v>576</v>
      </c>
      <c r="C1335" s="826" t="s">
        <v>600</v>
      </c>
      <c r="D1335" s="840" t="s">
        <v>601</v>
      </c>
      <c r="E1335" s="826" t="s">
        <v>3264</v>
      </c>
      <c r="F1335" s="840" t="s">
        <v>3265</v>
      </c>
      <c r="G1335" s="826" t="s">
        <v>4673</v>
      </c>
      <c r="H1335" s="826" t="s">
        <v>4674</v>
      </c>
      <c r="I1335" s="832">
        <v>20475.619140625</v>
      </c>
      <c r="J1335" s="832">
        <v>1</v>
      </c>
      <c r="K1335" s="833">
        <v>20475.619140625</v>
      </c>
    </row>
    <row r="1336" spans="1:11" ht="14.45" customHeight="1" x14ac:dyDescent="0.2">
      <c r="A1336" s="822" t="s">
        <v>575</v>
      </c>
      <c r="B1336" s="823" t="s">
        <v>576</v>
      </c>
      <c r="C1336" s="826" t="s">
        <v>600</v>
      </c>
      <c r="D1336" s="840" t="s">
        <v>601</v>
      </c>
      <c r="E1336" s="826" t="s">
        <v>3264</v>
      </c>
      <c r="F1336" s="840" t="s">
        <v>3265</v>
      </c>
      <c r="G1336" s="826" t="s">
        <v>4675</v>
      </c>
      <c r="H1336" s="826" t="s">
        <v>4676</v>
      </c>
      <c r="I1336" s="832">
        <v>3600</v>
      </c>
      <c r="J1336" s="832">
        <v>10</v>
      </c>
      <c r="K1336" s="833">
        <v>36000</v>
      </c>
    </row>
    <row r="1337" spans="1:11" ht="14.45" customHeight="1" x14ac:dyDescent="0.2">
      <c r="A1337" s="822" t="s">
        <v>575</v>
      </c>
      <c r="B1337" s="823" t="s">
        <v>576</v>
      </c>
      <c r="C1337" s="826" t="s">
        <v>600</v>
      </c>
      <c r="D1337" s="840" t="s">
        <v>601</v>
      </c>
      <c r="E1337" s="826" t="s">
        <v>3264</v>
      </c>
      <c r="F1337" s="840" t="s">
        <v>3265</v>
      </c>
      <c r="G1337" s="826" t="s">
        <v>4669</v>
      </c>
      <c r="H1337" s="826" t="s">
        <v>4677</v>
      </c>
      <c r="I1337" s="832">
        <v>8142.4</v>
      </c>
      <c r="J1337" s="832">
        <v>250</v>
      </c>
      <c r="K1337" s="833">
        <v>4349055.9375</v>
      </c>
    </row>
    <row r="1338" spans="1:11" ht="14.45" customHeight="1" x14ac:dyDescent="0.2">
      <c r="A1338" s="822" t="s">
        <v>575</v>
      </c>
      <c r="B1338" s="823" t="s">
        <v>576</v>
      </c>
      <c r="C1338" s="826" t="s">
        <v>600</v>
      </c>
      <c r="D1338" s="840" t="s">
        <v>601</v>
      </c>
      <c r="E1338" s="826" t="s">
        <v>3264</v>
      </c>
      <c r="F1338" s="840" t="s">
        <v>3265</v>
      </c>
      <c r="G1338" s="826" t="s">
        <v>4678</v>
      </c>
      <c r="H1338" s="826" t="s">
        <v>4679</v>
      </c>
      <c r="I1338" s="832">
        <v>264.989990234375</v>
      </c>
      <c r="J1338" s="832">
        <v>180</v>
      </c>
      <c r="K1338" s="833">
        <v>47698.1982421875</v>
      </c>
    </row>
    <row r="1339" spans="1:11" ht="14.45" customHeight="1" x14ac:dyDescent="0.2">
      <c r="A1339" s="822" t="s">
        <v>575</v>
      </c>
      <c r="B1339" s="823" t="s">
        <v>576</v>
      </c>
      <c r="C1339" s="826" t="s">
        <v>600</v>
      </c>
      <c r="D1339" s="840" t="s">
        <v>601</v>
      </c>
      <c r="E1339" s="826" t="s">
        <v>3264</v>
      </c>
      <c r="F1339" s="840" t="s">
        <v>3265</v>
      </c>
      <c r="G1339" s="826" t="s">
        <v>4680</v>
      </c>
      <c r="H1339" s="826" t="s">
        <v>4681</v>
      </c>
      <c r="I1339" s="832">
        <v>72.80999755859375</v>
      </c>
      <c r="J1339" s="832">
        <v>48</v>
      </c>
      <c r="K1339" s="833">
        <v>3495.080078125</v>
      </c>
    </row>
    <row r="1340" spans="1:11" ht="14.45" customHeight="1" x14ac:dyDescent="0.2">
      <c r="A1340" s="822" t="s">
        <v>575</v>
      </c>
      <c r="B1340" s="823" t="s">
        <v>576</v>
      </c>
      <c r="C1340" s="826" t="s">
        <v>600</v>
      </c>
      <c r="D1340" s="840" t="s">
        <v>601</v>
      </c>
      <c r="E1340" s="826" t="s">
        <v>3264</v>
      </c>
      <c r="F1340" s="840" t="s">
        <v>3265</v>
      </c>
      <c r="G1340" s="826" t="s">
        <v>4682</v>
      </c>
      <c r="H1340" s="826" t="s">
        <v>4683</v>
      </c>
      <c r="I1340" s="832">
        <v>72.80999755859375</v>
      </c>
      <c r="J1340" s="832">
        <v>24</v>
      </c>
      <c r="K1340" s="833">
        <v>1747.5400390625</v>
      </c>
    </row>
    <row r="1341" spans="1:11" ht="14.45" customHeight="1" x14ac:dyDescent="0.2">
      <c r="A1341" s="822" t="s">
        <v>575</v>
      </c>
      <c r="B1341" s="823" t="s">
        <v>576</v>
      </c>
      <c r="C1341" s="826" t="s">
        <v>600</v>
      </c>
      <c r="D1341" s="840" t="s">
        <v>601</v>
      </c>
      <c r="E1341" s="826" t="s">
        <v>3264</v>
      </c>
      <c r="F1341" s="840" t="s">
        <v>3265</v>
      </c>
      <c r="G1341" s="826" t="s">
        <v>4678</v>
      </c>
      <c r="H1341" s="826" t="s">
        <v>4684</v>
      </c>
      <c r="I1341" s="832">
        <v>264.989990234375</v>
      </c>
      <c r="J1341" s="832">
        <v>100</v>
      </c>
      <c r="K1341" s="833">
        <v>26498.9990234375</v>
      </c>
    </row>
    <row r="1342" spans="1:11" ht="14.45" customHeight="1" x14ac:dyDescent="0.2">
      <c r="A1342" s="822" t="s">
        <v>575</v>
      </c>
      <c r="B1342" s="823" t="s">
        <v>576</v>
      </c>
      <c r="C1342" s="826" t="s">
        <v>600</v>
      </c>
      <c r="D1342" s="840" t="s">
        <v>601</v>
      </c>
      <c r="E1342" s="826" t="s">
        <v>3264</v>
      </c>
      <c r="F1342" s="840" t="s">
        <v>3265</v>
      </c>
      <c r="G1342" s="826" t="s">
        <v>4680</v>
      </c>
      <c r="H1342" s="826" t="s">
        <v>4685</v>
      </c>
      <c r="I1342" s="832">
        <v>72.80999755859375</v>
      </c>
      <c r="J1342" s="832">
        <v>24</v>
      </c>
      <c r="K1342" s="833">
        <v>1747.5400390625</v>
      </c>
    </row>
    <row r="1343" spans="1:11" ht="14.45" customHeight="1" x14ac:dyDescent="0.2">
      <c r="A1343" s="822" t="s">
        <v>575</v>
      </c>
      <c r="B1343" s="823" t="s">
        <v>576</v>
      </c>
      <c r="C1343" s="826" t="s">
        <v>600</v>
      </c>
      <c r="D1343" s="840" t="s">
        <v>601</v>
      </c>
      <c r="E1343" s="826" t="s">
        <v>3264</v>
      </c>
      <c r="F1343" s="840" t="s">
        <v>3265</v>
      </c>
      <c r="G1343" s="826" t="s">
        <v>4682</v>
      </c>
      <c r="H1343" s="826" t="s">
        <v>4686</v>
      </c>
      <c r="I1343" s="832">
        <v>72.80999755859375</v>
      </c>
      <c r="J1343" s="832">
        <v>24</v>
      </c>
      <c r="K1343" s="833">
        <v>1747.5400390625</v>
      </c>
    </row>
    <row r="1344" spans="1:11" ht="14.45" customHeight="1" x14ac:dyDescent="0.2">
      <c r="A1344" s="822" t="s">
        <v>575</v>
      </c>
      <c r="B1344" s="823" t="s">
        <v>576</v>
      </c>
      <c r="C1344" s="826" t="s">
        <v>600</v>
      </c>
      <c r="D1344" s="840" t="s">
        <v>601</v>
      </c>
      <c r="E1344" s="826" t="s">
        <v>3264</v>
      </c>
      <c r="F1344" s="840" t="s">
        <v>3265</v>
      </c>
      <c r="G1344" s="826" t="s">
        <v>4687</v>
      </c>
      <c r="H1344" s="826" t="s">
        <v>4688</v>
      </c>
      <c r="I1344" s="832">
        <v>369.1400146484375</v>
      </c>
      <c r="J1344" s="832">
        <v>6</v>
      </c>
      <c r="K1344" s="833">
        <v>2214.840087890625</v>
      </c>
    </row>
    <row r="1345" spans="1:11" ht="14.45" customHeight="1" x14ac:dyDescent="0.2">
      <c r="A1345" s="822" t="s">
        <v>575</v>
      </c>
      <c r="B1345" s="823" t="s">
        <v>576</v>
      </c>
      <c r="C1345" s="826" t="s">
        <v>600</v>
      </c>
      <c r="D1345" s="840" t="s">
        <v>601</v>
      </c>
      <c r="E1345" s="826" t="s">
        <v>3264</v>
      </c>
      <c r="F1345" s="840" t="s">
        <v>3265</v>
      </c>
      <c r="G1345" s="826" t="s">
        <v>4689</v>
      </c>
      <c r="H1345" s="826" t="s">
        <v>4690</v>
      </c>
      <c r="I1345" s="832">
        <v>375.10000610351563</v>
      </c>
      <c r="J1345" s="832">
        <v>10</v>
      </c>
      <c r="K1345" s="833">
        <v>3751</v>
      </c>
    </row>
    <row r="1346" spans="1:11" ht="14.45" customHeight="1" x14ac:dyDescent="0.2">
      <c r="A1346" s="822" t="s">
        <v>575</v>
      </c>
      <c r="B1346" s="823" t="s">
        <v>576</v>
      </c>
      <c r="C1346" s="826" t="s">
        <v>600</v>
      </c>
      <c r="D1346" s="840" t="s">
        <v>601</v>
      </c>
      <c r="E1346" s="826" t="s">
        <v>3264</v>
      </c>
      <c r="F1346" s="840" t="s">
        <v>3265</v>
      </c>
      <c r="G1346" s="826" t="s">
        <v>4691</v>
      </c>
      <c r="H1346" s="826" t="s">
        <v>4692</v>
      </c>
      <c r="I1346" s="832">
        <v>514.05999755859375</v>
      </c>
      <c r="J1346" s="832">
        <v>20</v>
      </c>
      <c r="K1346" s="833">
        <v>10281.1298828125</v>
      </c>
    </row>
    <row r="1347" spans="1:11" ht="14.45" customHeight="1" x14ac:dyDescent="0.2">
      <c r="A1347" s="822" t="s">
        <v>575</v>
      </c>
      <c r="B1347" s="823" t="s">
        <v>576</v>
      </c>
      <c r="C1347" s="826" t="s">
        <v>600</v>
      </c>
      <c r="D1347" s="840" t="s">
        <v>601</v>
      </c>
      <c r="E1347" s="826" t="s">
        <v>3264</v>
      </c>
      <c r="F1347" s="840" t="s">
        <v>3265</v>
      </c>
      <c r="G1347" s="826" t="s">
        <v>4693</v>
      </c>
      <c r="H1347" s="826" t="s">
        <v>4694</v>
      </c>
      <c r="I1347" s="832">
        <v>284.16000366210938</v>
      </c>
      <c r="J1347" s="832">
        <v>140</v>
      </c>
      <c r="K1347" s="833">
        <v>39781.9091796875</v>
      </c>
    </row>
    <row r="1348" spans="1:11" ht="14.45" customHeight="1" x14ac:dyDescent="0.2">
      <c r="A1348" s="822" t="s">
        <v>575</v>
      </c>
      <c r="B1348" s="823" t="s">
        <v>576</v>
      </c>
      <c r="C1348" s="826" t="s">
        <v>600</v>
      </c>
      <c r="D1348" s="840" t="s">
        <v>601</v>
      </c>
      <c r="E1348" s="826" t="s">
        <v>3264</v>
      </c>
      <c r="F1348" s="840" t="s">
        <v>3265</v>
      </c>
      <c r="G1348" s="826" t="s">
        <v>4695</v>
      </c>
      <c r="H1348" s="826" t="s">
        <v>4696</v>
      </c>
      <c r="I1348" s="832">
        <v>251.42999267578125</v>
      </c>
      <c r="J1348" s="832">
        <v>160</v>
      </c>
      <c r="K1348" s="833">
        <v>40228.16015625</v>
      </c>
    </row>
    <row r="1349" spans="1:11" ht="14.45" customHeight="1" x14ac:dyDescent="0.2">
      <c r="A1349" s="822" t="s">
        <v>575</v>
      </c>
      <c r="B1349" s="823" t="s">
        <v>576</v>
      </c>
      <c r="C1349" s="826" t="s">
        <v>600</v>
      </c>
      <c r="D1349" s="840" t="s">
        <v>601</v>
      </c>
      <c r="E1349" s="826" t="s">
        <v>3264</v>
      </c>
      <c r="F1349" s="840" t="s">
        <v>3265</v>
      </c>
      <c r="G1349" s="826" t="s">
        <v>4693</v>
      </c>
      <c r="H1349" s="826" t="s">
        <v>4697</v>
      </c>
      <c r="I1349" s="832">
        <v>284.16000366210938</v>
      </c>
      <c r="J1349" s="832">
        <v>100</v>
      </c>
      <c r="K1349" s="833">
        <v>28415.6396484375</v>
      </c>
    </row>
    <row r="1350" spans="1:11" ht="14.45" customHeight="1" x14ac:dyDescent="0.2">
      <c r="A1350" s="822" t="s">
        <v>575</v>
      </c>
      <c r="B1350" s="823" t="s">
        <v>576</v>
      </c>
      <c r="C1350" s="826" t="s">
        <v>600</v>
      </c>
      <c r="D1350" s="840" t="s">
        <v>601</v>
      </c>
      <c r="E1350" s="826" t="s">
        <v>3264</v>
      </c>
      <c r="F1350" s="840" t="s">
        <v>3265</v>
      </c>
      <c r="G1350" s="826" t="s">
        <v>4695</v>
      </c>
      <c r="H1350" s="826" t="s">
        <v>4698</v>
      </c>
      <c r="I1350" s="832">
        <v>251.42999267578125</v>
      </c>
      <c r="J1350" s="832">
        <v>80</v>
      </c>
      <c r="K1350" s="833">
        <v>20114.080078125</v>
      </c>
    </row>
    <row r="1351" spans="1:11" ht="14.45" customHeight="1" x14ac:dyDescent="0.2">
      <c r="A1351" s="822" t="s">
        <v>575</v>
      </c>
      <c r="B1351" s="823" t="s">
        <v>576</v>
      </c>
      <c r="C1351" s="826" t="s">
        <v>600</v>
      </c>
      <c r="D1351" s="840" t="s">
        <v>601</v>
      </c>
      <c r="E1351" s="826" t="s">
        <v>3264</v>
      </c>
      <c r="F1351" s="840" t="s">
        <v>3265</v>
      </c>
      <c r="G1351" s="826" t="s">
        <v>4699</v>
      </c>
      <c r="H1351" s="826" t="s">
        <v>4700</v>
      </c>
      <c r="I1351" s="832">
        <v>1800</v>
      </c>
      <c r="J1351" s="832">
        <v>1</v>
      </c>
      <c r="K1351" s="833">
        <v>1800</v>
      </c>
    </row>
    <row r="1352" spans="1:11" ht="14.45" customHeight="1" x14ac:dyDescent="0.2">
      <c r="A1352" s="822" t="s">
        <v>575</v>
      </c>
      <c r="B1352" s="823" t="s">
        <v>576</v>
      </c>
      <c r="C1352" s="826" t="s">
        <v>600</v>
      </c>
      <c r="D1352" s="840" t="s">
        <v>601</v>
      </c>
      <c r="E1352" s="826" t="s">
        <v>3264</v>
      </c>
      <c r="F1352" s="840" t="s">
        <v>3265</v>
      </c>
      <c r="G1352" s="826" t="s">
        <v>4701</v>
      </c>
      <c r="H1352" s="826" t="s">
        <v>4702</v>
      </c>
      <c r="I1352" s="832">
        <v>1800</v>
      </c>
      <c r="J1352" s="832">
        <v>1</v>
      </c>
      <c r="K1352" s="833">
        <v>1800</v>
      </c>
    </row>
    <row r="1353" spans="1:11" ht="14.45" customHeight="1" x14ac:dyDescent="0.2">
      <c r="A1353" s="822" t="s">
        <v>575</v>
      </c>
      <c r="B1353" s="823" t="s">
        <v>576</v>
      </c>
      <c r="C1353" s="826" t="s">
        <v>600</v>
      </c>
      <c r="D1353" s="840" t="s">
        <v>601</v>
      </c>
      <c r="E1353" s="826" t="s">
        <v>3264</v>
      </c>
      <c r="F1353" s="840" t="s">
        <v>3265</v>
      </c>
      <c r="G1353" s="826" t="s">
        <v>4703</v>
      </c>
      <c r="H1353" s="826" t="s">
        <v>4704</v>
      </c>
      <c r="I1353" s="832">
        <v>80.05999755859375</v>
      </c>
      <c r="J1353" s="832">
        <v>68</v>
      </c>
      <c r="K1353" s="833">
        <v>5443.8900451660156</v>
      </c>
    </row>
    <row r="1354" spans="1:11" ht="14.45" customHeight="1" x14ac:dyDescent="0.2">
      <c r="A1354" s="822" t="s">
        <v>575</v>
      </c>
      <c r="B1354" s="823" t="s">
        <v>576</v>
      </c>
      <c r="C1354" s="826" t="s">
        <v>600</v>
      </c>
      <c r="D1354" s="840" t="s">
        <v>601</v>
      </c>
      <c r="E1354" s="826" t="s">
        <v>3264</v>
      </c>
      <c r="F1354" s="840" t="s">
        <v>3265</v>
      </c>
      <c r="G1354" s="826" t="s">
        <v>4705</v>
      </c>
      <c r="H1354" s="826" t="s">
        <v>4706</v>
      </c>
      <c r="I1354" s="832">
        <v>60.380001068115234</v>
      </c>
      <c r="J1354" s="832">
        <v>12</v>
      </c>
      <c r="K1354" s="833">
        <v>724.5999755859375</v>
      </c>
    </row>
    <row r="1355" spans="1:11" ht="14.45" customHeight="1" x14ac:dyDescent="0.2">
      <c r="A1355" s="822" t="s">
        <v>575</v>
      </c>
      <c r="B1355" s="823" t="s">
        <v>576</v>
      </c>
      <c r="C1355" s="826" t="s">
        <v>600</v>
      </c>
      <c r="D1355" s="840" t="s">
        <v>601</v>
      </c>
      <c r="E1355" s="826" t="s">
        <v>3264</v>
      </c>
      <c r="F1355" s="840" t="s">
        <v>3265</v>
      </c>
      <c r="G1355" s="826" t="s">
        <v>4703</v>
      </c>
      <c r="H1355" s="826" t="s">
        <v>4707</v>
      </c>
      <c r="I1355" s="832">
        <v>80.05999755859375</v>
      </c>
      <c r="J1355" s="832">
        <v>44</v>
      </c>
      <c r="K1355" s="833">
        <v>3522.52001953125</v>
      </c>
    </row>
    <row r="1356" spans="1:11" ht="14.45" customHeight="1" x14ac:dyDescent="0.2">
      <c r="A1356" s="822" t="s">
        <v>575</v>
      </c>
      <c r="B1356" s="823" t="s">
        <v>576</v>
      </c>
      <c r="C1356" s="826" t="s">
        <v>600</v>
      </c>
      <c r="D1356" s="840" t="s">
        <v>601</v>
      </c>
      <c r="E1356" s="826" t="s">
        <v>3264</v>
      </c>
      <c r="F1356" s="840" t="s">
        <v>3265</v>
      </c>
      <c r="G1356" s="826" t="s">
        <v>4708</v>
      </c>
      <c r="H1356" s="826" t="s">
        <v>4709</v>
      </c>
      <c r="I1356" s="832">
        <v>11.315000057220459</v>
      </c>
      <c r="J1356" s="832">
        <v>200</v>
      </c>
      <c r="K1356" s="833">
        <v>2262.7000732421875</v>
      </c>
    </row>
    <row r="1357" spans="1:11" ht="14.45" customHeight="1" x14ac:dyDescent="0.2">
      <c r="A1357" s="822" t="s">
        <v>575</v>
      </c>
      <c r="B1357" s="823" t="s">
        <v>576</v>
      </c>
      <c r="C1357" s="826" t="s">
        <v>600</v>
      </c>
      <c r="D1357" s="840" t="s">
        <v>601</v>
      </c>
      <c r="E1357" s="826" t="s">
        <v>3264</v>
      </c>
      <c r="F1357" s="840" t="s">
        <v>3265</v>
      </c>
      <c r="G1357" s="826" t="s">
        <v>4708</v>
      </c>
      <c r="H1357" s="826" t="s">
        <v>4710</v>
      </c>
      <c r="I1357" s="832">
        <v>10.880000114440918</v>
      </c>
      <c r="J1357" s="832">
        <v>100</v>
      </c>
      <c r="K1357" s="833">
        <v>1087.7900390625</v>
      </c>
    </row>
    <row r="1358" spans="1:11" ht="14.45" customHeight="1" x14ac:dyDescent="0.2">
      <c r="A1358" s="822" t="s">
        <v>575</v>
      </c>
      <c r="B1358" s="823" t="s">
        <v>576</v>
      </c>
      <c r="C1358" s="826" t="s">
        <v>600</v>
      </c>
      <c r="D1358" s="840" t="s">
        <v>601</v>
      </c>
      <c r="E1358" s="826" t="s">
        <v>3264</v>
      </c>
      <c r="F1358" s="840" t="s">
        <v>3265</v>
      </c>
      <c r="G1358" s="826" t="s">
        <v>4711</v>
      </c>
      <c r="H1358" s="826" t="s">
        <v>4712</v>
      </c>
      <c r="I1358" s="832">
        <v>5778.260009765625</v>
      </c>
      <c r="J1358" s="832">
        <v>20</v>
      </c>
      <c r="K1358" s="833">
        <v>160010.40078130364</v>
      </c>
    </row>
    <row r="1359" spans="1:11" ht="14.45" customHeight="1" x14ac:dyDescent="0.2">
      <c r="A1359" s="822" t="s">
        <v>575</v>
      </c>
      <c r="B1359" s="823" t="s">
        <v>576</v>
      </c>
      <c r="C1359" s="826" t="s">
        <v>600</v>
      </c>
      <c r="D1359" s="840" t="s">
        <v>601</v>
      </c>
      <c r="E1359" s="826" t="s">
        <v>3264</v>
      </c>
      <c r="F1359" s="840" t="s">
        <v>3265</v>
      </c>
      <c r="G1359" s="826" t="s">
        <v>4713</v>
      </c>
      <c r="H1359" s="826" t="s">
        <v>4714</v>
      </c>
      <c r="I1359" s="832">
        <v>21.159999847412109</v>
      </c>
      <c r="J1359" s="832">
        <v>10</v>
      </c>
      <c r="K1359" s="833">
        <v>211.6300048828125</v>
      </c>
    </row>
    <row r="1360" spans="1:11" ht="14.45" customHeight="1" x14ac:dyDescent="0.2">
      <c r="A1360" s="822" t="s">
        <v>575</v>
      </c>
      <c r="B1360" s="823" t="s">
        <v>576</v>
      </c>
      <c r="C1360" s="826" t="s">
        <v>600</v>
      </c>
      <c r="D1360" s="840" t="s">
        <v>601</v>
      </c>
      <c r="E1360" s="826" t="s">
        <v>3264</v>
      </c>
      <c r="F1360" s="840" t="s">
        <v>3265</v>
      </c>
      <c r="G1360" s="826" t="s">
        <v>4715</v>
      </c>
      <c r="H1360" s="826" t="s">
        <v>4716</v>
      </c>
      <c r="I1360" s="832">
        <v>5395.5</v>
      </c>
      <c r="J1360" s="832">
        <v>16</v>
      </c>
      <c r="K1360" s="833">
        <v>86328</v>
      </c>
    </row>
    <row r="1361" spans="1:11" ht="14.45" customHeight="1" x14ac:dyDescent="0.2">
      <c r="A1361" s="822" t="s">
        <v>575</v>
      </c>
      <c r="B1361" s="823" t="s">
        <v>576</v>
      </c>
      <c r="C1361" s="826" t="s">
        <v>600</v>
      </c>
      <c r="D1361" s="840" t="s">
        <v>601</v>
      </c>
      <c r="E1361" s="826" t="s">
        <v>3264</v>
      </c>
      <c r="F1361" s="840" t="s">
        <v>3265</v>
      </c>
      <c r="G1361" s="826" t="s">
        <v>4715</v>
      </c>
      <c r="H1361" s="826" t="s">
        <v>4717</v>
      </c>
      <c r="I1361" s="832">
        <v>5395.4725341796875</v>
      </c>
      <c r="J1361" s="832">
        <v>16</v>
      </c>
      <c r="K1361" s="833">
        <v>86327.560546875</v>
      </c>
    </row>
    <row r="1362" spans="1:11" ht="14.45" customHeight="1" x14ac:dyDescent="0.2">
      <c r="A1362" s="822" t="s">
        <v>575</v>
      </c>
      <c r="B1362" s="823" t="s">
        <v>576</v>
      </c>
      <c r="C1362" s="826" t="s">
        <v>600</v>
      </c>
      <c r="D1362" s="840" t="s">
        <v>601</v>
      </c>
      <c r="E1362" s="826" t="s">
        <v>3264</v>
      </c>
      <c r="F1362" s="840" t="s">
        <v>3265</v>
      </c>
      <c r="G1362" s="826" t="s">
        <v>4715</v>
      </c>
      <c r="H1362" s="826" t="s">
        <v>4718</v>
      </c>
      <c r="I1362" s="832">
        <v>5395.5</v>
      </c>
      <c r="J1362" s="832">
        <v>8</v>
      </c>
      <c r="K1362" s="833">
        <v>43164</v>
      </c>
    </row>
    <row r="1363" spans="1:11" ht="14.45" customHeight="1" x14ac:dyDescent="0.2">
      <c r="A1363" s="822" t="s">
        <v>575</v>
      </c>
      <c r="B1363" s="823" t="s">
        <v>576</v>
      </c>
      <c r="C1363" s="826" t="s">
        <v>600</v>
      </c>
      <c r="D1363" s="840" t="s">
        <v>601</v>
      </c>
      <c r="E1363" s="826" t="s">
        <v>3264</v>
      </c>
      <c r="F1363" s="840" t="s">
        <v>3265</v>
      </c>
      <c r="G1363" s="826" t="s">
        <v>4715</v>
      </c>
      <c r="H1363" s="826" t="s">
        <v>4719</v>
      </c>
      <c r="I1363" s="832">
        <v>5395.489990234375</v>
      </c>
      <c r="J1363" s="832">
        <v>26</v>
      </c>
      <c r="K1363" s="833">
        <v>140282.62890625</v>
      </c>
    </row>
    <row r="1364" spans="1:11" ht="14.45" customHeight="1" x14ac:dyDescent="0.2">
      <c r="A1364" s="822" t="s">
        <v>575</v>
      </c>
      <c r="B1364" s="823" t="s">
        <v>576</v>
      </c>
      <c r="C1364" s="826" t="s">
        <v>600</v>
      </c>
      <c r="D1364" s="840" t="s">
        <v>601</v>
      </c>
      <c r="E1364" s="826" t="s">
        <v>3264</v>
      </c>
      <c r="F1364" s="840" t="s">
        <v>3265</v>
      </c>
      <c r="G1364" s="826" t="s">
        <v>4715</v>
      </c>
      <c r="H1364" s="826" t="s">
        <v>4720</v>
      </c>
      <c r="I1364" s="832">
        <v>5395.5</v>
      </c>
      <c r="J1364" s="832">
        <v>4</v>
      </c>
      <c r="K1364" s="833">
        <v>21582</v>
      </c>
    </row>
    <row r="1365" spans="1:11" ht="14.45" customHeight="1" x14ac:dyDescent="0.2">
      <c r="A1365" s="822" t="s">
        <v>575</v>
      </c>
      <c r="B1365" s="823" t="s">
        <v>576</v>
      </c>
      <c r="C1365" s="826" t="s">
        <v>600</v>
      </c>
      <c r="D1365" s="840" t="s">
        <v>601</v>
      </c>
      <c r="E1365" s="826" t="s">
        <v>3264</v>
      </c>
      <c r="F1365" s="840" t="s">
        <v>3265</v>
      </c>
      <c r="G1365" s="826" t="s">
        <v>4721</v>
      </c>
      <c r="H1365" s="826" t="s">
        <v>4722</v>
      </c>
      <c r="I1365" s="832">
        <v>564.66998291015625</v>
      </c>
      <c r="J1365" s="832">
        <v>6</v>
      </c>
      <c r="K1365" s="833">
        <v>3388.02001953125</v>
      </c>
    </row>
    <row r="1366" spans="1:11" ht="14.45" customHeight="1" x14ac:dyDescent="0.2">
      <c r="A1366" s="822" t="s">
        <v>575</v>
      </c>
      <c r="B1366" s="823" t="s">
        <v>576</v>
      </c>
      <c r="C1366" s="826" t="s">
        <v>600</v>
      </c>
      <c r="D1366" s="840" t="s">
        <v>601</v>
      </c>
      <c r="E1366" s="826" t="s">
        <v>3264</v>
      </c>
      <c r="F1366" s="840" t="s">
        <v>3265</v>
      </c>
      <c r="G1366" s="826" t="s">
        <v>4721</v>
      </c>
      <c r="H1366" s="826" t="s">
        <v>4723</v>
      </c>
      <c r="I1366" s="832">
        <v>564.66998291015625</v>
      </c>
      <c r="J1366" s="832">
        <v>6</v>
      </c>
      <c r="K1366" s="833">
        <v>3388.02001953125</v>
      </c>
    </row>
    <row r="1367" spans="1:11" ht="14.45" customHeight="1" x14ac:dyDescent="0.2">
      <c r="A1367" s="822" t="s">
        <v>575</v>
      </c>
      <c r="B1367" s="823" t="s">
        <v>576</v>
      </c>
      <c r="C1367" s="826" t="s">
        <v>600</v>
      </c>
      <c r="D1367" s="840" t="s">
        <v>601</v>
      </c>
      <c r="E1367" s="826" t="s">
        <v>3264</v>
      </c>
      <c r="F1367" s="840" t="s">
        <v>3265</v>
      </c>
      <c r="G1367" s="826" t="s">
        <v>4724</v>
      </c>
      <c r="H1367" s="826" t="s">
        <v>4725</v>
      </c>
      <c r="I1367" s="832">
        <v>564.66998291015625</v>
      </c>
      <c r="J1367" s="832">
        <v>6</v>
      </c>
      <c r="K1367" s="833">
        <v>3388.02001953125</v>
      </c>
    </row>
    <row r="1368" spans="1:11" ht="14.45" customHeight="1" x14ac:dyDescent="0.2">
      <c r="A1368" s="822" t="s">
        <v>575</v>
      </c>
      <c r="B1368" s="823" t="s">
        <v>576</v>
      </c>
      <c r="C1368" s="826" t="s">
        <v>600</v>
      </c>
      <c r="D1368" s="840" t="s">
        <v>601</v>
      </c>
      <c r="E1368" s="826" t="s">
        <v>3264</v>
      </c>
      <c r="F1368" s="840" t="s">
        <v>3265</v>
      </c>
      <c r="G1368" s="826" t="s">
        <v>3972</v>
      </c>
      <c r="H1368" s="826" t="s">
        <v>3973</v>
      </c>
      <c r="I1368" s="832">
        <v>61.106667200724281</v>
      </c>
      <c r="J1368" s="832">
        <v>280</v>
      </c>
      <c r="K1368" s="833">
        <v>17110.400146484375</v>
      </c>
    </row>
    <row r="1369" spans="1:11" ht="14.45" customHeight="1" x14ac:dyDescent="0.2">
      <c r="A1369" s="822" t="s">
        <v>575</v>
      </c>
      <c r="B1369" s="823" t="s">
        <v>576</v>
      </c>
      <c r="C1369" s="826" t="s">
        <v>600</v>
      </c>
      <c r="D1369" s="840" t="s">
        <v>601</v>
      </c>
      <c r="E1369" s="826" t="s">
        <v>3264</v>
      </c>
      <c r="F1369" s="840" t="s">
        <v>3265</v>
      </c>
      <c r="G1369" s="826" t="s">
        <v>3972</v>
      </c>
      <c r="H1369" s="826" t="s">
        <v>3974</v>
      </c>
      <c r="I1369" s="832">
        <v>61.485000610351563</v>
      </c>
      <c r="J1369" s="832">
        <v>420</v>
      </c>
      <c r="K1369" s="833">
        <v>25815.599487304688</v>
      </c>
    </row>
    <row r="1370" spans="1:11" ht="14.45" customHeight="1" x14ac:dyDescent="0.2">
      <c r="A1370" s="822" t="s">
        <v>575</v>
      </c>
      <c r="B1370" s="823" t="s">
        <v>576</v>
      </c>
      <c r="C1370" s="826" t="s">
        <v>600</v>
      </c>
      <c r="D1370" s="840" t="s">
        <v>601</v>
      </c>
      <c r="E1370" s="826" t="s">
        <v>3264</v>
      </c>
      <c r="F1370" s="840" t="s">
        <v>3265</v>
      </c>
      <c r="G1370" s="826" t="s">
        <v>3975</v>
      </c>
      <c r="H1370" s="826" t="s">
        <v>3976</v>
      </c>
      <c r="I1370" s="832">
        <v>108.9530029296875</v>
      </c>
      <c r="J1370" s="832">
        <v>300</v>
      </c>
      <c r="K1370" s="833">
        <v>32619.4794921875</v>
      </c>
    </row>
    <row r="1371" spans="1:11" ht="14.45" customHeight="1" x14ac:dyDescent="0.2">
      <c r="A1371" s="822" t="s">
        <v>575</v>
      </c>
      <c r="B1371" s="823" t="s">
        <v>576</v>
      </c>
      <c r="C1371" s="826" t="s">
        <v>600</v>
      </c>
      <c r="D1371" s="840" t="s">
        <v>601</v>
      </c>
      <c r="E1371" s="826" t="s">
        <v>3264</v>
      </c>
      <c r="F1371" s="840" t="s">
        <v>3265</v>
      </c>
      <c r="G1371" s="826" t="s">
        <v>3975</v>
      </c>
      <c r="H1371" s="826" t="s">
        <v>3977</v>
      </c>
      <c r="I1371" s="832">
        <v>108.30000305175781</v>
      </c>
      <c r="J1371" s="832">
        <v>140</v>
      </c>
      <c r="K1371" s="833">
        <v>15161.49951171875</v>
      </c>
    </row>
    <row r="1372" spans="1:11" ht="14.45" customHeight="1" x14ac:dyDescent="0.2">
      <c r="A1372" s="822" t="s">
        <v>575</v>
      </c>
      <c r="B1372" s="823" t="s">
        <v>576</v>
      </c>
      <c r="C1372" s="826" t="s">
        <v>600</v>
      </c>
      <c r="D1372" s="840" t="s">
        <v>601</v>
      </c>
      <c r="E1372" s="826" t="s">
        <v>3264</v>
      </c>
      <c r="F1372" s="840" t="s">
        <v>3265</v>
      </c>
      <c r="G1372" s="826" t="s">
        <v>4726</v>
      </c>
      <c r="H1372" s="826" t="s">
        <v>4727</v>
      </c>
      <c r="I1372" s="832">
        <v>1070.8499755859375</v>
      </c>
      <c r="J1372" s="832">
        <v>50</v>
      </c>
      <c r="K1372" s="833">
        <v>53542.5</v>
      </c>
    </row>
    <row r="1373" spans="1:11" ht="14.45" customHeight="1" x14ac:dyDescent="0.2">
      <c r="A1373" s="822" t="s">
        <v>575</v>
      </c>
      <c r="B1373" s="823" t="s">
        <v>576</v>
      </c>
      <c r="C1373" s="826" t="s">
        <v>600</v>
      </c>
      <c r="D1373" s="840" t="s">
        <v>601</v>
      </c>
      <c r="E1373" s="826" t="s">
        <v>3264</v>
      </c>
      <c r="F1373" s="840" t="s">
        <v>3265</v>
      </c>
      <c r="G1373" s="826" t="s">
        <v>4728</v>
      </c>
      <c r="H1373" s="826" t="s">
        <v>4729</v>
      </c>
      <c r="I1373" s="832">
        <v>1992.2749633789063</v>
      </c>
      <c r="J1373" s="832">
        <v>20</v>
      </c>
      <c r="K1373" s="833">
        <v>39845.529296875</v>
      </c>
    </row>
    <row r="1374" spans="1:11" ht="14.45" customHeight="1" x14ac:dyDescent="0.2">
      <c r="A1374" s="822" t="s">
        <v>575</v>
      </c>
      <c r="B1374" s="823" t="s">
        <v>576</v>
      </c>
      <c r="C1374" s="826" t="s">
        <v>600</v>
      </c>
      <c r="D1374" s="840" t="s">
        <v>601</v>
      </c>
      <c r="E1374" s="826" t="s">
        <v>3264</v>
      </c>
      <c r="F1374" s="840" t="s">
        <v>3265</v>
      </c>
      <c r="G1374" s="826" t="s">
        <v>3404</v>
      </c>
      <c r="H1374" s="826" t="s">
        <v>3405</v>
      </c>
      <c r="I1374" s="832">
        <v>150</v>
      </c>
      <c r="J1374" s="832">
        <v>310</v>
      </c>
      <c r="K1374" s="833">
        <v>46500.9697265625</v>
      </c>
    </row>
    <row r="1375" spans="1:11" ht="14.45" customHeight="1" x14ac:dyDescent="0.2">
      <c r="A1375" s="822" t="s">
        <v>575</v>
      </c>
      <c r="B1375" s="823" t="s">
        <v>576</v>
      </c>
      <c r="C1375" s="826" t="s">
        <v>600</v>
      </c>
      <c r="D1375" s="840" t="s">
        <v>601</v>
      </c>
      <c r="E1375" s="826" t="s">
        <v>3264</v>
      </c>
      <c r="F1375" s="840" t="s">
        <v>3265</v>
      </c>
      <c r="G1375" s="826" t="s">
        <v>4730</v>
      </c>
      <c r="H1375" s="826" t="s">
        <v>4731</v>
      </c>
      <c r="I1375" s="832">
        <v>862.97330729166663</v>
      </c>
      <c r="J1375" s="832">
        <v>60</v>
      </c>
      <c r="K1375" s="833">
        <v>51778.439453125</v>
      </c>
    </row>
    <row r="1376" spans="1:11" ht="14.45" customHeight="1" x14ac:dyDescent="0.2">
      <c r="A1376" s="822" t="s">
        <v>575</v>
      </c>
      <c r="B1376" s="823" t="s">
        <v>576</v>
      </c>
      <c r="C1376" s="826" t="s">
        <v>600</v>
      </c>
      <c r="D1376" s="840" t="s">
        <v>601</v>
      </c>
      <c r="E1376" s="826" t="s">
        <v>3264</v>
      </c>
      <c r="F1376" s="840" t="s">
        <v>3265</v>
      </c>
      <c r="G1376" s="826" t="s">
        <v>4732</v>
      </c>
      <c r="H1376" s="826" t="s">
        <v>4733</v>
      </c>
      <c r="I1376" s="832">
        <v>292.82000732421875</v>
      </c>
      <c r="J1376" s="832">
        <v>40</v>
      </c>
      <c r="K1376" s="833">
        <v>11712.7998046875</v>
      </c>
    </row>
    <row r="1377" spans="1:11" ht="14.45" customHeight="1" x14ac:dyDescent="0.2">
      <c r="A1377" s="822" t="s">
        <v>575</v>
      </c>
      <c r="B1377" s="823" t="s">
        <v>576</v>
      </c>
      <c r="C1377" s="826" t="s">
        <v>600</v>
      </c>
      <c r="D1377" s="840" t="s">
        <v>601</v>
      </c>
      <c r="E1377" s="826" t="s">
        <v>3264</v>
      </c>
      <c r="F1377" s="840" t="s">
        <v>3265</v>
      </c>
      <c r="G1377" s="826" t="s">
        <v>4734</v>
      </c>
      <c r="H1377" s="826" t="s">
        <v>4735</v>
      </c>
      <c r="I1377" s="832">
        <v>520.29998779296875</v>
      </c>
      <c r="J1377" s="832">
        <v>275</v>
      </c>
      <c r="K1377" s="833">
        <v>143082.5</v>
      </c>
    </row>
    <row r="1378" spans="1:11" ht="14.45" customHeight="1" x14ac:dyDescent="0.2">
      <c r="A1378" s="822" t="s">
        <v>575</v>
      </c>
      <c r="B1378" s="823" t="s">
        <v>576</v>
      </c>
      <c r="C1378" s="826" t="s">
        <v>600</v>
      </c>
      <c r="D1378" s="840" t="s">
        <v>601</v>
      </c>
      <c r="E1378" s="826" t="s">
        <v>3264</v>
      </c>
      <c r="F1378" s="840" t="s">
        <v>3265</v>
      </c>
      <c r="G1378" s="826" t="s">
        <v>4734</v>
      </c>
      <c r="H1378" s="826" t="s">
        <v>4736</v>
      </c>
      <c r="I1378" s="832">
        <v>520.29998779296875</v>
      </c>
      <c r="J1378" s="832">
        <v>200</v>
      </c>
      <c r="K1378" s="833">
        <v>104060</v>
      </c>
    </row>
    <row r="1379" spans="1:11" ht="14.45" customHeight="1" x14ac:dyDescent="0.2">
      <c r="A1379" s="822" t="s">
        <v>575</v>
      </c>
      <c r="B1379" s="823" t="s">
        <v>576</v>
      </c>
      <c r="C1379" s="826" t="s">
        <v>600</v>
      </c>
      <c r="D1379" s="840" t="s">
        <v>601</v>
      </c>
      <c r="E1379" s="826" t="s">
        <v>3264</v>
      </c>
      <c r="F1379" s="840" t="s">
        <v>3265</v>
      </c>
      <c r="G1379" s="826" t="s">
        <v>4737</v>
      </c>
      <c r="H1379" s="826" t="s">
        <v>4738</v>
      </c>
      <c r="I1379" s="832">
        <v>1500.4000244140625</v>
      </c>
      <c r="J1379" s="832">
        <v>35</v>
      </c>
      <c r="K1379" s="833">
        <v>52514</v>
      </c>
    </row>
    <row r="1380" spans="1:11" ht="14.45" customHeight="1" x14ac:dyDescent="0.2">
      <c r="A1380" s="822" t="s">
        <v>575</v>
      </c>
      <c r="B1380" s="823" t="s">
        <v>576</v>
      </c>
      <c r="C1380" s="826" t="s">
        <v>600</v>
      </c>
      <c r="D1380" s="840" t="s">
        <v>601</v>
      </c>
      <c r="E1380" s="826" t="s">
        <v>3264</v>
      </c>
      <c r="F1380" s="840" t="s">
        <v>3265</v>
      </c>
      <c r="G1380" s="826" t="s">
        <v>4739</v>
      </c>
      <c r="H1380" s="826" t="s">
        <v>4740</v>
      </c>
      <c r="I1380" s="832">
        <v>7970.150634765625</v>
      </c>
      <c r="J1380" s="832">
        <v>61</v>
      </c>
      <c r="K1380" s="833">
        <v>530001.10712157935</v>
      </c>
    </row>
    <row r="1381" spans="1:11" ht="14.45" customHeight="1" x14ac:dyDescent="0.2">
      <c r="A1381" s="822" t="s">
        <v>575</v>
      </c>
      <c r="B1381" s="823" t="s">
        <v>576</v>
      </c>
      <c r="C1381" s="826" t="s">
        <v>600</v>
      </c>
      <c r="D1381" s="840" t="s">
        <v>601</v>
      </c>
      <c r="E1381" s="826" t="s">
        <v>3264</v>
      </c>
      <c r="F1381" s="840" t="s">
        <v>3265</v>
      </c>
      <c r="G1381" s="826" t="s">
        <v>4741</v>
      </c>
      <c r="H1381" s="826" t="s">
        <v>4742</v>
      </c>
      <c r="I1381" s="832">
        <v>5561.62109375</v>
      </c>
      <c r="J1381" s="832">
        <v>11</v>
      </c>
      <c r="K1381" s="833">
        <v>91852.3115234375</v>
      </c>
    </row>
    <row r="1382" spans="1:11" ht="14.45" customHeight="1" x14ac:dyDescent="0.2">
      <c r="A1382" s="822" t="s">
        <v>575</v>
      </c>
      <c r="B1382" s="823" t="s">
        <v>576</v>
      </c>
      <c r="C1382" s="826" t="s">
        <v>600</v>
      </c>
      <c r="D1382" s="840" t="s">
        <v>601</v>
      </c>
      <c r="E1382" s="826" t="s">
        <v>3264</v>
      </c>
      <c r="F1382" s="840" t="s">
        <v>3265</v>
      </c>
      <c r="G1382" s="826" t="s">
        <v>4711</v>
      </c>
      <c r="H1382" s="826" t="s">
        <v>4743</v>
      </c>
      <c r="I1382" s="832">
        <v>5714.7013811383931</v>
      </c>
      <c r="J1382" s="832">
        <v>12</v>
      </c>
      <c r="K1382" s="833">
        <v>96006.240683615208</v>
      </c>
    </row>
    <row r="1383" spans="1:11" ht="14.45" customHeight="1" x14ac:dyDescent="0.2">
      <c r="A1383" s="822" t="s">
        <v>575</v>
      </c>
      <c r="B1383" s="823" t="s">
        <v>576</v>
      </c>
      <c r="C1383" s="826" t="s">
        <v>600</v>
      </c>
      <c r="D1383" s="840" t="s">
        <v>601</v>
      </c>
      <c r="E1383" s="826" t="s">
        <v>3264</v>
      </c>
      <c r="F1383" s="840" t="s">
        <v>3265</v>
      </c>
      <c r="G1383" s="826" t="s">
        <v>4737</v>
      </c>
      <c r="H1383" s="826" t="s">
        <v>4744</v>
      </c>
      <c r="I1383" s="832">
        <v>1500.4000244140625</v>
      </c>
      <c r="J1383" s="832">
        <v>35</v>
      </c>
      <c r="K1383" s="833">
        <v>52514</v>
      </c>
    </row>
    <row r="1384" spans="1:11" ht="14.45" customHeight="1" x14ac:dyDescent="0.2">
      <c r="A1384" s="822" t="s">
        <v>575</v>
      </c>
      <c r="B1384" s="823" t="s">
        <v>576</v>
      </c>
      <c r="C1384" s="826" t="s">
        <v>600</v>
      </c>
      <c r="D1384" s="840" t="s">
        <v>601</v>
      </c>
      <c r="E1384" s="826" t="s">
        <v>3264</v>
      </c>
      <c r="F1384" s="840" t="s">
        <v>3265</v>
      </c>
      <c r="G1384" s="826" t="s">
        <v>4739</v>
      </c>
      <c r="H1384" s="826" t="s">
        <v>4745</v>
      </c>
      <c r="I1384" s="832">
        <v>5863.9347278225805</v>
      </c>
      <c r="J1384" s="832">
        <v>44</v>
      </c>
      <c r="K1384" s="833">
        <v>377553.38348815963</v>
      </c>
    </row>
    <row r="1385" spans="1:11" ht="14.45" customHeight="1" x14ac:dyDescent="0.2">
      <c r="A1385" s="822" t="s">
        <v>575</v>
      </c>
      <c r="B1385" s="823" t="s">
        <v>576</v>
      </c>
      <c r="C1385" s="826" t="s">
        <v>600</v>
      </c>
      <c r="D1385" s="840" t="s">
        <v>601</v>
      </c>
      <c r="E1385" s="826" t="s">
        <v>3264</v>
      </c>
      <c r="F1385" s="840" t="s">
        <v>3265</v>
      </c>
      <c r="G1385" s="826" t="s">
        <v>4741</v>
      </c>
      <c r="H1385" s="826" t="s">
        <v>4746</v>
      </c>
      <c r="I1385" s="832">
        <v>6115.320638020833</v>
      </c>
      <c r="J1385" s="832">
        <v>14</v>
      </c>
      <c r="K1385" s="833">
        <v>116902.9404296875</v>
      </c>
    </row>
    <row r="1386" spans="1:11" ht="14.45" customHeight="1" x14ac:dyDescent="0.2">
      <c r="A1386" s="822" t="s">
        <v>575</v>
      </c>
      <c r="B1386" s="823" t="s">
        <v>576</v>
      </c>
      <c r="C1386" s="826" t="s">
        <v>600</v>
      </c>
      <c r="D1386" s="840" t="s">
        <v>601</v>
      </c>
      <c r="E1386" s="826" t="s">
        <v>3264</v>
      </c>
      <c r="F1386" s="840" t="s">
        <v>3265</v>
      </c>
      <c r="G1386" s="826" t="s">
        <v>4711</v>
      </c>
      <c r="H1386" s="826" t="s">
        <v>4747</v>
      </c>
      <c r="I1386" s="832">
        <v>4000.4099731445313</v>
      </c>
      <c r="J1386" s="832">
        <v>6</v>
      </c>
      <c r="K1386" s="833">
        <v>48003.119550824165</v>
      </c>
    </row>
    <row r="1387" spans="1:11" ht="14.45" customHeight="1" x14ac:dyDescent="0.2">
      <c r="A1387" s="822" t="s">
        <v>575</v>
      </c>
      <c r="B1387" s="823" t="s">
        <v>576</v>
      </c>
      <c r="C1387" s="826" t="s">
        <v>600</v>
      </c>
      <c r="D1387" s="840" t="s">
        <v>601</v>
      </c>
      <c r="E1387" s="826" t="s">
        <v>3264</v>
      </c>
      <c r="F1387" s="840" t="s">
        <v>3265</v>
      </c>
      <c r="G1387" s="826" t="s">
        <v>4730</v>
      </c>
      <c r="H1387" s="826" t="s">
        <v>4748</v>
      </c>
      <c r="I1387" s="832">
        <v>792.75600585937502</v>
      </c>
      <c r="J1387" s="832">
        <v>40</v>
      </c>
      <c r="K1387" s="833">
        <v>31359</v>
      </c>
    </row>
    <row r="1388" spans="1:11" ht="14.45" customHeight="1" x14ac:dyDescent="0.2">
      <c r="A1388" s="822" t="s">
        <v>575</v>
      </c>
      <c r="B1388" s="823" t="s">
        <v>576</v>
      </c>
      <c r="C1388" s="826" t="s">
        <v>600</v>
      </c>
      <c r="D1388" s="840" t="s">
        <v>601</v>
      </c>
      <c r="E1388" s="826" t="s">
        <v>3264</v>
      </c>
      <c r="F1388" s="840" t="s">
        <v>3265</v>
      </c>
      <c r="G1388" s="826" t="s">
        <v>4732</v>
      </c>
      <c r="H1388" s="826" t="s">
        <v>4749</v>
      </c>
      <c r="I1388" s="832">
        <v>292.82000732421875</v>
      </c>
      <c r="J1388" s="832">
        <v>20</v>
      </c>
      <c r="K1388" s="833">
        <v>5856.39990234375</v>
      </c>
    </row>
    <row r="1389" spans="1:11" ht="14.45" customHeight="1" x14ac:dyDescent="0.2">
      <c r="A1389" s="822" t="s">
        <v>575</v>
      </c>
      <c r="B1389" s="823" t="s">
        <v>576</v>
      </c>
      <c r="C1389" s="826" t="s">
        <v>600</v>
      </c>
      <c r="D1389" s="840" t="s">
        <v>601</v>
      </c>
      <c r="E1389" s="826" t="s">
        <v>3264</v>
      </c>
      <c r="F1389" s="840" t="s">
        <v>3265</v>
      </c>
      <c r="G1389" s="826" t="s">
        <v>3983</v>
      </c>
      <c r="H1389" s="826" t="s">
        <v>3987</v>
      </c>
      <c r="I1389" s="832">
        <v>3862.344970703125</v>
      </c>
      <c r="J1389" s="832">
        <v>12</v>
      </c>
      <c r="K1389" s="833">
        <v>46347.759765625</v>
      </c>
    </row>
    <row r="1390" spans="1:11" ht="14.45" customHeight="1" x14ac:dyDescent="0.2">
      <c r="A1390" s="822" t="s">
        <v>575</v>
      </c>
      <c r="B1390" s="823" t="s">
        <v>576</v>
      </c>
      <c r="C1390" s="826" t="s">
        <v>600</v>
      </c>
      <c r="D1390" s="840" t="s">
        <v>601</v>
      </c>
      <c r="E1390" s="826" t="s">
        <v>3264</v>
      </c>
      <c r="F1390" s="840" t="s">
        <v>3265</v>
      </c>
      <c r="G1390" s="826" t="s">
        <v>4750</v>
      </c>
      <c r="H1390" s="826" t="s">
        <v>4751</v>
      </c>
      <c r="I1390" s="832">
        <v>156.19999694824219</v>
      </c>
      <c r="J1390" s="832">
        <v>300</v>
      </c>
      <c r="K1390" s="833">
        <v>46859.919921875</v>
      </c>
    </row>
    <row r="1391" spans="1:11" ht="14.45" customHeight="1" x14ac:dyDescent="0.2">
      <c r="A1391" s="822" t="s">
        <v>575</v>
      </c>
      <c r="B1391" s="823" t="s">
        <v>576</v>
      </c>
      <c r="C1391" s="826" t="s">
        <v>600</v>
      </c>
      <c r="D1391" s="840" t="s">
        <v>601</v>
      </c>
      <c r="E1391" s="826" t="s">
        <v>3264</v>
      </c>
      <c r="F1391" s="840" t="s">
        <v>3265</v>
      </c>
      <c r="G1391" s="826" t="s">
        <v>4750</v>
      </c>
      <c r="H1391" s="826" t="s">
        <v>4752</v>
      </c>
      <c r="I1391" s="832">
        <v>156.19999694824219</v>
      </c>
      <c r="J1391" s="832">
        <v>400</v>
      </c>
      <c r="K1391" s="833">
        <v>62479.55859375</v>
      </c>
    </row>
    <row r="1392" spans="1:11" ht="14.45" customHeight="1" x14ac:dyDescent="0.2">
      <c r="A1392" s="822" t="s">
        <v>575</v>
      </c>
      <c r="B1392" s="823" t="s">
        <v>576</v>
      </c>
      <c r="C1392" s="826" t="s">
        <v>600</v>
      </c>
      <c r="D1392" s="840" t="s">
        <v>601</v>
      </c>
      <c r="E1392" s="826" t="s">
        <v>3264</v>
      </c>
      <c r="F1392" s="840" t="s">
        <v>3265</v>
      </c>
      <c r="G1392" s="826" t="s">
        <v>4753</v>
      </c>
      <c r="H1392" s="826" t="s">
        <v>4754</v>
      </c>
      <c r="I1392" s="832">
        <v>1540.1655859417385</v>
      </c>
      <c r="J1392" s="832">
        <v>120</v>
      </c>
      <c r="K1392" s="833">
        <v>237605.28085899353</v>
      </c>
    </row>
    <row r="1393" spans="1:11" ht="14.45" customHeight="1" x14ac:dyDescent="0.2">
      <c r="A1393" s="822" t="s">
        <v>575</v>
      </c>
      <c r="B1393" s="823" t="s">
        <v>576</v>
      </c>
      <c r="C1393" s="826" t="s">
        <v>600</v>
      </c>
      <c r="D1393" s="840" t="s">
        <v>601</v>
      </c>
      <c r="E1393" s="826" t="s">
        <v>3264</v>
      </c>
      <c r="F1393" s="840" t="s">
        <v>3265</v>
      </c>
      <c r="G1393" s="826" t="s">
        <v>4753</v>
      </c>
      <c r="H1393" s="826" t="s">
        <v>4755</v>
      </c>
      <c r="I1393" s="832">
        <v>1966.6500244140625</v>
      </c>
      <c r="J1393" s="832">
        <v>105</v>
      </c>
      <c r="K1393" s="833">
        <v>205494.30078125</v>
      </c>
    </row>
    <row r="1394" spans="1:11" ht="14.45" customHeight="1" x14ac:dyDescent="0.2">
      <c r="A1394" s="822" t="s">
        <v>575</v>
      </c>
      <c r="B1394" s="823" t="s">
        <v>576</v>
      </c>
      <c r="C1394" s="826" t="s">
        <v>600</v>
      </c>
      <c r="D1394" s="840" t="s">
        <v>601</v>
      </c>
      <c r="E1394" s="826" t="s">
        <v>3264</v>
      </c>
      <c r="F1394" s="840" t="s">
        <v>3265</v>
      </c>
      <c r="G1394" s="826" t="s">
        <v>4756</v>
      </c>
      <c r="H1394" s="826" t="s">
        <v>4757</v>
      </c>
      <c r="I1394" s="832">
        <v>122562.4375</v>
      </c>
      <c r="J1394" s="832">
        <v>1</v>
      </c>
      <c r="K1394" s="833">
        <v>122562.4375</v>
      </c>
    </row>
    <row r="1395" spans="1:11" ht="14.45" customHeight="1" x14ac:dyDescent="0.2">
      <c r="A1395" s="822" t="s">
        <v>575</v>
      </c>
      <c r="B1395" s="823" t="s">
        <v>576</v>
      </c>
      <c r="C1395" s="826" t="s">
        <v>600</v>
      </c>
      <c r="D1395" s="840" t="s">
        <v>601</v>
      </c>
      <c r="E1395" s="826" t="s">
        <v>3264</v>
      </c>
      <c r="F1395" s="840" t="s">
        <v>3265</v>
      </c>
      <c r="G1395" s="826" t="s">
        <v>4758</v>
      </c>
      <c r="H1395" s="826" t="s">
        <v>4759</v>
      </c>
      <c r="I1395" s="832">
        <v>1974.6199747721355</v>
      </c>
      <c r="J1395" s="832">
        <v>145</v>
      </c>
      <c r="K1395" s="833">
        <v>286319.27734375</v>
      </c>
    </row>
    <row r="1396" spans="1:11" ht="14.45" customHeight="1" x14ac:dyDescent="0.2">
      <c r="A1396" s="822" t="s">
        <v>575</v>
      </c>
      <c r="B1396" s="823" t="s">
        <v>576</v>
      </c>
      <c r="C1396" s="826" t="s">
        <v>600</v>
      </c>
      <c r="D1396" s="840" t="s">
        <v>601</v>
      </c>
      <c r="E1396" s="826" t="s">
        <v>3264</v>
      </c>
      <c r="F1396" s="840" t="s">
        <v>3265</v>
      </c>
      <c r="G1396" s="826" t="s">
        <v>4758</v>
      </c>
      <c r="H1396" s="826" t="s">
        <v>4760</v>
      </c>
      <c r="I1396" s="832">
        <v>1974.719970703125</v>
      </c>
      <c r="J1396" s="832">
        <v>110</v>
      </c>
      <c r="K1396" s="833">
        <v>217219.203125</v>
      </c>
    </row>
    <row r="1397" spans="1:11" ht="14.45" customHeight="1" x14ac:dyDescent="0.2">
      <c r="A1397" s="822" t="s">
        <v>575</v>
      </c>
      <c r="B1397" s="823" t="s">
        <v>576</v>
      </c>
      <c r="C1397" s="826" t="s">
        <v>600</v>
      </c>
      <c r="D1397" s="840" t="s">
        <v>601</v>
      </c>
      <c r="E1397" s="826" t="s">
        <v>3264</v>
      </c>
      <c r="F1397" s="840" t="s">
        <v>3265</v>
      </c>
      <c r="G1397" s="826" t="s">
        <v>4758</v>
      </c>
      <c r="H1397" s="826" t="s">
        <v>4761</v>
      </c>
      <c r="I1397" s="832">
        <v>1974.719970703125</v>
      </c>
      <c r="J1397" s="832">
        <v>135</v>
      </c>
      <c r="K1397" s="833">
        <v>266587.20434570313</v>
      </c>
    </row>
    <row r="1398" spans="1:11" ht="14.45" customHeight="1" x14ac:dyDescent="0.2">
      <c r="A1398" s="822" t="s">
        <v>575</v>
      </c>
      <c r="B1398" s="823" t="s">
        <v>576</v>
      </c>
      <c r="C1398" s="826" t="s">
        <v>600</v>
      </c>
      <c r="D1398" s="840" t="s">
        <v>601</v>
      </c>
      <c r="E1398" s="826" t="s">
        <v>3264</v>
      </c>
      <c r="F1398" s="840" t="s">
        <v>3265</v>
      </c>
      <c r="G1398" s="826" t="s">
        <v>3622</v>
      </c>
      <c r="H1398" s="826" t="s">
        <v>3626</v>
      </c>
      <c r="I1398" s="832">
        <v>66799.8984375</v>
      </c>
      <c r="J1398" s="832">
        <v>10</v>
      </c>
      <c r="K1398" s="833">
        <v>667998.984375</v>
      </c>
    </row>
    <row r="1399" spans="1:11" ht="14.45" customHeight="1" x14ac:dyDescent="0.2">
      <c r="A1399" s="822" t="s">
        <v>575</v>
      </c>
      <c r="B1399" s="823" t="s">
        <v>576</v>
      </c>
      <c r="C1399" s="826" t="s">
        <v>600</v>
      </c>
      <c r="D1399" s="840" t="s">
        <v>601</v>
      </c>
      <c r="E1399" s="826" t="s">
        <v>3264</v>
      </c>
      <c r="F1399" s="840" t="s">
        <v>3265</v>
      </c>
      <c r="G1399" s="826" t="s">
        <v>3624</v>
      </c>
      <c r="H1399" s="826" t="s">
        <v>3627</v>
      </c>
      <c r="I1399" s="832">
        <v>66799.8984375</v>
      </c>
      <c r="J1399" s="832">
        <v>2</v>
      </c>
      <c r="K1399" s="833">
        <v>133599.796875</v>
      </c>
    </row>
    <row r="1400" spans="1:11" ht="14.45" customHeight="1" x14ac:dyDescent="0.2">
      <c r="A1400" s="822" t="s">
        <v>575</v>
      </c>
      <c r="B1400" s="823" t="s">
        <v>576</v>
      </c>
      <c r="C1400" s="826" t="s">
        <v>600</v>
      </c>
      <c r="D1400" s="840" t="s">
        <v>601</v>
      </c>
      <c r="E1400" s="826" t="s">
        <v>3264</v>
      </c>
      <c r="F1400" s="840" t="s">
        <v>3265</v>
      </c>
      <c r="G1400" s="826" t="s">
        <v>4762</v>
      </c>
      <c r="H1400" s="826" t="s">
        <v>4763</v>
      </c>
      <c r="I1400" s="832">
        <v>439.95999145507813</v>
      </c>
      <c r="J1400" s="832">
        <v>10</v>
      </c>
      <c r="K1400" s="833">
        <v>4399.56005859375</v>
      </c>
    </row>
    <row r="1401" spans="1:11" ht="14.45" customHeight="1" x14ac:dyDescent="0.2">
      <c r="A1401" s="822" t="s">
        <v>575</v>
      </c>
      <c r="B1401" s="823" t="s">
        <v>576</v>
      </c>
      <c r="C1401" s="826" t="s">
        <v>600</v>
      </c>
      <c r="D1401" s="840" t="s">
        <v>601</v>
      </c>
      <c r="E1401" s="826" t="s">
        <v>3264</v>
      </c>
      <c r="F1401" s="840" t="s">
        <v>3265</v>
      </c>
      <c r="G1401" s="826" t="s">
        <v>4762</v>
      </c>
      <c r="H1401" s="826" t="s">
        <v>4764</v>
      </c>
      <c r="I1401" s="832">
        <v>439.95999145507813</v>
      </c>
      <c r="J1401" s="832">
        <v>10</v>
      </c>
      <c r="K1401" s="833">
        <v>4399.56005859375</v>
      </c>
    </row>
    <row r="1402" spans="1:11" ht="14.45" customHeight="1" x14ac:dyDescent="0.2">
      <c r="A1402" s="822" t="s">
        <v>575</v>
      </c>
      <c r="B1402" s="823" t="s">
        <v>576</v>
      </c>
      <c r="C1402" s="826" t="s">
        <v>600</v>
      </c>
      <c r="D1402" s="840" t="s">
        <v>601</v>
      </c>
      <c r="E1402" s="826" t="s">
        <v>3264</v>
      </c>
      <c r="F1402" s="840" t="s">
        <v>3265</v>
      </c>
      <c r="G1402" s="826" t="s">
        <v>4765</v>
      </c>
      <c r="H1402" s="826" t="s">
        <v>4766</v>
      </c>
      <c r="I1402" s="832">
        <v>3308.77001953125</v>
      </c>
      <c r="J1402" s="832">
        <v>5</v>
      </c>
      <c r="K1402" s="833">
        <v>16543.869140625</v>
      </c>
    </row>
    <row r="1403" spans="1:11" ht="14.45" customHeight="1" x14ac:dyDescent="0.2">
      <c r="A1403" s="822" t="s">
        <v>575</v>
      </c>
      <c r="B1403" s="823" t="s">
        <v>576</v>
      </c>
      <c r="C1403" s="826" t="s">
        <v>600</v>
      </c>
      <c r="D1403" s="840" t="s">
        <v>601</v>
      </c>
      <c r="E1403" s="826" t="s">
        <v>3264</v>
      </c>
      <c r="F1403" s="840" t="s">
        <v>3265</v>
      </c>
      <c r="G1403" s="826" t="s">
        <v>4767</v>
      </c>
      <c r="H1403" s="826" t="s">
        <v>4768</v>
      </c>
      <c r="I1403" s="832">
        <v>3428.81005859375</v>
      </c>
      <c r="J1403" s="832">
        <v>5</v>
      </c>
      <c r="K1403" s="833">
        <v>17144.0703125</v>
      </c>
    </row>
    <row r="1404" spans="1:11" ht="14.45" customHeight="1" x14ac:dyDescent="0.2">
      <c r="A1404" s="822" t="s">
        <v>575</v>
      </c>
      <c r="B1404" s="823" t="s">
        <v>576</v>
      </c>
      <c r="C1404" s="826" t="s">
        <v>600</v>
      </c>
      <c r="D1404" s="840" t="s">
        <v>601</v>
      </c>
      <c r="E1404" s="826" t="s">
        <v>3264</v>
      </c>
      <c r="F1404" s="840" t="s">
        <v>3265</v>
      </c>
      <c r="G1404" s="826" t="s">
        <v>4765</v>
      </c>
      <c r="H1404" s="826" t="s">
        <v>4769</v>
      </c>
      <c r="I1404" s="832">
        <v>3308.77001953125</v>
      </c>
      <c r="J1404" s="832">
        <v>10</v>
      </c>
      <c r="K1404" s="833">
        <v>33087.71875</v>
      </c>
    </row>
    <row r="1405" spans="1:11" ht="14.45" customHeight="1" x14ac:dyDescent="0.2">
      <c r="A1405" s="822" t="s">
        <v>575</v>
      </c>
      <c r="B1405" s="823" t="s">
        <v>576</v>
      </c>
      <c r="C1405" s="826" t="s">
        <v>600</v>
      </c>
      <c r="D1405" s="840" t="s">
        <v>601</v>
      </c>
      <c r="E1405" s="826" t="s">
        <v>3264</v>
      </c>
      <c r="F1405" s="840" t="s">
        <v>3265</v>
      </c>
      <c r="G1405" s="826" t="s">
        <v>4767</v>
      </c>
      <c r="H1405" s="826" t="s">
        <v>4770</v>
      </c>
      <c r="I1405" s="832">
        <v>3428.81005859375</v>
      </c>
      <c r="J1405" s="832">
        <v>5</v>
      </c>
      <c r="K1405" s="833">
        <v>17144.0703125</v>
      </c>
    </row>
    <row r="1406" spans="1:11" ht="14.45" customHeight="1" x14ac:dyDescent="0.2">
      <c r="A1406" s="822" t="s">
        <v>575</v>
      </c>
      <c r="B1406" s="823" t="s">
        <v>576</v>
      </c>
      <c r="C1406" s="826" t="s">
        <v>600</v>
      </c>
      <c r="D1406" s="840" t="s">
        <v>601</v>
      </c>
      <c r="E1406" s="826" t="s">
        <v>3264</v>
      </c>
      <c r="F1406" s="840" t="s">
        <v>3265</v>
      </c>
      <c r="G1406" s="826" t="s">
        <v>4771</v>
      </c>
      <c r="H1406" s="826" t="s">
        <v>4772</v>
      </c>
      <c r="I1406" s="832">
        <v>83864.953125</v>
      </c>
      <c r="J1406" s="832">
        <v>1</v>
      </c>
      <c r="K1406" s="833">
        <v>83864.953125</v>
      </c>
    </row>
    <row r="1407" spans="1:11" ht="14.45" customHeight="1" x14ac:dyDescent="0.2">
      <c r="A1407" s="822" t="s">
        <v>575</v>
      </c>
      <c r="B1407" s="823" t="s">
        <v>576</v>
      </c>
      <c r="C1407" s="826" t="s">
        <v>600</v>
      </c>
      <c r="D1407" s="840" t="s">
        <v>601</v>
      </c>
      <c r="E1407" s="826" t="s">
        <v>3264</v>
      </c>
      <c r="F1407" s="840" t="s">
        <v>3265</v>
      </c>
      <c r="G1407" s="826" t="s">
        <v>4773</v>
      </c>
      <c r="H1407" s="826" t="s">
        <v>4774</v>
      </c>
      <c r="I1407" s="832">
        <v>30250</v>
      </c>
      <c r="J1407" s="832">
        <v>25</v>
      </c>
      <c r="K1407" s="833">
        <v>756250</v>
      </c>
    </row>
    <row r="1408" spans="1:11" ht="14.45" customHeight="1" x14ac:dyDescent="0.2">
      <c r="A1408" s="822" t="s">
        <v>575</v>
      </c>
      <c r="B1408" s="823" t="s">
        <v>576</v>
      </c>
      <c r="C1408" s="826" t="s">
        <v>600</v>
      </c>
      <c r="D1408" s="840" t="s">
        <v>601</v>
      </c>
      <c r="E1408" s="826" t="s">
        <v>3264</v>
      </c>
      <c r="F1408" s="840" t="s">
        <v>3265</v>
      </c>
      <c r="G1408" s="826" t="s">
        <v>4775</v>
      </c>
      <c r="H1408" s="826" t="s">
        <v>4776</v>
      </c>
      <c r="I1408" s="832">
        <v>32650</v>
      </c>
      <c r="J1408" s="832">
        <v>13</v>
      </c>
      <c r="K1408" s="833">
        <v>424450</v>
      </c>
    </row>
    <row r="1409" spans="1:11" ht="14.45" customHeight="1" x14ac:dyDescent="0.2">
      <c r="A1409" s="822" t="s">
        <v>575</v>
      </c>
      <c r="B1409" s="823" t="s">
        <v>576</v>
      </c>
      <c r="C1409" s="826" t="s">
        <v>600</v>
      </c>
      <c r="D1409" s="840" t="s">
        <v>601</v>
      </c>
      <c r="E1409" s="826" t="s">
        <v>3264</v>
      </c>
      <c r="F1409" s="840" t="s">
        <v>3265</v>
      </c>
      <c r="G1409" s="826" t="s">
        <v>4777</v>
      </c>
      <c r="H1409" s="826" t="s">
        <v>4778</v>
      </c>
      <c r="I1409" s="832">
        <v>32650</v>
      </c>
      <c r="J1409" s="832">
        <v>2</v>
      </c>
      <c r="K1409" s="833">
        <v>65300</v>
      </c>
    </row>
    <row r="1410" spans="1:11" ht="14.45" customHeight="1" x14ac:dyDescent="0.2">
      <c r="A1410" s="822" t="s">
        <v>575</v>
      </c>
      <c r="B1410" s="823" t="s">
        <v>576</v>
      </c>
      <c r="C1410" s="826" t="s">
        <v>600</v>
      </c>
      <c r="D1410" s="840" t="s">
        <v>601</v>
      </c>
      <c r="E1410" s="826" t="s">
        <v>3264</v>
      </c>
      <c r="F1410" s="840" t="s">
        <v>3265</v>
      </c>
      <c r="G1410" s="826" t="s">
        <v>4779</v>
      </c>
      <c r="H1410" s="826" t="s">
        <v>4780</v>
      </c>
      <c r="I1410" s="832">
        <v>64.129997253417969</v>
      </c>
      <c r="J1410" s="832">
        <v>50</v>
      </c>
      <c r="K1410" s="833">
        <v>3206.5</v>
      </c>
    </row>
    <row r="1411" spans="1:11" ht="14.45" customHeight="1" x14ac:dyDescent="0.2">
      <c r="A1411" s="822" t="s">
        <v>575</v>
      </c>
      <c r="B1411" s="823" t="s">
        <v>576</v>
      </c>
      <c r="C1411" s="826" t="s">
        <v>600</v>
      </c>
      <c r="D1411" s="840" t="s">
        <v>601</v>
      </c>
      <c r="E1411" s="826" t="s">
        <v>3264</v>
      </c>
      <c r="F1411" s="840" t="s">
        <v>3265</v>
      </c>
      <c r="G1411" s="826" t="s">
        <v>4781</v>
      </c>
      <c r="H1411" s="826" t="s">
        <v>4782</v>
      </c>
      <c r="I1411" s="832">
        <v>64.129997253417969</v>
      </c>
      <c r="J1411" s="832">
        <v>25</v>
      </c>
      <c r="K1411" s="833">
        <v>1603.25</v>
      </c>
    </row>
    <row r="1412" spans="1:11" ht="14.45" customHeight="1" x14ac:dyDescent="0.2">
      <c r="A1412" s="822" t="s">
        <v>575</v>
      </c>
      <c r="B1412" s="823" t="s">
        <v>576</v>
      </c>
      <c r="C1412" s="826" t="s">
        <v>600</v>
      </c>
      <c r="D1412" s="840" t="s">
        <v>601</v>
      </c>
      <c r="E1412" s="826" t="s">
        <v>3264</v>
      </c>
      <c r="F1412" s="840" t="s">
        <v>3265</v>
      </c>
      <c r="G1412" s="826" t="s">
        <v>4783</v>
      </c>
      <c r="H1412" s="826" t="s">
        <v>4784</v>
      </c>
      <c r="I1412" s="832">
        <v>78.650001525878906</v>
      </c>
      <c r="J1412" s="832">
        <v>50</v>
      </c>
      <c r="K1412" s="833">
        <v>3932.5</v>
      </c>
    </row>
    <row r="1413" spans="1:11" ht="14.45" customHeight="1" x14ac:dyDescent="0.2">
      <c r="A1413" s="822" t="s">
        <v>575</v>
      </c>
      <c r="B1413" s="823" t="s">
        <v>576</v>
      </c>
      <c r="C1413" s="826" t="s">
        <v>600</v>
      </c>
      <c r="D1413" s="840" t="s">
        <v>601</v>
      </c>
      <c r="E1413" s="826" t="s">
        <v>3264</v>
      </c>
      <c r="F1413" s="840" t="s">
        <v>3265</v>
      </c>
      <c r="G1413" s="826" t="s">
        <v>4785</v>
      </c>
      <c r="H1413" s="826" t="s">
        <v>4786</v>
      </c>
      <c r="I1413" s="832">
        <v>59.289999008178711</v>
      </c>
      <c r="J1413" s="832">
        <v>50</v>
      </c>
      <c r="K1413" s="833">
        <v>2964.5</v>
      </c>
    </row>
    <row r="1414" spans="1:11" ht="14.45" customHeight="1" x14ac:dyDescent="0.2">
      <c r="A1414" s="822" t="s">
        <v>575</v>
      </c>
      <c r="B1414" s="823" t="s">
        <v>576</v>
      </c>
      <c r="C1414" s="826" t="s">
        <v>600</v>
      </c>
      <c r="D1414" s="840" t="s">
        <v>601</v>
      </c>
      <c r="E1414" s="826" t="s">
        <v>3264</v>
      </c>
      <c r="F1414" s="840" t="s">
        <v>3265</v>
      </c>
      <c r="G1414" s="826" t="s">
        <v>4785</v>
      </c>
      <c r="H1414" s="826" t="s">
        <v>4787</v>
      </c>
      <c r="I1414" s="832">
        <v>64.129997253417969</v>
      </c>
      <c r="J1414" s="832">
        <v>50</v>
      </c>
      <c r="K1414" s="833">
        <v>3206.5</v>
      </c>
    </row>
    <row r="1415" spans="1:11" ht="14.45" customHeight="1" x14ac:dyDescent="0.2">
      <c r="A1415" s="822" t="s">
        <v>575</v>
      </c>
      <c r="B1415" s="823" t="s">
        <v>576</v>
      </c>
      <c r="C1415" s="826" t="s">
        <v>600</v>
      </c>
      <c r="D1415" s="840" t="s">
        <v>601</v>
      </c>
      <c r="E1415" s="826" t="s">
        <v>3264</v>
      </c>
      <c r="F1415" s="840" t="s">
        <v>3265</v>
      </c>
      <c r="G1415" s="826" t="s">
        <v>4788</v>
      </c>
      <c r="H1415" s="826" t="s">
        <v>4789</v>
      </c>
      <c r="I1415" s="832">
        <v>156.76333618164063</v>
      </c>
      <c r="J1415" s="832">
        <v>70</v>
      </c>
      <c r="K1415" s="833">
        <v>10973.35009765625</v>
      </c>
    </row>
    <row r="1416" spans="1:11" ht="14.45" customHeight="1" x14ac:dyDescent="0.2">
      <c r="A1416" s="822" t="s">
        <v>575</v>
      </c>
      <c r="B1416" s="823" t="s">
        <v>576</v>
      </c>
      <c r="C1416" s="826" t="s">
        <v>600</v>
      </c>
      <c r="D1416" s="840" t="s">
        <v>601</v>
      </c>
      <c r="E1416" s="826" t="s">
        <v>3264</v>
      </c>
      <c r="F1416" s="840" t="s">
        <v>3265</v>
      </c>
      <c r="G1416" s="826" t="s">
        <v>4790</v>
      </c>
      <c r="H1416" s="826" t="s">
        <v>4791</v>
      </c>
      <c r="I1416" s="832">
        <v>6.0500001907348633</v>
      </c>
      <c r="J1416" s="832">
        <v>140</v>
      </c>
      <c r="K1416" s="833">
        <v>847</v>
      </c>
    </row>
    <row r="1417" spans="1:11" ht="14.45" customHeight="1" x14ac:dyDescent="0.2">
      <c r="A1417" s="822" t="s">
        <v>575</v>
      </c>
      <c r="B1417" s="823" t="s">
        <v>576</v>
      </c>
      <c r="C1417" s="826" t="s">
        <v>600</v>
      </c>
      <c r="D1417" s="840" t="s">
        <v>601</v>
      </c>
      <c r="E1417" s="826" t="s">
        <v>3264</v>
      </c>
      <c r="F1417" s="840" t="s">
        <v>3265</v>
      </c>
      <c r="G1417" s="826" t="s">
        <v>4790</v>
      </c>
      <c r="H1417" s="826" t="s">
        <v>4792</v>
      </c>
      <c r="I1417" s="832">
        <v>6.0500001907348633</v>
      </c>
      <c r="J1417" s="832">
        <v>80</v>
      </c>
      <c r="K1417" s="833">
        <v>484</v>
      </c>
    </row>
    <row r="1418" spans="1:11" ht="14.45" customHeight="1" x14ac:dyDescent="0.2">
      <c r="A1418" s="822" t="s">
        <v>575</v>
      </c>
      <c r="B1418" s="823" t="s">
        <v>576</v>
      </c>
      <c r="C1418" s="826" t="s">
        <v>600</v>
      </c>
      <c r="D1418" s="840" t="s">
        <v>601</v>
      </c>
      <c r="E1418" s="826" t="s">
        <v>3264</v>
      </c>
      <c r="F1418" s="840" t="s">
        <v>3265</v>
      </c>
      <c r="G1418" s="826" t="s">
        <v>4793</v>
      </c>
      <c r="H1418" s="826" t="s">
        <v>4794</v>
      </c>
      <c r="I1418" s="832">
        <v>64.129997253417969</v>
      </c>
      <c r="J1418" s="832">
        <v>50</v>
      </c>
      <c r="K1418" s="833">
        <v>3206.5</v>
      </c>
    </row>
    <row r="1419" spans="1:11" ht="14.45" customHeight="1" x14ac:dyDescent="0.2">
      <c r="A1419" s="822" t="s">
        <v>575</v>
      </c>
      <c r="B1419" s="823" t="s">
        <v>576</v>
      </c>
      <c r="C1419" s="826" t="s">
        <v>600</v>
      </c>
      <c r="D1419" s="840" t="s">
        <v>601</v>
      </c>
      <c r="E1419" s="826" t="s">
        <v>3264</v>
      </c>
      <c r="F1419" s="840" t="s">
        <v>3265</v>
      </c>
      <c r="G1419" s="826" t="s">
        <v>4795</v>
      </c>
      <c r="H1419" s="826" t="s">
        <v>4796</v>
      </c>
      <c r="I1419" s="832">
        <v>771.88428013665339</v>
      </c>
      <c r="J1419" s="832">
        <v>73</v>
      </c>
      <c r="K1419" s="833">
        <v>65731.639350891113</v>
      </c>
    </row>
    <row r="1420" spans="1:11" ht="14.45" customHeight="1" x14ac:dyDescent="0.2">
      <c r="A1420" s="822" t="s">
        <v>575</v>
      </c>
      <c r="B1420" s="823" t="s">
        <v>576</v>
      </c>
      <c r="C1420" s="826" t="s">
        <v>600</v>
      </c>
      <c r="D1420" s="840" t="s">
        <v>601</v>
      </c>
      <c r="E1420" s="826" t="s">
        <v>3264</v>
      </c>
      <c r="F1420" s="840" t="s">
        <v>3265</v>
      </c>
      <c r="G1420" s="826" t="s">
        <v>4797</v>
      </c>
      <c r="H1420" s="826" t="s">
        <v>4798</v>
      </c>
      <c r="I1420" s="832">
        <v>9.5</v>
      </c>
      <c r="J1420" s="832">
        <v>320</v>
      </c>
      <c r="K1420" s="833">
        <v>3039.8600463867188</v>
      </c>
    </row>
    <row r="1421" spans="1:11" ht="14.45" customHeight="1" x14ac:dyDescent="0.2">
      <c r="A1421" s="822" t="s">
        <v>575</v>
      </c>
      <c r="B1421" s="823" t="s">
        <v>576</v>
      </c>
      <c r="C1421" s="826" t="s">
        <v>600</v>
      </c>
      <c r="D1421" s="840" t="s">
        <v>601</v>
      </c>
      <c r="E1421" s="826" t="s">
        <v>3264</v>
      </c>
      <c r="F1421" s="840" t="s">
        <v>3265</v>
      </c>
      <c r="G1421" s="826" t="s">
        <v>4797</v>
      </c>
      <c r="H1421" s="826" t="s">
        <v>4799</v>
      </c>
      <c r="I1421" s="832">
        <v>9.5</v>
      </c>
      <c r="J1421" s="832">
        <v>520</v>
      </c>
      <c r="K1421" s="833">
        <v>4939.8999633789063</v>
      </c>
    </row>
    <row r="1422" spans="1:11" ht="14.45" customHeight="1" x14ac:dyDescent="0.2">
      <c r="A1422" s="822" t="s">
        <v>575</v>
      </c>
      <c r="B1422" s="823" t="s">
        <v>576</v>
      </c>
      <c r="C1422" s="826" t="s">
        <v>600</v>
      </c>
      <c r="D1422" s="840" t="s">
        <v>601</v>
      </c>
      <c r="E1422" s="826" t="s">
        <v>3264</v>
      </c>
      <c r="F1422" s="840" t="s">
        <v>3265</v>
      </c>
      <c r="G1422" s="826" t="s">
        <v>4800</v>
      </c>
      <c r="H1422" s="826" t="s">
        <v>4801</v>
      </c>
      <c r="I1422" s="832">
        <v>78.650001525878906</v>
      </c>
      <c r="J1422" s="832">
        <v>50</v>
      </c>
      <c r="K1422" s="833">
        <v>3932.5</v>
      </c>
    </row>
    <row r="1423" spans="1:11" ht="14.45" customHeight="1" x14ac:dyDescent="0.2">
      <c r="A1423" s="822" t="s">
        <v>575</v>
      </c>
      <c r="B1423" s="823" t="s">
        <v>576</v>
      </c>
      <c r="C1423" s="826" t="s">
        <v>600</v>
      </c>
      <c r="D1423" s="840" t="s">
        <v>601</v>
      </c>
      <c r="E1423" s="826" t="s">
        <v>3264</v>
      </c>
      <c r="F1423" s="840" t="s">
        <v>3265</v>
      </c>
      <c r="G1423" s="826" t="s">
        <v>4800</v>
      </c>
      <c r="H1423" s="826" t="s">
        <v>4802</v>
      </c>
      <c r="I1423" s="832">
        <v>78.650001525878906</v>
      </c>
      <c r="J1423" s="832">
        <v>50</v>
      </c>
      <c r="K1423" s="833">
        <v>3932.5</v>
      </c>
    </row>
    <row r="1424" spans="1:11" ht="14.45" customHeight="1" x14ac:dyDescent="0.2">
      <c r="A1424" s="822" t="s">
        <v>575</v>
      </c>
      <c r="B1424" s="823" t="s">
        <v>576</v>
      </c>
      <c r="C1424" s="826" t="s">
        <v>600</v>
      </c>
      <c r="D1424" s="840" t="s">
        <v>601</v>
      </c>
      <c r="E1424" s="826" t="s">
        <v>3264</v>
      </c>
      <c r="F1424" s="840" t="s">
        <v>3265</v>
      </c>
      <c r="G1424" s="826" t="s">
        <v>4803</v>
      </c>
      <c r="H1424" s="826" t="s">
        <v>4804</v>
      </c>
      <c r="I1424" s="832">
        <v>111.57333374023438</v>
      </c>
      <c r="J1424" s="832">
        <v>258</v>
      </c>
      <c r="K1424" s="833">
        <v>28786.89990234375</v>
      </c>
    </row>
    <row r="1425" spans="1:11" ht="14.45" customHeight="1" x14ac:dyDescent="0.2">
      <c r="A1425" s="822" t="s">
        <v>575</v>
      </c>
      <c r="B1425" s="823" t="s">
        <v>576</v>
      </c>
      <c r="C1425" s="826" t="s">
        <v>600</v>
      </c>
      <c r="D1425" s="840" t="s">
        <v>601</v>
      </c>
      <c r="E1425" s="826" t="s">
        <v>3264</v>
      </c>
      <c r="F1425" s="840" t="s">
        <v>3265</v>
      </c>
      <c r="G1425" s="826" t="s">
        <v>4803</v>
      </c>
      <c r="H1425" s="826" t="s">
        <v>4805</v>
      </c>
      <c r="I1425" s="832">
        <v>111.56999969482422</v>
      </c>
      <c r="J1425" s="832">
        <v>222</v>
      </c>
      <c r="K1425" s="833">
        <v>24769.434814453125</v>
      </c>
    </row>
    <row r="1426" spans="1:11" ht="14.45" customHeight="1" x14ac:dyDescent="0.2">
      <c r="A1426" s="822" t="s">
        <v>575</v>
      </c>
      <c r="B1426" s="823" t="s">
        <v>576</v>
      </c>
      <c r="C1426" s="826" t="s">
        <v>600</v>
      </c>
      <c r="D1426" s="840" t="s">
        <v>601</v>
      </c>
      <c r="E1426" s="826" t="s">
        <v>3264</v>
      </c>
      <c r="F1426" s="840" t="s">
        <v>3265</v>
      </c>
      <c r="G1426" s="826" t="s">
        <v>3417</v>
      </c>
      <c r="H1426" s="826" t="s">
        <v>3418</v>
      </c>
      <c r="I1426" s="832">
        <v>0.8216666579246521</v>
      </c>
      <c r="J1426" s="832">
        <v>2800</v>
      </c>
      <c r="K1426" s="833">
        <v>2299</v>
      </c>
    </row>
    <row r="1427" spans="1:11" ht="14.45" customHeight="1" x14ac:dyDescent="0.2">
      <c r="A1427" s="822" t="s">
        <v>575</v>
      </c>
      <c r="B1427" s="823" t="s">
        <v>576</v>
      </c>
      <c r="C1427" s="826" t="s">
        <v>600</v>
      </c>
      <c r="D1427" s="840" t="s">
        <v>601</v>
      </c>
      <c r="E1427" s="826" t="s">
        <v>3264</v>
      </c>
      <c r="F1427" s="840" t="s">
        <v>3265</v>
      </c>
      <c r="G1427" s="826" t="s">
        <v>3419</v>
      </c>
      <c r="H1427" s="826" t="s">
        <v>3420</v>
      </c>
      <c r="I1427" s="832">
        <v>1.0900000333786011</v>
      </c>
      <c r="J1427" s="832">
        <v>1200</v>
      </c>
      <c r="K1427" s="833">
        <v>1308</v>
      </c>
    </row>
    <row r="1428" spans="1:11" ht="14.45" customHeight="1" x14ac:dyDescent="0.2">
      <c r="A1428" s="822" t="s">
        <v>575</v>
      </c>
      <c r="B1428" s="823" t="s">
        <v>576</v>
      </c>
      <c r="C1428" s="826" t="s">
        <v>600</v>
      </c>
      <c r="D1428" s="840" t="s">
        <v>601</v>
      </c>
      <c r="E1428" s="826" t="s">
        <v>3264</v>
      </c>
      <c r="F1428" s="840" t="s">
        <v>3265</v>
      </c>
      <c r="G1428" s="826" t="s">
        <v>3419</v>
      </c>
      <c r="H1428" s="826" t="s">
        <v>4051</v>
      </c>
      <c r="I1428" s="832">
        <v>1.0900000333786011</v>
      </c>
      <c r="J1428" s="832">
        <v>400</v>
      </c>
      <c r="K1428" s="833">
        <v>436</v>
      </c>
    </row>
    <row r="1429" spans="1:11" ht="14.45" customHeight="1" x14ac:dyDescent="0.2">
      <c r="A1429" s="822" t="s">
        <v>575</v>
      </c>
      <c r="B1429" s="823" t="s">
        <v>576</v>
      </c>
      <c r="C1429" s="826" t="s">
        <v>600</v>
      </c>
      <c r="D1429" s="840" t="s">
        <v>601</v>
      </c>
      <c r="E1429" s="826" t="s">
        <v>3264</v>
      </c>
      <c r="F1429" s="840" t="s">
        <v>3265</v>
      </c>
      <c r="G1429" s="826" t="s">
        <v>3423</v>
      </c>
      <c r="H1429" s="826" t="s">
        <v>3424</v>
      </c>
      <c r="I1429" s="832">
        <v>0.43714285748345511</v>
      </c>
      <c r="J1429" s="832">
        <v>3300</v>
      </c>
      <c r="K1429" s="833">
        <v>1445</v>
      </c>
    </row>
    <row r="1430" spans="1:11" ht="14.45" customHeight="1" x14ac:dyDescent="0.2">
      <c r="A1430" s="822" t="s">
        <v>575</v>
      </c>
      <c r="B1430" s="823" t="s">
        <v>576</v>
      </c>
      <c r="C1430" s="826" t="s">
        <v>600</v>
      </c>
      <c r="D1430" s="840" t="s">
        <v>601</v>
      </c>
      <c r="E1430" s="826" t="s">
        <v>3264</v>
      </c>
      <c r="F1430" s="840" t="s">
        <v>3265</v>
      </c>
      <c r="G1430" s="826" t="s">
        <v>3425</v>
      </c>
      <c r="H1430" s="826" t="s">
        <v>4052</v>
      </c>
      <c r="I1430" s="832">
        <v>0.47999998927116394</v>
      </c>
      <c r="J1430" s="832">
        <v>400</v>
      </c>
      <c r="K1430" s="833">
        <v>192</v>
      </c>
    </row>
    <row r="1431" spans="1:11" ht="14.45" customHeight="1" x14ac:dyDescent="0.2">
      <c r="A1431" s="822" t="s">
        <v>575</v>
      </c>
      <c r="B1431" s="823" t="s">
        <v>576</v>
      </c>
      <c r="C1431" s="826" t="s">
        <v>600</v>
      </c>
      <c r="D1431" s="840" t="s">
        <v>601</v>
      </c>
      <c r="E1431" s="826" t="s">
        <v>3264</v>
      </c>
      <c r="F1431" s="840" t="s">
        <v>3265</v>
      </c>
      <c r="G1431" s="826" t="s">
        <v>3425</v>
      </c>
      <c r="H1431" s="826" t="s">
        <v>3426</v>
      </c>
      <c r="I1431" s="832">
        <v>0.47999998927116394</v>
      </c>
      <c r="J1431" s="832">
        <v>700</v>
      </c>
      <c r="K1431" s="833">
        <v>336</v>
      </c>
    </row>
    <row r="1432" spans="1:11" ht="14.45" customHeight="1" x14ac:dyDescent="0.2">
      <c r="A1432" s="822" t="s">
        <v>575</v>
      </c>
      <c r="B1432" s="823" t="s">
        <v>576</v>
      </c>
      <c r="C1432" s="826" t="s">
        <v>600</v>
      </c>
      <c r="D1432" s="840" t="s">
        <v>601</v>
      </c>
      <c r="E1432" s="826" t="s">
        <v>3264</v>
      </c>
      <c r="F1432" s="840" t="s">
        <v>3265</v>
      </c>
      <c r="G1432" s="826" t="s">
        <v>3425</v>
      </c>
      <c r="H1432" s="826" t="s">
        <v>3427</v>
      </c>
      <c r="I1432" s="832">
        <v>0.4699999988079071</v>
      </c>
      <c r="J1432" s="832">
        <v>600</v>
      </c>
      <c r="K1432" s="833">
        <v>282</v>
      </c>
    </row>
    <row r="1433" spans="1:11" ht="14.45" customHeight="1" x14ac:dyDescent="0.2">
      <c r="A1433" s="822" t="s">
        <v>575</v>
      </c>
      <c r="B1433" s="823" t="s">
        <v>576</v>
      </c>
      <c r="C1433" s="826" t="s">
        <v>600</v>
      </c>
      <c r="D1433" s="840" t="s">
        <v>601</v>
      </c>
      <c r="E1433" s="826" t="s">
        <v>3264</v>
      </c>
      <c r="F1433" s="840" t="s">
        <v>3265</v>
      </c>
      <c r="G1433" s="826" t="s">
        <v>3428</v>
      </c>
      <c r="H1433" s="826" t="s">
        <v>3429</v>
      </c>
      <c r="I1433" s="832">
        <v>1.1349999904632568</v>
      </c>
      <c r="J1433" s="832">
        <v>1360</v>
      </c>
      <c r="K1433" s="833">
        <v>1544</v>
      </c>
    </row>
    <row r="1434" spans="1:11" ht="14.45" customHeight="1" x14ac:dyDescent="0.2">
      <c r="A1434" s="822" t="s">
        <v>575</v>
      </c>
      <c r="B1434" s="823" t="s">
        <v>576</v>
      </c>
      <c r="C1434" s="826" t="s">
        <v>600</v>
      </c>
      <c r="D1434" s="840" t="s">
        <v>601</v>
      </c>
      <c r="E1434" s="826" t="s">
        <v>3264</v>
      </c>
      <c r="F1434" s="840" t="s">
        <v>3265</v>
      </c>
      <c r="G1434" s="826" t="s">
        <v>3430</v>
      </c>
      <c r="H1434" s="826" t="s">
        <v>3431</v>
      </c>
      <c r="I1434" s="832">
        <v>1.6699999570846558</v>
      </c>
      <c r="J1434" s="832">
        <v>500</v>
      </c>
      <c r="K1434" s="833">
        <v>835</v>
      </c>
    </row>
    <row r="1435" spans="1:11" ht="14.45" customHeight="1" x14ac:dyDescent="0.2">
      <c r="A1435" s="822" t="s">
        <v>575</v>
      </c>
      <c r="B1435" s="823" t="s">
        <v>576</v>
      </c>
      <c r="C1435" s="826" t="s">
        <v>600</v>
      </c>
      <c r="D1435" s="840" t="s">
        <v>601</v>
      </c>
      <c r="E1435" s="826" t="s">
        <v>3264</v>
      </c>
      <c r="F1435" s="840" t="s">
        <v>3265</v>
      </c>
      <c r="G1435" s="826" t="s">
        <v>3430</v>
      </c>
      <c r="H1435" s="826" t="s">
        <v>4054</v>
      </c>
      <c r="I1435" s="832">
        <v>1.6699999570846558</v>
      </c>
      <c r="J1435" s="832">
        <v>200</v>
      </c>
      <c r="K1435" s="833">
        <v>334</v>
      </c>
    </row>
    <row r="1436" spans="1:11" ht="14.45" customHeight="1" x14ac:dyDescent="0.2">
      <c r="A1436" s="822" t="s">
        <v>575</v>
      </c>
      <c r="B1436" s="823" t="s">
        <v>576</v>
      </c>
      <c r="C1436" s="826" t="s">
        <v>600</v>
      </c>
      <c r="D1436" s="840" t="s">
        <v>601</v>
      </c>
      <c r="E1436" s="826" t="s">
        <v>3264</v>
      </c>
      <c r="F1436" s="840" t="s">
        <v>3265</v>
      </c>
      <c r="G1436" s="826" t="s">
        <v>3430</v>
      </c>
      <c r="H1436" s="826" t="s">
        <v>4055</v>
      </c>
      <c r="I1436" s="832">
        <v>1.6699999570846558</v>
      </c>
      <c r="J1436" s="832">
        <v>500</v>
      </c>
      <c r="K1436" s="833">
        <v>835</v>
      </c>
    </row>
    <row r="1437" spans="1:11" ht="14.45" customHeight="1" x14ac:dyDescent="0.2">
      <c r="A1437" s="822" t="s">
        <v>575</v>
      </c>
      <c r="B1437" s="823" t="s">
        <v>576</v>
      </c>
      <c r="C1437" s="826" t="s">
        <v>600</v>
      </c>
      <c r="D1437" s="840" t="s">
        <v>601</v>
      </c>
      <c r="E1437" s="826" t="s">
        <v>3264</v>
      </c>
      <c r="F1437" s="840" t="s">
        <v>3265</v>
      </c>
      <c r="G1437" s="826" t="s">
        <v>3432</v>
      </c>
      <c r="H1437" s="826" t="s">
        <v>3433</v>
      </c>
      <c r="I1437" s="832">
        <v>7.1585713114057272</v>
      </c>
      <c r="J1437" s="832">
        <v>800</v>
      </c>
      <c r="K1437" s="833">
        <v>5726.1400146484375</v>
      </c>
    </row>
    <row r="1438" spans="1:11" ht="14.45" customHeight="1" x14ac:dyDescent="0.2">
      <c r="A1438" s="822" t="s">
        <v>575</v>
      </c>
      <c r="B1438" s="823" t="s">
        <v>576</v>
      </c>
      <c r="C1438" s="826" t="s">
        <v>600</v>
      </c>
      <c r="D1438" s="840" t="s">
        <v>601</v>
      </c>
      <c r="E1438" s="826" t="s">
        <v>3264</v>
      </c>
      <c r="F1438" s="840" t="s">
        <v>3265</v>
      </c>
      <c r="G1438" s="826" t="s">
        <v>3434</v>
      </c>
      <c r="H1438" s="826" t="s">
        <v>3435</v>
      </c>
      <c r="I1438" s="832">
        <v>0.57999998331069946</v>
      </c>
      <c r="J1438" s="832">
        <v>800</v>
      </c>
      <c r="K1438" s="833">
        <v>464</v>
      </c>
    </row>
    <row r="1439" spans="1:11" ht="14.45" customHeight="1" x14ac:dyDescent="0.2">
      <c r="A1439" s="822" t="s">
        <v>575</v>
      </c>
      <c r="B1439" s="823" t="s">
        <v>576</v>
      </c>
      <c r="C1439" s="826" t="s">
        <v>600</v>
      </c>
      <c r="D1439" s="840" t="s">
        <v>601</v>
      </c>
      <c r="E1439" s="826" t="s">
        <v>3264</v>
      </c>
      <c r="F1439" s="840" t="s">
        <v>3265</v>
      </c>
      <c r="G1439" s="826" t="s">
        <v>3436</v>
      </c>
      <c r="H1439" s="826" t="s">
        <v>3437</v>
      </c>
      <c r="I1439" s="832">
        <v>0.67000001668930054</v>
      </c>
      <c r="J1439" s="832">
        <v>1000</v>
      </c>
      <c r="K1439" s="833">
        <v>670</v>
      </c>
    </row>
    <row r="1440" spans="1:11" ht="14.45" customHeight="1" x14ac:dyDescent="0.2">
      <c r="A1440" s="822" t="s">
        <v>575</v>
      </c>
      <c r="B1440" s="823" t="s">
        <v>576</v>
      </c>
      <c r="C1440" s="826" t="s">
        <v>600</v>
      </c>
      <c r="D1440" s="840" t="s">
        <v>601</v>
      </c>
      <c r="E1440" s="826" t="s">
        <v>3264</v>
      </c>
      <c r="F1440" s="840" t="s">
        <v>3265</v>
      </c>
      <c r="G1440" s="826" t="s">
        <v>3436</v>
      </c>
      <c r="H1440" s="826" t="s">
        <v>3661</v>
      </c>
      <c r="I1440" s="832">
        <v>0.67000001668930054</v>
      </c>
      <c r="J1440" s="832">
        <v>200</v>
      </c>
      <c r="K1440" s="833">
        <v>134</v>
      </c>
    </row>
    <row r="1441" spans="1:11" ht="14.45" customHeight="1" x14ac:dyDescent="0.2">
      <c r="A1441" s="822" t="s">
        <v>575</v>
      </c>
      <c r="B1441" s="823" t="s">
        <v>576</v>
      </c>
      <c r="C1441" s="826" t="s">
        <v>600</v>
      </c>
      <c r="D1441" s="840" t="s">
        <v>601</v>
      </c>
      <c r="E1441" s="826" t="s">
        <v>3264</v>
      </c>
      <c r="F1441" s="840" t="s">
        <v>3265</v>
      </c>
      <c r="G1441" s="826" t="s">
        <v>3444</v>
      </c>
      <c r="H1441" s="826" t="s">
        <v>3445</v>
      </c>
      <c r="I1441" s="832">
        <v>14.657999801635743</v>
      </c>
      <c r="J1441" s="832">
        <v>500</v>
      </c>
      <c r="K1441" s="833">
        <v>7329.3499755859375</v>
      </c>
    </row>
    <row r="1442" spans="1:11" ht="14.45" customHeight="1" x14ac:dyDescent="0.2">
      <c r="A1442" s="822" t="s">
        <v>575</v>
      </c>
      <c r="B1442" s="823" t="s">
        <v>576</v>
      </c>
      <c r="C1442" s="826" t="s">
        <v>600</v>
      </c>
      <c r="D1442" s="840" t="s">
        <v>601</v>
      </c>
      <c r="E1442" s="826" t="s">
        <v>3264</v>
      </c>
      <c r="F1442" s="840" t="s">
        <v>3265</v>
      </c>
      <c r="G1442" s="826" t="s">
        <v>3446</v>
      </c>
      <c r="H1442" s="826" t="s">
        <v>3447</v>
      </c>
      <c r="I1442" s="832">
        <v>5.2377777099609375</v>
      </c>
      <c r="J1442" s="832">
        <v>970</v>
      </c>
      <c r="K1442" s="833">
        <v>5100.0000152587891</v>
      </c>
    </row>
    <row r="1443" spans="1:11" ht="14.45" customHeight="1" x14ac:dyDescent="0.2">
      <c r="A1443" s="822" t="s">
        <v>575</v>
      </c>
      <c r="B1443" s="823" t="s">
        <v>576</v>
      </c>
      <c r="C1443" s="826" t="s">
        <v>600</v>
      </c>
      <c r="D1443" s="840" t="s">
        <v>601</v>
      </c>
      <c r="E1443" s="826" t="s">
        <v>3264</v>
      </c>
      <c r="F1443" s="840" t="s">
        <v>3265</v>
      </c>
      <c r="G1443" s="826" t="s">
        <v>4806</v>
      </c>
      <c r="H1443" s="826" t="s">
        <v>4807</v>
      </c>
      <c r="I1443" s="832">
        <v>75.019996643066406</v>
      </c>
      <c r="J1443" s="832">
        <v>8</v>
      </c>
      <c r="K1443" s="833">
        <v>600.15997314453125</v>
      </c>
    </row>
    <row r="1444" spans="1:11" ht="14.45" customHeight="1" x14ac:dyDescent="0.2">
      <c r="A1444" s="822" t="s">
        <v>575</v>
      </c>
      <c r="B1444" s="823" t="s">
        <v>576</v>
      </c>
      <c r="C1444" s="826" t="s">
        <v>600</v>
      </c>
      <c r="D1444" s="840" t="s">
        <v>601</v>
      </c>
      <c r="E1444" s="826" t="s">
        <v>3264</v>
      </c>
      <c r="F1444" s="840" t="s">
        <v>3265</v>
      </c>
      <c r="G1444" s="826" t="s">
        <v>3419</v>
      </c>
      <c r="H1444" s="826" t="s">
        <v>3454</v>
      </c>
      <c r="I1444" s="832">
        <v>1.0900000333786011</v>
      </c>
      <c r="J1444" s="832">
        <v>2000</v>
      </c>
      <c r="K1444" s="833">
        <v>2180</v>
      </c>
    </row>
    <row r="1445" spans="1:11" ht="14.45" customHeight="1" x14ac:dyDescent="0.2">
      <c r="A1445" s="822" t="s">
        <v>575</v>
      </c>
      <c r="B1445" s="823" t="s">
        <v>576</v>
      </c>
      <c r="C1445" s="826" t="s">
        <v>600</v>
      </c>
      <c r="D1445" s="840" t="s">
        <v>601</v>
      </c>
      <c r="E1445" s="826" t="s">
        <v>3264</v>
      </c>
      <c r="F1445" s="840" t="s">
        <v>3265</v>
      </c>
      <c r="G1445" s="826" t="s">
        <v>3425</v>
      </c>
      <c r="H1445" s="826" t="s">
        <v>3455</v>
      </c>
      <c r="I1445" s="832">
        <v>0.47799999117851255</v>
      </c>
      <c r="J1445" s="832">
        <v>2500</v>
      </c>
      <c r="K1445" s="833">
        <v>1195</v>
      </c>
    </row>
    <row r="1446" spans="1:11" ht="14.45" customHeight="1" x14ac:dyDescent="0.2">
      <c r="A1446" s="822" t="s">
        <v>575</v>
      </c>
      <c r="B1446" s="823" t="s">
        <v>576</v>
      </c>
      <c r="C1446" s="826" t="s">
        <v>600</v>
      </c>
      <c r="D1446" s="840" t="s">
        <v>601</v>
      </c>
      <c r="E1446" s="826" t="s">
        <v>3264</v>
      </c>
      <c r="F1446" s="840" t="s">
        <v>3265</v>
      </c>
      <c r="G1446" s="826" t="s">
        <v>3430</v>
      </c>
      <c r="H1446" s="826" t="s">
        <v>3456</v>
      </c>
      <c r="I1446" s="832">
        <v>1.6699999570846558</v>
      </c>
      <c r="J1446" s="832">
        <v>1700</v>
      </c>
      <c r="K1446" s="833">
        <v>2839</v>
      </c>
    </row>
    <row r="1447" spans="1:11" ht="14.45" customHeight="1" x14ac:dyDescent="0.2">
      <c r="A1447" s="822" t="s">
        <v>575</v>
      </c>
      <c r="B1447" s="823" t="s">
        <v>576</v>
      </c>
      <c r="C1447" s="826" t="s">
        <v>600</v>
      </c>
      <c r="D1447" s="840" t="s">
        <v>601</v>
      </c>
      <c r="E1447" s="826" t="s">
        <v>3264</v>
      </c>
      <c r="F1447" s="840" t="s">
        <v>3265</v>
      </c>
      <c r="G1447" s="826" t="s">
        <v>3432</v>
      </c>
      <c r="H1447" s="826" t="s">
        <v>3457</v>
      </c>
      <c r="I1447" s="832">
        <v>7.1539999961853029</v>
      </c>
      <c r="J1447" s="832">
        <v>500</v>
      </c>
      <c r="K1447" s="833">
        <v>3577.0199584960938</v>
      </c>
    </row>
    <row r="1448" spans="1:11" ht="14.45" customHeight="1" x14ac:dyDescent="0.2">
      <c r="A1448" s="822" t="s">
        <v>575</v>
      </c>
      <c r="B1448" s="823" t="s">
        <v>576</v>
      </c>
      <c r="C1448" s="826" t="s">
        <v>600</v>
      </c>
      <c r="D1448" s="840" t="s">
        <v>601</v>
      </c>
      <c r="E1448" s="826" t="s">
        <v>3264</v>
      </c>
      <c r="F1448" s="840" t="s">
        <v>3265</v>
      </c>
      <c r="G1448" s="826" t="s">
        <v>3436</v>
      </c>
      <c r="H1448" s="826" t="s">
        <v>3458</v>
      </c>
      <c r="I1448" s="832">
        <v>0.67000001668930054</v>
      </c>
      <c r="J1448" s="832">
        <v>400</v>
      </c>
      <c r="K1448" s="833">
        <v>268</v>
      </c>
    </row>
    <row r="1449" spans="1:11" ht="14.45" customHeight="1" x14ac:dyDescent="0.2">
      <c r="A1449" s="822" t="s">
        <v>575</v>
      </c>
      <c r="B1449" s="823" t="s">
        <v>576</v>
      </c>
      <c r="C1449" s="826" t="s">
        <v>600</v>
      </c>
      <c r="D1449" s="840" t="s">
        <v>601</v>
      </c>
      <c r="E1449" s="826" t="s">
        <v>3264</v>
      </c>
      <c r="F1449" s="840" t="s">
        <v>3265</v>
      </c>
      <c r="G1449" s="826" t="s">
        <v>3444</v>
      </c>
      <c r="H1449" s="826" t="s">
        <v>4062</v>
      </c>
      <c r="I1449" s="832">
        <v>14.663333257039389</v>
      </c>
      <c r="J1449" s="832">
        <v>300</v>
      </c>
      <c r="K1449" s="833">
        <v>4398.1300048828125</v>
      </c>
    </row>
    <row r="1450" spans="1:11" ht="14.45" customHeight="1" x14ac:dyDescent="0.2">
      <c r="A1450" s="822" t="s">
        <v>575</v>
      </c>
      <c r="B1450" s="823" t="s">
        <v>576</v>
      </c>
      <c r="C1450" s="826" t="s">
        <v>600</v>
      </c>
      <c r="D1450" s="840" t="s">
        <v>601</v>
      </c>
      <c r="E1450" s="826" t="s">
        <v>3264</v>
      </c>
      <c r="F1450" s="840" t="s">
        <v>3265</v>
      </c>
      <c r="G1450" s="826" t="s">
        <v>3446</v>
      </c>
      <c r="H1450" s="826" t="s">
        <v>3459</v>
      </c>
      <c r="I1450" s="832">
        <v>5.2085713659014017</v>
      </c>
      <c r="J1450" s="832">
        <v>720</v>
      </c>
      <c r="K1450" s="833">
        <v>3750.1699829101563</v>
      </c>
    </row>
    <row r="1451" spans="1:11" ht="14.45" customHeight="1" x14ac:dyDescent="0.2">
      <c r="A1451" s="822" t="s">
        <v>575</v>
      </c>
      <c r="B1451" s="823" t="s">
        <v>576</v>
      </c>
      <c r="C1451" s="826" t="s">
        <v>600</v>
      </c>
      <c r="D1451" s="840" t="s">
        <v>601</v>
      </c>
      <c r="E1451" s="826" t="s">
        <v>3264</v>
      </c>
      <c r="F1451" s="840" t="s">
        <v>3265</v>
      </c>
      <c r="G1451" s="826" t="s">
        <v>3468</v>
      </c>
      <c r="H1451" s="826" t="s">
        <v>3469</v>
      </c>
      <c r="I1451" s="832">
        <v>2.1800000667572021</v>
      </c>
      <c r="J1451" s="832">
        <v>100</v>
      </c>
      <c r="K1451" s="833">
        <v>218</v>
      </c>
    </row>
    <row r="1452" spans="1:11" ht="14.45" customHeight="1" x14ac:dyDescent="0.2">
      <c r="A1452" s="822" t="s">
        <v>575</v>
      </c>
      <c r="B1452" s="823" t="s">
        <v>576</v>
      </c>
      <c r="C1452" s="826" t="s">
        <v>600</v>
      </c>
      <c r="D1452" s="840" t="s">
        <v>601</v>
      </c>
      <c r="E1452" s="826" t="s">
        <v>3264</v>
      </c>
      <c r="F1452" s="840" t="s">
        <v>3265</v>
      </c>
      <c r="G1452" s="826" t="s">
        <v>4806</v>
      </c>
      <c r="H1452" s="826" t="s">
        <v>4808</v>
      </c>
      <c r="I1452" s="832">
        <v>75.019996643066406</v>
      </c>
      <c r="J1452" s="832">
        <v>9</v>
      </c>
      <c r="K1452" s="833">
        <v>675.17997741699219</v>
      </c>
    </row>
    <row r="1453" spans="1:11" ht="14.45" customHeight="1" x14ac:dyDescent="0.2">
      <c r="A1453" s="822" t="s">
        <v>575</v>
      </c>
      <c r="B1453" s="823" t="s">
        <v>576</v>
      </c>
      <c r="C1453" s="826" t="s">
        <v>600</v>
      </c>
      <c r="D1453" s="840" t="s">
        <v>601</v>
      </c>
      <c r="E1453" s="826" t="s">
        <v>3264</v>
      </c>
      <c r="F1453" s="840" t="s">
        <v>3265</v>
      </c>
      <c r="G1453" s="826" t="s">
        <v>4809</v>
      </c>
      <c r="H1453" s="826" t="s">
        <v>4810</v>
      </c>
      <c r="I1453" s="832">
        <v>659.45001220703125</v>
      </c>
      <c r="J1453" s="832">
        <v>2</v>
      </c>
      <c r="K1453" s="833">
        <v>1318.9000244140625</v>
      </c>
    </row>
    <row r="1454" spans="1:11" ht="14.45" customHeight="1" x14ac:dyDescent="0.2">
      <c r="A1454" s="822" t="s">
        <v>575</v>
      </c>
      <c r="B1454" s="823" t="s">
        <v>576</v>
      </c>
      <c r="C1454" s="826" t="s">
        <v>600</v>
      </c>
      <c r="D1454" s="840" t="s">
        <v>601</v>
      </c>
      <c r="E1454" s="826" t="s">
        <v>3264</v>
      </c>
      <c r="F1454" s="840" t="s">
        <v>3265</v>
      </c>
      <c r="G1454" s="826" t="s">
        <v>4811</v>
      </c>
      <c r="H1454" s="826" t="s">
        <v>4812</v>
      </c>
      <c r="I1454" s="832">
        <v>763.6099853515625</v>
      </c>
      <c r="J1454" s="832">
        <v>4</v>
      </c>
      <c r="K1454" s="833">
        <v>3054.429931640625</v>
      </c>
    </row>
    <row r="1455" spans="1:11" ht="14.45" customHeight="1" x14ac:dyDescent="0.2">
      <c r="A1455" s="822" t="s">
        <v>575</v>
      </c>
      <c r="B1455" s="823" t="s">
        <v>576</v>
      </c>
      <c r="C1455" s="826" t="s">
        <v>600</v>
      </c>
      <c r="D1455" s="840" t="s">
        <v>601</v>
      </c>
      <c r="E1455" s="826" t="s">
        <v>3264</v>
      </c>
      <c r="F1455" s="840" t="s">
        <v>3265</v>
      </c>
      <c r="G1455" s="826" t="s">
        <v>4813</v>
      </c>
      <c r="H1455" s="826" t="s">
        <v>4814</v>
      </c>
      <c r="I1455" s="832">
        <v>1606.2750244140625</v>
      </c>
      <c r="J1455" s="832">
        <v>4</v>
      </c>
      <c r="K1455" s="833">
        <v>6425.10009765625</v>
      </c>
    </row>
    <row r="1456" spans="1:11" ht="14.45" customHeight="1" x14ac:dyDescent="0.2">
      <c r="A1456" s="822" t="s">
        <v>575</v>
      </c>
      <c r="B1456" s="823" t="s">
        <v>576</v>
      </c>
      <c r="C1456" s="826" t="s">
        <v>600</v>
      </c>
      <c r="D1456" s="840" t="s">
        <v>601</v>
      </c>
      <c r="E1456" s="826" t="s">
        <v>3264</v>
      </c>
      <c r="F1456" s="840" t="s">
        <v>3265</v>
      </c>
      <c r="G1456" s="826" t="s">
        <v>4815</v>
      </c>
      <c r="H1456" s="826" t="s">
        <v>4816</v>
      </c>
      <c r="I1456" s="832">
        <v>2825.35009765625</v>
      </c>
      <c r="J1456" s="832">
        <v>2</v>
      </c>
      <c r="K1456" s="833">
        <v>5650.7001953125</v>
      </c>
    </row>
    <row r="1457" spans="1:11" ht="14.45" customHeight="1" x14ac:dyDescent="0.2">
      <c r="A1457" s="822" t="s">
        <v>575</v>
      </c>
      <c r="B1457" s="823" t="s">
        <v>576</v>
      </c>
      <c r="C1457" s="826" t="s">
        <v>600</v>
      </c>
      <c r="D1457" s="840" t="s">
        <v>601</v>
      </c>
      <c r="E1457" s="826" t="s">
        <v>3264</v>
      </c>
      <c r="F1457" s="840" t="s">
        <v>3265</v>
      </c>
      <c r="G1457" s="826" t="s">
        <v>4817</v>
      </c>
      <c r="H1457" s="826" t="s">
        <v>4818</v>
      </c>
      <c r="I1457" s="832">
        <v>1875.5</v>
      </c>
      <c r="J1457" s="832">
        <v>10</v>
      </c>
      <c r="K1457" s="833">
        <v>18755</v>
      </c>
    </row>
    <row r="1458" spans="1:11" ht="14.45" customHeight="1" x14ac:dyDescent="0.2">
      <c r="A1458" s="822" t="s">
        <v>575</v>
      </c>
      <c r="B1458" s="823" t="s">
        <v>576</v>
      </c>
      <c r="C1458" s="826" t="s">
        <v>600</v>
      </c>
      <c r="D1458" s="840" t="s">
        <v>601</v>
      </c>
      <c r="E1458" s="826" t="s">
        <v>3264</v>
      </c>
      <c r="F1458" s="840" t="s">
        <v>3265</v>
      </c>
      <c r="G1458" s="826" t="s">
        <v>3474</v>
      </c>
      <c r="H1458" s="826" t="s">
        <v>3475</v>
      </c>
      <c r="I1458" s="832">
        <v>769.55999755859375</v>
      </c>
      <c r="J1458" s="832">
        <v>108</v>
      </c>
      <c r="K1458" s="833">
        <v>83112.47802734375</v>
      </c>
    </row>
    <row r="1459" spans="1:11" ht="14.45" customHeight="1" x14ac:dyDescent="0.2">
      <c r="A1459" s="822" t="s">
        <v>575</v>
      </c>
      <c r="B1459" s="823" t="s">
        <v>576</v>
      </c>
      <c r="C1459" s="826" t="s">
        <v>600</v>
      </c>
      <c r="D1459" s="840" t="s">
        <v>601</v>
      </c>
      <c r="E1459" s="826" t="s">
        <v>3264</v>
      </c>
      <c r="F1459" s="840" t="s">
        <v>3265</v>
      </c>
      <c r="G1459" s="826" t="s">
        <v>4737</v>
      </c>
      <c r="H1459" s="826" t="s">
        <v>4819</v>
      </c>
      <c r="I1459" s="832">
        <v>1500.4000244140625</v>
      </c>
      <c r="J1459" s="832">
        <v>55</v>
      </c>
      <c r="K1459" s="833">
        <v>82522</v>
      </c>
    </row>
    <row r="1460" spans="1:11" ht="14.45" customHeight="1" x14ac:dyDescent="0.2">
      <c r="A1460" s="822" t="s">
        <v>575</v>
      </c>
      <c r="B1460" s="823" t="s">
        <v>576</v>
      </c>
      <c r="C1460" s="826" t="s">
        <v>600</v>
      </c>
      <c r="D1460" s="840" t="s">
        <v>601</v>
      </c>
      <c r="E1460" s="826" t="s">
        <v>3264</v>
      </c>
      <c r="F1460" s="840" t="s">
        <v>3265</v>
      </c>
      <c r="G1460" s="826" t="s">
        <v>4741</v>
      </c>
      <c r="H1460" s="826" t="s">
        <v>4820</v>
      </c>
      <c r="I1460" s="832">
        <v>7591.099964488636</v>
      </c>
      <c r="J1460" s="832">
        <v>18</v>
      </c>
      <c r="K1460" s="833">
        <v>150303.84124999866</v>
      </c>
    </row>
    <row r="1461" spans="1:11" ht="14.45" customHeight="1" x14ac:dyDescent="0.2">
      <c r="A1461" s="822" t="s">
        <v>575</v>
      </c>
      <c r="B1461" s="823" t="s">
        <v>576</v>
      </c>
      <c r="C1461" s="826" t="s">
        <v>600</v>
      </c>
      <c r="D1461" s="840" t="s">
        <v>601</v>
      </c>
      <c r="E1461" s="826" t="s">
        <v>3264</v>
      </c>
      <c r="F1461" s="840" t="s">
        <v>3265</v>
      </c>
      <c r="G1461" s="826" t="s">
        <v>4821</v>
      </c>
      <c r="H1461" s="826" t="s">
        <v>4822</v>
      </c>
      <c r="I1461" s="832">
        <v>8701.1103515625</v>
      </c>
      <c r="J1461" s="832">
        <v>35</v>
      </c>
      <c r="K1461" s="833">
        <v>304538.857421875</v>
      </c>
    </row>
    <row r="1462" spans="1:11" ht="14.45" customHeight="1" x14ac:dyDescent="0.2">
      <c r="A1462" s="822" t="s">
        <v>575</v>
      </c>
      <c r="B1462" s="823" t="s">
        <v>576</v>
      </c>
      <c r="C1462" s="826" t="s">
        <v>600</v>
      </c>
      <c r="D1462" s="840" t="s">
        <v>601</v>
      </c>
      <c r="E1462" s="826" t="s">
        <v>3264</v>
      </c>
      <c r="F1462" s="840" t="s">
        <v>3265</v>
      </c>
      <c r="G1462" s="826" t="s">
        <v>4823</v>
      </c>
      <c r="H1462" s="826" t="s">
        <v>4824</v>
      </c>
      <c r="I1462" s="832">
        <v>8701.1103515625</v>
      </c>
      <c r="J1462" s="832">
        <v>41</v>
      </c>
      <c r="K1462" s="833">
        <v>356745.5205078125</v>
      </c>
    </row>
    <row r="1463" spans="1:11" ht="14.45" customHeight="1" x14ac:dyDescent="0.2">
      <c r="A1463" s="822" t="s">
        <v>575</v>
      </c>
      <c r="B1463" s="823" t="s">
        <v>576</v>
      </c>
      <c r="C1463" s="826" t="s">
        <v>600</v>
      </c>
      <c r="D1463" s="840" t="s">
        <v>601</v>
      </c>
      <c r="E1463" s="826" t="s">
        <v>3264</v>
      </c>
      <c r="F1463" s="840" t="s">
        <v>3265</v>
      </c>
      <c r="G1463" s="826" t="s">
        <v>4817</v>
      </c>
      <c r="H1463" s="826" t="s">
        <v>4825</v>
      </c>
      <c r="I1463" s="832">
        <v>1875.5</v>
      </c>
      <c r="J1463" s="832">
        <v>15</v>
      </c>
      <c r="K1463" s="833">
        <v>28132.5</v>
      </c>
    </row>
    <row r="1464" spans="1:11" ht="14.45" customHeight="1" x14ac:dyDescent="0.2">
      <c r="A1464" s="822" t="s">
        <v>575</v>
      </c>
      <c r="B1464" s="823" t="s">
        <v>576</v>
      </c>
      <c r="C1464" s="826" t="s">
        <v>600</v>
      </c>
      <c r="D1464" s="840" t="s">
        <v>601</v>
      </c>
      <c r="E1464" s="826" t="s">
        <v>3264</v>
      </c>
      <c r="F1464" s="840" t="s">
        <v>3265</v>
      </c>
      <c r="G1464" s="826" t="s">
        <v>3474</v>
      </c>
      <c r="H1464" s="826" t="s">
        <v>3476</v>
      </c>
      <c r="I1464" s="832">
        <v>769.55999755859375</v>
      </c>
      <c r="J1464" s="832">
        <v>48</v>
      </c>
      <c r="K1464" s="833">
        <v>36938.87939453125</v>
      </c>
    </row>
    <row r="1465" spans="1:11" ht="14.45" customHeight="1" x14ac:dyDescent="0.2">
      <c r="A1465" s="822" t="s">
        <v>575</v>
      </c>
      <c r="B1465" s="823" t="s">
        <v>576</v>
      </c>
      <c r="C1465" s="826" t="s">
        <v>600</v>
      </c>
      <c r="D1465" s="840" t="s">
        <v>601</v>
      </c>
      <c r="E1465" s="826" t="s">
        <v>3264</v>
      </c>
      <c r="F1465" s="840" t="s">
        <v>3265</v>
      </c>
      <c r="G1465" s="826" t="s">
        <v>4823</v>
      </c>
      <c r="H1465" s="826" t="s">
        <v>4826</v>
      </c>
      <c r="I1465" s="832">
        <v>8701.1103515625</v>
      </c>
      <c r="J1465" s="832">
        <v>53</v>
      </c>
      <c r="K1465" s="833">
        <v>461158.8369140625</v>
      </c>
    </row>
    <row r="1466" spans="1:11" ht="14.45" customHeight="1" x14ac:dyDescent="0.2">
      <c r="A1466" s="822" t="s">
        <v>575</v>
      </c>
      <c r="B1466" s="823" t="s">
        <v>576</v>
      </c>
      <c r="C1466" s="826" t="s">
        <v>600</v>
      </c>
      <c r="D1466" s="840" t="s">
        <v>601</v>
      </c>
      <c r="E1466" s="826" t="s">
        <v>3264</v>
      </c>
      <c r="F1466" s="840" t="s">
        <v>3265</v>
      </c>
      <c r="G1466" s="826" t="s">
        <v>3490</v>
      </c>
      <c r="H1466" s="826" t="s">
        <v>3491</v>
      </c>
      <c r="I1466" s="832">
        <v>3.1350001096725464</v>
      </c>
      <c r="J1466" s="832">
        <v>100</v>
      </c>
      <c r="K1466" s="833">
        <v>313.5</v>
      </c>
    </row>
    <row r="1467" spans="1:11" ht="14.45" customHeight="1" x14ac:dyDescent="0.2">
      <c r="A1467" s="822" t="s">
        <v>575</v>
      </c>
      <c r="B1467" s="823" t="s">
        <v>576</v>
      </c>
      <c r="C1467" s="826" t="s">
        <v>600</v>
      </c>
      <c r="D1467" s="840" t="s">
        <v>601</v>
      </c>
      <c r="E1467" s="826" t="s">
        <v>3264</v>
      </c>
      <c r="F1467" s="840" t="s">
        <v>3265</v>
      </c>
      <c r="G1467" s="826" t="s">
        <v>3490</v>
      </c>
      <c r="H1467" s="826" t="s">
        <v>3494</v>
      </c>
      <c r="I1467" s="832">
        <v>3.130000114440918</v>
      </c>
      <c r="J1467" s="832">
        <v>100</v>
      </c>
      <c r="K1467" s="833">
        <v>313</v>
      </c>
    </row>
    <row r="1468" spans="1:11" ht="14.45" customHeight="1" x14ac:dyDescent="0.2">
      <c r="A1468" s="822" t="s">
        <v>575</v>
      </c>
      <c r="B1468" s="823" t="s">
        <v>576</v>
      </c>
      <c r="C1468" s="826" t="s">
        <v>600</v>
      </c>
      <c r="D1468" s="840" t="s">
        <v>601</v>
      </c>
      <c r="E1468" s="826" t="s">
        <v>3264</v>
      </c>
      <c r="F1468" s="840" t="s">
        <v>3265</v>
      </c>
      <c r="G1468" s="826" t="s">
        <v>4827</v>
      </c>
      <c r="H1468" s="826" t="s">
        <v>4828</v>
      </c>
      <c r="I1468" s="832">
        <v>790.1300048828125</v>
      </c>
      <c r="J1468" s="832">
        <v>30</v>
      </c>
      <c r="K1468" s="833">
        <v>23703.8994140625</v>
      </c>
    </row>
    <row r="1469" spans="1:11" ht="14.45" customHeight="1" x14ac:dyDescent="0.2">
      <c r="A1469" s="822" t="s">
        <v>575</v>
      </c>
      <c r="B1469" s="823" t="s">
        <v>576</v>
      </c>
      <c r="C1469" s="826" t="s">
        <v>600</v>
      </c>
      <c r="D1469" s="840" t="s">
        <v>601</v>
      </c>
      <c r="E1469" s="826" t="s">
        <v>3264</v>
      </c>
      <c r="F1469" s="840" t="s">
        <v>3265</v>
      </c>
      <c r="G1469" s="826" t="s">
        <v>4829</v>
      </c>
      <c r="H1469" s="826" t="s">
        <v>4830</v>
      </c>
      <c r="I1469" s="832">
        <v>790.1300048828125</v>
      </c>
      <c r="J1469" s="832">
        <v>40</v>
      </c>
      <c r="K1469" s="833">
        <v>31605.19921875</v>
      </c>
    </row>
    <row r="1470" spans="1:11" ht="14.45" customHeight="1" x14ac:dyDescent="0.2">
      <c r="A1470" s="822" t="s">
        <v>575</v>
      </c>
      <c r="B1470" s="823" t="s">
        <v>576</v>
      </c>
      <c r="C1470" s="826" t="s">
        <v>600</v>
      </c>
      <c r="D1470" s="840" t="s">
        <v>601</v>
      </c>
      <c r="E1470" s="826" t="s">
        <v>3264</v>
      </c>
      <c r="F1470" s="840" t="s">
        <v>3265</v>
      </c>
      <c r="G1470" s="826" t="s">
        <v>4831</v>
      </c>
      <c r="H1470" s="826" t="s">
        <v>4832</v>
      </c>
      <c r="I1470" s="832">
        <v>140.1199951171875</v>
      </c>
      <c r="J1470" s="832">
        <v>80</v>
      </c>
      <c r="K1470" s="833">
        <v>11209.4404296875</v>
      </c>
    </row>
    <row r="1471" spans="1:11" ht="14.45" customHeight="1" x14ac:dyDescent="0.2">
      <c r="A1471" s="822" t="s">
        <v>575</v>
      </c>
      <c r="B1471" s="823" t="s">
        <v>576</v>
      </c>
      <c r="C1471" s="826" t="s">
        <v>600</v>
      </c>
      <c r="D1471" s="840" t="s">
        <v>601</v>
      </c>
      <c r="E1471" s="826" t="s">
        <v>3264</v>
      </c>
      <c r="F1471" s="840" t="s">
        <v>3265</v>
      </c>
      <c r="G1471" s="826" t="s">
        <v>4831</v>
      </c>
      <c r="H1471" s="826" t="s">
        <v>4833</v>
      </c>
      <c r="I1471" s="832">
        <v>140.1199951171875</v>
      </c>
      <c r="J1471" s="832">
        <v>120</v>
      </c>
      <c r="K1471" s="833">
        <v>16814.16064453125</v>
      </c>
    </row>
    <row r="1472" spans="1:11" ht="14.45" customHeight="1" x14ac:dyDescent="0.2">
      <c r="A1472" s="822" t="s">
        <v>575</v>
      </c>
      <c r="B1472" s="823" t="s">
        <v>576</v>
      </c>
      <c r="C1472" s="826" t="s">
        <v>600</v>
      </c>
      <c r="D1472" s="840" t="s">
        <v>601</v>
      </c>
      <c r="E1472" s="826" t="s">
        <v>3264</v>
      </c>
      <c r="F1472" s="840" t="s">
        <v>3265</v>
      </c>
      <c r="G1472" s="826" t="s">
        <v>4834</v>
      </c>
      <c r="H1472" s="826" t="s">
        <v>4835</v>
      </c>
      <c r="I1472" s="832">
        <v>12088</v>
      </c>
      <c r="J1472" s="832">
        <v>1</v>
      </c>
      <c r="K1472" s="833">
        <v>12088</v>
      </c>
    </row>
    <row r="1473" spans="1:11" ht="14.45" customHeight="1" x14ac:dyDescent="0.2">
      <c r="A1473" s="822" t="s">
        <v>575</v>
      </c>
      <c r="B1473" s="823" t="s">
        <v>576</v>
      </c>
      <c r="C1473" s="826" t="s">
        <v>600</v>
      </c>
      <c r="D1473" s="840" t="s">
        <v>601</v>
      </c>
      <c r="E1473" s="826" t="s">
        <v>3264</v>
      </c>
      <c r="F1473" s="840" t="s">
        <v>3265</v>
      </c>
      <c r="G1473" s="826" t="s">
        <v>4726</v>
      </c>
      <c r="H1473" s="826" t="s">
        <v>4836</v>
      </c>
      <c r="I1473" s="832">
        <v>1070.8499755859375</v>
      </c>
      <c r="J1473" s="832">
        <v>50</v>
      </c>
      <c r="K1473" s="833">
        <v>53542.5</v>
      </c>
    </row>
    <row r="1474" spans="1:11" ht="14.45" customHeight="1" x14ac:dyDescent="0.2">
      <c r="A1474" s="822" t="s">
        <v>575</v>
      </c>
      <c r="B1474" s="823" t="s">
        <v>576</v>
      </c>
      <c r="C1474" s="826" t="s">
        <v>600</v>
      </c>
      <c r="D1474" s="840" t="s">
        <v>601</v>
      </c>
      <c r="E1474" s="826" t="s">
        <v>3264</v>
      </c>
      <c r="F1474" s="840" t="s">
        <v>3265</v>
      </c>
      <c r="G1474" s="826" t="s">
        <v>4827</v>
      </c>
      <c r="H1474" s="826" t="s">
        <v>4837</v>
      </c>
      <c r="I1474" s="832">
        <v>790.1300048828125</v>
      </c>
      <c r="J1474" s="832">
        <v>20</v>
      </c>
      <c r="K1474" s="833">
        <v>15802.599609375</v>
      </c>
    </row>
    <row r="1475" spans="1:11" ht="14.45" customHeight="1" x14ac:dyDescent="0.2">
      <c r="A1475" s="822" t="s">
        <v>575</v>
      </c>
      <c r="B1475" s="823" t="s">
        <v>576</v>
      </c>
      <c r="C1475" s="826" t="s">
        <v>600</v>
      </c>
      <c r="D1475" s="840" t="s">
        <v>601</v>
      </c>
      <c r="E1475" s="826" t="s">
        <v>3264</v>
      </c>
      <c r="F1475" s="840" t="s">
        <v>3265</v>
      </c>
      <c r="G1475" s="826" t="s">
        <v>4829</v>
      </c>
      <c r="H1475" s="826" t="s">
        <v>4838</v>
      </c>
      <c r="I1475" s="832">
        <v>790.1300048828125</v>
      </c>
      <c r="J1475" s="832">
        <v>10</v>
      </c>
      <c r="K1475" s="833">
        <v>7901.2998046875</v>
      </c>
    </row>
    <row r="1476" spans="1:11" ht="14.45" customHeight="1" x14ac:dyDescent="0.2">
      <c r="A1476" s="822" t="s">
        <v>575</v>
      </c>
      <c r="B1476" s="823" t="s">
        <v>576</v>
      </c>
      <c r="C1476" s="826" t="s">
        <v>600</v>
      </c>
      <c r="D1476" s="840" t="s">
        <v>601</v>
      </c>
      <c r="E1476" s="826" t="s">
        <v>3264</v>
      </c>
      <c r="F1476" s="840" t="s">
        <v>3265</v>
      </c>
      <c r="G1476" s="826" t="s">
        <v>3501</v>
      </c>
      <c r="H1476" s="826" t="s">
        <v>3502</v>
      </c>
      <c r="I1476" s="832">
        <v>0.47181817889213562</v>
      </c>
      <c r="J1476" s="832">
        <v>3900</v>
      </c>
      <c r="K1476" s="833">
        <v>1839</v>
      </c>
    </row>
    <row r="1477" spans="1:11" ht="14.45" customHeight="1" x14ac:dyDescent="0.2">
      <c r="A1477" s="822" t="s">
        <v>575</v>
      </c>
      <c r="B1477" s="823" t="s">
        <v>576</v>
      </c>
      <c r="C1477" s="826" t="s">
        <v>600</v>
      </c>
      <c r="D1477" s="840" t="s">
        <v>601</v>
      </c>
      <c r="E1477" s="826" t="s">
        <v>3264</v>
      </c>
      <c r="F1477" s="840" t="s">
        <v>3265</v>
      </c>
      <c r="G1477" s="826" t="s">
        <v>3501</v>
      </c>
      <c r="H1477" s="826" t="s">
        <v>3503</v>
      </c>
      <c r="I1477" s="832">
        <v>0.47166666388511658</v>
      </c>
      <c r="J1477" s="832">
        <v>1800</v>
      </c>
      <c r="K1477" s="833">
        <v>850</v>
      </c>
    </row>
    <row r="1478" spans="1:11" ht="14.45" customHeight="1" x14ac:dyDescent="0.2">
      <c r="A1478" s="822" t="s">
        <v>575</v>
      </c>
      <c r="B1478" s="823" t="s">
        <v>576</v>
      </c>
      <c r="C1478" s="826" t="s">
        <v>600</v>
      </c>
      <c r="D1478" s="840" t="s">
        <v>601</v>
      </c>
      <c r="E1478" s="826" t="s">
        <v>3264</v>
      </c>
      <c r="F1478" s="840" t="s">
        <v>3265</v>
      </c>
      <c r="G1478" s="826" t="s">
        <v>4839</v>
      </c>
      <c r="H1478" s="826" t="s">
        <v>4840</v>
      </c>
      <c r="I1478" s="832">
        <v>700.00333658854163</v>
      </c>
      <c r="J1478" s="832">
        <v>20</v>
      </c>
      <c r="K1478" s="833">
        <v>14000.030029296875</v>
      </c>
    </row>
    <row r="1479" spans="1:11" ht="14.45" customHeight="1" x14ac:dyDescent="0.2">
      <c r="A1479" s="822" t="s">
        <v>575</v>
      </c>
      <c r="B1479" s="823" t="s">
        <v>576</v>
      </c>
      <c r="C1479" s="826" t="s">
        <v>600</v>
      </c>
      <c r="D1479" s="840" t="s">
        <v>601</v>
      </c>
      <c r="E1479" s="826" t="s">
        <v>3264</v>
      </c>
      <c r="F1479" s="840" t="s">
        <v>3265</v>
      </c>
      <c r="G1479" s="826" t="s">
        <v>4097</v>
      </c>
      <c r="H1479" s="826" t="s">
        <v>4098</v>
      </c>
      <c r="I1479" s="832">
        <v>93.268002319335935</v>
      </c>
      <c r="J1479" s="832">
        <v>120</v>
      </c>
      <c r="K1479" s="833">
        <v>11211.899963378906</v>
      </c>
    </row>
    <row r="1480" spans="1:11" ht="14.45" customHeight="1" x14ac:dyDescent="0.2">
      <c r="A1480" s="822" t="s">
        <v>575</v>
      </c>
      <c r="B1480" s="823" t="s">
        <v>576</v>
      </c>
      <c r="C1480" s="826" t="s">
        <v>600</v>
      </c>
      <c r="D1480" s="840" t="s">
        <v>601</v>
      </c>
      <c r="E1480" s="826" t="s">
        <v>3264</v>
      </c>
      <c r="F1480" s="840" t="s">
        <v>3265</v>
      </c>
      <c r="G1480" s="826" t="s">
        <v>4841</v>
      </c>
      <c r="H1480" s="826" t="s">
        <v>4842</v>
      </c>
      <c r="I1480" s="832">
        <v>832.20001220703125</v>
      </c>
      <c r="J1480" s="832">
        <v>30</v>
      </c>
      <c r="K1480" s="833">
        <v>24966.048828125</v>
      </c>
    </row>
    <row r="1481" spans="1:11" ht="14.45" customHeight="1" x14ac:dyDescent="0.2">
      <c r="A1481" s="822" t="s">
        <v>575</v>
      </c>
      <c r="B1481" s="823" t="s">
        <v>576</v>
      </c>
      <c r="C1481" s="826" t="s">
        <v>600</v>
      </c>
      <c r="D1481" s="840" t="s">
        <v>601</v>
      </c>
      <c r="E1481" s="826" t="s">
        <v>3264</v>
      </c>
      <c r="F1481" s="840" t="s">
        <v>3265</v>
      </c>
      <c r="G1481" s="826" t="s">
        <v>4097</v>
      </c>
      <c r="H1481" s="826" t="s">
        <v>4843</v>
      </c>
      <c r="I1481" s="832">
        <v>99.220001220703125</v>
      </c>
      <c r="J1481" s="832">
        <v>10</v>
      </c>
      <c r="K1481" s="833">
        <v>992.20001220703125</v>
      </c>
    </row>
    <row r="1482" spans="1:11" ht="14.45" customHeight="1" x14ac:dyDescent="0.2">
      <c r="A1482" s="822" t="s">
        <v>575</v>
      </c>
      <c r="B1482" s="823" t="s">
        <v>576</v>
      </c>
      <c r="C1482" s="826" t="s">
        <v>600</v>
      </c>
      <c r="D1482" s="840" t="s">
        <v>601</v>
      </c>
      <c r="E1482" s="826" t="s">
        <v>3264</v>
      </c>
      <c r="F1482" s="840" t="s">
        <v>3265</v>
      </c>
      <c r="G1482" s="826" t="s">
        <v>4097</v>
      </c>
      <c r="H1482" s="826" t="s">
        <v>4099</v>
      </c>
      <c r="I1482" s="832">
        <v>99.220001220703125</v>
      </c>
      <c r="J1482" s="832">
        <v>80</v>
      </c>
      <c r="K1482" s="833">
        <v>7937.60009765625</v>
      </c>
    </row>
    <row r="1483" spans="1:11" ht="14.45" customHeight="1" x14ac:dyDescent="0.2">
      <c r="A1483" s="822" t="s">
        <v>575</v>
      </c>
      <c r="B1483" s="823" t="s">
        <v>576</v>
      </c>
      <c r="C1483" s="826" t="s">
        <v>600</v>
      </c>
      <c r="D1483" s="840" t="s">
        <v>601</v>
      </c>
      <c r="E1483" s="826" t="s">
        <v>3264</v>
      </c>
      <c r="F1483" s="840" t="s">
        <v>3265</v>
      </c>
      <c r="G1483" s="826" t="s">
        <v>4844</v>
      </c>
      <c r="H1483" s="826" t="s">
        <v>4845</v>
      </c>
      <c r="I1483" s="832">
        <v>2.0199999809265137</v>
      </c>
      <c r="J1483" s="832">
        <v>200</v>
      </c>
      <c r="K1483" s="833">
        <v>404</v>
      </c>
    </row>
    <row r="1484" spans="1:11" ht="14.45" customHeight="1" x14ac:dyDescent="0.2">
      <c r="A1484" s="822" t="s">
        <v>575</v>
      </c>
      <c r="B1484" s="823" t="s">
        <v>576</v>
      </c>
      <c r="C1484" s="826" t="s">
        <v>600</v>
      </c>
      <c r="D1484" s="840" t="s">
        <v>601</v>
      </c>
      <c r="E1484" s="826" t="s">
        <v>3264</v>
      </c>
      <c r="F1484" s="840" t="s">
        <v>3265</v>
      </c>
      <c r="G1484" s="826" t="s">
        <v>3530</v>
      </c>
      <c r="H1484" s="826" t="s">
        <v>3531</v>
      </c>
      <c r="I1484" s="832">
        <v>21.229999542236328</v>
      </c>
      <c r="J1484" s="832">
        <v>20</v>
      </c>
      <c r="K1484" s="833">
        <v>424.60000610351563</v>
      </c>
    </row>
    <row r="1485" spans="1:11" ht="14.45" customHeight="1" x14ac:dyDescent="0.2">
      <c r="A1485" s="822" t="s">
        <v>575</v>
      </c>
      <c r="B1485" s="823" t="s">
        <v>576</v>
      </c>
      <c r="C1485" s="826" t="s">
        <v>600</v>
      </c>
      <c r="D1485" s="840" t="s">
        <v>601</v>
      </c>
      <c r="E1485" s="826" t="s">
        <v>3264</v>
      </c>
      <c r="F1485" s="840" t="s">
        <v>3265</v>
      </c>
      <c r="G1485" s="826" t="s">
        <v>3530</v>
      </c>
      <c r="H1485" s="826" t="s">
        <v>4109</v>
      </c>
      <c r="I1485" s="832">
        <v>21.236666361490887</v>
      </c>
      <c r="J1485" s="832">
        <v>30</v>
      </c>
      <c r="K1485" s="833">
        <v>637.09999084472656</v>
      </c>
    </row>
    <row r="1486" spans="1:11" ht="14.45" customHeight="1" x14ac:dyDescent="0.2">
      <c r="A1486" s="822" t="s">
        <v>575</v>
      </c>
      <c r="B1486" s="823" t="s">
        <v>576</v>
      </c>
      <c r="C1486" s="826" t="s">
        <v>600</v>
      </c>
      <c r="D1486" s="840" t="s">
        <v>601</v>
      </c>
      <c r="E1486" s="826" t="s">
        <v>3264</v>
      </c>
      <c r="F1486" s="840" t="s">
        <v>3265</v>
      </c>
      <c r="G1486" s="826" t="s">
        <v>3530</v>
      </c>
      <c r="H1486" s="826" t="s">
        <v>3532</v>
      </c>
      <c r="I1486" s="832">
        <v>21.239999771118164</v>
      </c>
      <c r="J1486" s="832">
        <v>10</v>
      </c>
      <c r="K1486" s="833">
        <v>212.39999389648438</v>
      </c>
    </row>
    <row r="1487" spans="1:11" ht="14.45" customHeight="1" x14ac:dyDescent="0.2">
      <c r="A1487" s="822" t="s">
        <v>575</v>
      </c>
      <c r="B1487" s="823" t="s">
        <v>576</v>
      </c>
      <c r="C1487" s="826" t="s">
        <v>600</v>
      </c>
      <c r="D1487" s="840" t="s">
        <v>601</v>
      </c>
      <c r="E1487" s="826" t="s">
        <v>3533</v>
      </c>
      <c r="F1487" s="840" t="s">
        <v>3534</v>
      </c>
      <c r="G1487" s="826" t="s">
        <v>4846</v>
      </c>
      <c r="H1487" s="826" t="s">
        <v>4847</v>
      </c>
      <c r="I1487" s="832">
        <v>4800.68017578125</v>
      </c>
      <c r="J1487" s="832">
        <v>30</v>
      </c>
      <c r="K1487" s="833">
        <v>144020.25</v>
      </c>
    </row>
    <row r="1488" spans="1:11" ht="14.45" customHeight="1" x14ac:dyDescent="0.2">
      <c r="A1488" s="822" t="s">
        <v>575</v>
      </c>
      <c r="B1488" s="823" t="s">
        <v>576</v>
      </c>
      <c r="C1488" s="826" t="s">
        <v>600</v>
      </c>
      <c r="D1488" s="840" t="s">
        <v>601</v>
      </c>
      <c r="E1488" s="826" t="s">
        <v>3533</v>
      </c>
      <c r="F1488" s="840" t="s">
        <v>3534</v>
      </c>
      <c r="G1488" s="826" t="s">
        <v>4846</v>
      </c>
      <c r="H1488" s="826" t="s">
        <v>4848</v>
      </c>
      <c r="I1488" s="832">
        <v>4800.68017578125</v>
      </c>
      <c r="J1488" s="832">
        <v>10</v>
      </c>
      <c r="K1488" s="833">
        <v>48006.75</v>
      </c>
    </row>
    <row r="1489" spans="1:11" ht="14.45" customHeight="1" x14ac:dyDescent="0.2">
      <c r="A1489" s="822" t="s">
        <v>575</v>
      </c>
      <c r="B1489" s="823" t="s">
        <v>576</v>
      </c>
      <c r="C1489" s="826" t="s">
        <v>600</v>
      </c>
      <c r="D1489" s="840" t="s">
        <v>601</v>
      </c>
      <c r="E1489" s="826" t="s">
        <v>3533</v>
      </c>
      <c r="F1489" s="840" t="s">
        <v>3534</v>
      </c>
      <c r="G1489" s="826" t="s">
        <v>3404</v>
      </c>
      <c r="H1489" s="826" t="s">
        <v>3405</v>
      </c>
      <c r="I1489" s="832">
        <v>150.00166575113931</v>
      </c>
      <c r="J1489" s="832">
        <v>290</v>
      </c>
      <c r="K1489" s="833">
        <v>43501.4892578125</v>
      </c>
    </row>
    <row r="1490" spans="1:11" ht="14.45" customHeight="1" x14ac:dyDescent="0.2">
      <c r="A1490" s="822" t="s">
        <v>575</v>
      </c>
      <c r="B1490" s="823" t="s">
        <v>576</v>
      </c>
      <c r="C1490" s="826" t="s">
        <v>600</v>
      </c>
      <c r="D1490" s="840" t="s">
        <v>601</v>
      </c>
      <c r="E1490" s="826" t="s">
        <v>3533</v>
      </c>
      <c r="F1490" s="840" t="s">
        <v>3534</v>
      </c>
      <c r="G1490" s="826" t="s">
        <v>3404</v>
      </c>
      <c r="H1490" s="826" t="s">
        <v>3535</v>
      </c>
      <c r="I1490" s="832">
        <v>150.00166575113931</v>
      </c>
      <c r="J1490" s="832">
        <v>290</v>
      </c>
      <c r="K1490" s="833">
        <v>43501.19970703125</v>
      </c>
    </row>
    <row r="1491" spans="1:11" ht="14.45" customHeight="1" x14ac:dyDescent="0.2">
      <c r="A1491" s="822" t="s">
        <v>575</v>
      </c>
      <c r="B1491" s="823" t="s">
        <v>576</v>
      </c>
      <c r="C1491" s="826" t="s">
        <v>600</v>
      </c>
      <c r="D1491" s="840" t="s">
        <v>601</v>
      </c>
      <c r="E1491" s="826" t="s">
        <v>3533</v>
      </c>
      <c r="F1491" s="840" t="s">
        <v>3534</v>
      </c>
      <c r="G1491" s="826" t="s">
        <v>4849</v>
      </c>
      <c r="H1491" s="826" t="s">
        <v>4850</v>
      </c>
      <c r="I1491" s="832">
        <v>2407.89990234375</v>
      </c>
      <c r="J1491" s="832">
        <v>7</v>
      </c>
      <c r="K1491" s="833">
        <v>16855.30029296875</v>
      </c>
    </row>
    <row r="1492" spans="1:11" ht="14.45" customHeight="1" x14ac:dyDescent="0.2">
      <c r="A1492" s="822" t="s">
        <v>575</v>
      </c>
      <c r="B1492" s="823" t="s">
        <v>576</v>
      </c>
      <c r="C1492" s="826" t="s">
        <v>600</v>
      </c>
      <c r="D1492" s="840" t="s">
        <v>601</v>
      </c>
      <c r="E1492" s="826" t="s">
        <v>3533</v>
      </c>
      <c r="F1492" s="840" t="s">
        <v>3534</v>
      </c>
      <c r="G1492" s="826" t="s">
        <v>3628</v>
      </c>
      <c r="H1492" s="826" t="s">
        <v>3629</v>
      </c>
      <c r="I1492" s="832">
        <v>1652.8599853515625</v>
      </c>
      <c r="J1492" s="832">
        <v>7</v>
      </c>
      <c r="K1492" s="833">
        <v>11570.019897460938</v>
      </c>
    </row>
    <row r="1493" spans="1:11" ht="14.45" customHeight="1" x14ac:dyDescent="0.2">
      <c r="A1493" s="822" t="s">
        <v>575</v>
      </c>
      <c r="B1493" s="823" t="s">
        <v>576</v>
      </c>
      <c r="C1493" s="826" t="s">
        <v>600</v>
      </c>
      <c r="D1493" s="840" t="s">
        <v>601</v>
      </c>
      <c r="E1493" s="826" t="s">
        <v>3533</v>
      </c>
      <c r="F1493" s="840" t="s">
        <v>3534</v>
      </c>
      <c r="G1493" s="826" t="s">
        <v>3628</v>
      </c>
      <c r="H1493" s="826" t="s">
        <v>3630</v>
      </c>
      <c r="I1493" s="832">
        <v>1652.8599853515625</v>
      </c>
      <c r="J1493" s="832">
        <v>1</v>
      </c>
      <c r="K1493" s="833">
        <v>1652.8599853515625</v>
      </c>
    </row>
    <row r="1494" spans="1:11" ht="14.45" customHeight="1" x14ac:dyDescent="0.2">
      <c r="A1494" s="822" t="s">
        <v>575</v>
      </c>
      <c r="B1494" s="823" t="s">
        <v>576</v>
      </c>
      <c r="C1494" s="826" t="s">
        <v>600</v>
      </c>
      <c r="D1494" s="840" t="s">
        <v>601</v>
      </c>
      <c r="E1494" s="826" t="s">
        <v>3533</v>
      </c>
      <c r="F1494" s="840" t="s">
        <v>3534</v>
      </c>
      <c r="G1494" s="826" t="s">
        <v>3628</v>
      </c>
      <c r="H1494" s="826" t="s">
        <v>4851</v>
      </c>
      <c r="I1494" s="832">
        <v>1652.8599853515625</v>
      </c>
      <c r="J1494" s="832">
        <v>27</v>
      </c>
      <c r="K1494" s="833">
        <v>44627.219604492188</v>
      </c>
    </row>
    <row r="1495" spans="1:11" ht="14.45" customHeight="1" x14ac:dyDescent="0.2">
      <c r="A1495" s="822" t="s">
        <v>575</v>
      </c>
      <c r="B1495" s="823" t="s">
        <v>576</v>
      </c>
      <c r="C1495" s="826" t="s">
        <v>600</v>
      </c>
      <c r="D1495" s="840" t="s">
        <v>601</v>
      </c>
      <c r="E1495" s="826" t="s">
        <v>3533</v>
      </c>
      <c r="F1495" s="840" t="s">
        <v>3534</v>
      </c>
      <c r="G1495" s="826" t="s">
        <v>3536</v>
      </c>
      <c r="H1495" s="826" t="s">
        <v>3537</v>
      </c>
      <c r="I1495" s="832">
        <v>10.163636294278232</v>
      </c>
      <c r="J1495" s="832">
        <v>1500</v>
      </c>
      <c r="K1495" s="833">
        <v>15245</v>
      </c>
    </row>
    <row r="1496" spans="1:11" ht="14.45" customHeight="1" x14ac:dyDescent="0.2">
      <c r="A1496" s="822" t="s">
        <v>575</v>
      </c>
      <c r="B1496" s="823" t="s">
        <v>576</v>
      </c>
      <c r="C1496" s="826" t="s">
        <v>600</v>
      </c>
      <c r="D1496" s="840" t="s">
        <v>601</v>
      </c>
      <c r="E1496" s="826" t="s">
        <v>3533</v>
      </c>
      <c r="F1496" s="840" t="s">
        <v>3534</v>
      </c>
      <c r="G1496" s="826" t="s">
        <v>3536</v>
      </c>
      <c r="H1496" s="826" t="s">
        <v>3538</v>
      </c>
      <c r="I1496" s="832">
        <v>10.164999961853027</v>
      </c>
      <c r="J1496" s="832">
        <v>850</v>
      </c>
      <c r="K1496" s="833">
        <v>8640.5</v>
      </c>
    </row>
    <row r="1497" spans="1:11" ht="14.45" customHeight="1" x14ac:dyDescent="0.2">
      <c r="A1497" s="822" t="s">
        <v>575</v>
      </c>
      <c r="B1497" s="823" t="s">
        <v>576</v>
      </c>
      <c r="C1497" s="826" t="s">
        <v>600</v>
      </c>
      <c r="D1497" s="840" t="s">
        <v>601</v>
      </c>
      <c r="E1497" s="826" t="s">
        <v>3533</v>
      </c>
      <c r="F1497" s="840" t="s">
        <v>3534</v>
      </c>
      <c r="G1497" s="826" t="s">
        <v>4852</v>
      </c>
      <c r="H1497" s="826" t="s">
        <v>4853</v>
      </c>
      <c r="I1497" s="832">
        <v>5770.4732572115381</v>
      </c>
      <c r="J1497" s="832">
        <v>60</v>
      </c>
      <c r="K1497" s="833">
        <v>346228.6796875</v>
      </c>
    </row>
    <row r="1498" spans="1:11" ht="14.45" customHeight="1" x14ac:dyDescent="0.2">
      <c r="A1498" s="822" t="s">
        <v>575</v>
      </c>
      <c r="B1498" s="823" t="s">
        <v>576</v>
      </c>
      <c r="C1498" s="826" t="s">
        <v>600</v>
      </c>
      <c r="D1498" s="840" t="s">
        <v>601</v>
      </c>
      <c r="E1498" s="826" t="s">
        <v>3533</v>
      </c>
      <c r="F1498" s="840" t="s">
        <v>3534</v>
      </c>
      <c r="G1498" s="826" t="s">
        <v>4854</v>
      </c>
      <c r="H1498" s="826" t="s">
        <v>4855</v>
      </c>
      <c r="I1498" s="832">
        <v>1884.8499755859375</v>
      </c>
      <c r="J1498" s="832">
        <v>318</v>
      </c>
      <c r="K1498" s="833">
        <v>599382.2998046875</v>
      </c>
    </row>
    <row r="1499" spans="1:11" ht="14.45" customHeight="1" x14ac:dyDescent="0.2">
      <c r="A1499" s="822" t="s">
        <v>575</v>
      </c>
      <c r="B1499" s="823" t="s">
        <v>576</v>
      </c>
      <c r="C1499" s="826" t="s">
        <v>600</v>
      </c>
      <c r="D1499" s="840" t="s">
        <v>601</v>
      </c>
      <c r="E1499" s="826" t="s">
        <v>3533</v>
      </c>
      <c r="F1499" s="840" t="s">
        <v>3534</v>
      </c>
      <c r="G1499" s="826" t="s">
        <v>4856</v>
      </c>
      <c r="H1499" s="826" t="s">
        <v>4857</v>
      </c>
      <c r="I1499" s="832">
        <v>1403</v>
      </c>
      <c r="J1499" s="832">
        <v>177</v>
      </c>
      <c r="K1499" s="833">
        <v>248331</v>
      </c>
    </row>
    <row r="1500" spans="1:11" ht="14.45" customHeight="1" x14ac:dyDescent="0.2">
      <c r="A1500" s="822" t="s">
        <v>575</v>
      </c>
      <c r="B1500" s="823" t="s">
        <v>576</v>
      </c>
      <c r="C1500" s="826" t="s">
        <v>600</v>
      </c>
      <c r="D1500" s="840" t="s">
        <v>601</v>
      </c>
      <c r="E1500" s="826" t="s">
        <v>3533</v>
      </c>
      <c r="F1500" s="840" t="s">
        <v>3534</v>
      </c>
      <c r="G1500" s="826" t="s">
        <v>4854</v>
      </c>
      <c r="H1500" s="826" t="s">
        <v>4858</v>
      </c>
      <c r="I1500" s="832">
        <v>1884.8499755859375</v>
      </c>
      <c r="J1500" s="832">
        <v>219</v>
      </c>
      <c r="K1500" s="833">
        <v>412782.14916992188</v>
      </c>
    </row>
    <row r="1501" spans="1:11" ht="14.45" customHeight="1" x14ac:dyDescent="0.2">
      <c r="A1501" s="822" t="s">
        <v>575</v>
      </c>
      <c r="B1501" s="823" t="s">
        <v>576</v>
      </c>
      <c r="C1501" s="826" t="s">
        <v>600</v>
      </c>
      <c r="D1501" s="840" t="s">
        <v>601</v>
      </c>
      <c r="E1501" s="826" t="s">
        <v>3533</v>
      </c>
      <c r="F1501" s="840" t="s">
        <v>3534</v>
      </c>
      <c r="G1501" s="826" t="s">
        <v>4856</v>
      </c>
      <c r="H1501" s="826" t="s">
        <v>4859</v>
      </c>
      <c r="I1501" s="832">
        <v>1403</v>
      </c>
      <c r="J1501" s="832">
        <v>100</v>
      </c>
      <c r="K1501" s="833">
        <v>140300</v>
      </c>
    </row>
    <row r="1502" spans="1:11" ht="14.45" customHeight="1" x14ac:dyDescent="0.2">
      <c r="A1502" s="822" t="s">
        <v>575</v>
      </c>
      <c r="B1502" s="823" t="s">
        <v>576</v>
      </c>
      <c r="C1502" s="826" t="s">
        <v>600</v>
      </c>
      <c r="D1502" s="840" t="s">
        <v>601</v>
      </c>
      <c r="E1502" s="826" t="s">
        <v>3533</v>
      </c>
      <c r="F1502" s="840" t="s">
        <v>3534</v>
      </c>
      <c r="G1502" s="826" t="s">
        <v>4860</v>
      </c>
      <c r="H1502" s="826" t="s">
        <v>4861</v>
      </c>
      <c r="I1502" s="832">
        <v>1896.0699462890625</v>
      </c>
      <c r="J1502" s="832">
        <v>5</v>
      </c>
      <c r="K1502" s="833">
        <v>9480.349609375</v>
      </c>
    </row>
    <row r="1503" spans="1:11" ht="14.45" customHeight="1" x14ac:dyDescent="0.2">
      <c r="A1503" s="822" t="s">
        <v>575</v>
      </c>
      <c r="B1503" s="823" t="s">
        <v>576</v>
      </c>
      <c r="C1503" s="826" t="s">
        <v>600</v>
      </c>
      <c r="D1503" s="840" t="s">
        <v>601</v>
      </c>
      <c r="E1503" s="826" t="s">
        <v>3533</v>
      </c>
      <c r="F1503" s="840" t="s">
        <v>3534</v>
      </c>
      <c r="G1503" s="826" t="s">
        <v>3539</v>
      </c>
      <c r="H1503" s="826" t="s">
        <v>3540</v>
      </c>
      <c r="I1503" s="832">
        <v>16.819999694824219</v>
      </c>
      <c r="J1503" s="832">
        <v>100</v>
      </c>
      <c r="K1503" s="833">
        <v>1682</v>
      </c>
    </row>
    <row r="1504" spans="1:11" ht="14.45" customHeight="1" x14ac:dyDescent="0.2">
      <c r="A1504" s="822" t="s">
        <v>575</v>
      </c>
      <c r="B1504" s="823" t="s">
        <v>576</v>
      </c>
      <c r="C1504" s="826" t="s">
        <v>600</v>
      </c>
      <c r="D1504" s="840" t="s">
        <v>601</v>
      </c>
      <c r="E1504" s="826" t="s">
        <v>3533</v>
      </c>
      <c r="F1504" s="840" t="s">
        <v>3534</v>
      </c>
      <c r="G1504" s="826" t="s">
        <v>3541</v>
      </c>
      <c r="H1504" s="826" t="s">
        <v>3542</v>
      </c>
      <c r="I1504" s="832">
        <v>16.697500705718994</v>
      </c>
      <c r="J1504" s="832">
        <v>610</v>
      </c>
      <c r="K1504" s="833">
        <v>10185</v>
      </c>
    </row>
    <row r="1505" spans="1:11" ht="14.45" customHeight="1" x14ac:dyDescent="0.2">
      <c r="A1505" s="822" t="s">
        <v>575</v>
      </c>
      <c r="B1505" s="823" t="s">
        <v>576</v>
      </c>
      <c r="C1505" s="826" t="s">
        <v>600</v>
      </c>
      <c r="D1505" s="840" t="s">
        <v>601</v>
      </c>
      <c r="E1505" s="826" t="s">
        <v>3533</v>
      </c>
      <c r="F1505" s="840" t="s">
        <v>3534</v>
      </c>
      <c r="G1505" s="826" t="s">
        <v>3539</v>
      </c>
      <c r="H1505" s="826" t="s">
        <v>3543</v>
      </c>
      <c r="I1505" s="832">
        <v>16.819999694824219</v>
      </c>
      <c r="J1505" s="832">
        <v>400</v>
      </c>
      <c r="K1505" s="833">
        <v>6728</v>
      </c>
    </row>
    <row r="1506" spans="1:11" ht="14.45" customHeight="1" x14ac:dyDescent="0.2">
      <c r="A1506" s="822" t="s">
        <v>575</v>
      </c>
      <c r="B1506" s="823" t="s">
        <v>576</v>
      </c>
      <c r="C1506" s="826" t="s">
        <v>600</v>
      </c>
      <c r="D1506" s="840" t="s">
        <v>601</v>
      </c>
      <c r="E1506" s="826" t="s">
        <v>3533</v>
      </c>
      <c r="F1506" s="840" t="s">
        <v>3534</v>
      </c>
      <c r="G1506" s="826" t="s">
        <v>4862</v>
      </c>
      <c r="H1506" s="826" t="s">
        <v>4863</v>
      </c>
      <c r="I1506" s="832">
        <v>1306.800048828125</v>
      </c>
      <c r="J1506" s="832">
        <v>20</v>
      </c>
      <c r="K1506" s="833">
        <v>26136</v>
      </c>
    </row>
    <row r="1507" spans="1:11" ht="14.45" customHeight="1" x14ac:dyDescent="0.2">
      <c r="A1507" s="822" t="s">
        <v>575</v>
      </c>
      <c r="B1507" s="823" t="s">
        <v>576</v>
      </c>
      <c r="C1507" s="826" t="s">
        <v>600</v>
      </c>
      <c r="D1507" s="840" t="s">
        <v>601</v>
      </c>
      <c r="E1507" s="826" t="s">
        <v>3533</v>
      </c>
      <c r="F1507" s="840" t="s">
        <v>3534</v>
      </c>
      <c r="G1507" s="826" t="s">
        <v>4864</v>
      </c>
      <c r="H1507" s="826" t="s">
        <v>4865</v>
      </c>
      <c r="I1507" s="832">
        <v>1306.800048828125</v>
      </c>
      <c r="J1507" s="832">
        <v>5</v>
      </c>
      <c r="K1507" s="833">
        <v>6534</v>
      </c>
    </row>
    <row r="1508" spans="1:11" ht="14.45" customHeight="1" x14ac:dyDescent="0.2">
      <c r="A1508" s="822" t="s">
        <v>575</v>
      </c>
      <c r="B1508" s="823" t="s">
        <v>576</v>
      </c>
      <c r="C1508" s="826" t="s">
        <v>600</v>
      </c>
      <c r="D1508" s="840" t="s">
        <v>601</v>
      </c>
      <c r="E1508" s="826" t="s">
        <v>3533</v>
      </c>
      <c r="F1508" s="840" t="s">
        <v>3534</v>
      </c>
      <c r="G1508" s="826" t="s">
        <v>4862</v>
      </c>
      <c r="H1508" s="826" t="s">
        <v>4866</v>
      </c>
      <c r="I1508" s="832">
        <v>1306.800048828125</v>
      </c>
      <c r="J1508" s="832">
        <v>5</v>
      </c>
      <c r="K1508" s="833">
        <v>6534</v>
      </c>
    </row>
    <row r="1509" spans="1:11" ht="14.45" customHeight="1" x14ac:dyDescent="0.2">
      <c r="A1509" s="822" t="s">
        <v>575</v>
      </c>
      <c r="B1509" s="823" t="s">
        <v>576</v>
      </c>
      <c r="C1509" s="826" t="s">
        <v>600</v>
      </c>
      <c r="D1509" s="840" t="s">
        <v>601</v>
      </c>
      <c r="E1509" s="826" t="s">
        <v>3533</v>
      </c>
      <c r="F1509" s="840" t="s">
        <v>3534</v>
      </c>
      <c r="G1509" s="826" t="s">
        <v>4864</v>
      </c>
      <c r="H1509" s="826" t="s">
        <v>4867</v>
      </c>
      <c r="I1509" s="832">
        <v>1306.800048828125</v>
      </c>
      <c r="J1509" s="832">
        <v>5</v>
      </c>
      <c r="K1509" s="833">
        <v>6534</v>
      </c>
    </row>
    <row r="1510" spans="1:11" ht="14.45" customHeight="1" x14ac:dyDescent="0.2">
      <c r="A1510" s="822" t="s">
        <v>575</v>
      </c>
      <c r="B1510" s="823" t="s">
        <v>576</v>
      </c>
      <c r="C1510" s="826" t="s">
        <v>600</v>
      </c>
      <c r="D1510" s="840" t="s">
        <v>601</v>
      </c>
      <c r="E1510" s="826" t="s">
        <v>3533</v>
      </c>
      <c r="F1510" s="840" t="s">
        <v>3534</v>
      </c>
      <c r="G1510" s="826" t="s">
        <v>4862</v>
      </c>
      <c r="H1510" s="826" t="s">
        <v>4868</v>
      </c>
      <c r="I1510" s="832">
        <v>1306.800048828125</v>
      </c>
      <c r="J1510" s="832">
        <v>15</v>
      </c>
      <c r="K1510" s="833">
        <v>19602</v>
      </c>
    </row>
    <row r="1511" spans="1:11" ht="14.45" customHeight="1" x14ac:dyDescent="0.2">
      <c r="A1511" s="822" t="s">
        <v>575</v>
      </c>
      <c r="B1511" s="823" t="s">
        <v>576</v>
      </c>
      <c r="C1511" s="826" t="s">
        <v>600</v>
      </c>
      <c r="D1511" s="840" t="s">
        <v>601</v>
      </c>
      <c r="E1511" s="826" t="s">
        <v>3533</v>
      </c>
      <c r="F1511" s="840" t="s">
        <v>3534</v>
      </c>
      <c r="G1511" s="826" t="s">
        <v>4864</v>
      </c>
      <c r="H1511" s="826" t="s">
        <v>4869</v>
      </c>
      <c r="I1511" s="832">
        <v>1306.800048828125</v>
      </c>
      <c r="J1511" s="832">
        <v>5</v>
      </c>
      <c r="K1511" s="833">
        <v>6534</v>
      </c>
    </row>
    <row r="1512" spans="1:11" ht="14.45" customHeight="1" x14ac:dyDescent="0.2">
      <c r="A1512" s="822" t="s">
        <v>575</v>
      </c>
      <c r="B1512" s="823" t="s">
        <v>576</v>
      </c>
      <c r="C1512" s="826" t="s">
        <v>600</v>
      </c>
      <c r="D1512" s="840" t="s">
        <v>601</v>
      </c>
      <c r="E1512" s="826" t="s">
        <v>3533</v>
      </c>
      <c r="F1512" s="840" t="s">
        <v>3534</v>
      </c>
      <c r="G1512" s="826" t="s">
        <v>4870</v>
      </c>
      <c r="H1512" s="826" t="s">
        <v>4871</v>
      </c>
      <c r="I1512" s="832">
        <v>60.5</v>
      </c>
      <c r="J1512" s="832">
        <v>200</v>
      </c>
      <c r="K1512" s="833">
        <v>12100</v>
      </c>
    </row>
    <row r="1513" spans="1:11" ht="14.45" customHeight="1" x14ac:dyDescent="0.2">
      <c r="A1513" s="822" t="s">
        <v>575</v>
      </c>
      <c r="B1513" s="823" t="s">
        <v>576</v>
      </c>
      <c r="C1513" s="826" t="s">
        <v>600</v>
      </c>
      <c r="D1513" s="840" t="s">
        <v>601</v>
      </c>
      <c r="E1513" s="826" t="s">
        <v>3533</v>
      </c>
      <c r="F1513" s="840" t="s">
        <v>3534</v>
      </c>
      <c r="G1513" s="826" t="s">
        <v>4870</v>
      </c>
      <c r="H1513" s="826" t="s">
        <v>4872</v>
      </c>
      <c r="I1513" s="832">
        <v>60.5</v>
      </c>
      <c r="J1513" s="832">
        <v>100</v>
      </c>
      <c r="K1513" s="833">
        <v>6050</v>
      </c>
    </row>
    <row r="1514" spans="1:11" ht="14.45" customHeight="1" x14ac:dyDescent="0.2">
      <c r="A1514" s="822" t="s">
        <v>575</v>
      </c>
      <c r="B1514" s="823" t="s">
        <v>576</v>
      </c>
      <c r="C1514" s="826" t="s">
        <v>600</v>
      </c>
      <c r="D1514" s="840" t="s">
        <v>601</v>
      </c>
      <c r="E1514" s="826" t="s">
        <v>4873</v>
      </c>
      <c r="F1514" s="840" t="s">
        <v>4874</v>
      </c>
      <c r="G1514" s="826" t="s">
        <v>4875</v>
      </c>
      <c r="H1514" s="826" t="s">
        <v>4876</v>
      </c>
      <c r="I1514" s="832">
        <v>52.900001525878906</v>
      </c>
      <c r="J1514" s="832">
        <v>600</v>
      </c>
      <c r="K1514" s="833">
        <v>31740</v>
      </c>
    </row>
    <row r="1515" spans="1:11" ht="14.45" customHeight="1" x14ac:dyDescent="0.2">
      <c r="A1515" s="822" t="s">
        <v>575</v>
      </c>
      <c r="B1515" s="823" t="s">
        <v>576</v>
      </c>
      <c r="C1515" s="826" t="s">
        <v>600</v>
      </c>
      <c r="D1515" s="840" t="s">
        <v>601</v>
      </c>
      <c r="E1515" s="826" t="s">
        <v>4873</v>
      </c>
      <c r="F1515" s="840" t="s">
        <v>4874</v>
      </c>
      <c r="G1515" s="826" t="s">
        <v>4877</v>
      </c>
      <c r="H1515" s="826" t="s">
        <v>4878</v>
      </c>
      <c r="I1515" s="832">
        <v>52.900001525878906</v>
      </c>
      <c r="J1515" s="832">
        <v>504</v>
      </c>
      <c r="K1515" s="833">
        <v>26661.599853515625</v>
      </c>
    </row>
    <row r="1516" spans="1:11" ht="14.45" customHeight="1" x14ac:dyDescent="0.2">
      <c r="A1516" s="822" t="s">
        <v>575</v>
      </c>
      <c r="B1516" s="823" t="s">
        <v>576</v>
      </c>
      <c r="C1516" s="826" t="s">
        <v>600</v>
      </c>
      <c r="D1516" s="840" t="s">
        <v>601</v>
      </c>
      <c r="E1516" s="826" t="s">
        <v>4873</v>
      </c>
      <c r="F1516" s="840" t="s">
        <v>4874</v>
      </c>
      <c r="G1516" s="826" t="s">
        <v>4879</v>
      </c>
      <c r="H1516" s="826" t="s">
        <v>4880</v>
      </c>
      <c r="I1516" s="832">
        <v>35.310001373291016</v>
      </c>
      <c r="J1516" s="832">
        <v>72</v>
      </c>
      <c r="K1516" s="833">
        <v>2542.1400146484375</v>
      </c>
    </row>
    <row r="1517" spans="1:11" ht="14.45" customHeight="1" x14ac:dyDescent="0.2">
      <c r="A1517" s="822" t="s">
        <v>575</v>
      </c>
      <c r="B1517" s="823" t="s">
        <v>576</v>
      </c>
      <c r="C1517" s="826" t="s">
        <v>600</v>
      </c>
      <c r="D1517" s="840" t="s">
        <v>601</v>
      </c>
      <c r="E1517" s="826" t="s">
        <v>4873</v>
      </c>
      <c r="F1517" s="840" t="s">
        <v>4874</v>
      </c>
      <c r="G1517" s="826" t="s">
        <v>4881</v>
      </c>
      <c r="H1517" s="826" t="s">
        <v>4882</v>
      </c>
      <c r="I1517" s="832">
        <v>40.139999389648438</v>
      </c>
      <c r="J1517" s="832">
        <v>36</v>
      </c>
      <c r="K1517" s="833">
        <v>1444.8599853515625</v>
      </c>
    </row>
    <row r="1518" spans="1:11" ht="14.45" customHeight="1" x14ac:dyDescent="0.2">
      <c r="A1518" s="822" t="s">
        <v>575</v>
      </c>
      <c r="B1518" s="823" t="s">
        <v>576</v>
      </c>
      <c r="C1518" s="826" t="s">
        <v>600</v>
      </c>
      <c r="D1518" s="840" t="s">
        <v>601</v>
      </c>
      <c r="E1518" s="826" t="s">
        <v>4873</v>
      </c>
      <c r="F1518" s="840" t="s">
        <v>4874</v>
      </c>
      <c r="G1518" s="826" t="s">
        <v>4883</v>
      </c>
      <c r="H1518" s="826" t="s">
        <v>4884</v>
      </c>
      <c r="I1518" s="832">
        <v>35.075000762939453</v>
      </c>
      <c r="J1518" s="832">
        <v>72</v>
      </c>
      <c r="K1518" s="833">
        <v>2525.219970703125</v>
      </c>
    </row>
    <row r="1519" spans="1:11" ht="14.45" customHeight="1" x14ac:dyDescent="0.2">
      <c r="A1519" s="822" t="s">
        <v>575</v>
      </c>
      <c r="B1519" s="823" t="s">
        <v>576</v>
      </c>
      <c r="C1519" s="826" t="s">
        <v>600</v>
      </c>
      <c r="D1519" s="840" t="s">
        <v>601</v>
      </c>
      <c r="E1519" s="826" t="s">
        <v>4873</v>
      </c>
      <c r="F1519" s="840" t="s">
        <v>4874</v>
      </c>
      <c r="G1519" s="826" t="s">
        <v>4885</v>
      </c>
      <c r="H1519" s="826" t="s">
        <v>4886</v>
      </c>
      <c r="I1519" s="832">
        <v>28.059999465942383</v>
      </c>
      <c r="J1519" s="832">
        <v>36</v>
      </c>
      <c r="K1519" s="833">
        <v>1010.1599731445313</v>
      </c>
    </row>
    <row r="1520" spans="1:11" ht="14.45" customHeight="1" x14ac:dyDescent="0.2">
      <c r="A1520" s="822" t="s">
        <v>575</v>
      </c>
      <c r="B1520" s="823" t="s">
        <v>576</v>
      </c>
      <c r="C1520" s="826" t="s">
        <v>600</v>
      </c>
      <c r="D1520" s="840" t="s">
        <v>601</v>
      </c>
      <c r="E1520" s="826" t="s">
        <v>4873</v>
      </c>
      <c r="F1520" s="840" t="s">
        <v>4874</v>
      </c>
      <c r="G1520" s="826" t="s">
        <v>4887</v>
      </c>
      <c r="H1520" s="826" t="s">
        <v>4888</v>
      </c>
      <c r="I1520" s="832">
        <v>546.66998291015625</v>
      </c>
      <c r="J1520" s="832">
        <v>12</v>
      </c>
      <c r="K1520" s="833">
        <v>6560</v>
      </c>
    </row>
    <row r="1521" spans="1:11" ht="14.45" customHeight="1" x14ac:dyDescent="0.2">
      <c r="A1521" s="822" t="s">
        <v>575</v>
      </c>
      <c r="B1521" s="823" t="s">
        <v>576</v>
      </c>
      <c r="C1521" s="826" t="s">
        <v>600</v>
      </c>
      <c r="D1521" s="840" t="s">
        <v>601</v>
      </c>
      <c r="E1521" s="826" t="s">
        <v>4873</v>
      </c>
      <c r="F1521" s="840" t="s">
        <v>4874</v>
      </c>
      <c r="G1521" s="826" t="s">
        <v>4889</v>
      </c>
      <c r="H1521" s="826" t="s">
        <v>4890</v>
      </c>
      <c r="I1521" s="832">
        <v>753.72998046875</v>
      </c>
      <c r="J1521" s="832">
        <v>12</v>
      </c>
      <c r="K1521" s="833">
        <v>9044.7998046875</v>
      </c>
    </row>
    <row r="1522" spans="1:11" ht="14.45" customHeight="1" x14ac:dyDescent="0.2">
      <c r="A1522" s="822" t="s">
        <v>575</v>
      </c>
      <c r="B1522" s="823" t="s">
        <v>576</v>
      </c>
      <c r="C1522" s="826" t="s">
        <v>600</v>
      </c>
      <c r="D1522" s="840" t="s">
        <v>601</v>
      </c>
      <c r="E1522" s="826" t="s">
        <v>4873</v>
      </c>
      <c r="F1522" s="840" t="s">
        <v>4874</v>
      </c>
      <c r="G1522" s="826" t="s">
        <v>4891</v>
      </c>
      <c r="H1522" s="826" t="s">
        <v>4892</v>
      </c>
      <c r="I1522" s="832">
        <v>108.22000122070313</v>
      </c>
      <c r="J1522" s="832">
        <v>48</v>
      </c>
      <c r="K1522" s="833">
        <v>5194.31982421875</v>
      </c>
    </row>
    <row r="1523" spans="1:11" ht="14.45" customHeight="1" x14ac:dyDescent="0.2">
      <c r="A1523" s="822" t="s">
        <v>575</v>
      </c>
      <c r="B1523" s="823" t="s">
        <v>576</v>
      </c>
      <c r="C1523" s="826" t="s">
        <v>600</v>
      </c>
      <c r="D1523" s="840" t="s">
        <v>601</v>
      </c>
      <c r="E1523" s="826" t="s">
        <v>4873</v>
      </c>
      <c r="F1523" s="840" t="s">
        <v>4874</v>
      </c>
      <c r="G1523" s="826" t="s">
        <v>4893</v>
      </c>
      <c r="H1523" s="826" t="s">
        <v>4894</v>
      </c>
      <c r="I1523" s="832">
        <v>47.75</v>
      </c>
      <c r="J1523" s="832">
        <v>72</v>
      </c>
      <c r="K1523" s="833">
        <v>3438.330078125</v>
      </c>
    </row>
    <row r="1524" spans="1:11" ht="14.45" customHeight="1" x14ac:dyDescent="0.2">
      <c r="A1524" s="822" t="s">
        <v>575</v>
      </c>
      <c r="B1524" s="823" t="s">
        <v>576</v>
      </c>
      <c r="C1524" s="826" t="s">
        <v>600</v>
      </c>
      <c r="D1524" s="840" t="s">
        <v>601</v>
      </c>
      <c r="E1524" s="826" t="s">
        <v>4873</v>
      </c>
      <c r="F1524" s="840" t="s">
        <v>4874</v>
      </c>
      <c r="G1524" s="826" t="s">
        <v>4895</v>
      </c>
      <c r="H1524" s="826" t="s">
        <v>4896</v>
      </c>
      <c r="I1524" s="832">
        <v>113.84999847412109</v>
      </c>
      <c r="J1524" s="832">
        <v>24</v>
      </c>
      <c r="K1524" s="833">
        <v>2732.39990234375</v>
      </c>
    </row>
    <row r="1525" spans="1:11" ht="14.45" customHeight="1" x14ac:dyDescent="0.2">
      <c r="A1525" s="822" t="s">
        <v>575</v>
      </c>
      <c r="B1525" s="823" t="s">
        <v>576</v>
      </c>
      <c r="C1525" s="826" t="s">
        <v>600</v>
      </c>
      <c r="D1525" s="840" t="s">
        <v>601</v>
      </c>
      <c r="E1525" s="826" t="s">
        <v>4873</v>
      </c>
      <c r="F1525" s="840" t="s">
        <v>4874</v>
      </c>
      <c r="G1525" s="826" t="s">
        <v>4897</v>
      </c>
      <c r="H1525" s="826" t="s">
        <v>4898</v>
      </c>
      <c r="I1525" s="832">
        <v>67.849998474121094</v>
      </c>
      <c r="J1525" s="832">
        <v>1008</v>
      </c>
      <c r="K1525" s="833">
        <v>68392.80078125</v>
      </c>
    </row>
    <row r="1526" spans="1:11" ht="14.45" customHeight="1" x14ac:dyDescent="0.2">
      <c r="A1526" s="822" t="s">
        <v>575</v>
      </c>
      <c r="B1526" s="823" t="s">
        <v>576</v>
      </c>
      <c r="C1526" s="826" t="s">
        <v>600</v>
      </c>
      <c r="D1526" s="840" t="s">
        <v>601</v>
      </c>
      <c r="E1526" s="826" t="s">
        <v>4873</v>
      </c>
      <c r="F1526" s="840" t="s">
        <v>4874</v>
      </c>
      <c r="G1526" s="826" t="s">
        <v>4899</v>
      </c>
      <c r="H1526" s="826" t="s">
        <v>4900</v>
      </c>
      <c r="I1526" s="832">
        <v>69</v>
      </c>
      <c r="J1526" s="832">
        <v>36</v>
      </c>
      <c r="K1526" s="833">
        <v>2484</v>
      </c>
    </row>
    <row r="1527" spans="1:11" ht="14.45" customHeight="1" x14ac:dyDescent="0.2">
      <c r="A1527" s="822" t="s">
        <v>575</v>
      </c>
      <c r="B1527" s="823" t="s">
        <v>576</v>
      </c>
      <c r="C1527" s="826" t="s">
        <v>600</v>
      </c>
      <c r="D1527" s="840" t="s">
        <v>601</v>
      </c>
      <c r="E1527" s="826" t="s">
        <v>4873</v>
      </c>
      <c r="F1527" s="840" t="s">
        <v>4874</v>
      </c>
      <c r="G1527" s="826" t="s">
        <v>4901</v>
      </c>
      <c r="H1527" s="826" t="s">
        <v>4902</v>
      </c>
      <c r="I1527" s="832">
        <v>65.550003051757813</v>
      </c>
      <c r="J1527" s="832">
        <v>108</v>
      </c>
      <c r="K1527" s="833">
        <v>7079.400146484375</v>
      </c>
    </row>
    <row r="1528" spans="1:11" ht="14.45" customHeight="1" x14ac:dyDescent="0.2">
      <c r="A1528" s="822" t="s">
        <v>575</v>
      </c>
      <c r="B1528" s="823" t="s">
        <v>576</v>
      </c>
      <c r="C1528" s="826" t="s">
        <v>600</v>
      </c>
      <c r="D1528" s="840" t="s">
        <v>601</v>
      </c>
      <c r="E1528" s="826" t="s">
        <v>4873</v>
      </c>
      <c r="F1528" s="840" t="s">
        <v>4874</v>
      </c>
      <c r="G1528" s="826" t="s">
        <v>4903</v>
      </c>
      <c r="H1528" s="826" t="s">
        <v>4904</v>
      </c>
      <c r="I1528" s="832">
        <v>65.550003051757813</v>
      </c>
      <c r="J1528" s="832">
        <v>252</v>
      </c>
      <c r="K1528" s="833">
        <v>16518.600341796875</v>
      </c>
    </row>
    <row r="1529" spans="1:11" ht="14.45" customHeight="1" x14ac:dyDescent="0.2">
      <c r="A1529" s="822" t="s">
        <v>575</v>
      </c>
      <c r="B1529" s="823" t="s">
        <v>576</v>
      </c>
      <c r="C1529" s="826" t="s">
        <v>600</v>
      </c>
      <c r="D1529" s="840" t="s">
        <v>601</v>
      </c>
      <c r="E1529" s="826" t="s">
        <v>4873</v>
      </c>
      <c r="F1529" s="840" t="s">
        <v>4874</v>
      </c>
      <c r="G1529" s="826" t="s">
        <v>4905</v>
      </c>
      <c r="H1529" s="826" t="s">
        <v>4906</v>
      </c>
      <c r="I1529" s="832">
        <v>69</v>
      </c>
      <c r="J1529" s="832">
        <v>648</v>
      </c>
      <c r="K1529" s="833">
        <v>44712</v>
      </c>
    </row>
    <row r="1530" spans="1:11" ht="14.45" customHeight="1" x14ac:dyDescent="0.2">
      <c r="A1530" s="822" t="s">
        <v>575</v>
      </c>
      <c r="B1530" s="823" t="s">
        <v>576</v>
      </c>
      <c r="C1530" s="826" t="s">
        <v>600</v>
      </c>
      <c r="D1530" s="840" t="s">
        <v>601</v>
      </c>
      <c r="E1530" s="826" t="s">
        <v>4873</v>
      </c>
      <c r="F1530" s="840" t="s">
        <v>4874</v>
      </c>
      <c r="G1530" s="826" t="s">
        <v>4907</v>
      </c>
      <c r="H1530" s="826" t="s">
        <v>4908</v>
      </c>
      <c r="I1530" s="832">
        <v>69</v>
      </c>
      <c r="J1530" s="832">
        <v>180</v>
      </c>
      <c r="K1530" s="833">
        <v>12420</v>
      </c>
    </row>
    <row r="1531" spans="1:11" ht="14.45" customHeight="1" x14ac:dyDescent="0.2">
      <c r="A1531" s="822" t="s">
        <v>575</v>
      </c>
      <c r="B1531" s="823" t="s">
        <v>576</v>
      </c>
      <c r="C1531" s="826" t="s">
        <v>600</v>
      </c>
      <c r="D1531" s="840" t="s">
        <v>601</v>
      </c>
      <c r="E1531" s="826" t="s">
        <v>4873</v>
      </c>
      <c r="F1531" s="840" t="s">
        <v>4874</v>
      </c>
      <c r="G1531" s="826" t="s">
        <v>4909</v>
      </c>
      <c r="H1531" s="826" t="s">
        <v>4910</v>
      </c>
      <c r="I1531" s="832">
        <v>42.549999237060547</v>
      </c>
      <c r="J1531" s="832">
        <v>1080</v>
      </c>
      <c r="K1531" s="833">
        <v>45954.000061035156</v>
      </c>
    </row>
    <row r="1532" spans="1:11" ht="14.45" customHeight="1" x14ac:dyDescent="0.2">
      <c r="A1532" s="822" t="s">
        <v>575</v>
      </c>
      <c r="B1532" s="823" t="s">
        <v>576</v>
      </c>
      <c r="C1532" s="826" t="s">
        <v>600</v>
      </c>
      <c r="D1532" s="840" t="s">
        <v>601</v>
      </c>
      <c r="E1532" s="826" t="s">
        <v>4873</v>
      </c>
      <c r="F1532" s="840" t="s">
        <v>4874</v>
      </c>
      <c r="G1532" s="826" t="s">
        <v>4911</v>
      </c>
      <c r="H1532" s="826" t="s">
        <v>4912</v>
      </c>
      <c r="I1532" s="832">
        <v>33.349998474121094</v>
      </c>
      <c r="J1532" s="832">
        <v>1656</v>
      </c>
      <c r="K1532" s="833">
        <v>55227.600219726563</v>
      </c>
    </row>
    <row r="1533" spans="1:11" ht="14.45" customHeight="1" x14ac:dyDescent="0.2">
      <c r="A1533" s="822" t="s">
        <v>575</v>
      </c>
      <c r="B1533" s="823" t="s">
        <v>576</v>
      </c>
      <c r="C1533" s="826" t="s">
        <v>600</v>
      </c>
      <c r="D1533" s="840" t="s">
        <v>601</v>
      </c>
      <c r="E1533" s="826" t="s">
        <v>4873</v>
      </c>
      <c r="F1533" s="840" t="s">
        <v>4874</v>
      </c>
      <c r="G1533" s="826" t="s">
        <v>4875</v>
      </c>
      <c r="H1533" s="826" t="s">
        <v>4913</v>
      </c>
      <c r="I1533" s="832">
        <v>52.900001525878906</v>
      </c>
      <c r="J1533" s="832">
        <v>792</v>
      </c>
      <c r="K1533" s="833">
        <v>41896.799560546875</v>
      </c>
    </row>
    <row r="1534" spans="1:11" ht="14.45" customHeight="1" x14ac:dyDescent="0.2">
      <c r="A1534" s="822" t="s">
        <v>575</v>
      </c>
      <c r="B1534" s="823" t="s">
        <v>576</v>
      </c>
      <c r="C1534" s="826" t="s">
        <v>600</v>
      </c>
      <c r="D1534" s="840" t="s">
        <v>601</v>
      </c>
      <c r="E1534" s="826" t="s">
        <v>4873</v>
      </c>
      <c r="F1534" s="840" t="s">
        <v>4874</v>
      </c>
      <c r="G1534" s="826" t="s">
        <v>4914</v>
      </c>
      <c r="H1534" s="826" t="s">
        <v>4915</v>
      </c>
      <c r="I1534" s="832">
        <v>513.91998291015625</v>
      </c>
      <c r="J1534" s="832">
        <v>12</v>
      </c>
      <c r="K1534" s="833">
        <v>6167</v>
      </c>
    </row>
    <row r="1535" spans="1:11" ht="14.45" customHeight="1" x14ac:dyDescent="0.2">
      <c r="A1535" s="822" t="s">
        <v>575</v>
      </c>
      <c r="B1535" s="823" t="s">
        <v>576</v>
      </c>
      <c r="C1535" s="826" t="s">
        <v>600</v>
      </c>
      <c r="D1535" s="840" t="s">
        <v>601</v>
      </c>
      <c r="E1535" s="826" t="s">
        <v>4873</v>
      </c>
      <c r="F1535" s="840" t="s">
        <v>4874</v>
      </c>
      <c r="G1535" s="826" t="s">
        <v>4916</v>
      </c>
      <c r="H1535" s="826" t="s">
        <v>4917</v>
      </c>
      <c r="I1535" s="832">
        <v>695.31500244140625</v>
      </c>
      <c r="J1535" s="832">
        <v>66</v>
      </c>
      <c r="K1535" s="833">
        <v>46721.59033203125</v>
      </c>
    </row>
    <row r="1536" spans="1:11" ht="14.45" customHeight="1" x14ac:dyDescent="0.2">
      <c r="A1536" s="822" t="s">
        <v>575</v>
      </c>
      <c r="B1536" s="823" t="s">
        <v>576</v>
      </c>
      <c r="C1536" s="826" t="s">
        <v>600</v>
      </c>
      <c r="D1536" s="840" t="s">
        <v>601</v>
      </c>
      <c r="E1536" s="826" t="s">
        <v>4873</v>
      </c>
      <c r="F1536" s="840" t="s">
        <v>4874</v>
      </c>
      <c r="G1536" s="826" t="s">
        <v>4918</v>
      </c>
      <c r="H1536" s="826" t="s">
        <v>4919</v>
      </c>
      <c r="I1536" s="832">
        <v>376.48001098632813</v>
      </c>
      <c r="J1536" s="832">
        <v>120</v>
      </c>
      <c r="K1536" s="833">
        <v>45177.7490234375</v>
      </c>
    </row>
    <row r="1537" spans="1:11" ht="14.45" customHeight="1" x14ac:dyDescent="0.2">
      <c r="A1537" s="822" t="s">
        <v>575</v>
      </c>
      <c r="B1537" s="823" t="s">
        <v>576</v>
      </c>
      <c r="C1537" s="826" t="s">
        <v>600</v>
      </c>
      <c r="D1537" s="840" t="s">
        <v>601</v>
      </c>
      <c r="E1537" s="826" t="s">
        <v>4873</v>
      </c>
      <c r="F1537" s="840" t="s">
        <v>4874</v>
      </c>
      <c r="G1537" s="826" t="s">
        <v>4920</v>
      </c>
      <c r="H1537" s="826" t="s">
        <v>4921</v>
      </c>
      <c r="I1537" s="832">
        <v>330.47000122070313</v>
      </c>
      <c r="J1537" s="832">
        <v>120</v>
      </c>
      <c r="K1537" s="833">
        <v>39656.0498046875</v>
      </c>
    </row>
    <row r="1538" spans="1:11" ht="14.45" customHeight="1" x14ac:dyDescent="0.2">
      <c r="A1538" s="822" t="s">
        <v>575</v>
      </c>
      <c r="B1538" s="823" t="s">
        <v>576</v>
      </c>
      <c r="C1538" s="826" t="s">
        <v>600</v>
      </c>
      <c r="D1538" s="840" t="s">
        <v>601</v>
      </c>
      <c r="E1538" s="826" t="s">
        <v>4873</v>
      </c>
      <c r="F1538" s="840" t="s">
        <v>4874</v>
      </c>
      <c r="G1538" s="826" t="s">
        <v>4922</v>
      </c>
      <c r="H1538" s="826" t="s">
        <v>4923</v>
      </c>
      <c r="I1538" s="832">
        <v>39.740001678466797</v>
      </c>
      <c r="J1538" s="832">
        <v>612</v>
      </c>
      <c r="K1538" s="833">
        <v>24320.279663085938</v>
      </c>
    </row>
    <row r="1539" spans="1:11" ht="14.45" customHeight="1" x14ac:dyDescent="0.2">
      <c r="A1539" s="822" t="s">
        <v>575</v>
      </c>
      <c r="B1539" s="823" t="s">
        <v>576</v>
      </c>
      <c r="C1539" s="826" t="s">
        <v>600</v>
      </c>
      <c r="D1539" s="840" t="s">
        <v>601</v>
      </c>
      <c r="E1539" s="826" t="s">
        <v>4873</v>
      </c>
      <c r="F1539" s="840" t="s">
        <v>4874</v>
      </c>
      <c r="G1539" s="826" t="s">
        <v>4924</v>
      </c>
      <c r="H1539" s="826" t="s">
        <v>4925</v>
      </c>
      <c r="I1539" s="832">
        <v>28.860000610351563</v>
      </c>
      <c r="J1539" s="832">
        <v>216</v>
      </c>
      <c r="K1539" s="833">
        <v>6234.030029296875</v>
      </c>
    </row>
    <row r="1540" spans="1:11" ht="14.45" customHeight="1" x14ac:dyDescent="0.2">
      <c r="A1540" s="822" t="s">
        <v>575</v>
      </c>
      <c r="B1540" s="823" t="s">
        <v>576</v>
      </c>
      <c r="C1540" s="826" t="s">
        <v>600</v>
      </c>
      <c r="D1540" s="840" t="s">
        <v>601</v>
      </c>
      <c r="E1540" s="826" t="s">
        <v>4873</v>
      </c>
      <c r="F1540" s="840" t="s">
        <v>4874</v>
      </c>
      <c r="G1540" s="826" t="s">
        <v>4926</v>
      </c>
      <c r="H1540" s="826" t="s">
        <v>4927</v>
      </c>
      <c r="I1540" s="832">
        <v>57.049999237060547</v>
      </c>
      <c r="J1540" s="832">
        <v>36</v>
      </c>
      <c r="K1540" s="833">
        <v>2053.669921875</v>
      </c>
    </row>
    <row r="1541" spans="1:11" ht="14.45" customHeight="1" x14ac:dyDescent="0.2">
      <c r="A1541" s="822" t="s">
        <v>575</v>
      </c>
      <c r="B1541" s="823" t="s">
        <v>576</v>
      </c>
      <c r="C1541" s="826" t="s">
        <v>600</v>
      </c>
      <c r="D1541" s="840" t="s">
        <v>601</v>
      </c>
      <c r="E1541" s="826" t="s">
        <v>4873</v>
      </c>
      <c r="F1541" s="840" t="s">
        <v>4874</v>
      </c>
      <c r="G1541" s="826" t="s">
        <v>4928</v>
      </c>
      <c r="H1541" s="826" t="s">
        <v>4929</v>
      </c>
      <c r="I1541" s="832">
        <v>78.680000305175781</v>
      </c>
      <c r="J1541" s="832">
        <v>36</v>
      </c>
      <c r="K1541" s="833">
        <v>2832.340087890625</v>
      </c>
    </row>
    <row r="1542" spans="1:11" ht="14.45" customHeight="1" x14ac:dyDescent="0.2">
      <c r="A1542" s="822" t="s">
        <v>575</v>
      </c>
      <c r="B1542" s="823" t="s">
        <v>576</v>
      </c>
      <c r="C1542" s="826" t="s">
        <v>600</v>
      </c>
      <c r="D1542" s="840" t="s">
        <v>601</v>
      </c>
      <c r="E1542" s="826" t="s">
        <v>4873</v>
      </c>
      <c r="F1542" s="840" t="s">
        <v>4874</v>
      </c>
      <c r="G1542" s="826" t="s">
        <v>4930</v>
      </c>
      <c r="H1542" s="826" t="s">
        <v>4931</v>
      </c>
      <c r="I1542" s="832">
        <v>42.509998321533203</v>
      </c>
      <c r="J1542" s="832">
        <v>180</v>
      </c>
      <c r="K1542" s="833">
        <v>7651.540283203125</v>
      </c>
    </row>
    <row r="1543" spans="1:11" ht="14.45" customHeight="1" x14ac:dyDescent="0.2">
      <c r="A1543" s="822" t="s">
        <v>575</v>
      </c>
      <c r="B1543" s="823" t="s">
        <v>576</v>
      </c>
      <c r="C1543" s="826" t="s">
        <v>600</v>
      </c>
      <c r="D1543" s="840" t="s">
        <v>601</v>
      </c>
      <c r="E1543" s="826" t="s">
        <v>4873</v>
      </c>
      <c r="F1543" s="840" t="s">
        <v>4874</v>
      </c>
      <c r="G1543" s="826" t="s">
        <v>4932</v>
      </c>
      <c r="H1543" s="826" t="s">
        <v>4933</v>
      </c>
      <c r="I1543" s="832">
        <v>56.030908064408735</v>
      </c>
      <c r="J1543" s="832">
        <v>972</v>
      </c>
      <c r="K1543" s="833">
        <v>54464.99951171875</v>
      </c>
    </row>
    <row r="1544" spans="1:11" ht="14.45" customHeight="1" x14ac:dyDescent="0.2">
      <c r="A1544" s="822" t="s">
        <v>575</v>
      </c>
      <c r="B1544" s="823" t="s">
        <v>576</v>
      </c>
      <c r="C1544" s="826" t="s">
        <v>600</v>
      </c>
      <c r="D1544" s="840" t="s">
        <v>601</v>
      </c>
      <c r="E1544" s="826" t="s">
        <v>4873</v>
      </c>
      <c r="F1544" s="840" t="s">
        <v>4874</v>
      </c>
      <c r="G1544" s="826" t="s">
        <v>4934</v>
      </c>
      <c r="H1544" s="826" t="s">
        <v>4935</v>
      </c>
      <c r="I1544" s="832">
        <v>78.480003356933594</v>
      </c>
      <c r="J1544" s="832">
        <v>180</v>
      </c>
      <c r="K1544" s="833">
        <v>14126.59033203125</v>
      </c>
    </row>
    <row r="1545" spans="1:11" ht="14.45" customHeight="1" x14ac:dyDescent="0.2">
      <c r="A1545" s="822" t="s">
        <v>575</v>
      </c>
      <c r="B1545" s="823" t="s">
        <v>576</v>
      </c>
      <c r="C1545" s="826" t="s">
        <v>600</v>
      </c>
      <c r="D1545" s="840" t="s">
        <v>601</v>
      </c>
      <c r="E1545" s="826" t="s">
        <v>4873</v>
      </c>
      <c r="F1545" s="840" t="s">
        <v>4874</v>
      </c>
      <c r="G1545" s="826" t="s">
        <v>4936</v>
      </c>
      <c r="H1545" s="826" t="s">
        <v>4937</v>
      </c>
      <c r="I1545" s="832">
        <v>90.639999389648438</v>
      </c>
      <c r="J1545" s="832">
        <v>144</v>
      </c>
      <c r="K1545" s="833">
        <v>13052.02001953125</v>
      </c>
    </row>
    <row r="1546" spans="1:11" ht="14.45" customHeight="1" x14ac:dyDescent="0.2">
      <c r="A1546" s="822" t="s">
        <v>575</v>
      </c>
      <c r="B1546" s="823" t="s">
        <v>576</v>
      </c>
      <c r="C1546" s="826" t="s">
        <v>600</v>
      </c>
      <c r="D1546" s="840" t="s">
        <v>601</v>
      </c>
      <c r="E1546" s="826" t="s">
        <v>4873</v>
      </c>
      <c r="F1546" s="840" t="s">
        <v>4874</v>
      </c>
      <c r="G1546" s="826" t="s">
        <v>4938</v>
      </c>
      <c r="H1546" s="826" t="s">
        <v>4939</v>
      </c>
      <c r="I1546" s="832">
        <v>76.44000244140625</v>
      </c>
      <c r="J1546" s="832">
        <v>72</v>
      </c>
      <c r="K1546" s="833">
        <v>5503.56005859375</v>
      </c>
    </row>
    <row r="1547" spans="1:11" ht="14.45" customHeight="1" x14ac:dyDescent="0.2">
      <c r="A1547" s="822" t="s">
        <v>575</v>
      </c>
      <c r="B1547" s="823" t="s">
        <v>576</v>
      </c>
      <c r="C1547" s="826" t="s">
        <v>600</v>
      </c>
      <c r="D1547" s="840" t="s">
        <v>601</v>
      </c>
      <c r="E1547" s="826" t="s">
        <v>4873</v>
      </c>
      <c r="F1547" s="840" t="s">
        <v>4874</v>
      </c>
      <c r="G1547" s="826" t="s">
        <v>4940</v>
      </c>
      <c r="H1547" s="826" t="s">
        <v>4941</v>
      </c>
      <c r="I1547" s="832">
        <v>845.8499755859375</v>
      </c>
      <c r="J1547" s="832">
        <v>42</v>
      </c>
      <c r="K1547" s="833">
        <v>35525.58056640625</v>
      </c>
    </row>
    <row r="1548" spans="1:11" ht="14.45" customHeight="1" x14ac:dyDescent="0.2">
      <c r="A1548" s="822" t="s">
        <v>575</v>
      </c>
      <c r="B1548" s="823" t="s">
        <v>576</v>
      </c>
      <c r="C1548" s="826" t="s">
        <v>600</v>
      </c>
      <c r="D1548" s="840" t="s">
        <v>601</v>
      </c>
      <c r="E1548" s="826" t="s">
        <v>4873</v>
      </c>
      <c r="F1548" s="840" t="s">
        <v>4874</v>
      </c>
      <c r="G1548" s="826" t="s">
        <v>4942</v>
      </c>
      <c r="H1548" s="826" t="s">
        <v>4943</v>
      </c>
      <c r="I1548" s="832">
        <v>163.24000549316406</v>
      </c>
      <c r="J1548" s="832">
        <v>24</v>
      </c>
      <c r="K1548" s="833">
        <v>3917.820068359375</v>
      </c>
    </row>
    <row r="1549" spans="1:11" ht="14.45" customHeight="1" x14ac:dyDescent="0.2">
      <c r="A1549" s="822" t="s">
        <v>575</v>
      </c>
      <c r="B1549" s="823" t="s">
        <v>576</v>
      </c>
      <c r="C1549" s="826" t="s">
        <v>600</v>
      </c>
      <c r="D1549" s="840" t="s">
        <v>601</v>
      </c>
      <c r="E1549" s="826" t="s">
        <v>4873</v>
      </c>
      <c r="F1549" s="840" t="s">
        <v>4874</v>
      </c>
      <c r="G1549" s="826" t="s">
        <v>4944</v>
      </c>
      <c r="H1549" s="826" t="s">
        <v>4945</v>
      </c>
      <c r="I1549" s="832">
        <v>153.47000122070313</v>
      </c>
      <c r="J1549" s="832">
        <v>744</v>
      </c>
      <c r="K1549" s="833">
        <v>114179.81787109375</v>
      </c>
    </row>
    <row r="1550" spans="1:11" ht="14.45" customHeight="1" x14ac:dyDescent="0.2">
      <c r="A1550" s="822" t="s">
        <v>575</v>
      </c>
      <c r="B1550" s="823" t="s">
        <v>576</v>
      </c>
      <c r="C1550" s="826" t="s">
        <v>600</v>
      </c>
      <c r="D1550" s="840" t="s">
        <v>601</v>
      </c>
      <c r="E1550" s="826" t="s">
        <v>4873</v>
      </c>
      <c r="F1550" s="840" t="s">
        <v>4874</v>
      </c>
      <c r="G1550" s="826" t="s">
        <v>4946</v>
      </c>
      <c r="H1550" s="826" t="s">
        <v>4947</v>
      </c>
      <c r="I1550" s="832">
        <v>131.96000671386719</v>
      </c>
      <c r="J1550" s="832">
        <v>516</v>
      </c>
      <c r="K1550" s="833">
        <v>68092.64990234375</v>
      </c>
    </row>
    <row r="1551" spans="1:11" ht="14.45" customHeight="1" x14ac:dyDescent="0.2">
      <c r="A1551" s="822" t="s">
        <v>575</v>
      </c>
      <c r="B1551" s="823" t="s">
        <v>576</v>
      </c>
      <c r="C1551" s="826" t="s">
        <v>600</v>
      </c>
      <c r="D1551" s="840" t="s">
        <v>601</v>
      </c>
      <c r="E1551" s="826" t="s">
        <v>4873</v>
      </c>
      <c r="F1551" s="840" t="s">
        <v>4874</v>
      </c>
      <c r="G1551" s="826" t="s">
        <v>4948</v>
      </c>
      <c r="H1551" s="826" t="s">
        <v>4949</v>
      </c>
      <c r="I1551" s="832">
        <v>167.14999389648438</v>
      </c>
      <c r="J1551" s="832">
        <v>36</v>
      </c>
      <c r="K1551" s="833">
        <v>6017.4898681640625</v>
      </c>
    </row>
    <row r="1552" spans="1:11" ht="14.45" customHeight="1" x14ac:dyDescent="0.2">
      <c r="A1552" s="822" t="s">
        <v>575</v>
      </c>
      <c r="B1552" s="823" t="s">
        <v>576</v>
      </c>
      <c r="C1552" s="826" t="s">
        <v>600</v>
      </c>
      <c r="D1552" s="840" t="s">
        <v>601</v>
      </c>
      <c r="E1552" s="826" t="s">
        <v>4873</v>
      </c>
      <c r="F1552" s="840" t="s">
        <v>4874</v>
      </c>
      <c r="G1552" s="826" t="s">
        <v>4950</v>
      </c>
      <c r="H1552" s="826" t="s">
        <v>4951</v>
      </c>
      <c r="I1552" s="832">
        <v>164.22000122070313</v>
      </c>
      <c r="J1552" s="832">
        <v>96</v>
      </c>
      <c r="K1552" s="833">
        <v>15765.119873046875</v>
      </c>
    </row>
    <row r="1553" spans="1:11" ht="14.45" customHeight="1" x14ac:dyDescent="0.2">
      <c r="A1553" s="822" t="s">
        <v>575</v>
      </c>
      <c r="B1553" s="823" t="s">
        <v>576</v>
      </c>
      <c r="C1553" s="826" t="s">
        <v>600</v>
      </c>
      <c r="D1553" s="840" t="s">
        <v>601</v>
      </c>
      <c r="E1553" s="826" t="s">
        <v>4873</v>
      </c>
      <c r="F1553" s="840" t="s">
        <v>4874</v>
      </c>
      <c r="G1553" s="826" t="s">
        <v>4952</v>
      </c>
      <c r="H1553" s="826" t="s">
        <v>4953</v>
      </c>
      <c r="I1553" s="832">
        <v>157.3800048828125</v>
      </c>
      <c r="J1553" s="832">
        <v>60</v>
      </c>
      <c r="K1553" s="833">
        <v>9442.64990234375</v>
      </c>
    </row>
    <row r="1554" spans="1:11" ht="14.45" customHeight="1" x14ac:dyDescent="0.2">
      <c r="A1554" s="822" t="s">
        <v>575</v>
      </c>
      <c r="B1554" s="823" t="s">
        <v>576</v>
      </c>
      <c r="C1554" s="826" t="s">
        <v>600</v>
      </c>
      <c r="D1554" s="840" t="s">
        <v>601</v>
      </c>
      <c r="E1554" s="826" t="s">
        <v>4873</v>
      </c>
      <c r="F1554" s="840" t="s">
        <v>4874</v>
      </c>
      <c r="G1554" s="826" t="s">
        <v>4954</v>
      </c>
      <c r="H1554" s="826" t="s">
        <v>4955</v>
      </c>
      <c r="I1554" s="832">
        <v>134.89999389648438</v>
      </c>
      <c r="J1554" s="832">
        <v>444</v>
      </c>
      <c r="K1554" s="833">
        <v>59893.38134765625</v>
      </c>
    </row>
    <row r="1555" spans="1:11" ht="14.45" customHeight="1" x14ac:dyDescent="0.2">
      <c r="A1555" s="822" t="s">
        <v>575</v>
      </c>
      <c r="B1555" s="823" t="s">
        <v>576</v>
      </c>
      <c r="C1555" s="826" t="s">
        <v>600</v>
      </c>
      <c r="D1555" s="840" t="s">
        <v>601</v>
      </c>
      <c r="E1555" s="826" t="s">
        <v>4873</v>
      </c>
      <c r="F1555" s="840" t="s">
        <v>4874</v>
      </c>
      <c r="G1555" s="826" t="s">
        <v>4956</v>
      </c>
      <c r="H1555" s="826" t="s">
        <v>4957</v>
      </c>
      <c r="I1555" s="832">
        <v>130.99000549316406</v>
      </c>
      <c r="J1555" s="832">
        <v>36</v>
      </c>
      <c r="K1555" s="833">
        <v>4715.4598388671875</v>
      </c>
    </row>
    <row r="1556" spans="1:11" ht="14.45" customHeight="1" x14ac:dyDescent="0.2">
      <c r="A1556" s="822" t="s">
        <v>575</v>
      </c>
      <c r="B1556" s="823" t="s">
        <v>576</v>
      </c>
      <c r="C1556" s="826" t="s">
        <v>600</v>
      </c>
      <c r="D1556" s="840" t="s">
        <v>601</v>
      </c>
      <c r="E1556" s="826" t="s">
        <v>4873</v>
      </c>
      <c r="F1556" s="840" t="s">
        <v>4874</v>
      </c>
      <c r="G1556" s="826" t="s">
        <v>4958</v>
      </c>
      <c r="H1556" s="826" t="s">
        <v>4959</v>
      </c>
      <c r="I1556" s="832">
        <v>210.16000366210938</v>
      </c>
      <c r="J1556" s="832">
        <v>12</v>
      </c>
      <c r="K1556" s="833">
        <v>2521.949951171875</v>
      </c>
    </row>
    <row r="1557" spans="1:11" ht="14.45" customHeight="1" x14ac:dyDescent="0.2">
      <c r="A1557" s="822" t="s">
        <v>575</v>
      </c>
      <c r="B1557" s="823" t="s">
        <v>576</v>
      </c>
      <c r="C1557" s="826" t="s">
        <v>600</v>
      </c>
      <c r="D1557" s="840" t="s">
        <v>601</v>
      </c>
      <c r="E1557" s="826" t="s">
        <v>4873</v>
      </c>
      <c r="F1557" s="840" t="s">
        <v>4874</v>
      </c>
      <c r="G1557" s="826" t="s">
        <v>4960</v>
      </c>
      <c r="H1557" s="826" t="s">
        <v>4961</v>
      </c>
      <c r="I1557" s="832">
        <v>139.77999877929688</v>
      </c>
      <c r="J1557" s="832">
        <v>72</v>
      </c>
      <c r="K1557" s="833">
        <v>10064.33984375</v>
      </c>
    </row>
    <row r="1558" spans="1:11" ht="14.45" customHeight="1" x14ac:dyDescent="0.2">
      <c r="A1558" s="822" t="s">
        <v>575</v>
      </c>
      <c r="B1558" s="823" t="s">
        <v>576</v>
      </c>
      <c r="C1558" s="826" t="s">
        <v>600</v>
      </c>
      <c r="D1558" s="840" t="s">
        <v>601</v>
      </c>
      <c r="E1558" s="826" t="s">
        <v>4873</v>
      </c>
      <c r="F1558" s="840" t="s">
        <v>4874</v>
      </c>
      <c r="G1558" s="826" t="s">
        <v>4962</v>
      </c>
      <c r="H1558" s="826" t="s">
        <v>4963</v>
      </c>
      <c r="I1558" s="832">
        <v>210.16000366210938</v>
      </c>
      <c r="J1558" s="832">
        <v>72</v>
      </c>
      <c r="K1558" s="833">
        <v>15131.69970703125</v>
      </c>
    </row>
    <row r="1559" spans="1:11" ht="14.45" customHeight="1" x14ac:dyDescent="0.2">
      <c r="A1559" s="822" t="s">
        <v>575</v>
      </c>
      <c r="B1559" s="823" t="s">
        <v>576</v>
      </c>
      <c r="C1559" s="826" t="s">
        <v>600</v>
      </c>
      <c r="D1559" s="840" t="s">
        <v>601</v>
      </c>
      <c r="E1559" s="826" t="s">
        <v>4873</v>
      </c>
      <c r="F1559" s="840" t="s">
        <v>4874</v>
      </c>
      <c r="G1559" s="826" t="s">
        <v>4964</v>
      </c>
      <c r="H1559" s="826" t="s">
        <v>4965</v>
      </c>
      <c r="I1559" s="832">
        <v>210.16000366210938</v>
      </c>
      <c r="J1559" s="832">
        <v>24</v>
      </c>
      <c r="K1559" s="833">
        <v>5043.89990234375</v>
      </c>
    </row>
    <row r="1560" spans="1:11" ht="14.45" customHeight="1" x14ac:dyDescent="0.2">
      <c r="A1560" s="822" t="s">
        <v>575</v>
      </c>
      <c r="B1560" s="823" t="s">
        <v>576</v>
      </c>
      <c r="C1560" s="826" t="s">
        <v>600</v>
      </c>
      <c r="D1560" s="840" t="s">
        <v>601</v>
      </c>
      <c r="E1560" s="826" t="s">
        <v>4873</v>
      </c>
      <c r="F1560" s="840" t="s">
        <v>4874</v>
      </c>
      <c r="G1560" s="826" t="s">
        <v>4966</v>
      </c>
      <c r="H1560" s="826" t="s">
        <v>4967</v>
      </c>
      <c r="I1560" s="832">
        <v>210.16000366210938</v>
      </c>
      <c r="J1560" s="832">
        <v>12</v>
      </c>
      <c r="K1560" s="833">
        <v>2521.949951171875</v>
      </c>
    </row>
    <row r="1561" spans="1:11" ht="14.45" customHeight="1" x14ac:dyDescent="0.2">
      <c r="A1561" s="822" t="s">
        <v>575</v>
      </c>
      <c r="B1561" s="823" t="s">
        <v>576</v>
      </c>
      <c r="C1561" s="826" t="s">
        <v>600</v>
      </c>
      <c r="D1561" s="840" t="s">
        <v>601</v>
      </c>
      <c r="E1561" s="826" t="s">
        <v>4873</v>
      </c>
      <c r="F1561" s="840" t="s">
        <v>4874</v>
      </c>
      <c r="G1561" s="826" t="s">
        <v>4968</v>
      </c>
      <c r="H1561" s="826" t="s">
        <v>4969</v>
      </c>
      <c r="I1561" s="832">
        <v>258.05999755859375</v>
      </c>
      <c r="J1561" s="832">
        <v>12</v>
      </c>
      <c r="K1561" s="833">
        <v>3096.719970703125</v>
      </c>
    </row>
    <row r="1562" spans="1:11" ht="14.45" customHeight="1" x14ac:dyDescent="0.2">
      <c r="A1562" s="822" t="s">
        <v>575</v>
      </c>
      <c r="B1562" s="823" t="s">
        <v>576</v>
      </c>
      <c r="C1562" s="826" t="s">
        <v>600</v>
      </c>
      <c r="D1562" s="840" t="s">
        <v>601</v>
      </c>
      <c r="E1562" s="826" t="s">
        <v>4873</v>
      </c>
      <c r="F1562" s="840" t="s">
        <v>4874</v>
      </c>
      <c r="G1562" s="826" t="s">
        <v>4970</v>
      </c>
      <c r="H1562" s="826" t="s">
        <v>4971</v>
      </c>
      <c r="I1562" s="832">
        <v>133.91999816894531</v>
      </c>
      <c r="J1562" s="832">
        <v>468</v>
      </c>
      <c r="K1562" s="833">
        <v>62673.38720703125</v>
      </c>
    </row>
    <row r="1563" spans="1:11" ht="14.45" customHeight="1" x14ac:dyDescent="0.2">
      <c r="A1563" s="822" t="s">
        <v>575</v>
      </c>
      <c r="B1563" s="823" t="s">
        <v>576</v>
      </c>
      <c r="C1563" s="826" t="s">
        <v>600</v>
      </c>
      <c r="D1563" s="840" t="s">
        <v>601</v>
      </c>
      <c r="E1563" s="826" t="s">
        <v>4873</v>
      </c>
      <c r="F1563" s="840" t="s">
        <v>4874</v>
      </c>
      <c r="G1563" s="826" t="s">
        <v>4972</v>
      </c>
      <c r="H1563" s="826" t="s">
        <v>4973</v>
      </c>
      <c r="I1563" s="832">
        <v>705.760009765625</v>
      </c>
      <c r="J1563" s="832">
        <v>12</v>
      </c>
      <c r="K1563" s="833">
        <v>8469.0595703125</v>
      </c>
    </row>
    <row r="1564" spans="1:11" ht="14.45" customHeight="1" x14ac:dyDescent="0.2">
      <c r="A1564" s="822" t="s">
        <v>575</v>
      </c>
      <c r="B1564" s="823" t="s">
        <v>576</v>
      </c>
      <c r="C1564" s="826" t="s">
        <v>600</v>
      </c>
      <c r="D1564" s="840" t="s">
        <v>601</v>
      </c>
      <c r="E1564" s="826" t="s">
        <v>4873</v>
      </c>
      <c r="F1564" s="840" t="s">
        <v>4874</v>
      </c>
      <c r="G1564" s="826" t="s">
        <v>4974</v>
      </c>
      <c r="H1564" s="826" t="s">
        <v>4975</v>
      </c>
      <c r="I1564" s="832">
        <v>297.16000366210938</v>
      </c>
      <c r="J1564" s="832">
        <v>828</v>
      </c>
      <c r="K1564" s="833">
        <v>246048.474609375</v>
      </c>
    </row>
    <row r="1565" spans="1:11" ht="14.45" customHeight="1" x14ac:dyDescent="0.2">
      <c r="A1565" s="822" t="s">
        <v>575</v>
      </c>
      <c r="B1565" s="823" t="s">
        <v>576</v>
      </c>
      <c r="C1565" s="826" t="s">
        <v>600</v>
      </c>
      <c r="D1565" s="840" t="s">
        <v>601</v>
      </c>
      <c r="E1565" s="826" t="s">
        <v>4873</v>
      </c>
      <c r="F1565" s="840" t="s">
        <v>4874</v>
      </c>
      <c r="G1565" s="826" t="s">
        <v>4976</v>
      </c>
      <c r="H1565" s="826" t="s">
        <v>4977</v>
      </c>
      <c r="I1565" s="832">
        <v>639.28997802734375</v>
      </c>
      <c r="J1565" s="832">
        <v>72</v>
      </c>
      <c r="K1565" s="833">
        <v>46028.51953125</v>
      </c>
    </row>
    <row r="1566" spans="1:11" ht="14.45" customHeight="1" x14ac:dyDescent="0.2">
      <c r="A1566" s="822" t="s">
        <v>575</v>
      </c>
      <c r="B1566" s="823" t="s">
        <v>576</v>
      </c>
      <c r="C1566" s="826" t="s">
        <v>600</v>
      </c>
      <c r="D1566" s="840" t="s">
        <v>601</v>
      </c>
      <c r="E1566" s="826" t="s">
        <v>4873</v>
      </c>
      <c r="F1566" s="840" t="s">
        <v>4874</v>
      </c>
      <c r="G1566" s="826" t="s">
        <v>4978</v>
      </c>
      <c r="H1566" s="826" t="s">
        <v>4979</v>
      </c>
      <c r="I1566" s="832">
        <v>241.44000244140625</v>
      </c>
      <c r="J1566" s="832">
        <v>144</v>
      </c>
      <c r="K1566" s="833">
        <v>34767.71875</v>
      </c>
    </row>
    <row r="1567" spans="1:11" ht="14.45" customHeight="1" x14ac:dyDescent="0.2">
      <c r="A1567" s="822" t="s">
        <v>575</v>
      </c>
      <c r="B1567" s="823" t="s">
        <v>576</v>
      </c>
      <c r="C1567" s="826" t="s">
        <v>600</v>
      </c>
      <c r="D1567" s="840" t="s">
        <v>601</v>
      </c>
      <c r="E1567" s="826" t="s">
        <v>4873</v>
      </c>
      <c r="F1567" s="840" t="s">
        <v>4874</v>
      </c>
      <c r="G1567" s="826" t="s">
        <v>4980</v>
      </c>
      <c r="H1567" s="826" t="s">
        <v>4981</v>
      </c>
      <c r="I1567" s="832">
        <v>250.72999572753906</v>
      </c>
      <c r="J1567" s="832">
        <v>252</v>
      </c>
      <c r="K1567" s="833">
        <v>63183.681640625</v>
      </c>
    </row>
    <row r="1568" spans="1:11" ht="14.45" customHeight="1" x14ac:dyDescent="0.2">
      <c r="A1568" s="822" t="s">
        <v>575</v>
      </c>
      <c r="B1568" s="823" t="s">
        <v>576</v>
      </c>
      <c r="C1568" s="826" t="s">
        <v>600</v>
      </c>
      <c r="D1568" s="840" t="s">
        <v>601</v>
      </c>
      <c r="E1568" s="826" t="s">
        <v>4873</v>
      </c>
      <c r="F1568" s="840" t="s">
        <v>4874</v>
      </c>
      <c r="G1568" s="826" t="s">
        <v>4982</v>
      </c>
      <c r="H1568" s="826" t="s">
        <v>4983</v>
      </c>
      <c r="I1568" s="832">
        <v>276.6300048828125</v>
      </c>
      <c r="J1568" s="832">
        <v>180</v>
      </c>
      <c r="K1568" s="833">
        <v>49793.84765625</v>
      </c>
    </row>
    <row r="1569" spans="1:11" ht="14.45" customHeight="1" x14ac:dyDescent="0.2">
      <c r="A1569" s="822" t="s">
        <v>575</v>
      </c>
      <c r="B1569" s="823" t="s">
        <v>576</v>
      </c>
      <c r="C1569" s="826" t="s">
        <v>600</v>
      </c>
      <c r="D1569" s="840" t="s">
        <v>601</v>
      </c>
      <c r="E1569" s="826" t="s">
        <v>4873</v>
      </c>
      <c r="F1569" s="840" t="s">
        <v>4874</v>
      </c>
      <c r="G1569" s="826" t="s">
        <v>4984</v>
      </c>
      <c r="H1569" s="826" t="s">
        <v>4985</v>
      </c>
      <c r="I1569" s="832">
        <v>951.04998779296875</v>
      </c>
      <c r="J1569" s="832">
        <v>24</v>
      </c>
      <c r="K1569" s="833">
        <v>22825.19921875</v>
      </c>
    </row>
    <row r="1570" spans="1:11" ht="14.45" customHeight="1" x14ac:dyDescent="0.2">
      <c r="A1570" s="822" t="s">
        <v>575</v>
      </c>
      <c r="B1570" s="823" t="s">
        <v>576</v>
      </c>
      <c r="C1570" s="826" t="s">
        <v>600</v>
      </c>
      <c r="D1570" s="840" t="s">
        <v>601</v>
      </c>
      <c r="E1570" s="826" t="s">
        <v>4873</v>
      </c>
      <c r="F1570" s="840" t="s">
        <v>4874</v>
      </c>
      <c r="G1570" s="826" t="s">
        <v>4986</v>
      </c>
      <c r="H1570" s="826" t="s">
        <v>4987</v>
      </c>
      <c r="I1570" s="832">
        <v>854.41998291015625</v>
      </c>
      <c r="J1570" s="832">
        <v>30</v>
      </c>
      <c r="K1570" s="833">
        <v>25632.64892578125</v>
      </c>
    </row>
    <row r="1571" spans="1:11" ht="14.45" customHeight="1" x14ac:dyDescent="0.2">
      <c r="A1571" s="822" t="s">
        <v>575</v>
      </c>
      <c r="B1571" s="823" t="s">
        <v>576</v>
      </c>
      <c r="C1571" s="826" t="s">
        <v>600</v>
      </c>
      <c r="D1571" s="840" t="s">
        <v>601</v>
      </c>
      <c r="E1571" s="826" t="s">
        <v>4873</v>
      </c>
      <c r="F1571" s="840" t="s">
        <v>4874</v>
      </c>
      <c r="G1571" s="826" t="s">
        <v>4988</v>
      </c>
      <c r="H1571" s="826" t="s">
        <v>4989</v>
      </c>
      <c r="I1571" s="832">
        <v>171.22999572753906</v>
      </c>
      <c r="J1571" s="832">
        <v>12</v>
      </c>
      <c r="K1571" s="833">
        <v>2054.7099609375</v>
      </c>
    </row>
    <row r="1572" spans="1:11" ht="14.45" customHeight="1" x14ac:dyDescent="0.2">
      <c r="A1572" s="822" t="s">
        <v>575</v>
      </c>
      <c r="B1572" s="823" t="s">
        <v>576</v>
      </c>
      <c r="C1572" s="826" t="s">
        <v>600</v>
      </c>
      <c r="D1572" s="840" t="s">
        <v>601</v>
      </c>
      <c r="E1572" s="826" t="s">
        <v>4873</v>
      </c>
      <c r="F1572" s="840" t="s">
        <v>4874</v>
      </c>
      <c r="G1572" s="826" t="s">
        <v>4990</v>
      </c>
      <c r="H1572" s="826" t="s">
        <v>4991</v>
      </c>
      <c r="I1572" s="832">
        <v>587.719970703125</v>
      </c>
      <c r="J1572" s="832">
        <v>120</v>
      </c>
      <c r="K1572" s="833">
        <v>70526.5908203125</v>
      </c>
    </row>
    <row r="1573" spans="1:11" ht="14.45" customHeight="1" x14ac:dyDescent="0.2">
      <c r="A1573" s="822" t="s">
        <v>575</v>
      </c>
      <c r="B1573" s="823" t="s">
        <v>576</v>
      </c>
      <c r="C1573" s="826" t="s">
        <v>600</v>
      </c>
      <c r="D1573" s="840" t="s">
        <v>601</v>
      </c>
      <c r="E1573" s="826" t="s">
        <v>4873</v>
      </c>
      <c r="F1573" s="840" t="s">
        <v>4874</v>
      </c>
      <c r="G1573" s="826" t="s">
        <v>4992</v>
      </c>
      <c r="H1573" s="826" t="s">
        <v>4993</v>
      </c>
      <c r="I1573" s="832">
        <v>191.50999450683594</v>
      </c>
      <c r="J1573" s="832">
        <v>756</v>
      </c>
      <c r="K1573" s="833">
        <v>144779.689453125</v>
      </c>
    </row>
    <row r="1574" spans="1:11" ht="14.45" customHeight="1" x14ac:dyDescent="0.2">
      <c r="A1574" s="822" t="s">
        <v>575</v>
      </c>
      <c r="B1574" s="823" t="s">
        <v>576</v>
      </c>
      <c r="C1574" s="826" t="s">
        <v>600</v>
      </c>
      <c r="D1574" s="840" t="s">
        <v>601</v>
      </c>
      <c r="E1574" s="826" t="s">
        <v>4873</v>
      </c>
      <c r="F1574" s="840" t="s">
        <v>4874</v>
      </c>
      <c r="G1574" s="826" t="s">
        <v>4875</v>
      </c>
      <c r="H1574" s="826" t="s">
        <v>4994</v>
      </c>
      <c r="I1574" s="832">
        <v>52.900001525878906</v>
      </c>
      <c r="J1574" s="832">
        <v>816</v>
      </c>
      <c r="K1574" s="833">
        <v>43166.400024414063</v>
      </c>
    </row>
    <row r="1575" spans="1:11" ht="14.45" customHeight="1" x14ac:dyDescent="0.2">
      <c r="A1575" s="822" t="s">
        <v>575</v>
      </c>
      <c r="B1575" s="823" t="s">
        <v>576</v>
      </c>
      <c r="C1575" s="826" t="s">
        <v>600</v>
      </c>
      <c r="D1575" s="840" t="s">
        <v>601</v>
      </c>
      <c r="E1575" s="826" t="s">
        <v>4873</v>
      </c>
      <c r="F1575" s="840" t="s">
        <v>4874</v>
      </c>
      <c r="G1575" s="826" t="s">
        <v>4877</v>
      </c>
      <c r="H1575" s="826" t="s">
        <v>4995</v>
      </c>
      <c r="I1575" s="832">
        <v>52.900001525878906</v>
      </c>
      <c r="J1575" s="832">
        <v>240</v>
      </c>
      <c r="K1575" s="833">
        <v>12696</v>
      </c>
    </row>
    <row r="1576" spans="1:11" ht="14.45" customHeight="1" x14ac:dyDescent="0.2">
      <c r="A1576" s="822" t="s">
        <v>575</v>
      </c>
      <c r="B1576" s="823" t="s">
        <v>576</v>
      </c>
      <c r="C1576" s="826" t="s">
        <v>600</v>
      </c>
      <c r="D1576" s="840" t="s">
        <v>601</v>
      </c>
      <c r="E1576" s="826" t="s">
        <v>4873</v>
      </c>
      <c r="F1576" s="840" t="s">
        <v>4874</v>
      </c>
      <c r="G1576" s="826" t="s">
        <v>4879</v>
      </c>
      <c r="H1576" s="826" t="s">
        <v>4996</v>
      </c>
      <c r="I1576" s="832">
        <v>35.310001373291016</v>
      </c>
      <c r="J1576" s="832">
        <v>72</v>
      </c>
      <c r="K1576" s="833">
        <v>2541.9599609375</v>
      </c>
    </row>
    <row r="1577" spans="1:11" ht="14.45" customHeight="1" x14ac:dyDescent="0.2">
      <c r="A1577" s="822" t="s">
        <v>575</v>
      </c>
      <c r="B1577" s="823" t="s">
        <v>576</v>
      </c>
      <c r="C1577" s="826" t="s">
        <v>600</v>
      </c>
      <c r="D1577" s="840" t="s">
        <v>601</v>
      </c>
      <c r="E1577" s="826" t="s">
        <v>4873</v>
      </c>
      <c r="F1577" s="840" t="s">
        <v>4874</v>
      </c>
      <c r="G1577" s="826" t="s">
        <v>4883</v>
      </c>
      <c r="H1577" s="826" t="s">
        <v>4997</v>
      </c>
      <c r="I1577" s="832">
        <v>35.080001831054688</v>
      </c>
      <c r="J1577" s="832">
        <v>72</v>
      </c>
      <c r="K1577" s="833">
        <v>2525.5799560546875</v>
      </c>
    </row>
    <row r="1578" spans="1:11" ht="14.45" customHeight="1" x14ac:dyDescent="0.2">
      <c r="A1578" s="822" t="s">
        <v>575</v>
      </c>
      <c r="B1578" s="823" t="s">
        <v>576</v>
      </c>
      <c r="C1578" s="826" t="s">
        <v>600</v>
      </c>
      <c r="D1578" s="840" t="s">
        <v>601</v>
      </c>
      <c r="E1578" s="826" t="s">
        <v>4873</v>
      </c>
      <c r="F1578" s="840" t="s">
        <v>4874</v>
      </c>
      <c r="G1578" s="826" t="s">
        <v>4885</v>
      </c>
      <c r="H1578" s="826" t="s">
        <v>4998</v>
      </c>
      <c r="I1578" s="832">
        <v>28.059999465942383</v>
      </c>
      <c r="J1578" s="832">
        <v>36</v>
      </c>
      <c r="K1578" s="833">
        <v>1010.1599731445313</v>
      </c>
    </row>
    <row r="1579" spans="1:11" ht="14.45" customHeight="1" x14ac:dyDescent="0.2">
      <c r="A1579" s="822" t="s">
        <v>575</v>
      </c>
      <c r="B1579" s="823" t="s">
        <v>576</v>
      </c>
      <c r="C1579" s="826" t="s">
        <v>600</v>
      </c>
      <c r="D1579" s="840" t="s">
        <v>601</v>
      </c>
      <c r="E1579" s="826" t="s">
        <v>4873</v>
      </c>
      <c r="F1579" s="840" t="s">
        <v>4874</v>
      </c>
      <c r="G1579" s="826" t="s">
        <v>4889</v>
      </c>
      <c r="H1579" s="826" t="s">
        <v>4999</v>
      </c>
      <c r="I1579" s="832">
        <v>665.45001220703125</v>
      </c>
      <c r="J1579" s="832">
        <v>12</v>
      </c>
      <c r="K1579" s="833">
        <v>7985.39990234375</v>
      </c>
    </row>
    <row r="1580" spans="1:11" ht="14.45" customHeight="1" x14ac:dyDescent="0.2">
      <c r="A1580" s="822" t="s">
        <v>575</v>
      </c>
      <c r="B1580" s="823" t="s">
        <v>576</v>
      </c>
      <c r="C1580" s="826" t="s">
        <v>600</v>
      </c>
      <c r="D1580" s="840" t="s">
        <v>601</v>
      </c>
      <c r="E1580" s="826" t="s">
        <v>4873</v>
      </c>
      <c r="F1580" s="840" t="s">
        <v>4874</v>
      </c>
      <c r="G1580" s="826" t="s">
        <v>4891</v>
      </c>
      <c r="H1580" s="826" t="s">
        <v>5000</v>
      </c>
      <c r="I1580" s="832">
        <v>108.22000122070313</v>
      </c>
      <c r="J1580" s="832">
        <v>48</v>
      </c>
      <c r="K1580" s="833">
        <v>5194.31982421875</v>
      </c>
    </row>
    <row r="1581" spans="1:11" ht="14.45" customHeight="1" x14ac:dyDescent="0.2">
      <c r="A1581" s="822" t="s">
        <v>575</v>
      </c>
      <c r="B1581" s="823" t="s">
        <v>576</v>
      </c>
      <c r="C1581" s="826" t="s">
        <v>600</v>
      </c>
      <c r="D1581" s="840" t="s">
        <v>601</v>
      </c>
      <c r="E1581" s="826" t="s">
        <v>4873</v>
      </c>
      <c r="F1581" s="840" t="s">
        <v>4874</v>
      </c>
      <c r="G1581" s="826" t="s">
        <v>4897</v>
      </c>
      <c r="H1581" s="826" t="s">
        <v>5001</v>
      </c>
      <c r="I1581" s="832">
        <v>67.849998474121094</v>
      </c>
      <c r="J1581" s="832">
        <v>504</v>
      </c>
      <c r="K1581" s="833">
        <v>34196.3994140625</v>
      </c>
    </row>
    <row r="1582" spans="1:11" ht="14.45" customHeight="1" x14ac:dyDescent="0.2">
      <c r="A1582" s="822" t="s">
        <v>575</v>
      </c>
      <c r="B1582" s="823" t="s">
        <v>576</v>
      </c>
      <c r="C1582" s="826" t="s">
        <v>600</v>
      </c>
      <c r="D1582" s="840" t="s">
        <v>601</v>
      </c>
      <c r="E1582" s="826" t="s">
        <v>4873</v>
      </c>
      <c r="F1582" s="840" t="s">
        <v>4874</v>
      </c>
      <c r="G1582" s="826" t="s">
        <v>5002</v>
      </c>
      <c r="H1582" s="826" t="s">
        <v>5003</v>
      </c>
      <c r="I1582" s="832">
        <v>67.849998474121094</v>
      </c>
      <c r="J1582" s="832">
        <v>36</v>
      </c>
      <c r="K1582" s="833">
        <v>2442.60009765625</v>
      </c>
    </row>
    <row r="1583" spans="1:11" ht="14.45" customHeight="1" x14ac:dyDescent="0.2">
      <c r="A1583" s="822" t="s">
        <v>575</v>
      </c>
      <c r="B1583" s="823" t="s">
        <v>576</v>
      </c>
      <c r="C1583" s="826" t="s">
        <v>600</v>
      </c>
      <c r="D1583" s="840" t="s">
        <v>601</v>
      </c>
      <c r="E1583" s="826" t="s">
        <v>4873</v>
      </c>
      <c r="F1583" s="840" t="s">
        <v>4874</v>
      </c>
      <c r="G1583" s="826" t="s">
        <v>4899</v>
      </c>
      <c r="H1583" s="826" t="s">
        <v>5004</v>
      </c>
      <c r="I1583" s="832">
        <v>69</v>
      </c>
      <c r="J1583" s="832">
        <v>108</v>
      </c>
      <c r="K1583" s="833">
        <v>7452</v>
      </c>
    </row>
    <row r="1584" spans="1:11" ht="14.45" customHeight="1" x14ac:dyDescent="0.2">
      <c r="A1584" s="822" t="s">
        <v>575</v>
      </c>
      <c r="B1584" s="823" t="s">
        <v>576</v>
      </c>
      <c r="C1584" s="826" t="s">
        <v>600</v>
      </c>
      <c r="D1584" s="840" t="s">
        <v>601</v>
      </c>
      <c r="E1584" s="826" t="s">
        <v>4873</v>
      </c>
      <c r="F1584" s="840" t="s">
        <v>4874</v>
      </c>
      <c r="G1584" s="826" t="s">
        <v>4903</v>
      </c>
      <c r="H1584" s="826" t="s">
        <v>5005</v>
      </c>
      <c r="I1584" s="832">
        <v>65.550003051757813</v>
      </c>
      <c r="J1584" s="832">
        <v>144</v>
      </c>
      <c r="K1584" s="833">
        <v>9439.2001953125</v>
      </c>
    </row>
    <row r="1585" spans="1:11" ht="14.45" customHeight="1" x14ac:dyDescent="0.2">
      <c r="A1585" s="822" t="s">
        <v>575</v>
      </c>
      <c r="B1585" s="823" t="s">
        <v>576</v>
      </c>
      <c r="C1585" s="826" t="s">
        <v>600</v>
      </c>
      <c r="D1585" s="840" t="s">
        <v>601</v>
      </c>
      <c r="E1585" s="826" t="s">
        <v>4873</v>
      </c>
      <c r="F1585" s="840" t="s">
        <v>4874</v>
      </c>
      <c r="G1585" s="826" t="s">
        <v>4905</v>
      </c>
      <c r="H1585" s="826" t="s">
        <v>5006</v>
      </c>
      <c r="I1585" s="832">
        <v>69</v>
      </c>
      <c r="J1585" s="832">
        <v>180</v>
      </c>
      <c r="K1585" s="833">
        <v>12420</v>
      </c>
    </row>
    <row r="1586" spans="1:11" ht="14.45" customHeight="1" x14ac:dyDescent="0.2">
      <c r="A1586" s="822" t="s">
        <v>575</v>
      </c>
      <c r="B1586" s="823" t="s">
        <v>576</v>
      </c>
      <c r="C1586" s="826" t="s">
        <v>600</v>
      </c>
      <c r="D1586" s="840" t="s">
        <v>601</v>
      </c>
      <c r="E1586" s="826" t="s">
        <v>4873</v>
      </c>
      <c r="F1586" s="840" t="s">
        <v>4874</v>
      </c>
      <c r="G1586" s="826" t="s">
        <v>4907</v>
      </c>
      <c r="H1586" s="826" t="s">
        <v>5007</v>
      </c>
      <c r="I1586" s="832">
        <v>69</v>
      </c>
      <c r="J1586" s="832">
        <v>72</v>
      </c>
      <c r="K1586" s="833">
        <v>4968</v>
      </c>
    </row>
    <row r="1587" spans="1:11" ht="14.45" customHeight="1" x14ac:dyDescent="0.2">
      <c r="A1587" s="822" t="s">
        <v>575</v>
      </c>
      <c r="B1587" s="823" t="s">
        <v>576</v>
      </c>
      <c r="C1587" s="826" t="s">
        <v>600</v>
      </c>
      <c r="D1587" s="840" t="s">
        <v>601</v>
      </c>
      <c r="E1587" s="826" t="s">
        <v>4873</v>
      </c>
      <c r="F1587" s="840" t="s">
        <v>4874</v>
      </c>
      <c r="G1587" s="826" t="s">
        <v>4909</v>
      </c>
      <c r="H1587" s="826" t="s">
        <v>5008</v>
      </c>
      <c r="I1587" s="832">
        <v>42.549999237060547</v>
      </c>
      <c r="J1587" s="832">
        <v>840</v>
      </c>
      <c r="K1587" s="833">
        <v>35742</v>
      </c>
    </row>
    <row r="1588" spans="1:11" ht="14.45" customHeight="1" x14ac:dyDescent="0.2">
      <c r="A1588" s="822" t="s">
        <v>575</v>
      </c>
      <c r="B1588" s="823" t="s">
        <v>576</v>
      </c>
      <c r="C1588" s="826" t="s">
        <v>600</v>
      </c>
      <c r="D1588" s="840" t="s">
        <v>601</v>
      </c>
      <c r="E1588" s="826" t="s">
        <v>4873</v>
      </c>
      <c r="F1588" s="840" t="s">
        <v>4874</v>
      </c>
      <c r="G1588" s="826" t="s">
        <v>4911</v>
      </c>
      <c r="H1588" s="826" t="s">
        <v>5009</v>
      </c>
      <c r="I1588" s="832">
        <v>33.349998474121094</v>
      </c>
      <c r="J1588" s="832">
        <v>720</v>
      </c>
      <c r="K1588" s="833">
        <v>24012.000122070313</v>
      </c>
    </row>
    <row r="1589" spans="1:11" ht="14.45" customHeight="1" x14ac:dyDescent="0.2">
      <c r="A1589" s="822" t="s">
        <v>575</v>
      </c>
      <c r="B1589" s="823" t="s">
        <v>576</v>
      </c>
      <c r="C1589" s="826" t="s">
        <v>600</v>
      </c>
      <c r="D1589" s="840" t="s">
        <v>601</v>
      </c>
      <c r="E1589" s="826" t="s">
        <v>4873</v>
      </c>
      <c r="F1589" s="840" t="s">
        <v>4874</v>
      </c>
      <c r="G1589" s="826" t="s">
        <v>5010</v>
      </c>
      <c r="H1589" s="826" t="s">
        <v>5011</v>
      </c>
      <c r="I1589" s="832">
        <v>87.5</v>
      </c>
      <c r="J1589" s="832">
        <v>36</v>
      </c>
      <c r="K1589" s="833">
        <v>3150.080078125</v>
      </c>
    </row>
    <row r="1590" spans="1:11" ht="14.45" customHeight="1" x14ac:dyDescent="0.2">
      <c r="A1590" s="822" t="s">
        <v>575</v>
      </c>
      <c r="B1590" s="823" t="s">
        <v>576</v>
      </c>
      <c r="C1590" s="826" t="s">
        <v>600</v>
      </c>
      <c r="D1590" s="840" t="s">
        <v>601</v>
      </c>
      <c r="E1590" s="826" t="s">
        <v>4873</v>
      </c>
      <c r="F1590" s="840" t="s">
        <v>4874</v>
      </c>
      <c r="G1590" s="826" t="s">
        <v>4914</v>
      </c>
      <c r="H1590" s="826" t="s">
        <v>5012</v>
      </c>
      <c r="I1590" s="832">
        <v>513.90997314453125</v>
      </c>
      <c r="J1590" s="832">
        <v>6</v>
      </c>
      <c r="K1590" s="833">
        <v>3083.47998046875</v>
      </c>
    </row>
    <row r="1591" spans="1:11" ht="14.45" customHeight="1" x14ac:dyDescent="0.2">
      <c r="A1591" s="822" t="s">
        <v>575</v>
      </c>
      <c r="B1591" s="823" t="s">
        <v>576</v>
      </c>
      <c r="C1591" s="826" t="s">
        <v>600</v>
      </c>
      <c r="D1591" s="840" t="s">
        <v>601</v>
      </c>
      <c r="E1591" s="826" t="s">
        <v>4873</v>
      </c>
      <c r="F1591" s="840" t="s">
        <v>4874</v>
      </c>
      <c r="G1591" s="826" t="s">
        <v>4918</v>
      </c>
      <c r="H1591" s="826" t="s">
        <v>5013</v>
      </c>
      <c r="I1591" s="832">
        <v>376.48001098632813</v>
      </c>
      <c r="J1591" s="832">
        <v>72</v>
      </c>
      <c r="K1591" s="833">
        <v>27106.6494140625</v>
      </c>
    </row>
    <row r="1592" spans="1:11" ht="14.45" customHeight="1" x14ac:dyDescent="0.2">
      <c r="A1592" s="822" t="s">
        <v>575</v>
      </c>
      <c r="B1592" s="823" t="s">
        <v>576</v>
      </c>
      <c r="C1592" s="826" t="s">
        <v>600</v>
      </c>
      <c r="D1592" s="840" t="s">
        <v>601</v>
      </c>
      <c r="E1592" s="826" t="s">
        <v>4873</v>
      </c>
      <c r="F1592" s="840" t="s">
        <v>4874</v>
      </c>
      <c r="G1592" s="826" t="s">
        <v>4920</v>
      </c>
      <c r="H1592" s="826" t="s">
        <v>5014</v>
      </c>
      <c r="I1592" s="832">
        <v>330.47000122070313</v>
      </c>
      <c r="J1592" s="832">
        <v>120</v>
      </c>
      <c r="K1592" s="833">
        <v>39656.0400390625</v>
      </c>
    </row>
    <row r="1593" spans="1:11" ht="14.45" customHeight="1" x14ac:dyDescent="0.2">
      <c r="A1593" s="822" t="s">
        <v>575</v>
      </c>
      <c r="B1593" s="823" t="s">
        <v>576</v>
      </c>
      <c r="C1593" s="826" t="s">
        <v>600</v>
      </c>
      <c r="D1593" s="840" t="s">
        <v>601</v>
      </c>
      <c r="E1593" s="826" t="s">
        <v>4873</v>
      </c>
      <c r="F1593" s="840" t="s">
        <v>4874</v>
      </c>
      <c r="G1593" s="826" t="s">
        <v>4922</v>
      </c>
      <c r="H1593" s="826" t="s">
        <v>5015</v>
      </c>
      <c r="I1593" s="832">
        <v>39.740001678466797</v>
      </c>
      <c r="J1593" s="832">
        <v>360</v>
      </c>
      <c r="K1593" s="833">
        <v>14305.999633789063</v>
      </c>
    </row>
    <row r="1594" spans="1:11" ht="14.45" customHeight="1" x14ac:dyDescent="0.2">
      <c r="A1594" s="822" t="s">
        <v>575</v>
      </c>
      <c r="B1594" s="823" t="s">
        <v>576</v>
      </c>
      <c r="C1594" s="826" t="s">
        <v>600</v>
      </c>
      <c r="D1594" s="840" t="s">
        <v>601</v>
      </c>
      <c r="E1594" s="826" t="s">
        <v>4873</v>
      </c>
      <c r="F1594" s="840" t="s">
        <v>4874</v>
      </c>
      <c r="G1594" s="826" t="s">
        <v>4924</v>
      </c>
      <c r="H1594" s="826" t="s">
        <v>5016</v>
      </c>
      <c r="I1594" s="832">
        <v>28.860000610351563</v>
      </c>
      <c r="J1594" s="832">
        <v>180</v>
      </c>
      <c r="K1594" s="833">
        <v>5195.150146484375</v>
      </c>
    </row>
    <row r="1595" spans="1:11" ht="14.45" customHeight="1" x14ac:dyDescent="0.2">
      <c r="A1595" s="822" t="s">
        <v>575</v>
      </c>
      <c r="B1595" s="823" t="s">
        <v>576</v>
      </c>
      <c r="C1595" s="826" t="s">
        <v>600</v>
      </c>
      <c r="D1595" s="840" t="s">
        <v>601</v>
      </c>
      <c r="E1595" s="826" t="s">
        <v>4873</v>
      </c>
      <c r="F1595" s="840" t="s">
        <v>4874</v>
      </c>
      <c r="G1595" s="826" t="s">
        <v>4928</v>
      </c>
      <c r="H1595" s="826" t="s">
        <v>5017</v>
      </c>
      <c r="I1595" s="832">
        <v>78.680000305175781</v>
      </c>
      <c r="J1595" s="832">
        <v>108</v>
      </c>
      <c r="K1595" s="833">
        <v>8497.020263671875</v>
      </c>
    </row>
    <row r="1596" spans="1:11" ht="14.45" customHeight="1" x14ac:dyDescent="0.2">
      <c r="A1596" s="822" t="s">
        <v>575</v>
      </c>
      <c r="B1596" s="823" t="s">
        <v>576</v>
      </c>
      <c r="C1596" s="826" t="s">
        <v>600</v>
      </c>
      <c r="D1596" s="840" t="s">
        <v>601</v>
      </c>
      <c r="E1596" s="826" t="s">
        <v>4873</v>
      </c>
      <c r="F1596" s="840" t="s">
        <v>4874</v>
      </c>
      <c r="G1596" s="826" t="s">
        <v>4930</v>
      </c>
      <c r="H1596" s="826" t="s">
        <v>5018</v>
      </c>
      <c r="I1596" s="832">
        <v>42.509998321533203</v>
      </c>
      <c r="J1596" s="832">
        <v>216</v>
      </c>
      <c r="K1596" s="833">
        <v>9181.850341796875</v>
      </c>
    </row>
    <row r="1597" spans="1:11" ht="14.45" customHeight="1" x14ac:dyDescent="0.2">
      <c r="A1597" s="822" t="s">
        <v>575</v>
      </c>
      <c r="B1597" s="823" t="s">
        <v>576</v>
      </c>
      <c r="C1597" s="826" t="s">
        <v>600</v>
      </c>
      <c r="D1597" s="840" t="s">
        <v>601</v>
      </c>
      <c r="E1597" s="826" t="s">
        <v>4873</v>
      </c>
      <c r="F1597" s="840" t="s">
        <v>4874</v>
      </c>
      <c r="G1597" s="826" t="s">
        <v>4932</v>
      </c>
      <c r="H1597" s="826" t="s">
        <v>5019</v>
      </c>
      <c r="I1597" s="832">
        <v>56.029998779296875</v>
      </c>
      <c r="J1597" s="832">
        <v>576</v>
      </c>
      <c r="K1597" s="833">
        <v>32275.44970703125</v>
      </c>
    </row>
    <row r="1598" spans="1:11" ht="14.45" customHeight="1" x14ac:dyDescent="0.2">
      <c r="A1598" s="822" t="s">
        <v>575</v>
      </c>
      <c r="B1598" s="823" t="s">
        <v>576</v>
      </c>
      <c r="C1598" s="826" t="s">
        <v>600</v>
      </c>
      <c r="D1598" s="840" t="s">
        <v>601</v>
      </c>
      <c r="E1598" s="826" t="s">
        <v>4873</v>
      </c>
      <c r="F1598" s="840" t="s">
        <v>4874</v>
      </c>
      <c r="G1598" s="826" t="s">
        <v>5020</v>
      </c>
      <c r="H1598" s="826" t="s">
        <v>5021</v>
      </c>
      <c r="I1598" s="832">
        <v>920.1099853515625</v>
      </c>
      <c r="J1598" s="832">
        <v>6</v>
      </c>
      <c r="K1598" s="833">
        <v>5520.68017578125</v>
      </c>
    </row>
    <row r="1599" spans="1:11" ht="14.45" customHeight="1" x14ac:dyDescent="0.2">
      <c r="A1599" s="822" t="s">
        <v>575</v>
      </c>
      <c r="B1599" s="823" t="s">
        <v>576</v>
      </c>
      <c r="C1599" s="826" t="s">
        <v>600</v>
      </c>
      <c r="D1599" s="840" t="s">
        <v>601</v>
      </c>
      <c r="E1599" s="826" t="s">
        <v>4873</v>
      </c>
      <c r="F1599" s="840" t="s">
        <v>4874</v>
      </c>
      <c r="G1599" s="826" t="s">
        <v>4940</v>
      </c>
      <c r="H1599" s="826" t="s">
        <v>5022</v>
      </c>
      <c r="I1599" s="832">
        <v>845.8499755859375</v>
      </c>
      <c r="J1599" s="832">
        <v>18</v>
      </c>
      <c r="K1599" s="833">
        <v>15225.23046875</v>
      </c>
    </row>
    <row r="1600" spans="1:11" ht="14.45" customHeight="1" x14ac:dyDescent="0.2">
      <c r="A1600" s="822" t="s">
        <v>575</v>
      </c>
      <c r="B1600" s="823" t="s">
        <v>576</v>
      </c>
      <c r="C1600" s="826" t="s">
        <v>600</v>
      </c>
      <c r="D1600" s="840" t="s">
        <v>601</v>
      </c>
      <c r="E1600" s="826" t="s">
        <v>4873</v>
      </c>
      <c r="F1600" s="840" t="s">
        <v>4874</v>
      </c>
      <c r="G1600" s="826" t="s">
        <v>4944</v>
      </c>
      <c r="H1600" s="826" t="s">
        <v>5023</v>
      </c>
      <c r="I1600" s="832">
        <v>153.47000122070313</v>
      </c>
      <c r="J1600" s="832">
        <v>456</v>
      </c>
      <c r="K1600" s="833">
        <v>69981.1787109375</v>
      </c>
    </row>
    <row r="1601" spans="1:11" ht="14.45" customHeight="1" x14ac:dyDescent="0.2">
      <c r="A1601" s="822" t="s">
        <v>575</v>
      </c>
      <c r="B1601" s="823" t="s">
        <v>576</v>
      </c>
      <c r="C1601" s="826" t="s">
        <v>600</v>
      </c>
      <c r="D1601" s="840" t="s">
        <v>601</v>
      </c>
      <c r="E1601" s="826" t="s">
        <v>4873</v>
      </c>
      <c r="F1601" s="840" t="s">
        <v>4874</v>
      </c>
      <c r="G1601" s="826" t="s">
        <v>4946</v>
      </c>
      <c r="H1601" s="826" t="s">
        <v>5024</v>
      </c>
      <c r="I1601" s="832">
        <v>131.96000671386719</v>
      </c>
      <c r="J1601" s="832">
        <v>360</v>
      </c>
      <c r="K1601" s="833">
        <v>47506.5</v>
      </c>
    </row>
    <row r="1602" spans="1:11" ht="14.45" customHeight="1" x14ac:dyDescent="0.2">
      <c r="A1602" s="822" t="s">
        <v>575</v>
      </c>
      <c r="B1602" s="823" t="s">
        <v>576</v>
      </c>
      <c r="C1602" s="826" t="s">
        <v>600</v>
      </c>
      <c r="D1602" s="840" t="s">
        <v>601</v>
      </c>
      <c r="E1602" s="826" t="s">
        <v>4873</v>
      </c>
      <c r="F1602" s="840" t="s">
        <v>4874</v>
      </c>
      <c r="G1602" s="826" t="s">
        <v>5025</v>
      </c>
      <c r="H1602" s="826" t="s">
        <v>5026</v>
      </c>
      <c r="I1602" s="832">
        <v>167.14999389648438</v>
      </c>
      <c r="J1602" s="832">
        <v>24</v>
      </c>
      <c r="K1602" s="833">
        <v>4011.659912109375</v>
      </c>
    </row>
    <row r="1603" spans="1:11" ht="14.45" customHeight="1" x14ac:dyDescent="0.2">
      <c r="A1603" s="822" t="s">
        <v>575</v>
      </c>
      <c r="B1603" s="823" t="s">
        <v>576</v>
      </c>
      <c r="C1603" s="826" t="s">
        <v>600</v>
      </c>
      <c r="D1603" s="840" t="s">
        <v>601</v>
      </c>
      <c r="E1603" s="826" t="s">
        <v>4873</v>
      </c>
      <c r="F1603" s="840" t="s">
        <v>4874</v>
      </c>
      <c r="G1603" s="826" t="s">
        <v>4950</v>
      </c>
      <c r="H1603" s="826" t="s">
        <v>5027</v>
      </c>
      <c r="I1603" s="832">
        <v>164.22000122070313</v>
      </c>
      <c r="J1603" s="832">
        <v>48</v>
      </c>
      <c r="K1603" s="833">
        <v>7882.5498046875</v>
      </c>
    </row>
    <row r="1604" spans="1:11" ht="14.45" customHeight="1" x14ac:dyDescent="0.2">
      <c r="A1604" s="822" t="s">
        <v>575</v>
      </c>
      <c r="B1604" s="823" t="s">
        <v>576</v>
      </c>
      <c r="C1604" s="826" t="s">
        <v>600</v>
      </c>
      <c r="D1604" s="840" t="s">
        <v>601</v>
      </c>
      <c r="E1604" s="826" t="s">
        <v>4873</v>
      </c>
      <c r="F1604" s="840" t="s">
        <v>4874</v>
      </c>
      <c r="G1604" s="826" t="s">
        <v>4952</v>
      </c>
      <c r="H1604" s="826" t="s">
        <v>5028</v>
      </c>
      <c r="I1604" s="832">
        <v>157.3800048828125</v>
      </c>
      <c r="J1604" s="832">
        <v>60</v>
      </c>
      <c r="K1604" s="833">
        <v>9442.650146484375</v>
      </c>
    </row>
    <row r="1605" spans="1:11" ht="14.45" customHeight="1" x14ac:dyDescent="0.2">
      <c r="A1605" s="822" t="s">
        <v>575</v>
      </c>
      <c r="B1605" s="823" t="s">
        <v>576</v>
      </c>
      <c r="C1605" s="826" t="s">
        <v>600</v>
      </c>
      <c r="D1605" s="840" t="s">
        <v>601</v>
      </c>
      <c r="E1605" s="826" t="s">
        <v>4873</v>
      </c>
      <c r="F1605" s="840" t="s">
        <v>4874</v>
      </c>
      <c r="G1605" s="826" t="s">
        <v>4954</v>
      </c>
      <c r="H1605" s="826" t="s">
        <v>5029</v>
      </c>
      <c r="I1605" s="832">
        <v>134.89999389648438</v>
      </c>
      <c r="J1605" s="832">
        <v>288</v>
      </c>
      <c r="K1605" s="833">
        <v>38849.759765625</v>
      </c>
    </row>
    <row r="1606" spans="1:11" ht="14.45" customHeight="1" x14ac:dyDescent="0.2">
      <c r="A1606" s="822" t="s">
        <v>575</v>
      </c>
      <c r="B1606" s="823" t="s">
        <v>576</v>
      </c>
      <c r="C1606" s="826" t="s">
        <v>600</v>
      </c>
      <c r="D1606" s="840" t="s">
        <v>601</v>
      </c>
      <c r="E1606" s="826" t="s">
        <v>4873</v>
      </c>
      <c r="F1606" s="840" t="s">
        <v>4874</v>
      </c>
      <c r="G1606" s="826" t="s">
        <v>4956</v>
      </c>
      <c r="H1606" s="826" t="s">
        <v>5030</v>
      </c>
      <c r="I1606" s="832">
        <v>130.98666890462241</v>
      </c>
      <c r="J1606" s="832">
        <v>36</v>
      </c>
      <c r="K1606" s="833">
        <v>4715.39990234375</v>
      </c>
    </row>
    <row r="1607" spans="1:11" ht="14.45" customHeight="1" x14ac:dyDescent="0.2">
      <c r="A1607" s="822" t="s">
        <v>575</v>
      </c>
      <c r="B1607" s="823" t="s">
        <v>576</v>
      </c>
      <c r="C1607" s="826" t="s">
        <v>600</v>
      </c>
      <c r="D1607" s="840" t="s">
        <v>601</v>
      </c>
      <c r="E1607" s="826" t="s">
        <v>4873</v>
      </c>
      <c r="F1607" s="840" t="s">
        <v>4874</v>
      </c>
      <c r="G1607" s="826" t="s">
        <v>4958</v>
      </c>
      <c r="H1607" s="826" t="s">
        <v>5031</v>
      </c>
      <c r="I1607" s="832">
        <v>210.16000366210938</v>
      </c>
      <c r="J1607" s="832">
        <v>12</v>
      </c>
      <c r="K1607" s="833">
        <v>2521.949951171875</v>
      </c>
    </row>
    <row r="1608" spans="1:11" ht="14.45" customHeight="1" x14ac:dyDescent="0.2">
      <c r="A1608" s="822" t="s">
        <v>575</v>
      </c>
      <c r="B1608" s="823" t="s">
        <v>576</v>
      </c>
      <c r="C1608" s="826" t="s">
        <v>600</v>
      </c>
      <c r="D1608" s="840" t="s">
        <v>601</v>
      </c>
      <c r="E1608" s="826" t="s">
        <v>4873</v>
      </c>
      <c r="F1608" s="840" t="s">
        <v>4874</v>
      </c>
      <c r="G1608" s="826" t="s">
        <v>4960</v>
      </c>
      <c r="H1608" s="826" t="s">
        <v>5032</v>
      </c>
      <c r="I1608" s="832">
        <v>139.77999877929688</v>
      </c>
      <c r="J1608" s="832">
        <v>36</v>
      </c>
      <c r="K1608" s="833">
        <v>5032.169921875</v>
      </c>
    </row>
    <row r="1609" spans="1:11" ht="14.45" customHeight="1" x14ac:dyDescent="0.2">
      <c r="A1609" s="822" t="s">
        <v>575</v>
      </c>
      <c r="B1609" s="823" t="s">
        <v>576</v>
      </c>
      <c r="C1609" s="826" t="s">
        <v>600</v>
      </c>
      <c r="D1609" s="840" t="s">
        <v>601</v>
      </c>
      <c r="E1609" s="826" t="s">
        <v>4873</v>
      </c>
      <c r="F1609" s="840" t="s">
        <v>4874</v>
      </c>
      <c r="G1609" s="826" t="s">
        <v>4962</v>
      </c>
      <c r="H1609" s="826" t="s">
        <v>5033</v>
      </c>
      <c r="I1609" s="832">
        <v>210.16000366210938</v>
      </c>
      <c r="J1609" s="832">
        <v>96</v>
      </c>
      <c r="K1609" s="833">
        <v>20175.599609375</v>
      </c>
    </row>
    <row r="1610" spans="1:11" ht="14.45" customHeight="1" x14ac:dyDescent="0.2">
      <c r="A1610" s="822" t="s">
        <v>575</v>
      </c>
      <c r="B1610" s="823" t="s">
        <v>576</v>
      </c>
      <c r="C1610" s="826" t="s">
        <v>600</v>
      </c>
      <c r="D1610" s="840" t="s">
        <v>601</v>
      </c>
      <c r="E1610" s="826" t="s">
        <v>4873</v>
      </c>
      <c r="F1610" s="840" t="s">
        <v>4874</v>
      </c>
      <c r="G1610" s="826" t="s">
        <v>4966</v>
      </c>
      <c r="H1610" s="826" t="s">
        <v>5034</v>
      </c>
      <c r="I1610" s="832">
        <v>210.16000366210938</v>
      </c>
      <c r="J1610" s="832">
        <v>12</v>
      </c>
      <c r="K1610" s="833">
        <v>2521.949951171875</v>
      </c>
    </row>
    <row r="1611" spans="1:11" ht="14.45" customHeight="1" x14ac:dyDescent="0.2">
      <c r="A1611" s="822" t="s">
        <v>575</v>
      </c>
      <c r="B1611" s="823" t="s">
        <v>576</v>
      </c>
      <c r="C1611" s="826" t="s">
        <v>600</v>
      </c>
      <c r="D1611" s="840" t="s">
        <v>601</v>
      </c>
      <c r="E1611" s="826" t="s">
        <v>4873</v>
      </c>
      <c r="F1611" s="840" t="s">
        <v>4874</v>
      </c>
      <c r="G1611" s="826" t="s">
        <v>4970</v>
      </c>
      <c r="H1611" s="826" t="s">
        <v>5035</v>
      </c>
      <c r="I1611" s="832">
        <v>133.91999816894531</v>
      </c>
      <c r="J1611" s="832">
        <v>252</v>
      </c>
      <c r="K1611" s="833">
        <v>33747.20849609375</v>
      </c>
    </row>
    <row r="1612" spans="1:11" ht="14.45" customHeight="1" x14ac:dyDescent="0.2">
      <c r="A1612" s="822" t="s">
        <v>575</v>
      </c>
      <c r="B1612" s="823" t="s">
        <v>576</v>
      </c>
      <c r="C1612" s="826" t="s">
        <v>600</v>
      </c>
      <c r="D1612" s="840" t="s">
        <v>601</v>
      </c>
      <c r="E1612" s="826" t="s">
        <v>4873</v>
      </c>
      <c r="F1612" s="840" t="s">
        <v>4874</v>
      </c>
      <c r="G1612" s="826" t="s">
        <v>4974</v>
      </c>
      <c r="H1612" s="826" t="s">
        <v>5036</v>
      </c>
      <c r="I1612" s="832">
        <v>297.16000366210938</v>
      </c>
      <c r="J1612" s="832">
        <v>756</v>
      </c>
      <c r="K1612" s="833">
        <v>224652.955078125</v>
      </c>
    </row>
    <row r="1613" spans="1:11" ht="14.45" customHeight="1" x14ac:dyDescent="0.2">
      <c r="A1613" s="822" t="s">
        <v>575</v>
      </c>
      <c r="B1613" s="823" t="s">
        <v>576</v>
      </c>
      <c r="C1613" s="826" t="s">
        <v>600</v>
      </c>
      <c r="D1613" s="840" t="s">
        <v>601</v>
      </c>
      <c r="E1613" s="826" t="s">
        <v>4873</v>
      </c>
      <c r="F1613" s="840" t="s">
        <v>4874</v>
      </c>
      <c r="G1613" s="826" t="s">
        <v>4976</v>
      </c>
      <c r="H1613" s="826" t="s">
        <v>5037</v>
      </c>
      <c r="I1613" s="832">
        <v>639.28997802734375</v>
      </c>
      <c r="J1613" s="832">
        <v>36</v>
      </c>
      <c r="K1613" s="833">
        <v>23014.259765625</v>
      </c>
    </row>
    <row r="1614" spans="1:11" ht="14.45" customHeight="1" x14ac:dyDescent="0.2">
      <c r="A1614" s="822" t="s">
        <v>575</v>
      </c>
      <c r="B1614" s="823" t="s">
        <v>576</v>
      </c>
      <c r="C1614" s="826" t="s">
        <v>600</v>
      </c>
      <c r="D1614" s="840" t="s">
        <v>601</v>
      </c>
      <c r="E1614" s="826" t="s">
        <v>4873</v>
      </c>
      <c r="F1614" s="840" t="s">
        <v>4874</v>
      </c>
      <c r="G1614" s="826" t="s">
        <v>5038</v>
      </c>
      <c r="H1614" s="826" t="s">
        <v>5039</v>
      </c>
      <c r="I1614" s="832">
        <v>342.1300048828125</v>
      </c>
      <c r="J1614" s="832">
        <v>12</v>
      </c>
      <c r="K1614" s="833">
        <v>4105.5</v>
      </c>
    </row>
    <row r="1615" spans="1:11" ht="14.45" customHeight="1" x14ac:dyDescent="0.2">
      <c r="A1615" s="822" t="s">
        <v>575</v>
      </c>
      <c r="B1615" s="823" t="s">
        <v>576</v>
      </c>
      <c r="C1615" s="826" t="s">
        <v>600</v>
      </c>
      <c r="D1615" s="840" t="s">
        <v>601</v>
      </c>
      <c r="E1615" s="826" t="s">
        <v>4873</v>
      </c>
      <c r="F1615" s="840" t="s">
        <v>4874</v>
      </c>
      <c r="G1615" s="826" t="s">
        <v>4978</v>
      </c>
      <c r="H1615" s="826" t="s">
        <v>5040</v>
      </c>
      <c r="I1615" s="832">
        <v>241.44000244140625</v>
      </c>
      <c r="J1615" s="832">
        <v>72</v>
      </c>
      <c r="K1615" s="833">
        <v>17383.859375</v>
      </c>
    </row>
    <row r="1616" spans="1:11" ht="14.45" customHeight="1" x14ac:dyDescent="0.2">
      <c r="A1616" s="822" t="s">
        <v>575</v>
      </c>
      <c r="B1616" s="823" t="s">
        <v>576</v>
      </c>
      <c r="C1616" s="826" t="s">
        <v>600</v>
      </c>
      <c r="D1616" s="840" t="s">
        <v>601</v>
      </c>
      <c r="E1616" s="826" t="s">
        <v>4873</v>
      </c>
      <c r="F1616" s="840" t="s">
        <v>4874</v>
      </c>
      <c r="G1616" s="826" t="s">
        <v>4980</v>
      </c>
      <c r="H1616" s="826" t="s">
        <v>5041</v>
      </c>
      <c r="I1616" s="832">
        <v>250.72999572753906</v>
      </c>
      <c r="J1616" s="832">
        <v>108</v>
      </c>
      <c r="K1616" s="833">
        <v>27078.720703125</v>
      </c>
    </row>
    <row r="1617" spans="1:11" ht="14.45" customHeight="1" x14ac:dyDescent="0.2">
      <c r="A1617" s="822" t="s">
        <v>575</v>
      </c>
      <c r="B1617" s="823" t="s">
        <v>576</v>
      </c>
      <c r="C1617" s="826" t="s">
        <v>600</v>
      </c>
      <c r="D1617" s="840" t="s">
        <v>601</v>
      </c>
      <c r="E1617" s="826" t="s">
        <v>4873</v>
      </c>
      <c r="F1617" s="840" t="s">
        <v>4874</v>
      </c>
      <c r="G1617" s="826" t="s">
        <v>4982</v>
      </c>
      <c r="H1617" s="826" t="s">
        <v>5042</v>
      </c>
      <c r="I1617" s="832">
        <v>276.6300048828125</v>
      </c>
      <c r="J1617" s="832">
        <v>72</v>
      </c>
      <c r="K1617" s="833">
        <v>19917.5390625</v>
      </c>
    </row>
    <row r="1618" spans="1:11" ht="14.45" customHeight="1" x14ac:dyDescent="0.2">
      <c r="A1618" s="822" t="s">
        <v>575</v>
      </c>
      <c r="B1618" s="823" t="s">
        <v>576</v>
      </c>
      <c r="C1618" s="826" t="s">
        <v>600</v>
      </c>
      <c r="D1618" s="840" t="s">
        <v>601</v>
      </c>
      <c r="E1618" s="826" t="s">
        <v>4873</v>
      </c>
      <c r="F1618" s="840" t="s">
        <v>4874</v>
      </c>
      <c r="G1618" s="826" t="s">
        <v>5043</v>
      </c>
      <c r="H1618" s="826" t="s">
        <v>5044</v>
      </c>
      <c r="I1618" s="832">
        <v>47.740001678466797</v>
      </c>
      <c r="J1618" s="832">
        <v>36</v>
      </c>
      <c r="K1618" s="833">
        <v>1718.7900390625</v>
      </c>
    </row>
    <row r="1619" spans="1:11" ht="14.45" customHeight="1" x14ac:dyDescent="0.2">
      <c r="A1619" s="822" t="s">
        <v>575</v>
      </c>
      <c r="B1619" s="823" t="s">
        <v>576</v>
      </c>
      <c r="C1619" s="826" t="s">
        <v>600</v>
      </c>
      <c r="D1619" s="840" t="s">
        <v>601</v>
      </c>
      <c r="E1619" s="826" t="s">
        <v>4873</v>
      </c>
      <c r="F1619" s="840" t="s">
        <v>4874</v>
      </c>
      <c r="G1619" s="826" t="s">
        <v>4986</v>
      </c>
      <c r="H1619" s="826" t="s">
        <v>5045</v>
      </c>
      <c r="I1619" s="832">
        <v>854.45001220703125</v>
      </c>
      <c r="J1619" s="832">
        <v>18</v>
      </c>
      <c r="K1619" s="833">
        <v>15380.12060546875</v>
      </c>
    </row>
    <row r="1620" spans="1:11" ht="14.45" customHeight="1" x14ac:dyDescent="0.2">
      <c r="A1620" s="822" t="s">
        <v>575</v>
      </c>
      <c r="B1620" s="823" t="s">
        <v>576</v>
      </c>
      <c r="C1620" s="826" t="s">
        <v>600</v>
      </c>
      <c r="D1620" s="840" t="s">
        <v>601</v>
      </c>
      <c r="E1620" s="826" t="s">
        <v>4873</v>
      </c>
      <c r="F1620" s="840" t="s">
        <v>4874</v>
      </c>
      <c r="G1620" s="826" t="s">
        <v>4990</v>
      </c>
      <c r="H1620" s="826" t="s">
        <v>5046</v>
      </c>
      <c r="I1620" s="832">
        <v>587.719970703125</v>
      </c>
      <c r="J1620" s="832">
        <v>120</v>
      </c>
      <c r="K1620" s="833">
        <v>70526.650390625</v>
      </c>
    </row>
    <row r="1621" spans="1:11" ht="14.45" customHeight="1" x14ac:dyDescent="0.2">
      <c r="A1621" s="822" t="s">
        <v>575</v>
      </c>
      <c r="B1621" s="823" t="s">
        <v>576</v>
      </c>
      <c r="C1621" s="826" t="s">
        <v>600</v>
      </c>
      <c r="D1621" s="840" t="s">
        <v>601</v>
      </c>
      <c r="E1621" s="826" t="s">
        <v>4873</v>
      </c>
      <c r="F1621" s="840" t="s">
        <v>4874</v>
      </c>
      <c r="G1621" s="826" t="s">
        <v>4992</v>
      </c>
      <c r="H1621" s="826" t="s">
        <v>5047</v>
      </c>
      <c r="I1621" s="832">
        <v>191.50999450683594</v>
      </c>
      <c r="J1621" s="832">
        <v>432</v>
      </c>
      <c r="K1621" s="833">
        <v>82731</v>
      </c>
    </row>
    <row r="1622" spans="1:11" ht="14.45" customHeight="1" x14ac:dyDescent="0.2">
      <c r="A1622" s="822" t="s">
        <v>575</v>
      </c>
      <c r="B1622" s="823" t="s">
        <v>576</v>
      </c>
      <c r="C1622" s="826" t="s">
        <v>600</v>
      </c>
      <c r="D1622" s="840" t="s">
        <v>601</v>
      </c>
      <c r="E1622" s="826" t="s">
        <v>3544</v>
      </c>
      <c r="F1622" s="840" t="s">
        <v>3545</v>
      </c>
      <c r="G1622" s="826" t="s">
        <v>5048</v>
      </c>
      <c r="H1622" s="826" t="s">
        <v>5049</v>
      </c>
      <c r="I1622" s="832">
        <v>7.5100002288818359</v>
      </c>
      <c r="J1622" s="832">
        <v>80</v>
      </c>
      <c r="K1622" s="833">
        <v>601.12998962402344</v>
      </c>
    </row>
    <row r="1623" spans="1:11" ht="14.45" customHeight="1" x14ac:dyDescent="0.2">
      <c r="A1623" s="822" t="s">
        <v>575</v>
      </c>
      <c r="B1623" s="823" t="s">
        <v>576</v>
      </c>
      <c r="C1623" s="826" t="s">
        <v>600</v>
      </c>
      <c r="D1623" s="840" t="s">
        <v>601</v>
      </c>
      <c r="E1623" s="826" t="s">
        <v>3544</v>
      </c>
      <c r="F1623" s="840" t="s">
        <v>3545</v>
      </c>
      <c r="G1623" s="826" t="s">
        <v>5050</v>
      </c>
      <c r="H1623" s="826" t="s">
        <v>5051</v>
      </c>
      <c r="I1623" s="832">
        <v>12.609999656677246</v>
      </c>
      <c r="J1623" s="832">
        <v>50</v>
      </c>
      <c r="K1623" s="833">
        <v>630.40997314453125</v>
      </c>
    </row>
    <row r="1624" spans="1:11" ht="14.45" customHeight="1" x14ac:dyDescent="0.2">
      <c r="A1624" s="822" t="s">
        <v>575</v>
      </c>
      <c r="B1624" s="823" t="s">
        <v>576</v>
      </c>
      <c r="C1624" s="826" t="s">
        <v>600</v>
      </c>
      <c r="D1624" s="840" t="s">
        <v>601</v>
      </c>
      <c r="E1624" s="826" t="s">
        <v>3544</v>
      </c>
      <c r="F1624" s="840" t="s">
        <v>3545</v>
      </c>
      <c r="G1624" s="826" t="s">
        <v>5052</v>
      </c>
      <c r="H1624" s="826" t="s">
        <v>5053</v>
      </c>
      <c r="I1624" s="832">
        <v>12.609999656677246</v>
      </c>
      <c r="J1624" s="832">
        <v>50</v>
      </c>
      <c r="K1624" s="833">
        <v>630.40997314453125</v>
      </c>
    </row>
    <row r="1625" spans="1:11" ht="14.45" customHeight="1" x14ac:dyDescent="0.2">
      <c r="A1625" s="822" t="s">
        <v>575</v>
      </c>
      <c r="B1625" s="823" t="s">
        <v>576</v>
      </c>
      <c r="C1625" s="826" t="s">
        <v>600</v>
      </c>
      <c r="D1625" s="840" t="s">
        <v>601</v>
      </c>
      <c r="E1625" s="826" t="s">
        <v>3544</v>
      </c>
      <c r="F1625" s="840" t="s">
        <v>3545</v>
      </c>
      <c r="G1625" s="826" t="s">
        <v>5054</v>
      </c>
      <c r="H1625" s="826" t="s">
        <v>5055</v>
      </c>
      <c r="I1625" s="832">
        <v>8.2299995422363281</v>
      </c>
      <c r="J1625" s="832">
        <v>100</v>
      </c>
      <c r="K1625" s="833">
        <v>822.79998779296875</v>
      </c>
    </row>
    <row r="1626" spans="1:11" ht="14.45" customHeight="1" x14ac:dyDescent="0.2">
      <c r="A1626" s="822" t="s">
        <v>575</v>
      </c>
      <c r="B1626" s="823" t="s">
        <v>576</v>
      </c>
      <c r="C1626" s="826" t="s">
        <v>600</v>
      </c>
      <c r="D1626" s="840" t="s">
        <v>601</v>
      </c>
      <c r="E1626" s="826" t="s">
        <v>3544</v>
      </c>
      <c r="F1626" s="840" t="s">
        <v>3545</v>
      </c>
      <c r="G1626" s="826" t="s">
        <v>5056</v>
      </c>
      <c r="H1626" s="826" t="s">
        <v>5057</v>
      </c>
      <c r="I1626" s="832">
        <v>13.200000286102295</v>
      </c>
      <c r="J1626" s="832">
        <v>100</v>
      </c>
      <c r="K1626" s="833">
        <v>1320.3299560546875</v>
      </c>
    </row>
    <row r="1627" spans="1:11" ht="14.45" customHeight="1" x14ac:dyDescent="0.2">
      <c r="A1627" s="822" t="s">
        <v>575</v>
      </c>
      <c r="B1627" s="823" t="s">
        <v>576</v>
      </c>
      <c r="C1627" s="826" t="s">
        <v>600</v>
      </c>
      <c r="D1627" s="840" t="s">
        <v>601</v>
      </c>
      <c r="E1627" s="826" t="s">
        <v>3544</v>
      </c>
      <c r="F1627" s="840" t="s">
        <v>3545</v>
      </c>
      <c r="G1627" s="826" t="s">
        <v>5058</v>
      </c>
      <c r="H1627" s="826" t="s">
        <v>5059</v>
      </c>
      <c r="I1627" s="832">
        <v>12.799999713897705</v>
      </c>
      <c r="J1627" s="832">
        <v>200</v>
      </c>
      <c r="K1627" s="833">
        <v>2559.8600463867188</v>
      </c>
    </row>
    <row r="1628" spans="1:11" ht="14.45" customHeight="1" x14ac:dyDescent="0.2">
      <c r="A1628" s="822" t="s">
        <v>575</v>
      </c>
      <c r="B1628" s="823" t="s">
        <v>576</v>
      </c>
      <c r="C1628" s="826" t="s">
        <v>600</v>
      </c>
      <c r="D1628" s="840" t="s">
        <v>601</v>
      </c>
      <c r="E1628" s="826" t="s">
        <v>3544</v>
      </c>
      <c r="F1628" s="840" t="s">
        <v>3545</v>
      </c>
      <c r="G1628" s="826" t="s">
        <v>5050</v>
      </c>
      <c r="H1628" s="826" t="s">
        <v>5060</v>
      </c>
      <c r="I1628" s="832">
        <v>13.494999885559082</v>
      </c>
      <c r="J1628" s="832">
        <v>200</v>
      </c>
      <c r="K1628" s="833">
        <v>2699.510009765625</v>
      </c>
    </row>
    <row r="1629" spans="1:11" ht="14.45" customHeight="1" x14ac:dyDescent="0.2">
      <c r="A1629" s="822" t="s">
        <v>575</v>
      </c>
      <c r="B1629" s="823" t="s">
        <v>576</v>
      </c>
      <c r="C1629" s="826" t="s">
        <v>600</v>
      </c>
      <c r="D1629" s="840" t="s">
        <v>601</v>
      </c>
      <c r="E1629" s="826" t="s">
        <v>3544</v>
      </c>
      <c r="F1629" s="840" t="s">
        <v>3545</v>
      </c>
      <c r="G1629" s="826" t="s">
        <v>5052</v>
      </c>
      <c r="H1629" s="826" t="s">
        <v>5061</v>
      </c>
      <c r="I1629" s="832">
        <v>13.789999961853027</v>
      </c>
      <c r="J1629" s="832">
        <v>150</v>
      </c>
      <c r="K1629" s="833">
        <v>2068.9000244140625</v>
      </c>
    </row>
    <row r="1630" spans="1:11" ht="14.45" customHeight="1" x14ac:dyDescent="0.2">
      <c r="A1630" s="822" t="s">
        <v>575</v>
      </c>
      <c r="B1630" s="823" t="s">
        <v>576</v>
      </c>
      <c r="C1630" s="826" t="s">
        <v>600</v>
      </c>
      <c r="D1630" s="840" t="s">
        <v>601</v>
      </c>
      <c r="E1630" s="826" t="s">
        <v>3544</v>
      </c>
      <c r="F1630" s="840" t="s">
        <v>3545</v>
      </c>
      <c r="G1630" s="826" t="s">
        <v>5062</v>
      </c>
      <c r="H1630" s="826" t="s">
        <v>5063</v>
      </c>
      <c r="I1630" s="832">
        <v>9.1999998092651367</v>
      </c>
      <c r="J1630" s="832">
        <v>100</v>
      </c>
      <c r="K1630" s="833">
        <v>919.79998779296875</v>
      </c>
    </row>
    <row r="1631" spans="1:11" ht="14.45" customHeight="1" x14ac:dyDescent="0.2">
      <c r="A1631" s="822" t="s">
        <v>575</v>
      </c>
      <c r="B1631" s="823" t="s">
        <v>576</v>
      </c>
      <c r="C1631" s="826" t="s">
        <v>600</v>
      </c>
      <c r="D1631" s="840" t="s">
        <v>601</v>
      </c>
      <c r="E1631" s="826" t="s">
        <v>3544</v>
      </c>
      <c r="F1631" s="840" t="s">
        <v>3545</v>
      </c>
      <c r="G1631" s="826" t="s">
        <v>5064</v>
      </c>
      <c r="H1631" s="826" t="s">
        <v>5065</v>
      </c>
      <c r="I1631" s="832">
        <v>12.600000381469727</v>
      </c>
      <c r="J1631" s="832">
        <v>50</v>
      </c>
      <c r="K1631" s="833">
        <v>630.22998046875</v>
      </c>
    </row>
    <row r="1632" spans="1:11" ht="14.45" customHeight="1" x14ac:dyDescent="0.2">
      <c r="A1632" s="822" t="s">
        <v>575</v>
      </c>
      <c r="B1632" s="823" t="s">
        <v>576</v>
      </c>
      <c r="C1632" s="826" t="s">
        <v>600</v>
      </c>
      <c r="D1632" s="840" t="s">
        <v>601</v>
      </c>
      <c r="E1632" s="826" t="s">
        <v>3544</v>
      </c>
      <c r="F1632" s="840" t="s">
        <v>3545</v>
      </c>
      <c r="G1632" s="826" t="s">
        <v>5066</v>
      </c>
      <c r="H1632" s="826" t="s">
        <v>5067</v>
      </c>
      <c r="I1632" s="832">
        <v>13.800000190734863</v>
      </c>
      <c r="J1632" s="832">
        <v>50</v>
      </c>
      <c r="K1632" s="833">
        <v>689.9000244140625</v>
      </c>
    </row>
    <row r="1633" spans="1:11" ht="14.45" customHeight="1" x14ac:dyDescent="0.2">
      <c r="A1633" s="822" t="s">
        <v>575</v>
      </c>
      <c r="B1633" s="823" t="s">
        <v>576</v>
      </c>
      <c r="C1633" s="826" t="s">
        <v>600</v>
      </c>
      <c r="D1633" s="840" t="s">
        <v>601</v>
      </c>
      <c r="E1633" s="826" t="s">
        <v>3544</v>
      </c>
      <c r="F1633" s="840" t="s">
        <v>3545</v>
      </c>
      <c r="G1633" s="826" t="s">
        <v>5068</v>
      </c>
      <c r="H1633" s="826" t="s">
        <v>5069</v>
      </c>
      <c r="I1633" s="832">
        <v>13.789999961853027</v>
      </c>
      <c r="J1633" s="832">
        <v>50</v>
      </c>
      <c r="K1633" s="833">
        <v>689.70001220703125</v>
      </c>
    </row>
    <row r="1634" spans="1:11" ht="14.45" customHeight="1" x14ac:dyDescent="0.2">
      <c r="A1634" s="822" t="s">
        <v>575</v>
      </c>
      <c r="B1634" s="823" t="s">
        <v>576</v>
      </c>
      <c r="C1634" s="826" t="s">
        <v>600</v>
      </c>
      <c r="D1634" s="840" t="s">
        <v>601</v>
      </c>
      <c r="E1634" s="826" t="s">
        <v>3544</v>
      </c>
      <c r="F1634" s="840" t="s">
        <v>3545</v>
      </c>
      <c r="G1634" s="826" t="s">
        <v>5070</v>
      </c>
      <c r="H1634" s="826" t="s">
        <v>5071</v>
      </c>
      <c r="I1634" s="832">
        <v>15.149999618530273</v>
      </c>
      <c r="J1634" s="832">
        <v>50</v>
      </c>
      <c r="K1634" s="833">
        <v>757.46002197265625</v>
      </c>
    </row>
    <row r="1635" spans="1:11" ht="14.45" customHeight="1" x14ac:dyDescent="0.2">
      <c r="A1635" s="822" t="s">
        <v>575</v>
      </c>
      <c r="B1635" s="823" t="s">
        <v>576</v>
      </c>
      <c r="C1635" s="826" t="s">
        <v>600</v>
      </c>
      <c r="D1635" s="840" t="s">
        <v>601</v>
      </c>
      <c r="E1635" s="826" t="s">
        <v>3544</v>
      </c>
      <c r="F1635" s="840" t="s">
        <v>3545</v>
      </c>
      <c r="G1635" s="826" t="s">
        <v>3554</v>
      </c>
      <c r="H1635" s="826" t="s">
        <v>3555</v>
      </c>
      <c r="I1635" s="832">
        <v>0.54428573165621075</v>
      </c>
      <c r="J1635" s="832">
        <v>12700</v>
      </c>
      <c r="K1635" s="833">
        <v>6897</v>
      </c>
    </row>
    <row r="1636" spans="1:11" ht="14.45" customHeight="1" x14ac:dyDescent="0.2">
      <c r="A1636" s="822" t="s">
        <v>575</v>
      </c>
      <c r="B1636" s="823" t="s">
        <v>576</v>
      </c>
      <c r="C1636" s="826" t="s">
        <v>600</v>
      </c>
      <c r="D1636" s="840" t="s">
        <v>601</v>
      </c>
      <c r="E1636" s="826" t="s">
        <v>3544</v>
      </c>
      <c r="F1636" s="840" t="s">
        <v>3545</v>
      </c>
      <c r="G1636" s="826" t="s">
        <v>3550</v>
      </c>
      <c r="H1636" s="826" t="s">
        <v>3557</v>
      </c>
      <c r="I1636" s="832">
        <v>0.30500000715255737</v>
      </c>
      <c r="J1636" s="832">
        <v>200</v>
      </c>
      <c r="K1636" s="833">
        <v>61</v>
      </c>
    </row>
    <row r="1637" spans="1:11" ht="14.45" customHeight="1" x14ac:dyDescent="0.2">
      <c r="A1637" s="822" t="s">
        <v>575</v>
      </c>
      <c r="B1637" s="823" t="s">
        <v>576</v>
      </c>
      <c r="C1637" s="826" t="s">
        <v>600</v>
      </c>
      <c r="D1637" s="840" t="s">
        <v>601</v>
      </c>
      <c r="E1637" s="826" t="s">
        <v>3544</v>
      </c>
      <c r="F1637" s="840" t="s">
        <v>3545</v>
      </c>
      <c r="G1637" s="826" t="s">
        <v>3559</v>
      </c>
      <c r="H1637" s="826" t="s">
        <v>3560</v>
      </c>
      <c r="I1637" s="832">
        <v>0.31000000238418579</v>
      </c>
      <c r="J1637" s="832">
        <v>100</v>
      </c>
      <c r="K1637" s="833">
        <v>31</v>
      </c>
    </row>
    <row r="1638" spans="1:11" ht="14.45" customHeight="1" x14ac:dyDescent="0.2">
      <c r="A1638" s="822" t="s">
        <v>575</v>
      </c>
      <c r="B1638" s="823" t="s">
        <v>576</v>
      </c>
      <c r="C1638" s="826" t="s">
        <v>600</v>
      </c>
      <c r="D1638" s="840" t="s">
        <v>601</v>
      </c>
      <c r="E1638" s="826" t="s">
        <v>3544</v>
      </c>
      <c r="F1638" s="840" t="s">
        <v>3545</v>
      </c>
      <c r="G1638" s="826" t="s">
        <v>3554</v>
      </c>
      <c r="H1638" s="826" t="s">
        <v>3563</v>
      </c>
      <c r="I1638" s="832">
        <v>0.54181820154190063</v>
      </c>
      <c r="J1638" s="832">
        <v>7100</v>
      </c>
      <c r="K1638" s="833">
        <v>3853</v>
      </c>
    </row>
    <row r="1639" spans="1:11" ht="14.45" customHeight="1" x14ac:dyDescent="0.2">
      <c r="A1639" s="822" t="s">
        <v>575</v>
      </c>
      <c r="B1639" s="823" t="s">
        <v>576</v>
      </c>
      <c r="C1639" s="826" t="s">
        <v>600</v>
      </c>
      <c r="D1639" s="840" t="s">
        <v>601</v>
      </c>
      <c r="E1639" s="826" t="s">
        <v>3544</v>
      </c>
      <c r="F1639" s="840" t="s">
        <v>3545</v>
      </c>
      <c r="G1639" s="826" t="s">
        <v>5072</v>
      </c>
      <c r="H1639" s="826" t="s">
        <v>5073</v>
      </c>
      <c r="I1639" s="832">
        <v>0.97000002861022949</v>
      </c>
      <c r="J1639" s="832">
        <v>300</v>
      </c>
      <c r="K1639" s="833">
        <v>291</v>
      </c>
    </row>
    <row r="1640" spans="1:11" ht="14.45" customHeight="1" x14ac:dyDescent="0.2">
      <c r="A1640" s="822" t="s">
        <v>575</v>
      </c>
      <c r="B1640" s="823" t="s">
        <v>576</v>
      </c>
      <c r="C1640" s="826" t="s">
        <v>600</v>
      </c>
      <c r="D1640" s="840" t="s">
        <v>601</v>
      </c>
      <c r="E1640" s="826" t="s">
        <v>3544</v>
      </c>
      <c r="F1640" s="840" t="s">
        <v>3545</v>
      </c>
      <c r="G1640" s="826" t="s">
        <v>5072</v>
      </c>
      <c r="H1640" s="826" t="s">
        <v>5074</v>
      </c>
      <c r="I1640" s="832">
        <v>0.96666667858759558</v>
      </c>
      <c r="J1640" s="832">
        <v>300</v>
      </c>
      <c r="K1640" s="833">
        <v>290</v>
      </c>
    </row>
    <row r="1641" spans="1:11" ht="14.45" customHeight="1" x14ac:dyDescent="0.2">
      <c r="A1641" s="822" t="s">
        <v>575</v>
      </c>
      <c r="B1641" s="823" t="s">
        <v>576</v>
      </c>
      <c r="C1641" s="826" t="s">
        <v>600</v>
      </c>
      <c r="D1641" s="840" t="s">
        <v>601</v>
      </c>
      <c r="E1641" s="826" t="s">
        <v>3544</v>
      </c>
      <c r="F1641" s="840" t="s">
        <v>3545</v>
      </c>
      <c r="G1641" s="826" t="s">
        <v>5075</v>
      </c>
      <c r="H1641" s="826" t="s">
        <v>5076</v>
      </c>
      <c r="I1641" s="832">
        <v>180</v>
      </c>
      <c r="J1641" s="832">
        <v>25</v>
      </c>
      <c r="K1641" s="833">
        <v>4499.990234375</v>
      </c>
    </row>
    <row r="1642" spans="1:11" ht="14.45" customHeight="1" x14ac:dyDescent="0.2">
      <c r="A1642" s="822" t="s">
        <v>575</v>
      </c>
      <c r="B1642" s="823" t="s">
        <v>576</v>
      </c>
      <c r="C1642" s="826" t="s">
        <v>600</v>
      </c>
      <c r="D1642" s="840" t="s">
        <v>601</v>
      </c>
      <c r="E1642" s="826" t="s">
        <v>3569</v>
      </c>
      <c r="F1642" s="840" t="s">
        <v>3570</v>
      </c>
      <c r="G1642" s="826" t="s">
        <v>5077</v>
      </c>
      <c r="H1642" s="826" t="s">
        <v>5078</v>
      </c>
      <c r="I1642" s="832">
        <v>16.940000534057617</v>
      </c>
      <c r="J1642" s="832">
        <v>150</v>
      </c>
      <c r="K1642" s="833">
        <v>2541</v>
      </c>
    </row>
    <row r="1643" spans="1:11" ht="14.45" customHeight="1" x14ac:dyDescent="0.2">
      <c r="A1643" s="822" t="s">
        <v>575</v>
      </c>
      <c r="B1643" s="823" t="s">
        <v>576</v>
      </c>
      <c r="C1643" s="826" t="s">
        <v>600</v>
      </c>
      <c r="D1643" s="840" t="s">
        <v>601</v>
      </c>
      <c r="E1643" s="826" t="s">
        <v>3569</v>
      </c>
      <c r="F1643" s="840" t="s">
        <v>3570</v>
      </c>
      <c r="G1643" s="826" t="s">
        <v>5079</v>
      </c>
      <c r="H1643" s="826" t="s">
        <v>5080</v>
      </c>
      <c r="I1643" s="832">
        <v>16.940000534057617</v>
      </c>
      <c r="J1643" s="832">
        <v>250</v>
      </c>
      <c r="K1643" s="833">
        <v>4235</v>
      </c>
    </row>
    <row r="1644" spans="1:11" ht="14.45" customHeight="1" x14ac:dyDescent="0.2">
      <c r="A1644" s="822" t="s">
        <v>575</v>
      </c>
      <c r="B1644" s="823" t="s">
        <v>576</v>
      </c>
      <c r="C1644" s="826" t="s">
        <v>600</v>
      </c>
      <c r="D1644" s="840" t="s">
        <v>601</v>
      </c>
      <c r="E1644" s="826" t="s">
        <v>3569</v>
      </c>
      <c r="F1644" s="840" t="s">
        <v>3570</v>
      </c>
      <c r="G1644" s="826" t="s">
        <v>5081</v>
      </c>
      <c r="H1644" s="826" t="s">
        <v>5082</v>
      </c>
      <c r="I1644" s="832">
        <v>16.940000534057617</v>
      </c>
      <c r="J1644" s="832">
        <v>400</v>
      </c>
      <c r="K1644" s="833">
        <v>6776</v>
      </c>
    </row>
    <row r="1645" spans="1:11" ht="14.45" customHeight="1" x14ac:dyDescent="0.2">
      <c r="A1645" s="822" t="s">
        <v>575</v>
      </c>
      <c r="B1645" s="823" t="s">
        <v>576</v>
      </c>
      <c r="C1645" s="826" t="s">
        <v>600</v>
      </c>
      <c r="D1645" s="840" t="s">
        <v>601</v>
      </c>
      <c r="E1645" s="826" t="s">
        <v>3569</v>
      </c>
      <c r="F1645" s="840" t="s">
        <v>3570</v>
      </c>
      <c r="G1645" s="826" t="s">
        <v>5083</v>
      </c>
      <c r="H1645" s="826" t="s">
        <v>5084</v>
      </c>
      <c r="I1645" s="832">
        <v>16.940000534057617</v>
      </c>
      <c r="J1645" s="832">
        <v>1200</v>
      </c>
      <c r="K1645" s="833">
        <v>20328</v>
      </c>
    </row>
    <row r="1646" spans="1:11" ht="14.45" customHeight="1" x14ac:dyDescent="0.2">
      <c r="A1646" s="822" t="s">
        <v>575</v>
      </c>
      <c r="B1646" s="823" t="s">
        <v>576</v>
      </c>
      <c r="C1646" s="826" t="s">
        <v>600</v>
      </c>
      <c r="D1646" s="840" t="s">
        <v>601</v>
      </c>
      <c r="E1646" s="826" t="s">
        <v>3569</v>
      </c>
      <c r="F1646" s="840" t="s">
        <v>3570</v>
      </c>
      <c r="G1646" s="826" t="s">
        <v>5085</v>
      </c>
      <c r="H1646" s="826" t="s">
        <v>5086</v>
      </c>
      <c r="I1646" s="832">
        <v>16.940000534057617</v>
      </c>
      <c r="J1646" s="832">
        <v>400</v>
      </c>
      <c r="K1646" s="833">
        <v>6776</v>
      </c>
    </row>
    <row r="1647" spans="1:11" ht="14.45" customHeight="1" x14ac:dyDescent="0.2">
      <c r="A1647" s="822" t="s">
        <v>575</v>
      </c>
      <c r="B1647" s="823" t="s">
        <v>576</v>
      </c>
      <c r="C1647" s="826" t="s">
        <v>600</v>
      </c>
      <c r="D1647" s="840" t="s">
        <v>601</v>
      </c>
      <c r="E1647" s="826" t="s">
        <v>3569</v>
      </c>
      <c r="F1647" s="840" t="s">
        <v>3570</v>
      </c>
      <c r="G1647" s="826" t="s">
        <v>5087</v>
      </c>
      <c r="H1647" s="826" t="s">
        <v>5088</v>
      </c>
      <c r="I1647" s="832">
        <v>15.729999542236328</v>
      </c>
      <c r="J1647" s="832">
        <v>450</v>
      </c>
      <c r="K1647" s="833">
        <v>7078.5</v>
      </c>
    </row>
    <row r="1648" spans="1:11" ht="14.45" customHeight="1" x14ac:dyDescent="0.2">
      <c r="A1648" s="822" t="s">
        <v>575</v>
      </c>
      <c r="B1648" s="823" t="s">
        <v>576</v>
      </c>
      <c r="C1648" s="826" t="s">
        <v>600</v>
      </c>
      <c r="D1648" s="840" t="s">
        <v>601</v>
      </c>
      <c r="E1648" s="826" t="s">
        <v>3569</v>
      </c>
      <c r="F1648" s="840" t="s">
        <v>3570</v>
      </c>
      <c r="G1648" s="826" t="s">
        <v>5089</v>
      </c>
      <c r="H1648" s="826" t="s">
        <v>5090</v>
      </c>
      <c r="I1648" s="832">
        <v>15.729999542236328</v>
      </c>
      <c r="J1648" s="832">
        <v>450</v>
      </c>
      <c r="K1648" s="833">
        <v>7078.5</v>
      </c>
    </row>
    <row r="1649" spans="1:11" ht="14.45" customHeight="1" x14ac:dyDescent="0.2">
      <c r="A1649" s="822" t="s">
        <v>575</v>
      </c>
      <c r="B1649" s="823" t="s">
        <v>576</v>
      </c>
      <c r="C1649" s="826" t="s">
        <v>600</v>
      </c>
      <c r="D1649" s="840" t="s">
        <v>601</v>
      </c>
      <c r="E1649" s="826" t="s">
        <v>3569</v>
      </c>
      <c r="F1649" s="840" t="s">
        <v>3570</v>
      </c>
      <c r="G1649" s="826" t="s">
        <v>5091</v>
      </c>
      <c r="H1649" s="826" t="s">
        <v>5092</v>
      </c>
      <c r="I1649" s="832">
        <v>15.729999542236328</v>
      </c>
      <c r="J1649" s="832">
        <v>850</v>
      </c>
      <c r="K1649" s="833">
        <v>13370.5</v>
      </c>
    </row>
    <row r="1650" spans="1:11" ht="14.45" customHeight="1" x14ac:dyDescent="0.2">
      <c r="A1650" s="822" t="s">
        <v>575</v>
      </c>
      <c r="B1650" s="823" t="s">
        <v>576</v>
      </c>
      <c r="C1650" s="826" t="s">
        <v>600</v>
      </c>
      <c r="D1650" s="840" t="s">
        <v>601</v>
      </c>
      <c r="E1650" s="826" t="s">
        <v>3569</v>
      </c>
      <c r="F1650" s="840" t="s">
        <v>3570</v>
      </c>
      <c r="G1650" s="826" t="s">
        <v>4128</v>
      </c>
      <c r="H1650" s="826" t="s">
        <v>4129</v>
      </c>
      <c r="I1650" s="832">
        <v>15.729999542236328</v>
      </c>
      <c r="J1650" s="832">
        <v>700</v>
      </c>
      <c r="K1650" s="833">
        <v>11011</v>
      </c>
    </row>
    <row r="1651" spans="1:11" ht="14.45" customHeight="1" x14ac:dyDescent="0.2">
      <c r="A1651" s="822" t="s">
        <v>575</v>
      </c>
      <c r="B1651" s="823" t="s">
        <v>576</v>
      </c>
      <c r="C1651" s="826" t="s">
        <v>600</v>
      </c>
      <c r="D1651" s="840" t="s">
        <v>601</v>
      </c>
      <c r="E1651" s="826" t="s">
        <v>3569</v>
      </c>
      <c r="F1651" s="840" t="s">
        <v>3570</v>
      </c>
      <c r="G1651" s="826" t="s">
        <v>4130</v>
      </c>
      <c r="H1651" s="826" t="s">
        <v>4131</v>
      </c>
      <c r="I1651" s="832">
        <v>15.729999542236328</v>
      </c>
      <c r="J1651" s="832">
        <v>50</v>
      </c>
      <c r="K1651" s="833">
        <v>786.5</v>
      </c>
    </row>
    <row r="1652" spans="1:11" ht="14.45" customHeight="1" x14ac:dyDescent="0.2">
      <c r="A1652" s="822" t="s">
        <v>575</v>
      </c>
      <c r="B1652" s="823" t="s">
        <v>576</v>
      </c>
      <c r="C1652" s="826" t="s">
        <v>600</v>
      </c>
      <c r="D1652" s="840" t="s">
        <v>601</v>
      </c>
      <c r="E1652" s="826" t="s">
        <v>3569</v>
      </c>
      <c r="F1652" s="840" t="s">
        <v>3570</v>
      </c>
      <c r="G1652" s="826" t="s">
        <v>4132</v>
      </c>
      <c r="H1652" s="826" t="s">
        <v>4133</v>
      </c>
      <c r="I1652" s="832">
        <v>15.729999542236328</v>
      </c>
      <c r="J1652" s="832">
        <v>950</v>
      </c>
      <c r="K1652" s="833">
        <v>14943.5</v>
      </c>
    </row>
    <row r="1653" spans="1:11" ht="14.45" customHeight="1" x14ac:dyDescent="0.2">
      <c r="A1653" s="822" t="s">
        <v>575</v>
      </c>
      <c r="B1653" s="823" t="s">
        <v>576</v>
      </c>
      <c r="C1653" s="826" t="s">
        <v>600</v>
      </c>
      <c r="D1653" s="840" t="s">
        <v>601</v>
      </c>
      <c r="E1653" s="826" t="s">
        <v>3569</v>
      </c>
      <c r="F1653" s="840" t="s">
        <v>3570</v>
      </c>
      <c r="G1653" s="826" t="s">
        <v>5077</v>
      </c>
      <c r="H1653" s="826" t="s">
        <v>5093</v>
      </c>
      <c r="I1653" s="832">
        <v>16.940000534057617</v>
      </c>
      <c r="J1653" s="832">
        <v>50</v>
      </c>
      <c r="K1653" s="833">
        <v>847</v>
      </c>
    </row>
    <row r="1654" spans="1:11" ht="14.45" customHeight="1" x14ac:dyDescent="0.2">
      <c r="A1654" s="822" t="s">
        <v>575</v>
      </c>
      <c r="B1654" s="823" t="s">
        <v>576</v>
      </c>
      <c r="C1654" s="826" t="s">
        <v>600</v>
      </c>
      <c r="D1654" s="840" t="s">
        <v>601</v>
      </c>
      <c r="E1654" s="826" t="s">
        <v>3569</v>
      </c>
      <c r="F1654" s="840" t="s">
        <v>3570</v>
      </c>
      <c r="G1654" s="826" t="s">
        <v>5079</v>
      </c>
      <c r="H1654" s="826" t="s">
        <v>5094</v>
      </c>
      <c r="I1654" s="832">
        <v>16.940000534057617</v>
      </c>
      <c r="J1654" s="832">
        <v>100</v>
      </c>
      <c r="K1654" s="833">
        <v>1694</v>
      </c>
    </row>
    <row r="1655" spans="1:11" ht="14.45" customHeight="1" x14ac:dyDescent="0.2">
      <c r="A1655" s="822" t="s">
        <v>575</v>
      </c>
      <c r="B1655" s="823" t="s">
        <v>576</v>
      </c>
      <c r="C1655" s="826" t="s">
        <v>600</v>
      </c>
      <c r="D1655" s="840" t="s">
        <v>601</v>
      </c>
      <c r="E1655" s="826" t="s">
        <v>3569</v>
      </c>
      <c r="F1655" s="840" t="s">
        <v>3570</v>
      </c>
      <c r="G1655" s="826" t="s">
        <v>5081</v>
      </c>
      <c r="H1655" s="826" t="s">
        <v>5095</v>
      </c>
      <c r="I1655" s="832">
        <v>16.940000534057617</v>
      </c>
      <c r="J1655" s="832">
        <v>200</v>
      </c>
      <c r="K1655" s="833">
        <v>3388</v>
      </c>
    </row>
    <row r="1656" spans="1:11" ht="14.45" customHeight="1" x14ac:dyDescent="0.2">
      <c r="A1656" s="822" t="s">
        <v>575</v>
      </c>
      <c r="B1656" s="823" t="s">
        <v>576</v>
      </c>
      <c r="C1656" s="826" t="s">
        <v>600</v>
      </c>
      <c r="D1656" s="840" t="s">
        <v>601</v>
      </c>
      <c r="E1656" s="826" t="s">
        <v>3569</v>
      </c>
      <c r="F1656" s="840" t="s">
        <v>3570</v>
      </c>
      <c r="G1656" s="826" t="s">
        <v>5083</v>
      </c>
      <c r="H1656" s="826" t="s">
        <v>5096</v>
      </c>
      <c r="I1656" s="832">
        <v>16.940000534057617</v>
      </c>
      <c r="J1656" s="832">
        <v>600</v>
      </c>
      <c r="K1656" s="833">
        <v>10164</v>
      </c>
    </row>
    <row r="1657" spans="1:11" ht="14.45" customHeight="1" x14ac:dyDescent="0.2">
      <c r="A1657" s="822" t="s">
        <v>575</v>
      </c>
      <c r="B1657" s="823" t="s">
        <v>576</v>
      </c>
      <c r="C1657" s="826" t="s">
        <v>600</v>
      </c>
      <c r="D1657" s="840" t="s">
        <v>601</v>
      </c>
      <c r="E1657" s="826" t="s">
        <v>3569</v>
      </c>
      <c r="F1657" s="840" t="s">
        <v>3570</v>
      </c>
      <c r="G1657" s="826" t="s">
        <v>5085</v>
      </c>
      <c r="H1657" s="826" t="s">
        <v>5097</v>
      </c>
      <c r="I1657" s="832">
        <v>16.940000534057617</v>
      </c>
      <c r="J1657" s="832">
        <v>100</v>
      </c>
      <c r="K1657" s="833">
        <v>1694</v>
      </c>
    </row>
    <row r="1658" spans="1:11" ht="14.45" customHeight="1" x14ac:dyDescent="0.2">
      <c r="A1658" s="822" t="s">
        <v>575</v>
      </c>
      <c r="B1658" s="823" t="s">
        <v>576</v>
      </c>
      <c r="C1658" s="826" t="s">
        <v>600</v>
      </c>
      <c r="D1658" s="840" t="s">
        <v>601</v>
      </c>
      <c r="E1658" s="826" t="s">
        <v>3569</v>
      </c>
      <c r="F1658" s="840" t="s">
        <v>3570</v>
      </c>
      <c r="G1658" s="826" t="s">
        <v>5087</v>
      </c>
      <c r="H1658" s="826" t="s">
        <v>5098</v>
      </c>
      <c r="I1658" s="832">
        <v>15.729999542236328</v>
      </c>
      <c r="J1658" s="832">
        <v>200</v>
      </c>
      <c r="K1658" s="833">
        <v>3146</v>
      </c>
    </row>
    <row r="1659" spans="1:11" ht="14.45" customHeight="1" x14ac:dyDescent="0.2">
      <c r="A1659" s="822" t="s">
        <v>575</v>
      </c>
      <c r="B1659" s="823" t="s">
        <v>576</v>
      </c>
      <c r="C1659" s="826" t="s">
        <v>600</v>
      </c>
      <c r="D1659" s="840" t="s">
        <v>601</v>
      </c>
      <c r="E1659" s="826" t="s">
        <v>3569</v>
      </c>
      <c r="F1659" s="840" t="s">
        <v>3570</v>
      </c>
      <c r="G1659" s="826" t="s">
        <v>5089</v>
      </c>
      <c r="H1659" s="826" t="s">
        <v>5099</v>
      </c>
      <c r="I1659" s="832">
        <v>15.729999542236328</v>
      </c>
      <c r="J1659" s="832">
        <v>350</v>
      </c>
      <c r="K1659" s="833">
        <v>5505.5</v>
      </c>
    </row>
    <row r="1660" spans="1:11" ht="14.45" customHeight="1" x14ac:dyDescent="0.2">
      <c r="A1660" s="822" t="s">
        <v>575</v>
      </c>
      <c r="B1660" s="823" t="s">
        <v>576</v>
      </c>
      <c r="C1660" s="826" t="s">
        <v>600</v>
      </c>
      <c r="D1660" s="840" t="s">
        <v>601</v>
      </c>
      <c r="E1660" s="826" t="s">
        <v>3569</v>
      </c>
      <c r="F1660" s="840" t="s">
        <v>3570</v>
      </c>
      <c r="G1660" s="826" t="s">
        <v>5091</v>
      </c>
      <c r="H1660" s="826" t="s">
        <v>5100</v>
      </c>
      <c r="I1660" s="832">
        <v>15.729999542236328</v>
      </c>
      <c r="J1660" s="832">
        <v>400</v>
      </c>
      <c r="K1660" s="833">
        <v>6292.0000152587891</v>
      </c>
    </row>
    <row r="1661" spans="1:11" ht="14.45" customHeight="1" x14ac:dyDescent="0.2">
      <c r="A1661" s="822" t="s">
        <v>575</v>
      </c>
      <c r="B1661" s="823" t="s">
        <v>576</v>
      </c>
      <c r="C1661" s="826" t="s">
        <v>600</v>
      </c>
      <c r="D1661" s="840" t="s">
        <v>601</v>
      </c>
      <c r="E1661" s="826" t="s">
        <v>3569</v>
      </c>
      <c r="F1661" s="840" t="s">
        <v>3570</v>
      </c>
      <c r="G1661" s="826" t="s">
        <v>4128</v>
      </c>
      <c r="H1661" s="826" t="s">
        <v>4136</v>
      </c>
      <c r="I1661" s="832">
        <v>15.729999542236328</v>
      </c>
      <c r="J1661" s="832">
        <v>550</v>
      </c>
      <c r="K1661" s="833">
        <v>8651.5</v>
      </c>
    </row>
    <row r="1662" spans="1:11" ht="14.45" customHeight="1" x14ac:dyDescent="0.2">
      <c r="A1662" s="822" t="s">
        <v>575</v>
      </c>
      <c r="B1662" s="823" t="s">
        <v>576</v>
      </c>
      <c r="C1662" s="826" t="s">
        <v>600</v>
      </c>
      <c r="D1662" s="840" t="s">
        <v>601</v>
      </c>
      <c r="E1662" s="826" t="s">
        <v>3569</v>
      </c>
      <c r="F1662" s="840" t="s">
        <v>3570</v>
      </c>
      <c r="G1662" s="826" t="s">
        <v>4130</v>
      </c>
      <c r="H1662" s="826" t="s">
        <v>5101</v>
      </c>
      <c r="I1662" s="832">
        <v>15.590000152587891</v>
      </c>
      <c r="J1662" s="832">
        <v>50</v>
      </c>
      <c r="K1662" s="833">
        <v>779.5</v>
      </c>
    </row>
    <row r="1663" spans="1:11" ht="14.45" customHeight="1" x14ac:dyDescent="0.2">
      <c r="A1663" s="822" t="s">
        <v>575</v>
      </c>
      <c r="B1663" s="823" t="s">
        <v>576</v>
      </c>
      <c r="C1663" s="826" t="s">
        <v>600</v>
      </c>
      <c r="D1663" s="840" t="s">
        <v>601</v>
      </c>
      <c r="E1663" s="826" t="s">
        <v>3569</v>
      </c>
      <c r="F1663" s="840" t="s">
        <v>3570</v>
      </c>
      <c r="G1663" s="826" t="s">
        <v>4132</v>
      </c>
      <c r="H1663" s="826" t="s">
        <v>5102</v>
      </c>
      <c r="I1663" s="832">
        <v>15.729999542236328</v>
      </c>
      <c r="J1663" s="832">
        <v>300</v>
      </c>
      <c r="K1663" s="833">
        <v>4719</v>
      </c>
    </row>
    <row r="1664" spans="1:11" ht="14.45" customHeight="1" x14ac:dyDescent="0.2">
      <c r="A1664" s="822" t="s">
        <v>575</v>
      </c>
      <c r="B1664" s="823" t="s">
        <v>576</v>
      </c>
      <c r="C1664" s="826" t="s">
        <v>600</v>
      </c>
      <c r="D1664" s="840" t="s">
        <v>601</v>
      </c>
      <c r="E1664" s="826" t="s">
        <v>3569</v>
      </c>
      <c r="F1664" s="840" t="s">
        <v>3570</v>
      </c>
      <c r="G1664" s="826" t="s">
        <v>3579</v>
      </c>
      <c r="H1664" s="826" t="s">
        <v>3580</v>
      </c>
      <c r="I1664" s="832">
        <v>0.63818181644786487</v>
      </c>
      <c r="J1664" s="832">
        <v>4600</v>
      </c>
      <c r="K1664" s="833">
        <v>2934</v>
      </c>
    </row>
    <row r="1665" spans="1:11" ht="14.45" customHeight="1" x14ac:dyDescent="0.2">
      <c r="A1665" s="822" t="s">
        <v>575</v>
      </c>
      <c r="B1665" s="823" t="s">
        <v>576</v>
      </c>
      <c r="C1665" s="826" t="s">
        <v>600</v>
      </c>
      <c r="D1665" s="840" t="s">
        <v>601</v>
      </c>
      <c r="E1665" s="826" t="s">
        <v>3569</v>
      </c>
      <c r="F1665" s="840" t="s">
        <v>3570</v>
      </c>
      <c r="G1665" s="826" t="s">
        <v>3581</v>
      </c>
      <c r="H1665" s="826" t="s">
        <v>3582</v>
      </c>
      <c r="I1665" s="832">
        <v>0.63769230475792515</v>
      </c>
      <c r="J1665" s="832">
        <v>14600</v>
      </c>
      <c r="K1665" s="833">
        <v>9336</v>
      </c>
    </row>
    <row r="1666" spans="1:11" ht="14.45" customHeight="1" x14ac:dyDescent="0.2">
      <c r="A1666" s="822" t="s">
        <v>575</v>
      </c>
      <c r="B1666" s="823" t="s">
        <v>576</v>
      </c>
      <c r="C1666" s="826" t="s">
        <v>600</v>
      </c>
      <c r="D1666" s="840" t="s">
        <v>601</v>
      </c>
      <c r="E1666" s="826" t="s">
        <v>3569</v>
      </c>
      <c r="F1666" s="840" t="s">
        <v>3570</v>
      </c>
      <c r="G1666" s="826" t="s">
        <v>3583</v>
      </c>
      <c r="H1666" s="826" t="s">
        <v>3584</v>
      </c>
      <c r="I1666" s="832">
        <v>0.6324999978144964</v>
      </c>
      <c r="J1666" s="832">
        <v>4400</v>
      </c>
      <c r="K1666" s="833">
        <v>2786</v>
      </c>
    </row>
    <row r="1667" spans="1:11" ht="14.45" customHeight="1" x14ac:dyDescent="0.2">
      <c r="A1667" s="822" t="s">
        <v>575</v>
      </c>
      <c r="B1667" s="823" t="s">
        <v>576</v>
      </c>
      <c r="C1667" s="826" t="s">
        <v>600</v>
      </c>
      <c r="D1667" s="840" t="s">
        <v>601</v>
      </c>
      <c r="E1667" s="826" t="s">
        <v>3569</v>
      </c>
      <c r="F1667" s="840" t="s">
        <v>3570</v>
      </c>
      <c r="G1667" s="826" t="s">
        <v>4139</v>
      </c>
      <c r="H1667" s="826" t="s">
        <v>4140</v>
      </c>
      <c r="I1667" s="832">
        <v>0.62999999523162842</v>
      </c>
      <c r="J1667" s="832">
        <v>1360</v>
      </c>
      <c r="K1667" s="833">
        <v>856.79998779296875</v>
      </c>
    </row>
    <row r="1668" spans="1:11" ht="14.45" customHeight="1" x14ac:dyDescent="0.2">
      <c r="A1668" s="822" t="s">
        <v>575</v>
      </c>
      <c r="B1668" s="823" t="s">
        <v>576</v>
      </c>
      <c r="C1668" s="826" t="s">
        <v>600</v>
      </c>
      <c r="D1668" s="840" t="s">
        <v>601</v>
      </c>
      <c r="E1668" s="826" t="s">
        <v>3569</v>
      </c>
      <c r="F1668" s="840" t="s">
        <v>3570</v>
      </c>
      <c r="G1668" s="826" t="s">
        <v>3579</v>
      </c>
      <c r="H1668" s="826" t="s">
        <v>3591</v>
      </c>
      <c r="I1668" s="832">
        <v>0.62666666507720947</v>
      </c>
      <c r="J1668" s="832">
        <v>3600</v>
      </c>
      <c r="K1668" s="833">
        <v>2256</v>
      </c>
    </row>
    <row r="1669" spans="1:11" ht="14.45" customHeight="1" x14ac:dyDescent="0.2">
      <c r="A1669" s="822" t="s">
        <v>575</v>
      </c>
      <c r="B1669" s="823" t="s">
        <v>576</v>
      </c>
      <c r="C1669" s="826" t="s">
        <v>600</v>
      </c>
      <c r="D1669" s="840" t="s">
        <v>601</v>
      </c>
      <c r="E1669" s="826" t="s">
        <v>3569</v>
      </c>
      <c r="F1669" s="840" t="s">
        <v>3570</v>
      </c>
      <c r="G1669" s="826" t="s">
        <v>3581</v>
      </c>
      <c r="H1669" s="826" t="s">
        <v>3592</v>
      </c>
      <c r="I1669" s="832">
        <v>0.62999999523162842</v>
      </c>
      <c r="J1669" s="832">
        <v>7000</v>
      </c>
      <c r="K1669" s="833">
        <v>4410</v>
      </c>
    </row>
    <row r="1670" spans="1:11" ht="14.45" customHeight="1" x14ac:dyDescent="0.2">
      <c r="A1670" s="822" t="s">
        <v>575</v>
      </c>
      <c r="B1670" s="823" t="s">
        <v>576</v>
      </c>
      <c r="C1670" s="826" t="s">
        <v>600</v>
      </c>
      <c r="D1670" s="840" t="s">
        <v>601</v>
      </c>
      <c r="E1670" s="826" t="s">
        <v>3569</v>
      </c>
      <c r="F1670" s="840" t="s">
        <v>3570</v>
      </c>
      <c r="G1670" s="826" t="s">
        <v>3583</v>
      </c>
      <c r="H1670" s="826" t="s">
        <v>3593</v>
      </c>
      <c r="I1670" s="832">
        <v>0.62833333015441895</v>
      </c>
      <c r="J1670" s="832">
        <v>2400</v>
      </c>
      <c r="K1670" s="833">
        <v>1508</v>
      </c>
    </row>
    <row r="1671" spans="1:11" ht="14.45" customHeight="1" x14ac:dyDescent="0.2">
      <c r="A1671" s="822" t="s">
        <v>575</v>
      </c>
      <c r="B1671" s="823" t="s">
        <v>576</v>
      </c>
      <c r="C1671" s="826" t="s">
        <v>600</v>
      </c>
      <c r="D1671" s="840" t="s">
        <v>601</v>
      </c>
      <c r="E1671" s="826" t="s">
        <v>3569</v>
      </c>
      <c r="F1671" s="840" t="s">
        <v>3570</v>
      </c>
      <c r="G1671" s="826" t="s">
        <v>4139</v>
      </c>
      <c r="H1671" s="826" t="s">
        <v>4141</v>
      </c>
      <c r="I1671" s="832">
        <v>0.62250000238418579</v>
      </c>
      <c r="J1671" s="832">
        <v>850</v>
      </c>
      <c r="K1671" s="833">
        <v>527.90000152587891</v>
      </c>
    </row>
    <row r="1672" spans="1:11" ht="14.45" customHeight="1" x14ac:dyDescent="0.2">
      <c r="A1672" s="822" t="s">
        <v>575</v>
      </c>
      <c r="B1672" s="823" t="s">
        <v>576</v>
      </c>
      <c r="C1672" s="826" t="s">
        <v>600</v>
      </c>
      <c r="D1672" s="840" t="s">
        <v>601</v>
      </c>
      <c r="E1672" s="826" t="s">
        <v>3594</v>
      </c>
      <c r="F1672" s="840" t="s">
        <v>3595</v>
      </c>
      <c r="G1672" s="826" t="s">
        <v>5103</v>
      </c>
      <c r="H1672" s="826" t="s">
        <v>5104</v>
      </c>
      <c r="I1672" s="832">
        <v>298.8699951171875</v>
      </c>
      <c r="J1672" s="832">
        <v>4</v>
      </c>
      <c r="K1672" s="833">
        <v>1195.47998046875</v>
      </c>
    </row>
    <row r="1673" spans="1:11" ht="14.45" customHeight="1" x14ac:dyDescent="0.2">
      <c r="A1673" s="822" t="s">
        <v>575</v>
      </c>
      <c r="B1673" s="823" t="s">
        <v>576</v>
      </c>
      <c r="C1673" s="826" t="s">
        <v>600</v>
      </c>
      <c r="D1673" s="840" t="s">
        <v>601</v>
      </c>
      <c r="E1673" s="826" t="s">
        <v>3594</v>
      </c>
      <c r="F1673" s="840" t="s">
        <v>3595</v>
      </c>
      <c r="G1673" s="826" t="s">
        <v>5105</v>
      </c>
      <c r="H1673" s="826" t="s">
        <v>5106</v>
      </c>
      <c r="I1673" s="832">
        <v>499.73001098632813</v>
      </c>
      <c r="J1673" s="832">
        <v>4</v>
      </c>
      <c r="K1673" s="833">
        <v>1998.9200439453125</v>
      </c>
    </row>
    <row r="1674" spans="1:11" ht="14.45" customHeight="1" x14ac:dyDescent="0.2">
      <c r="A1674" s="822" t="s">
        <v>575</v>
      </c>
      <c r="B1674" s="823" t="s">
        <v>576</v>
      </c>
      <c r="C1674" s="826" t="s">
        <v>600</v>
      </c>
      <c r="D1674" s="840" t="s">
        <v>601</v>
      </c>
      <c r="E1674" s="826" t="s">
        <v>3594</v>
      </c>
      <c r="F1674" s="840" t="s">
        <v>3595</v>
      </c>
      <c r="G1674" s="826" t="s">
        <v>5107</v>
      </c>
      <c r="H1674" s="826" t="s">
        <v>5108</v>
      </c>
      <c r="I1674" s="832">
        <v>39930</v>
      </c>
      <c r="J1674" s="832">
        <v>6</v>
      </c>
      <c r="K1674" s="833">
        <v>239580</v>
      </c>
    </row>
    <row r="1675" spans="1:11" ht="14.45" customHeight="1" x14ac:dyDescent="0.2">
      <c r="A1675" s="822" t="s">
        <v>575</v>
      </c>
      <c r="B1675" s="823" t="s">
        <v>576</v>
      </c>
      <c r="C1675" s="826" t="s">
        <v>600</v>
      </c>
      <c r="D1675" s="840" t="s">
        <v>601</v>
      </c>
      <c r="E1675" s="826" t="s">
        <v>3594</v>
      </c>
      <c r="F1675" s="840" t="s">
        <v>3595</v>
      </c>
      <c r="G1675" s="826" t="s">
        <v>5103</v>
      </c>
      <c r="H1675" s="826" t="s">
        <v>5109</v>
      </c>
      <c r="I1675" s="832">
        <v>298.8699951171875</v>
      </c>
      <c r="J1675" s="832">
        <v>3</v>
      </c>
      <c r="K1675" s="833">
        <v>896.6099853515625</v>
      </c>
    </row>
    <row r="1676" spans="1:11" ht="14.45" customHeight="1" x14ac:dyDescent="0.2">
      <c r="A1676" s="822" t="s">
        <v>575</v>
      </c>
      <c r="B1676" s="823" t="s">
        <v>576</v>
      </c>
      <c r="C1676" s="826" t="s">
        <v>600</v>
      </c>
      <c r="D1676" s="840" t="s">
        <v>601</v>
      </c>
      <c r="E1676" s="826" t="s">
        <v>3594</v>
      </c>
      <c r="F1676" s="840" t="s">
        <v>3595</v>
      </c>
      <c r="G1676" s="826" t="s">
        <v>5110</v>
      </c>
      <c r="H1676" s="826" t="s">
        <v>5111</v>
      </c>
      <c r="I1676" s="832">
        <v>399.29998779296875</v>
      </c>
      <c r="J1676" s="832">
        <v>3</v>
      </c>
      <c r="K1676" s="833">
        <v>1197.8999633789063</v>
      </c>
    </row>
    <row r="1677" spans="1:11" ht="14.45" customHeight="1" x14ac:dyDescent="0.2">
      <c r="A1677" s="822" t="s">
        <v>575</v>
      </c>
      <c r="B1677" s="823" t="s">
        <v>576</v>
      </c>
      <c r="C1677" s="826" t="s">
        <v>600</v>
      </c>
      <c r="D1677" s="840" t="s">
        <v>601</v>
      </c>
      <c r="E1677" s="826" t="s">
        <v>3594</v>
      </c>
      <c r="F1677" s="840" t="s">
        <v>3595</v>
      </c>
      <c r="G1677" s="826" t="s">
        <v>5105</v>
      </c>
      <c r="H1677" s="826" t="s">
        <v>5112</v>
      </c>
      <c r="I1677" s="832">
        <v>499.73001098632813</v>
      </c>
      <c r="J1677" s="832">
        <v>3</v>
      </c>
      <c r="K1677" s="833">
        <v>1499.1900329589844</v>
      </c>
    </row>
    <row r="1678" spans="1:11" ht="14.45" customHeight="1" x14ac:dyDescent="0.2">
      <c r="A1678" s="822" t="s">
        <v>575</v>
      </c>
      <c r="B1678" s="823" t="s">
        <v>576</v>
      </c>
      <c r="C1678" s="826" t="s">
        <v>600</v>
      </c>
      <c r="D1678" s="840" t="s">
        <v>601</v>
      </c>
      <c r="E1678" s="826" t="s">
        <v>3594</v>
      </c>
      <c r="F1678" s="840" t="s">
        <v>3595</v>
      </c>
      <c r="G1678" s="826" t="s">
        <v>5107</v>
      </c>
      <c r="H1678" s="826" t="s">
        <v>5113</v>
      </c>
      <c r="I1678" s="832">
        <v>39930</v>
      </c>
      <c r="J1678" s="832">
        <v>3</v>
      </c>
      <c r="K1678" s="833">
        <v>119790</v>
      </c>
    </row>
    <row r="1679" spans="1:11" ht="14.45" customHeight="1" x14ac:dyDescent="0.2">
      <c r="A1679" s="822" t="s">
        <v>575</v>
      </c>
      <c r="B1679" s="823" t="s">
        <v>576</v>
      </c>
      <c r="C1679" s="826" t="s">
        <v>600</v>
      </c>
      <c r="D1679" s="840" t="s">
        <v>601</v>
      </c>
      <c r="E1679" s="826" t="s">
        <v>3594</v>
      </c>
      <c r="F1679" s="840" t="s">
        <v>3595</v>
      </c>
      <c r="G1679" s="826" t="s">
        <v>4142</v>
      </c>
      <c r="H1679" s="826" t="s">
        <v>4143</v>
      </c>
      <c r="I1679" s="832">
        <v>110.53199920654296</v>
      </c>
      <c r="J1679" s="832">
        <v>275</v>
      </c>
      <c r="K1679" s="833">
        <v>30396.51953125</v>
      </c>
    </row>
    <row r="1680" spans="1:11" ht="14.45" customHeight="1" x14ac:dyDescent="0.2">
      <c r="A1680" s="822" t="s">
        <v>575</v>
      </c>
      <c r="B1680" s="823" t="s">
        <v>576</v>
      </c>
      <c r="C1680" s="826" t="s">
        <v>600</v>
      </c>
      <c r="D1680" s="840" t="s">
        <v>601</v>
      </c>
      <c r="E1680" s="826" t="s">
        <v>3594</v>
      </c>
      <c r="F1680" s="840" t="s">
        <v>3595</v>
      </c>
      <c r="G1680" s="826" t="s">
        <v>4142</v>
      </c>
      <c r="H1680" s="826" t="s">
        <v>5114</v>
      </c>
      <c r="I1680" s="832">
        <v>110.52999877929688</v>
      </c>
      <c r="J1680" s="832">
        <v>325</v>
      </c>
      <c r="K1680" s="833">
        <v>35922.509765625</v>
      </c>
    </row>
    <row r="1681" spans="1:11" ht="14.45" customHeight="1" x14ac:dyDescent="0.2">
      <c r="A1681" s="822" t="s">
        <v>575</v>
      </c>
      <c r="B1681" s="823" t="s">
        <v>576</v>
      </c>
      <c r="C1681" s="826" t="s">
        <v>600</v>
      </c>
      <c r="D1681" s="840" t="s">
        <v>601</v>
      </c>
      <c r="E1681" s="826" t="s">
        <v>3594</v>
      </c>
      <c r="F1681" s="840" t="s">
        <v>3595</v>
      </c>
      <c r="G1681" s="826" t="s">
        <v>4144</v>
      </c>
      <c r="H1681" s="826" t="s">
        <v>4145</v>
      </c>
      <c r="I1681" s="832">
        <v>350.260009765625</v>
      </c>
      <c r="J1681" s="832">
        <v>20</v>
      </c>
      <c r="K1681" s="833">
        <v>7005.2001953125</v>
      </c>
    </row>
    <row r="1682" spans="1:11" ht="14.45" customHeight="1" x14ac:dyDescent="0.2">
      <c r="A1682" s="822" t="s">
        <v>575</v>
      </c>
      <c r="B1682" s="823" t="s">
        <v>576</v>
      </c>
      <c r="C1682" s="826" t="s">
        <v>600</v>
      </c>
      <c r="D1682" s="840" t="s">
        <v>601</v>
      </c>
      <c r="E1682" s="826" t="s">
        <v>3594</v>
      </c>
      <c r="F1682" s="840" t="s">
        <v>3595</v>
      </c>
      <c r="G1682" s="826" t="s">
        <v>4146</v>
      </c>
      <c r="H1682" s="826" t="s">
        <v>4147</v>
      </c>
      <c r="I1682" s="832">
        <v>319.91000366210938</v>
      </c>
      <c r="J1682" s="832">
        <v>100</v>
      </c>
      <c r="K1682" s="833">
        <v>31991.0810546875</v>
      </c>
    </row>
    <row r="1683" spans="1:11" ht="14.45" customHeight="1" x14ac:dyDescent="0.2">
      <c r="A1683" s="822" t="s">
        <v>575</v>
      </c>
      <c r="B1683" s="823" t="s">
        <v>576</v>
      </c>
      <c r="C1683" s="826" t="s">
        <v>600</v>
      </c>
      <c r="D1683" s="840" t="s">
        <v>601</v>
      </c>
      <c r="E1683" s="826" t="s">
        <v>3594</v>
      </c>
      <c r="F1683" s="840" t="s">
        <v>3595</v>
      </c>
      <c r="G1683" s="826" t="s">
        <v>4142</v>
      </c>
      <c r="H1683" s="826" t="s">
        <v>4148</v>
      </c>
      <c r="I1683" s="832">
        <v>110.53750038146973</v>
      </c>
      <c r="J1683" s="832">
        <v>275</v>
      </c>
      <c r="K1683" s="833">
        <v>30396.99072265625</v>
      </c>
    </row>
    <row r="1684" spans="1:11" ht="14.45" customHeight="1" x14ac:dyDescent="0.2">
      <c r="A1684" s="822" t="s">
        <v>575</v>
      </c>
      <c r="B1684" s="823" t="s">
        <v>576</v>
      </c>
      <c r="C1684" s="826" t="s">
        <v>600</v>
      </c>
      <c r="D1684" s="840" t="s">
        <v>601</v>
      </c>
      <c r="E1684" s="826" t="s">
        <v>3594</v>
      </c>
      <c r="F1684" s="840" t="s">
        <v>3595</v>
      </c>
      <c r="G1684" s="826" t="s">
        <v>4146</v>
      </c>
      <c r="H1684" s="826" t="s">
        <v>4149</v>
      </c>
      <c r="I1684" s="832">
        <v>319.91000366210938</v>
      </c>
      <c r="J1684" s="832">
        <v>40</v>
      </c>
      <c r="K1684" s="833">
        <v>12796.4404296875</v>
      </c>
    </row>
    <row r="1685" spans="1:11" ht="14.45" customHeight="1" x14ac:dyDescent="0.2">
      <c r="A1685" s="822" t="s">
        <v>575</v>
      </c>
      <c r="B1685" s="823" t="s">
        <v>576</v>
      </c>
      <c r="C1685" s="826" t="s">
        <v>600</v>
      </c>
      <c r="D1685" s="840" t="s">
        <v>601</v>
      </c>
      <c r="E1685" s="826" t="s">
        <v>3594</v>
      </c>
      <c r="F1685" s="840" t="s">
        <v>3595</v>
      </c>
      <c r="G1685" s="826" t="s">
        <v>5115</v>
      </c>
      <c r="H1685" s="826" t="s">
        <v>5116</v>
      </c>
      <c r="I1685" s="832">
        <v>24219.41015625</v>
      </c>
      <c r="J1685" s="832">
        <v>2</v>
      </c>
      <c r="K1685" s="833">
        <v>48438.8203125</v>
      </c>
    </row>
    <row r="1686" spans="1:11" ht="14.45" customHeight="1" x14ac:dyDescent="0.2">
      <c r="A1686" s="822" t="s">
        <v>575</v>
      </c>
      <c r="B1686" s="823" t="s">
        <v>576</v>
      </c>
      <c r="C1686" s="826" t="s">
        <v>600</v>
      </c>
      <c r="D1686" s="840" t="s">
        <v>601</v>
      </c>
      <c r="E1686" s="826" t="s">
        <v>3594</v>
      </c>
      <c r="F1686" s="840" t="s">
        <v>3595</v>
      </c>
      <c r="G1686" s="826" t="s">
        <v>5117</v>
      </c>
      <c r="H1686" s="826" t="s">
        <v>5118</v>
      </c>
      <c r="I1686" s="832">
        <v>1285.02001953125</v>
      </c>
      <c r="J1686" s="832">
        <v>105</v>
      </c>
      <c r="K1686" s="833">
        <v>134927.1025390625</v>
      </c>
    </row>
    <row r="1687" spans="1:11" ht="14.45" customHeight="1" x14ac:dyDescent="0.2">
      <c r="A1687" s="822" t="s">
        <v>575</v>
      </c>
      <c r="B1687" s="823" t="s">
        <v>576</v>
      </c>
      <c r="C1687" s="826" t="s">
        <v>600</v>
      </c>
      <c r="D1687" s="840" t="s">
        <v>601</v>
      </c>
      <c r="E1687" s="826" t="s">
        <v>3594</v>
      </c>
      <c r="F1687" s="840" t="s">
        <v>3595</v>
      </c>
      <c r="G1687" s="826" t="s">
        <v>5117</v>
      </c>
      <c r="H1687" s="826" t="s">
        <v>5119</v>
      </c>
      <c r="I1687" s="832">
        <v>1285.02001953125</v>
      </c>
      <c r="J1687" s="832">
        <v>190</v>
      </c>
      <c r="K1687" s="833">
        <v>244153.8046875</v>
      </c>
    </row>
    <row r="1688" spans="1:11" ht="14.45" customHeight="1" x14ac:dyDescent="0.2">
      <c r="A1688" s="822" t="s">
        <v>575</v>
      </c>
      <c r="B1688" s="823" t="s">
        <v>576</v>
      </c>
      <c r="C1688" s="826" t="s">
        <v>600</v>
      </c>
      <c r="D1688" s="840" t="s">
        <v>601</v>
      </c>
      <c r="E1688" s="826" t="s">
        <v>3594</v>
      </c>
      <c r="F1688" s="840" t="s">
        <v>3595</v>
      </c>
      <c r="G1688" s="826" t="s">
        <v>5120</v>
      </c>
      <c r="H1688" s="826" t="s">
        <v>5121</v>
      </c>
      <c r="I1688" s="832">
        <v>928.20001220703125</v>
      </c>
      <c r="J1688" s="832">
        <v>10</v>
      </c>
      <c r="K1688" s="833">
        <v>9282.0302734375</v>
      </c>
    </row>
    <row r="1689" spans="1:11" ht="14.45" customHeight="1" x14ac:dyDescent="0.2">
      <c r="A1689" s="822" t="s">
        <v>575</v>
      </c>
      <c r="B1689" s="823" t="s">
        <v>576</v>
      </c>
      <c r="C1689" s="826" t="s">
        <v>600</v>
      </c>
      <c r="D1689" s="840" t="s">
        <v>601</v>
      </c>
      <c r="E1689" s="826" t="s">
        <v>3594</v>
      </c>
      <c r="F1689" s="840" t="s">
        <v>3595</v>
      </c>
      <c r="G1689" s="826" t="s">
        <v>4152</v>
      </c>
      <c r="H1689" s="826" t="s">
        <v>4153</v>
      </c>
      <c r="I1689" s="832">
        <v>414.54998779296875</v>
      </c>
      <c r="J1689" s="832">
        <v>15</v>
      </c>
      <c r="K1689" s="833">
        <v>6218.18994140625</v>
      </c>
    </row>
    <row r="1690" spans="1:11" ht="14.45" customHeight="1" x14ac:dyDescent="0.2">
      <c r="A1690" s="822" t="s">
        <v>575</v>
      </c>
      <c r="B1690" s="823" t="s">
        <v>576</v>
      </c>
      <c r="C1690" s="826" t="s">
        <v>600</v>
      </c>
      <c r="D1690" s="840" t="s">
        <v>601</v>
      </c>
      <c r="E1690" s="826" t="s">
        <v>3594</v>
      </c>
      <c r="F1690" s="840" t="s">
        <v>3595</v>
      </c>
      <c r="G1690" s="826" t="s">
        <v>4152</v>
      </c>
      <c r="H1690" s="826" t="s">
        <v>4154</v>
      </c>
      <c r="I1690" s="832">
        <v>414.54998779296875</v>
      </c>
      <c r="J1690" s="832">
        <v>25</v>
      </c>
      <c r="K1690" s="833">
        <v>10363.68994140625</v>
      </c>
    </row>
    <row r="1691" spans="1:11" ht="14.45" customHeight="1" x14ac:dyDescent="0.2">
      <c r="A1691" s="822" t="s">
        <v>575</v>
      </c>
      <c r="B1691" s="823" t="s">
        <v>576</v>
      </c>
      <c r="C1691" s="826" t="s">
        <v>600</v>
      </c>
      <c r="D1691" s="840" t="s">
        <v>601</v>
      </c>
      <c r="E1691" s="826" t="s">
        <v>3594</v>
      </c>
      <c r="F1691" s="840" t="s">
        <v>3595</v>
      </c>
      <c r="G1691" s="826" t="s">
        <v>5122</v>
      </c>
      <c r="H1691" s="826" t="s">
        <v>5123</v>
      </c>
      <c r="I1691" s="832">
        <v>1188</v>
      </c>
      <c r="J1691" s="832">
        <v>210</v>
      </c>
      <c r="K1691" s="833">
        <v>249480.48046875</v>
      </c>
    </row>
    <row r="1692" spans="1:11" ht="14.45" customHeight="1" x14ac:dyDescent="0.2">
      <c r="A1692" s="822" t="s">
        <v>575</v>
      </c>
      <c r="B1692" s="823" t="s">
        <v>576</v>
      </c>
      <c r="C1692" s="826" t="s">
        <v>600</v>
      </c>
      <c r="D1692" s="840" t="s">
        <v>601</v>
      </c>
      <c r="E1692" s="826" t="s">
        <v>3594</v>
      </c>
      <c r="F1692" s="840" t="s">
        <v>3595</v>
      </c>
      <c r="G1692" s="826" t="s">
        <v>5122</v>
      </c>
      <c r="H1692" s="826" t="s">
        <v>5124</v>
      </c>
      <c r="I1692" s="832">
        <v>1188</v>
      </c>
      <c r="J1692" s="832">
        <v>385</v>
      </c>
      <c r="K1692" s="833">
        <v>457380.853515625</v>
      </c>
    </row>
    <row r="1693" spans="1:11" ht="14.45" customHeight="1" x14ac:dyDescent="0.2">
      <c r="A1693" s="822" t="s">
        <v>575</v>
      </c>
      <c r="B1693" s="823" t="s">
        <v>576</v>
      </c>
      <c r="C1693" s="826" t="s">
        <v>600</v>
      </c>
      <c r="D1693" s="840" t="s">
        <v>601</v>
      </c>
      <c r="E1693" s="826" t="s">
        <v>3594</v>
      </c>
      <c r="F1693" s="840" t="s">
        <v>3595</v>
      </c>
      <c r="G1693" s="826" t="s">
        <v>5125</v>
      </c>
      <c r="H1693" s="826" t="s">
        <v>5126</v>
      </c>
      <c r="I1693" s="832">
        <v>1962.6199951171875</v>
      </c>
      <c r="J1693" s="832">
        <v>1</v>
      </c>
      <c r="K1693" s="833">
        <v>1962.6199951171875</v>
      </c>
    </row>
    <row r="1694" spans="1:11" ht="14.45" customHeight="1" x14ac:dyDescent="0.2">
      <c r="A1694" s="822" t="s">
        <v>575</v>
      </c>
      <c r="B1694" s="823" t="s">
        <v>576</v>
      </c>
      <c r="C1694" s="826" t="s">
        <v>600</v>
      </c>
      <c r="D1694" s="840" t="s">
        <v>601</v>
      </c>
      <c r="E1694" s="826" t="s">
        <v>3594</v>
      </c>
      <c r="F1694" s="840" t="s">
        <v>3595</v>
      </c>
      <c r="G1694" s="826" t="s">
        <v>5125</v>
      </c>
      <c r="H1694" s="826" t="s">
        <v>5127</v>
      </c>
      <c r="I1694" s="832">
        <v>1962.6199951171875</v>
      </c>
      <c r="J1694" s="832">
        <v>1</v>
      </c>
      <c r="K1694" s="833">
        <v>1962.6199951171875</v>
      </c>
    </row>
    <row r="1695" spans="1:11" ht="14.45" customHeight="1" x14ac:dyDescent="0.2">
      <c r="A1695" s="822" t="s">
        <v>575</v>
      </c>
      <c r="B1695" s="823" t="s">
        <v>576</v>
      </c>
      <c r="C1695" s="826" t="s">
        <v>600</v>
      </c>
      <c r="D1695" s="840" t="s">
        <v>601</v>
      </c>
      <c r="E1695" s="826" t="s">
        <v>3594</v>
      </c>
      <c r="F1695" s="840" t="s">
        <v>3595</v>
      </c>
      <c r="G1695" s="826" t="s">
        <v>5128</v>
      </c>
      <c r="H1695" s="826" t="s">
        <v>5129</v>
      </c>
      <c r="I1695" s="832">
        <v>1962.6199951171875</v>
      </c>
      <c r="J1695" s="832">
        <v>2</v>
      </c>
      <c r="K1695" s="833">
        <v>3925.239990234375</v>
      </c>
    </row>
    <row r="1696" spans="1:11" ht="14.45" customHeight="1" x14ac:dyDescent="0.2">
      <c r="A1696" s="822" t="s">
        <v>575</v>
      </c>
      <c r="B1696" s="823" t="s">
        <v>576</v>
      </c>
      <c r="C1696" s="826" t="s">
        <v>600</v>
      </c>
      <c r="D1696" s="840" t="s">
        <v>601</v>
      </c>
      <c r="E1696" s="826" t="s">
        <v>3594</v>
      </c>
      <c r="F1696" s="840" t="s">
        <v>3595</v>
      </c>
      <c r="G1696" s="826" t="s">
        <v>5130</v>
      </c>
      <c r="H1696" s="826" t="s">
        <v>5131</v>
      </c>
      <c r="I1696" s="832">
        <v>106.48000335693359</v>
      </c>
      <c r="J1696" s="832">
        <v>25</v>
      </c>
      <c r="K1696" s="833">
        <v>2662</v>
      </c>
    </row>
    <row r="1697" spans="1:11" ht="14.45" customHeight="1" x14ac:dyDescent="0.2">
      <c r="A1697" s="822" t="s">
        <v>575</v>
      </c>
      <c r="B1697" s="823" t="s">
        <v>576</v>
      </c>
      <c r="C1697" s="826" t="s">
        <v>600</v>
      </c>
      <c r="D1697" s="840" t="s">
        <v>601</v>
      </c>
      <c r="E1697" s="826" t="s">
        <v>3594</v>
      </c>
      <c r="F1697" s="840" t="s">
        <v>3595</v>
      </c>
      <c r="G1697" s="826" t="s">
        <v>5132</v>
      </c>
      <c r="H1697" s="826" t="s">
        <v>5133</v>
      </c>
      <c r="I1697" s="832">
        <v>106.48000335693359</v>
      </c>
      <c r="J1697" s="832">
        <v>25</v>
      </c>
      <c r="K1697" s="833">
        <v>2662</v>
      </c>
    </row>
    <row r="1698" spans="1:11" ht="14.45" customHeight="1" x14ac:dyDescent="0.2">
      <c r="A1698" s="822" t="s">
        <v>575</v>
      </c>
      <c r="B1698" s="823" t="s">
        <v>576</v>
      </c>
      <c r="C1698" s="826" t="s">
        <v>600</v>
      </c>
      <c r="D1698" s="840" t="s">
        <v>601</v>
      </c>
      <c r="E1698" s="826" t="s">
        <v>3594</v>
      </c>
      <c r="F1698" s="840" t="s">
        <v>3595</v>
      </c>
      <c r="G1698" s="826" t="s">
        <v>5134</v>
      </c>
      <c r="H1698" s="826" t="s">
        <v>5135</v>
      </c>
      <c r="I1698" s="832">
        <v>106.48000335693359</v>
      </c>
      <c r="J1698" s="832">
        <v>25</v>
      </c>
      <c r="K1698" s="833">
        <v>2662</v>
      </c>
    </row>
    <row r="1699" spans="1:11" ht="14.45" customHeight="1" x14ac:dyDescent="0.2">
      <c r="A1699" s="822" t="s">
        <v>575</v>
      </c>
      <c r="B1699" s="823" t="s">
        <v>576</v>
      </c>
      <c r="C1699" s="826" t="s">
        <v>600</v>
      </c>
      <c r="D1699" s="840" t="s">
        <v>601</v>
      </c>
      <c r="E1699" s="826" t="s">
        <v>3594</v>
      </c>
      <c r="F1699" s="840" t="s">
        <v>3595</v>
      </c>
      <c r="G1699" s="826" t="s">
        <v>5136</v>
      </c>
      <c r="H1699" s="826" t="s">
        <v>5137</v>
      </c>
      <c r="I1699" s="832">
        <v>106.48000335693359</v>
      </c>
      <c r="J1699" s="832">
        <v>25</v>
      </c>
      <c r="K1699" s="833">
        <v>2662</v>
      </c>
    </row>
    <row r="1700" spans="1:11" ht="14.45" customHeight="1" x14ac:dyDescent="0.2">
      <c r="A1700" s="822" t="s">
        <v>575</v>
      </c>
      <c r="B1700" s="823" t="s">
        <v>576</v>
      </c>
      <c r="C1700" s="826" t="s">
        <v>600</v>
      </c>
      <c r="D1700" s="840" t="s">
        <v>601</v>
      </c>
      <c r="E1700" s="826" t="s">
        <v>3594</v>
      </c>
      <c r="F1700" s="840" t="s">
        <v>3595</v>
      </c>
      <c r="G1700" s="826" t="s">
        <v>5138</v>
      </c>
      <c r="H1700" s="826" t="s">
        <v>5139</v>
      </c>
      <c r="I1700" s="832">
        <v>106.48000335693359</v>
      </c>
      <c r="J1700" s="832">
        <v>25</v>
      </c>
      <c r="K1700" s="833">
        <v>2662</v>
      </c>
    </row>
    <row r="1701" spans="1:11" ht="14.45" customHeight="1" x14ac:dyDescent="0.2">
      <c r="A1701" s="822" t="s">
        <v>575</v>
      </c>
      <c r="B1701" s="823" t="s">
        <v>576</v>
      </c>
      <c r="C1701" s="826" t="s">
        <v>600</v>
      </c>
      <c r="D1701" s="840" t="s">
        <v>601</v>
      </c>
      <c r="E1701" s="826" t="s">
        <v>3594</v>
      </c>
      <c r="F1701" s="840" t="s">
        <v>3595</v>
      </c>
      <c r="G1701" s="826" t="s">
        <v>5134</v>
      </c>
      <c r="H1701" s="826" t="s">
        <v>5140</v>
      </c>
      <c r="I1701" s="832">
        <v>106.48000335693359</v>
      </c>
      <c r="J1701" s="832">
        <v>25</v>
      </c>
      <c r="K1701" s="833">
        <v>2662.010009765625</v>
      </c>
    </row>
    <row r="1702" spans="1:11" ht="14.45" customHeight="1" x14ac:dyDescent="0.2">
      <c r="A1702" s="822" t="s">
        <v>575</v>
      </c>
      <c r="B1702" s="823" t="s">
        <v>576</v>
      </c>
      <c r="C1702" s="826" t="s">
        <v>600</v>
      </c>
      <c r="D1702" s="840" t="s">
        <v>601</v>
      </c>
      <c r="E1702" s="826" t="s">
        <v>3594</v>
      </c>
      <c r="F1702" s="840" t="s">
        <v>3595</v>
      </c>
      <c r="G1702" s="826" t="s">
        <v>5136</v>
      </c>
      <c r="H1702" s="826" t="s">
        <v>5141</v>
      </c>
      <c r="I1702" s="832">
        <v>106.48000335693359</v>
      </c>
      <c r="J1702" s="832">
        <v>25</v>
      </c>
      <c r="K1702" s="833">
        <v>2662</v>
      </c>
    </row>
    <row r="1703" spans="1:11" ht="14.45" customHeight="1" x14ac:dyDescent="0.2">
      <c r="A1703" s="822" t="s">
        <v>575</v>
      </c>
      <c r="B1703" s="823" t="s">
        <v>576</v>
      </c>
      <c r="C1703" s="826" t="s">
        <v>600</v>
      </c>
      <c r="D1703" s="840" t="s">
        <v>601</v>
      </c>
      <c r="E1703" s="826" t="s">
        <v>3594</v>
      </c>
      <c r="F1703" s="840" t="s">
        <v>3595</v>
      </c>
      <c r="G1703" s="826" t="s">
        <v>5142</v>
      </c>
      <c r="H1703" s="826" t="s">
        <v>5143</v>
      </c>
      <c r="I1703" s="832">
        <v>3549.9949951171875</v>
      </c>
      <c r="J1703" s="832">
        <v>10</v>
      </c>
      <c r="K1703" s="833">
        <v>35499.970703125</v>
      </c>
    </row>
    <row r="1704" spans="1:11" ht="14.45" customHeight="1" x14ac:dyDescent="0.2">
      <c r="A1704" s="822" t="s">
        <v>575</v>
      </c>
      <c r="B1704" s="823" t="s">
        <v>576</v>
      </c>
      <c r="C1704" s="826" t="s">
        <v>600</v>
      </c>
      <c r="D1704" s="840" t="s">
        <v>601</v>
      </c>
      <c r="E1704" s="826" t="s">
        <v>3594</v>
      </c>
      <c r="F1704" s="840" t="s">
        <v>3595</v>
      </c>
      <c r="G1704" s="826" t="s">
        <v>5144</v>
      </c>
      <c r="H1704" s="826" t="s">
        <v>5145</v>
      </c>
      <c r="I1704" s="832">
        <v>39697.91015625</v>
      </c>
      <c r="J1704" s="832">
        <v>12</v>
      </c>
      <c r="K1704" s="833">
        <v>476374.921875</v>
      </c>
    </row>
    <row r="1705" spans="1:11" ht="14.45" customHeight="1" x14ac:dyDescent="0.2">
      <c r="A1705" s="822" t="s">
        <v>575</v>
      </c>
      <c r="B1705" s="823" t="s">
        <v>576</v>
      </c>
      <c r="C1705" s="826" t="s">
        <v>600</v>
      </c>
      <c r="D1705" s="840" t="s">
        <v>601</v>
      </c>
      <c r="E1705" s="826" t="s">
        <v>3594</v>
      </c>
      <c r="F1705" s="840" t="s">
        <v>3595</v>
      </c>
      <c r="G1705" s="826" t="s">
        <v>5144</v>
      </c>
      <c r="H1705" s="826" t="s">
        <v>5146</v>
      </c>
      <c r="I1705" s="832">
        <v>39697.91015625</v>
      </c>
      <c r="J1705" s="832">
        <v>8</v>
      </c>
      <c r="K1705" s="833">
        <v>317583.28125</v>
      </c>
    </row>
    <row r="1706" spans="1:11" ht="14.45" customHeight="1" x14ac:dyDescent="0.2">
      <c r="A1706" s="822" t="s">
        <v>575</v>
      </c>
      <c r="B1706" s="823" t="s">
        <v>576</v>
      </c>
      <c r="C1706" s="826" t="s">
        <v>600</v>
      </c>
      <c r="D1706" s="840" t="s">
        <v>601</v>
      </c>
      <c r="E1706" s="826" t="s">
        <v>3594</v>
      </c>
      <c r="F1706" s="840" t="s">
        <v>3595</v>
      </c>
      <c r="G1706" s="826" t="s">
        <v>4166</v>
      </c>
      <c r="H1706" s="826" t="s">
        <v>4167</v>
      </c>
      <c r="I1706" s="832">
        <v>2487.280029296875</v>
      </c>
      <c r="J1706" s="832">
        <v>5</v>
      </c>
      <c r="K1706" s="833">
        <v>12436.3798828125</v>
      </c>
    </row>
    <row r="1707" spans="1:11" ht="14.45" customHeight="1" x14ac:dyDescent="0.2">
      <c r="A1707" s="822" t="s">
        <v>575</v>
      </c>
      <c r="B1707" s="823" t="s">
        <v>576</v>
      </c>
      <c r="C1707" s="826" t="s">
        <v>600</v>
      </c>
      <c r="D1707" s="840" t="s">
        <v>601</v>
      </c>
      <c r="E1707" s="826" t="s">
        <v>3594</v>
      </c>
      <c r="F1707" s="840" t="s">
        <v>3595</v>
      </c>
      <c r="G1707" s="826" t="s">
        <v>5147</v>
      </c>
      <c r="H1707" s="826" t="s">
        <v>5148</v>
      </c>
      <c r="I1707" s="832">
        <v>12.770000457763672</v>
      </c>
      <c r="J1707" s="832">
        <v>6</v>
      </c>
      <c r="K1707" s="833">
        <v>76.589996337890625</v>
      </c>
    </row>
    <row r="1708" spans="1:11" ht="14.45" customHeight="1" x14ac:dyDescent="0.2">
      <c r="A1708" s="822" t="s">
        <v>575</v>
      </c>
      <c r="B1708" s="823" t="s">
        <v>576</v>
      </c>
      <c r="C1708" s="826" t="s">
        <v>600</v>
      </c>
      <c r="D1708" s="840" t="s">
        <v>601</v>
      </c>
      <c r="E1708" s="826" t="s">
        <v>3594</v>
      </c>
      <c r="F1708" s="840" t="s">
        <v>3595</v>
      </c>
      <c r="G1708" s="826" t="s">
        <v>5149</v>
      </c>
      <c r="H1708" s="826" t="s">
        <v>5150</v>
      </c>
      <c r="I1708" s="832">
        <v>9.3199996948242188</v>
      </c>
      <c r="J1708" s="832">
        <v>6</v>
      </c>
      <c r="K1708" s="833">
        <v>55.909999847412109</v>
      </c>
    </row>
    <row r="1709" spans="1:11" ht="14.45" customHeight="1" x14ac:dyDescent="0.2">
      <c r="A1709" s="822" t="s">
        <v>575</v>
      </c>
      <c r="B1709" s="823" t="s">
        <v>576</v>
      </c>
      <c r="C1709" s="826" t="s">
        <v>600</v>
      </c>
      <c r="D1709" s="840" t="s">
        <v>601</v>
      </c>
      <c r="E1709" s="826" t="s">
        <v>3594</v>
      </c>
      <c r="F1709" s="840" t="s">
        <v>3595</v>
      </c>
      <c r="G1709" s="826" t="s">
        <v>5151</v>
      </c>
      <c r="H1709" s="826" t="s">
        <v>5152</v>
      </c>
      <c r="I1709" s="832">
        <v>9.3199996948242188</v>
      </c>
      <c r="J1709" s="832">
        <v>6</v>
      </c>
      <c r="K1709" s="833">
        <v>55.909999847412109</v>
      </c>
    </row>
    <row r="1710" spans="1:11" ht="14.45" customHeight="1" x14ac:dyDescent="0.2">
      <c r="A1710" s="822" t="s">
        <v>575</v>
      </c>
      <c r="B1710" s="823" t="s">
        <v>576</v>
      </c>
      <c r="C1710" s="826" t="s">
        <v>600</v>
      </c>
      <c r="D1710" s="840" t="s">
        <v>601</v>
      </c>
      <c r="E1710" s="826" t="s">
        <v>3594</v>
      </c>
      <c r="F1710" s="840" t="s">
        <v>3595</v>
      </c>
      <c r="G1710" s="826" t="s">
        <v>5153</v>
      </c>
      <c r="H1710" s="826" t="s">
        <v>5154</v>
      </c>
      <c r="I1710" s="832">
        <v>9.3199996948242188</v>
      </c>
      <c r="J1710" s="832">
        <v>3</v>
      </c>
      <c r="K1710" s="833">
        <v>27.959999084472656</v>
      </c>
    </row>
    <row r="1711" spans="1:11" ht="14.45" customHeight="1" x14ac:dyDescent="0.2">
      <c r="A1711" s="822" t="s">
        <v>575</v>
      </c>
      <c r="B1711" s="823" t="s">
        <v>576</v>
      </c>
      <c r="C1711" s="826" t="s">
        <v>600</v>
      </c>
      <c r="D1711" s="840" t="s">
        <v>601</v>
      </c>
      <c r="E1711" s="826" t="s">
        <v>3594</v>
      </c>
      <c r="F1711" s="840" t="s">
        <v>3595</v>
      </c>
      <c r="G1711" s="826" t="s">
        <v>5155</v>
      </c>
      <c r="H1711" s="826" t="s">
        <v>5156</v>
      </c>
      <c r="I1711" s="832">
        <v>9.3199996948242188</v>
      </c>
      <c r="J1711" s="832">
        <v>4</v>
      </c>
      <c r="K1711" s="833">
        <v>37.270000457763672</v>
      </c>
    </row>
    <row r="1712" spans="1:11" ht="14.45" customHeight="1" x14ac:dyDescent="0.2">
      <c r="A1712" s="822" t="s">
        <v>575</v>
      </c>
      <c r="B1712" s="823" t="s">
        <v>576</v>
      </c>
      <c r="C1712" s="826" t="s">
        <v>600</v>
      </c>
      <c r="D1712" s="840" t="s">
        <v>601</v>
      </c>
      <c r="E1712" s="826" t="s">
        <v>3594</v>
      </c>
      <c r="F1712" s="840" t="s">
        <v>3595</v>
      </c>
      <c r="G1712" s="826" t="s">
        <v>5157</v>
      </c>
      <c r="H1712" s="826" t="s">
        <v>5158</v>
      </c>
      <c r="I1712" s="832">
        <v>9.3199996948242188</v>
      </c>
      <c r="J1712" s="832">
        <v>4</v>
      </c>
      <c r="K1712" s="833">
        <v>37.270000457763672</v>
      </c>
    </row>
    <row r="1713" spans="1:11" ht="14.45" customHeight="1" x14ac:dyDescent="0.2">
      <c r="A1713" s="822" t="s">
        <v>575</v>
      </c>
      <c r="B1713" s="823" t="s">
        <v>576</v>
      </c>
      <c r="C1713" s="826" t="s">
        <v>600</v>
      </c>
      <c r="D1713" s="840" t="s">
        <v>601</v>
      </c>
      <c r="E1713" s="826" t="s">
        <v>3594</v>
      </c>
      <c r="F1713" s="840" t="s">
        <v>3595</v>
      </c>
      <c r="G1713" s="826" t="s">
        <v>5159</v>
      </c>
      <c r="H1713" s="826" t="s">
        <v>5160</v>
      </c>
      <c r="I1713" s="832">
        <v>4600</v>
      </c>
      <c r="J1713" s="832">
        <v>20</v>
      </c>
      <c r="K1713" s="833">
        <v>92000</v>
      </c>
    </row>
    <row r="1714" spans="1:11" ht="14.45" customHeight="1" x14ac:dyDescent="0.2">
      <c r="A1714" s="822" t="s">
        <v>575</v>
      </c>
      <c r="B1714" s="823" t="s">
        <v>576</v>
      </c>
      <c r="C1714" s="826" t="s">
        <v>600</v>
      </c>
      <c r="D1714" s="840" t="s">
        <v>601</v>
      </c>
      <c r="E1714" s="826" t="s">
        <v>3594</v>
      </c>
      <c r="F1714" s="840" t="s">
        <v>3595</v>
      </c>
      <c r="G1714" s="826" t="s">
        <v>5159</v>
      </c>
      <c r="H1714" s="826" t="s">
        <v>5161</v>
      </c>
      <c r="I1714" s="832">
        <v>4600</v>
      </c>
      <c r="J1714" s="832">
        <v>20</v>
      </c>
      <c r="K1714" s="833">
        <v>92000</v>
      </c>
    </row>
    <row r="1715" spans="1:11" ht="14.45" customHeight="1" x14ac:dyDescent="0.2">
      <c r="A1715" s="822" t="s">
        <v>575</v>
      </c>
      <c r="B1715" s="823" t="s">
        <v>576</v>
      </c>
      <c r="C1715" s="826" t="s">
        <v>600</v>
      </c>
      <c r="D1715" s="840" t="s">
        <v>601</v>
      </c>
      <c r="E1715" s="826" t="s">
        <v>3594</v>
      </c>
      <c r="F1715" s="840" t="s">
        <v>3595</v>
      </c>
      <c r="G1715" s="826" t="s">
        <v>5162</v>
      </c>
      <c r="H1715" s="826" t="s">
        <v>5163</v>
      </c>
      <c r="I1715" s="832">
        <v>15162.306640625</v>
      </c>
      <c r="J1715" s="832">
        <v>6</v>
      </c>
      <c r="K1715" s="833">
        <v>113717.55164062232</v>
      </c>
    </row>
    <row r="1716" spans="1:11" ht="14.45" customHeight="1" x14ac:dyDescent="0.2">
      <c r="A1716" s="822" t="s">
        <v>575</v>
      </c>
      <c r="B1716" s="823" t="s">
        <v>576</v>
      </c>
      <c r="C1716" s="826" t="s">
        <v>600</v>
      </c>
      <c r="D1716" s="840" t="s">
        <v>601</v>
      </c>
      <c r="E1716" s="826" t="s">
        <v>3594</v>
      </c>
      <c r="F1716" s="840" t="s">
        <v>3595</v>
      </c>
      <c r="G1716" s="826" t="s">
        <v>5162</v>
      </c>
      <c r="H1716" s="826" t="s">
        <v>5164</v>
      </c>
      <c r="I1716" s="832">
        <v>10712.435122282608</v>
      </c>
      <c r="J1716" s="832">
        <v>22</v>
      </c>
      <c r="K1716" s="833">
        <v>416965.03718757629</v>
      </c>
    </row>
    <row r="1717" spans="1:11" ht="14.45" customHeight="1" x14ac:dyDescent="0.2">
      <c r="A1717" s="822" t="s">
        <v>575</v>
      </c>
      <c r="B1717" s="823" t="s">
        <v>576</v>
      </c>
      <c r="C1717" s="826" t="s">
        <v>600</v>
      </c>
      <c r="D1717" s="840" t="s">
        <v>601</v>
      </c>
      <c r="E1717" s="826" t="s">
        <v>3594</v>
      </c>
      <c r="F1717" s="840" t="s">
        <v>3595</v>
      </c>
      <c r="G1717" s="826" t="s">
        <v>5165</v>
      </c>
      <c r="H1717" s="826" t="s">
        <v>5166</v>
      </c>
      <c r="I1717" s="832">
        <v>1089</v>
      </c>
      <c r="J1717" s="832">
        <v>70</v>
      </c>
      <c r="K1717" s="833">
        <v>76230</v>
      </c>
    </row>
    <row r="1718" spans="1:11" ht="14.45" customHeight="1" x14ac:dyDescent="0.2">
      <c r="A1718" s="822" t="s">
        <v>575</v>
      </c>
      <c r="B1718" s="823" t="s">
        <v>576</v>
      </c>
      <c r="C1718" s="826" t="s">
        <v>600</v>
      </c>
      <c r="D1718" s="840" t="s">
        <v>601</v>
      </c>
      <c r="E1718" s="826" t="s">
        <v>3594</v>
      </c>
      <c r="F1718" s="840" t="s">
        <v>3595</v>
      </c>
      <c r="G1718" s="826" t="s">
        <v>5167</v>
      </c>
      <c r="H1718" s="826" t="s">
        <v>5168</v>
      </c>
      <c r="I1718" s="832">
        <v>1089</v>
      </c>
      <c r="J1718" s="832">
        <v>90</v>
      </c>
      <c r="K1718" s="833">
        <v>98010</v>
      </c>
    </row>
    <row r="1719" spans="1:11" ht="14.45" customHeight="1" x14ac:dyDescent="0.2">
      <c r="A1719" s="822" t="s">
        <v>575</v>
      </c>
      <c r="B1719" s="823" t="s">
        <v>576</v>
      </c>
      <c r="C1719" s="826" t="s">
        <v>600</v>
      </c>
      <c r="D1719" s="840" t="s">
        <v>601</v>
      </c>
      <c r="E1719" s="826" t="s">
        <v>3594</v>
      </c>
      <c r="F1719" s="840" t="s">
        <v>3595</v>
      </c>
      <c r="G1719" s="826" t="s">
        <v>5169</v>
      </c>
      <c r="H1719" s="826" t="s">
        <v>5170</v>
      </c>
      <c r="I1719" s="832">
        <v>1089</v>
      </c>
      <c r="J1719" s="832">
        <v>10</v>
      </c>
      <c r="K1719" s="833">
        <v>10890</v>
      </c>
    </row>
    <row r="1720" spans="1:11" ht="14.45" customHeight="1" x14ac:dyDescent="0.2">
      <c r="A1720" s="822" t="s">
        <v>575</v>
      </c>
      <c r="B1720" s="823" t="s">
        <v>576</v>
      </c>
      <c r="C1720" s="826" t="s">
        <v>600</v>
      </c>
      <c r="D1720" s="840" t="s">
        <v>601</v>
      </c>
      <c r="E1720" s="826" t="s">
        <v>3594</v>
      </c>
      <c r="F1720" s="840" t="s">
        <v>3595</v>
      </c>
      <c r="G1720" s="826" t="s">
        <v>5165</v>
      </c>
      <c r="H1720" s="826" t="s">
        <v>5171</v>
      </c>
      <c r="I1720" s="832">
        <v>1169.2960449218749</v>
      </c>
      <c r="J1720" s="832">
        <v>25</v>
      </c>
      <c r="K1720" s="833">
        <v>29232.38037109375</v>
      </c>
    </row>
    <row r="1721" spans="1:11" ht="14.45" customHeight="1" x14ac:dyDescent="0.2">
      <c r="A1721" s="822" t="s">
        <v>575</v>
      </c>
      <c r="B1721" s="823" t="s">
        <v>576</v>
      </c>
      <c r="C1721" s="826" t="s">
        <v>600</v>
      </c>
      <c r="D1721" s="840" t="s">
        <v>601</v>
      </c>
      <c r="E1721" s="826" t="s">
        <v>3594</v>
      </c>
      <c r="F1721" s="840" t="s">
        <v>3595</v>
      </c>
      <c r="G1721" s="826" t="s">
        <v>5167</v>
      </c>
      <c r="H1721" s="826" t="s">
        <v>5172</v>
      </c>
      <c r="I1721" s="832">
        <v>1169.298046875</v>
      </c>
      <c r="J1721" s="832">
        <v>80</v>
      </c>
      <c r="K1721" s="833">
        <v>93543.65966796875</v>
      </c>
    </row>
    <row r="1722" spans="1:11" ht="14.45" customHeight="1" x14ac:dyDescent="0.2">
      <c r="A1722" s="822" t="s">
        <v>575</v>
      </c>
      <c r="B1722" s="823" t="s">
        <v>576</v>
      </c>
      <c r="C1722" s="826" t="s">
        <v>600</v>
      </c>
      <c r="D1722" s="840" t="s">
        <v>601</v>
      </c>
      <c r="E1722" s="826" t="s">
        <v>3594</v>
      </c>
      <c r="F1722" s="840" t="s">
        <v>3595</v>
      </c>
      <c r="G1722" s="826" t="s">
        <v>5173</v>
      </c>
      <c r="H1722" s="826" t="s">
        <v>5174</v>
      </c>
      <c r="I1722" s="832">
        <v>293126.9375</v>
      </c>
      <c r="J1722" s="832">
        <v>2</v>
      </c>
      <c r="K1722" s="833">
        <v>586253.875</v>
      </c>
    </row>
    <row r="1723" spans="1:11" ht="14.45" customHeight="1" x14ac:dyDescent="0.2">
      <c r="A1723" s="822" t="s">
        <v>575</v>
      </c>
      <c r="B1723" s="823" t="s">
        <v>576</v>
      </c>
      <c r="C1723" s="826" t="s">
        <v>600</v>
      </c>
      <c r="D1723" s="840" t="s">
        <v>601</v>
      </c>
      <c r="E1723" s="826" t="s">
        <v>3594</v>
      </c>
      <c r="F1723" s="840" t="s">
        <v>3595</v>
      </c>
      <c r="G1723" s="826" t="s">
        <v>5173</v>
      </c>
      <c r="H1723" s="826" t="s">
        <v>5175</v>
      </c>
      <c r="I1723" s="832">
        <v>293126.9375</v>
      </c>
      <c r="J1723" s="832">
        <v>1</v>
      </c>
      <c r="K1723" s="833">
        <v>293126.9375</v>
      </c>
    </row>
    <row r="1724" spans="1:11" ht="14.45" customHeight="1" x14ac:dyDescent="0.2">
      <c r="A1724" s="822" t="s">
        <v>575</v>
      </c>
      <c r="B1724" s="823" t="s">
        <v>576</v>
      </c>
      <c r="C1724" s="826" t="s">
        <v>600</v>
      </c>
      <c r="D1724" s="840" t="s">
        <v>601</v>
      </c>
      <c r="E1724" s="826" t="s">
        <v>3598</v>
      </c>
      <c r="F1724" s="840" t="s">
        <v>3599</v>
      </c>
      <c r="G1724" s="826" t="s">
        <v>3600</v>
      </c>
      <c r="H1724" s="826" t="s">
        <v>3601</v>
      </c>
      <c r="I1724" s="832">
        <v>16.616666158040363</v>
      </c>
      <c r="J1724" s="832">
        <v>180</v>
      </c>
      <c r="K1724" s="833">
        <v>2991.1000366210938</v>
      </c>
    </row>
    <row r="1725" spans="1:11" ht="14.45" customHeight="1" x14ac:dyDescent="0.2">
      <c r="A1725" s="822" t="s">
        <v>575</v>
      </c>
      <c r="B1725" s="823" t="s">
        <v>576</v>
      </c>
      <c r="C1725" s="826" t="s">
        <v>600</v>
      </c>
      <c r="D1725" s="840" t="s">
        <v>601</v>
      </c>
      <c r="E1725" s="826" t="s">
        <v>3598</v>
      </c>
      <c r="F1725" s="840" t="s">
        <v>3599</v>
      </c>
      <c r="G1725" s="826" t="s">
        <v>3600</v>
      </c>
      <c r="H1725" s="826" t="s">
        <v>3602</v>
      </c>
      <c r="I1725" s="832">
        <v>21.419999504089354</v>
      </c>
      <c r="J1725" s="832">
        <v>180</v>
      </c>
      <c r="K1725" s="833">
        <v>3608.7000732421875</v>
      </c>
    </row>
    <row r="1726" spans="1:11" ht="14.45" customHeight="1" x14ac:dyDescent="0.2">
      <c r="A1726" s="822" t="s">
        <v>575</v>
      </c>
      <c r="B1726" s="823" t="s">
        <v>576</v>
      </c>
      <c r="C1726" s="826" t="s">
        <v>600</v>
      </c>
      <c r="D1726" s="840" t="s">
        <v>601</v>
      </c>
      <c r="E1726" s="826" t="s">
        <v>3598</v>
      </c>
      <c r="F1726" s="840" t="s">
        <v>3599</v>
      </c>
      <c r="G1726" s="826" t="s">
        <v>5176</v>
      </c>
      <c r="H1726" s="826" t="s">
        <v>5177</v>
      </c>
      <c r="I1726" s="832">
        <v>15.810000419616699</v>
      </c>
      <c r="J1726" s="832">
        <v>100</v>
      </c>
      <c r="K1726" s="833">
        <v>1580.8699951171875</v>
      </c>
    </row>
    <row r="1727" spans="1:11" ht="14.45" customHeight="1" x14ac:dyDescent="0.2">
      <c r="A1727" s="822" t="s">
        <v>575</v>
      </c>
      <c r="B1727" s="823" t="s">
        <v>576</v>
      </c>
      <c r="C1727" s="826" t="s">
        <v>600</v>
      </c>
      <c r="D1727" s="840" t="s">
        <v>601</v>
      </c>
      <c r="E1727" s="826" t="s">
        <v>3598</v>
      </c>
      <c r="F1727" s="840" t="s">
        <v>3599</v>
      </c>
      <c r="G1727" s="826" t="s">
        <v>5178</v>
      </c>
      <c r="H1727" s="826" t="s">
        <v>5179</v>
      </c>
      <c r="I1727" s="832">
        <v>11.130000114440918</v>
      </c>
      <c r="J1727" s="832">
        <v>150</v>
      </c>
      <c r="K1727" s="833">
        <v>1669.7999267578125</v>
      </c>
    </row>
    <row r="1728" spans="1:11" ht="14.45" customHeight="1" x14ac:dyDescent="0.2">
      <c r="A1728" s="822" t="s">
        <v>575</v>
      </c>
      <c r="B1728" s="823" t="s">
        <v>576</v>
      </c>
      <c r="C1728" s="826" t="s">
        <v>600</v>
      </c>
      <c r="D1728" s="840" t="s">
        <v>601</v>
      </c>
      <c r="E1728" s="826" t="s">
        <v>3598</v>
      </c>
      <c r="F1728" s="840" t="s">
        <v>3599</v>
      </c>
      <c r="G1728" s="826" t="s">
        <v>5178</v>
      </c>
      <c r="H1728" s="826" t="s">
        <v>5180</v>
      </c>
      <c r="I1728" s="832">
        <v>11.130000114440918</v>
      </c>
      <c r="J1728" s="832">
        <v>50</v>
      </c>
      <c r="K1728" s="833">
        <v>556.5999755859375</v>
      </c>
    </row>
    <row r="1729" spans="1:11" ht="14.45" customHeight="1" x14ac:dyDescent="0.2">
      <c r="A1729" s="822" t="s">
        <v>575</v>
      </c>
      <c r="B1729" s="823" t="s">
        <v>576</v>
      </c>
      <c r="C1729" s="826" t="s">
        <v>600</v>
      </c>
      <c r="D1729" s="840" t="s">
        <v>601</v>
      </c>
      <c r="E1729" s="826" t="s">
        <v>3598</v>
      </c>
      <c r="F1729" s="840" t="s">
        <v>3599</v>
      </c>
      <c r="G1729" s="826" t="s">
        <v>4173</v>
      </c>
      <c r="H1729" s="826" t="s">
        <v>4174</v>
      </c>
      <c r="I1729" s="832">
        <v>15.394999980926514</v>
      </c>
      <c r="J1729" s="832">
        <v>100</v>
      </c>
      <c r="K1729" s="833">
        <v>1539.4000244140625</v>
      </c>
    </row>
    <row r="1730" spans="1:11" ht="14.45" customHeight="1" x14ac:dyDescent="0.2">
      <c r="A1730" s="822" t="s">
        <v>575</v>
      </c>
      <c r="B1730" s="823" t="s">
        <v>576</v>
      </c>
      <c r="C1730" s="826" t="s">
        <v>600</v>
      </c>
      <c r="D1730" s="840" t="s">
        <v>601</v>
      </c>
      <c r="E1730" s="826" t="s">
        <v>3598</v>
      </c>
      <c r="F1730" s="840" t="s">
        <v>3599</v>
      </c>
      <c r="G1730" s="826" t="s">
        <v>4173</v>
      </c>
      <c r="H1730" s="826" t="s">
        <v>4175</v>
      </c>
      <c r="I1730" s="832">
        <v>15.952499866485596</v>
      </c>
      <c r="J1730" s="832">
        <v>200</v>
      </c>
      <c r="K1730" s="833">
        <v>3190.5</v>
      </c>
    </row>
    <row r="1731" spans="1:11" ht="14.45" customHeight="1" x14ac:dyDescent="0.2">
      <c r="A1731" s="822" t="s">
        <v>575</v>
      </c>
      <c r="B1731" s="823" t="s">
        <v>576</v>
      </c>
      <c r="C1731" s="826" t="s">
        <v>600</v>
      </c>
      <c r="D1731" s="840" t="s">
        <v>601</v>
      </c>
      <c r="E1731" s="826" t="s">
        <v>3598</v>
      </c>
      <c r="F1731" s="840" t="s">
        <v>3599</v>
      </c>
      <c r="G1731" s="826" t="s">
        <v>5181</v>
      </c>
      <c r="H1731" s="826" t="s">
        <v>5182</v>
      </c>
      <c r="I1731" s="832">
        <v>863.94000244140625</v>
      </c>
      <c r="J1731" s="832">
        <v>2</v>
      </c>
      <c r="K1731" s="833">
        <v>1727.8800048828125</v>
      </c>
    </row>
    <row r="1732" spans="1:11" ht="14.45" customHeight="1" x14ac:dyDescent="0.2">
      <c r="A1732" s="822" t="s">
        <v>575</v>
      </c>
      <c r="B1732" s="823" t="s">
        <v>576</v>
      </c>
      <c r="C1732" s="826" t="s">
        <v>600</v>
      </c>
      <c r="D1732" s="840" t="s">
        <v>601</v>
      </c>
      <c r="E1732" s="826" t="s">
        <v>3598</v>
      </c>
      <c r="F1732" s="840" t="s">
        <v>3599</v>
      </c>
      <c r="G1732" s="826" t="s">
        <v>5183</v>
      </c>
      <c r="H1732" s="826" t="s">
        <v>5184</v>
      </c>
      <c r="I1732" s="832">
        <v>863.94000244140625</v>
      </c>
      <c r="J1732" s="832">
        <v>2</v>
      </c>
      <c r="K1732" s="833">
        <v>1727.8800048828125</v>
      </c>
    </row>
    <row r="1733" spans="1:11" ht="14.45" customHeight="1" x14ac:dyDescent="0.2">
      <c r="A1733" s="822" t="s">
        <v>575</v>
      </c>
      <c r="B1733" s="823" t="s">
        <v>576</v>
      </c>
      <c r="C1733" s="826" t="s">
        <v>600</v>
      </c>
      <c r="D1733" s="840" t="s">
        <v>601</v>
      </c>
      <c r="E1733" s="826" t="s">
        <v>3598</v>
      </c>
      <c r="F1733" s="840" t="s">
        <v>3599</v>
      </c>
      <c r="G1733" s="826" t="s">
        <v>5185</v>
      </c>
      <c r="H1733" s="826" t="s">
        <v>5186</v>
      </c>
      <c r="I1733" s="832">
        <v>35.090000152587891</v>
      </c>
      <c r="J1733" s="832">
        <v>10</v>
      </c>
      <c r="K1733" s="833">
        <v>350.89999389648438</v>
      </c>
    </row>
    <row r="1734" spans="1:11" ht="14.45" customHeight="1" x14ac:dyDescent="0.2">
      <c r="A1734" s="822" t="s">
        <v>575</v>
      </c>
      <c r="B1734" s="823" t="s">
        <v>576</v>
      </c>
      <c r="C1734" s="826" t="s">
        <v>600</v>
      </c>
      <c r="D1734" s="840" t="s">
        <v>601</v>
      </c>
      <c r="E1734" s="826" t="s">
        <v>3598</v>
      </c>
      <c r="F1734" s="840" t="s">
        <v>3599</v>
      </c>
      <c r="G1734" s="826" t="s">
        <v>3603</v>
      </c>
      <c r="H1734" s="826" t="s">
        <v>3604</v>
      </c>
      <c r="I1734" s="832">
        <v>41.770000457763672</v>
      </c>
      <c r="J1734" s="832">
        <v>50</v>
      </c>
      <c r="K1734" s="833">
        <v>2088.4599609375</v>
      </c>
    </row>
    <row r="1735" spans="1:11" ht="14.45" customHeight="1" x14ac:dyDescent="0.2">
      <c r="A1735" s="822" t="s">
        <v>575</v>
      </c>
      <c r="B1735" s="823" t="s">
        <v>576</v>
      </c>
      <c r="C1735" s="826" t="s">
        <v>600</v>
      </c>
      <c r="D1735" s="840" t="s">
        <v>601</v>
      </c>
      <c r="E1735" s="826" t="s">
        <v>3598</v>
      </c>
      <c r="F1735" s="840" t="s">
        <v>3599</v>
      </c>
      <c r="G1735" s="826" t="s">
        <v>3603</v>
      </c>
      <c r="H1735" s="826" t="s">
        <v>3605</v>
      </c>
      <c r="I1735" s="832">
        <v>41.770000457763672</v>
      </c>
      <c r="J1735" s="832">
        <v>50</v>
      </c>
      <c r="K1735" s="833">
        <v>2088.5</v>
      </c>
    </row>
    <row r="1736" spans="1:11" ht="14.45" customHeight="1" x14ac:dyDescent="0.2">
      <c r="A1736" s="822" t="s">
        <v>575</v>
      </c>
      <c r="B1736" s="823" t="s">
        <v>576</v>
      </c>
      <c r="C1736" s="826" t="s">
        <v>600</v>
      </c>
      <c r="D1736" s="840" t="s">
        <v>601</v>
      </c>
      <c r="E1736" s="826" t="s">
        <v>3598</v>
      </c>
      <c r="F1736" s="840" t="s">
        <v>3599</v>
      </c>
      <c r="G1736" s="826" t="s">
        <v>5187</v>
      </c>
      <c r="H1736" s="826" t="s">
        <v>5188</v>
      </c>
      <c r="I1736" s="832">
        <v>209.3699951171875</v>
      </c>
      <c r="J1736" s="832">
        <v>10</v>
      </c>
      <c r="K1736" s="833">
        <v>2093.659912109375</v>
      </c>
    </row>
    <row r="1737" spans="1:11" ht="14.45" customHeight="1" x14ac:dyDescent="0.2">
      <c r="A1737" s="822" t="s">
        <v>575</v>
      </c>
      <c r="B1737" s="823" t="s">
        <v>576</v>
      </c>
      <c r="C1737" s="826" t="s">
        <v>600</v>
      </c>
      <c r="D1737" s="840" t="s">
        <v>601</v>
      </c>
      <c r="E1737" s="826" t="s">
        <v>3598</v>
      </c>
      <c r="F1737" s="840" t="s">
        <v>3599</v>
      </c>
      <c r="G1737" s="826" t="s">
        <v>5189</v>
      </c>
      <c r="H1737" s="826" t="s">
        <v>5190</v>
      </c>
      <c r="I1737" s="832">
        <v>209.3699951171875</v>
      </c>
      <c r="J1737" s="832">
        <v>15</v>
      </c>
      <c r="K1737" s="833">
        <v>3140.4898681640625</v>
      </c>
    </row>
    <row r="1738" spans="1:11" ht="14.45" customHeight="1" x14ac:dyDescent="0.2">
      <c r="A1738" s="822" t="s">
        <v>575</v>
      </c>
      <c r="B1738" s="823" t="s">
        <v>576</v>
      </c>
      <c r="C1738" s="826" t="s">
        <v>600</v>
      </c>
      <c r="D1738" s="840" t="s">
        <v>601</v>
      </c>
      <c r="E1738" s="826" t="s">
        <v>3598</v>
      </c>
      <c r="F1738" s="840" t="s">
        <v>3599</v>
      </c>
      <c r="G1738" s="826" t="s">
        <v>5191</v>
      </c>
      <c r="H1738" s="826" t="s">
        <v>5192</v>
      </c>
      <c r="I1738" s="832">
        <v>209.3699951171875</v>
      </c>
      <c r="J1738" s="832">
        <v>15</v>
      </c>
      <c r="K1738" s="833">
        <v>3140.4898681640625</v>
      </c>
    </row>
    <row r="1739" spans="1:11" ht="14.45" customHeight="1" x14ac:dyDescent="0.2">
      <c r="A1739" s="822" t="s">
        <v>575</v>
      </c>
      <c r="B1739" s="823" t="s">
        <v>576</v>
      </c>
      <c r="C1739" s="826" t="s">
        <v>600</v>
      </c>
      <c r="D1739" s="840" t="s">
        <v>601</v>
      </c>
      <c r="E1739" s="826" t="s">
        <v>3598</v>
      </c>
      <c r="F1739" s="840" t="s">
        <v>3599</v>
      </c>
      <c r="G1739" s="826" t="s">
        <v>5193</v>
      </c>
      <c r="H1739" s="826" t="s">
        <v>5194</v>
      </c>
      <c r="I1739" s="832">
        <v>149.99000549316406</v>
      </c>
      <c r="J1739" s="832">
        <v>415</v>
      </c>
      <c r="K1739" s="833">
        <v>62246.4912109375</v>
      </c>
    </row>
    <row r="1740" spans="1:11" ht="14.45" customHeight="1" x14ac:dyDescent="0.2">
      <c r="A1740" s="822" t="s">
        <v>575</v>
      </c>
      <c r="B1740" s="823" t="s">
        <v>576</v>
      </c>
      <c r="C1740" s="826" t="s">
        <v>600</v>
      </c>
      <c r="D1740" s="840" t="s">
        <v>601</v>
      </c>
      <c r="E1740" s="826" t="s">
        <v>3598</v>
      </c>
      <c r="F1740" s="840" t="s">
        <v>3599</v>
      </c>
      <c r="G1740" s="826" t="s">
        <v>5195</v>
      </c>
      <c r="H1740" s="826" t="s">
        <v>5196</v>
      </c>
      <c r="I1740" s="832">
        <v>119.99666595458984</v>
      </c>
      <c r="J1740" s="832">
        <v>50</v>
      </c>
      <c r="K1740" s="833">
        <v>5999.739990234375</v>
      </c>
    </row>
    <row r="1741" spans="1:11" ht="14.45" customHeight="1" x14ac:dyDescent="0.2">
      <c r="A1741" s="822" t="s">
        <v>575</v>
      </c>
      <c r="B1741" s="823" t="s">
        <v>576</v>
      </c>
      <c r="C1741" s="826" t="s">
        <v>600</v>
      </c>
      <c r="D1741" s="840" t="s">
        <v>601</v>
      </c>
      <c r="E1741" s="826" t="s">
        <v>3598</v>
      </c>
      <c r="F1741" s="840" t="s">
        <v>3599</v>
      </c>
      <c r="G1741" s="826" t="s">
        <v>5193</v>
      </c>
      <c r="H1741" s="826" t="s">
        <v>5197</v>
      </c>
      <c r="I1741" s="832">
        <v>149.99000549316406</v>
      </c>
      <c r="J1741" s="832">
        <v>220</v>
      </c>
      <c r="K1741" s="833">
        <v>32998.140625</v>
      </c>
    </row>
    <row r="1742" spans="1:11" ht="14.45" customHeight="1" x14ac:dyDescent="0.2">
      <c r="A1742" s="822" t="s">
        <v>575</v>
      </c>
      <c r="B1742" s="823" t="s">
        <v>576</v>
      </c>
      <c r="C1742" s="826" t="s">
        <v>600</v>
      </c>
      <c r="D1742" s="840" t="s">
        <v>601</v>
      </c>
      <c r="E1742" s="826" t="s">
        <v>3598</v>
      </c>
      <c r="F1742" s="840" t="s">
        <v>3599</v>
      </c>
      <c r="G1742" s="826" t="s">
        <v>3606</v>
      </c>
      <c r="H1742" s="826" t="s">
        <v>4197</v>
      </c>
      <c r="I1742" s="832">
        <v>273.45999145507813</v>
      </c>
      <c r="J1742" s="832">
        <v>20</v>
      </c>
      <c r="K1742" s="833">
        <v>5469.2001953125</v>
      </c>
    </row>
    <row r="1743" spans="1:11" ht="14.45" customHeight="1" x14ac:dyDescent="0.2">
      <c r="A1743" s="822" t="s">
        <v>575</v>
      </c>
      <c r="B1743" s="823" t="s">
        <v>576</v>
      </c>
      <c r="C1743" s="826" t="s">
        <v>600</v>
      </c>
      <c r="D1743" s="840" t="s">
        <v>601</v>
      </c>
      <c r="E1743" s="826" t="s">
        <v>3598</v>
      </c>
      <c r="F1743" s="840" t="s">
        <v>3599</v>
      </c>
      <c r="G1743" s="826" t="s">
        <v>3606</v>
      </c>
      <c r="H1743" s="826" t="s">
        <v>4198</v>
      </c>
      <c r="I1743" s="832">
        <v>273.45999145507813</v>
      </c>
      <c r="J1743" s="832">
        <v>20</v>
      </c>
      <c r="K1743" s="833">
        <v>5469.2001953125</v>
      </c>
    </row>
    <row r="1744" spans="1:11" ht="14.45" customHeight="1" x14ac:dyDescent="0.2">
      <c r="A1744" s="822" t="s">
        <v>575</v>
      </c>
      <c r="B1744" s="823" t="s">
        <v>576</v>
      </c>
      <c r="C1744" s="826" t="s">
        <v>600</v>
      </c>
      <c r="D1744" s="840" t="s">
        <v>601</v>
      </c>
      <c r="E1744" s="826" t="s">
        <v>3598</v>
      </c>
      <c r="F1744" s="840" t="s">
        <v>3599</v>
      </c>
      <c r="G1744" s="826" t="s">
        <v>3608</v>
      </c>
      <c r="H1744" s="826" t="s">
        <v>4199</v>
      </c>
      <c r="I1744" s="832">
        <v>695.75</v>
      </c>
      <c r="J1744" s="832">
        <v>552</v>
      </c>
      <c r="K1744" s="833">
        <v>384054</v>
      </c>
    </row>
    <row r="1745" spans="1:11" ht="14.45" customHeight="1" x14ac:dyDescent="0.2">
      <c r="A1745" s="822" t="s">
        <v>575</v>
      </c>
      <c r="B1745" s="823" t="s">
        <v>576</v>
      </c>
      <c r="C1745" s="826" t="s">
        <v>600</v>
      </c>
      <c r="D1745" s="840" t="s">
        <v>601</v>
      </c>
      <c r="E1745" s="826" t="s">
        <v>3598</v>
      </c>
      <c r="F1745" s="840" t="s">
        <v>3599</v>
      </c>
      <c r="G1745" s="826" t="s">
        <v>3606</v>
      </c>
      <c r="H1745" s="826" t="s">
        <v>3607</v>
      </c>
      <c r="I1745" s="832">
        <v>273.45999145507813</v>
      </c>
      <c r="J1745" s="832">
        <v>10</v>
      </c>
      <c r="K1745" s="833">
        <v>2734.60009765625</v>
      </c>
    </row>
    <row r="1746" spans="1:11" ht="14.45" customHeight="1" x14ac:dyDescent="0.2">
      <c r="A1746" s="822" t="s">
        <v>575</v>
      </c>
      <c r="B1746" s="823" t="s">
        <v>576</v>
      </c>
      <c r="C1746" s="826" t="s">
        <v>600</v>
      </c>
      <c r="D1746" s="840" t="s">
        <v>601</v>
      </c>
      <c r="E1746" s="826" t="s">
        <v>3598</v>
      </c>
      <c r="F1746" s="840" t="s">
        <v>3599</v>
      </c>
      <c r="G1746" s="826" t="s">
        <v>3608</v>
      </c>
      <c r="H1746" s="826" t="s">
        <v>3609</v>
      </c>
      <c r="I1746" s="832">
        <v>695.75</v>
      </c>
      <c r="J1746" s="832">
        <v>344</v>
      </c>
      <c r="K1746" s="833">
        <v>239338</v>
      </c>
    </row>
    <row r="1747" spans="1:11" ht="14.45" customHeight="1" x14ac:dyDescent="0.2">
      <c r="A1747" s="822" t="s">
        <v>575</v>
      </c>
      <c r="B1747" s="823" t="s">
        <v>576</v>
      </c>
      <c r="C1747" s="826" t="s">
        <v>600</v>
      </c>
      <c r="D1747" s="840" t="s">
        <v>601</v>
      </c>
      <c r="E1747" s="826" t="s">
        <v>5198</v>
      </c>
      <c r="F1747" s="840" t="s">
        <v>5199</v>
      </c>
      <c r="G1747" s="826" t="s">
        <v>5200</v>
      </c>
      <c r="H1747" s="826" t="s">
        <v>5201</v>
      </c>
      <c r="I1747" s="832">
        <v>1225</v>
      </c>
      <c r="J1747" s="832">
        <v>5</v>
      </c>
      <c r="K1747" s="833">
        <v>12251.25</v>
      </c>
    </row>
    <row r="1748" spans="1:11" ht="14.45" customHeight="1" x14ac:dyDescent="0.2">
      <c r="A1748" s="822" t="s">
        <v>575</v>
      </c>
      <c r="B1748" s="823" t="s">
        <v>576</v>
      </c>
      <c r="C1748" s="826" t="s">
        <v>600</v>
      </c>
      <c r="D1748" s="840" t="s">
        <v>601</v>
      </c>
      <c r="E1748" s="826" t="s">
        <v>5198</v>
      </c>
      <c r="F1748" s="840" t="s">
        <v>5199</v>
      </c>
      <c r="G1748" s="826" t="s">
        <v>5202</v>
      </c>
      <c r="H1748" s="826" t="s">
        <v>5203</v>
      </c>
      <c r="I1748" s="832">
        <v>3749.5</v>
      </c>
      <c r="J1748" s="832">
        <v>10</v>
      </c>
      <c r="K1748" s="833">
        <v>37495</v>
      </c>
    </row>
    <row r="1749" spans="1:11" ht="14.45" customHeight="1" x14ac:dyDescent="0.2">
      <c r="A1749" s="822" t="s">
        <v>575</v>
      </c>
      <c r="B1749" s="823" t="s">
        <v>576</v>
      </c>
      <c r="C1749" s="826" t="s">
        <v>600</v>
      </c>
      <c r="D1749" s="840" t="s">
        <v>601</v>
      </c>
      <c r="E1749" s="826" t="s">
        <v>5198</v>
      </c>
      <c r="F1749" s="840" t="s">
        <v>5199</v>
      </c>
      <c r="G1749" s="826" t="s">
        <v>5204</v>
      </c>
      <c r="H1749" s="826" t="s">
        <v>5205</v>
      </c>
      <c r="I1749" s="832">
        <v>12659.6298828125</v>
      </c>
      <c r="J1749" s="832">
        <v>4</v>
      </c>
      <c r="K1749" s="833">
        <v>50638.5087890625</v>
      </c>
    </row>
    <row r="1750" spans="1:11" ht="14.45" customHeight="1" x14ac:dyDescent="0.2">
      <c r="A1750" s="822" t="s">
        <v>575</v>
      </c>
      <c r="B1750" s="823" t="s">
        <v>576</v>
      </c>
      <c r="C1750" s="826" t="s">
        <v>600</v>
      </c>
      <c r="D1750" s="840" t="s">
        <v>601</v>
      </c>
      <c r="E1750" s="826" t="s">
        <v>5198</v>
      </c>
      <c r="F1750" s="840" t="s">
        <v>5199</v>
      </c>
      <c r="G1750" s="826" t="s">
        <v>5206</v>
      </c>
      <c r="H1750" s="826" t="s">
        <v>5207</v>
      </c>
      <c r="I1750" s="832">
        <v>1636.0899658203125</v>
      </c>
      <c r="J1750" s="832">
        <v>10</v>
      </c>
      <c r="K1750" s="833">
        <v>16360.8701171875</v>
      </c>
    </row>
    <row r="1751" spans="1:11" ht="14.45" customHeight="1" x14ac:dyDescent="0.2">
      <c r="A1751" s="822" t="s">
        <v>575</v>
      </c>
      <c r="B1751" s="823" t="s">
        <v>576</v>
      </c>
      <c r="C1751" s="826" t="s">
        <v>600</v>
      </c>
      <c r="D1751" s="840" t="s">
        <v>601</v>
      </c>
      <c r="E1751" s="826" t="s">
        <v>5198</v>
      </c>
      <c r="F1751" s="840" t="s">
        <v>5199</v>
      </c>
      <c r="G1751" s="826" t="s">
        <v>5208</v>
      </c>
      <c r="H1751" s="826" t="s">
        <v>5209</v>
      </c>
      <c r="I1751" s="832">
        <v>32712.349609375</v>
      </c>
      <c r="J1751" s="832">
        <v>1</v>
      </c>
      <c r="K1751" s="833">
        <v>32712.349609375</v>
      </c>
    </row>
    <row r="1752" spans="1:11" ht="14.45" customHeight="1" x14ac:dyDescent="0.2">
      <c r="A1752" s="822" t="s">
        <v>575</v>
      </c>
      <c r="B1752" s="823" t="s">
        <v>576</v>
      </c>
      <c r="C1752" s="826" t="s">
        <v>600</v>
      </c>
      <c r="D1752" s="840" t="s">
        <v>601</v>
      </c>
      <c r="E1752" s="826" t="s">
        <v>5198</v>
      </c>
      <c r="F1752" s="840" t="s">
        <v>5199</v>
      </c>
      <c r="G1752" s="826" t="s">
        <v>5210</v>
      </c>
      <c r="H1752" s="826" t="s">
        <v>5211</v>
      </c>
      <c r="I1752" s="832">
        <v>7461.5498046875</v>
      </c>
      <c r="J1752" s="832">
        <v>4</v>
      </c>
      <c r="K1752" s="833">
        <v>29846.19921875</v>
      </c>
    </row>
    <row r="1753" spans="1:11" ht="14.45" customHeight="1" x14ac:dyDescent="0.2">
      <c r="A1753" s="822" t="s">
        <v>575</v>
      </c>
      <c r="B1753" s="823" t="s">
        <v>576</v>
      </c>
      <c r="C1753" s="826" t="s">
        <v>600</v>
      </c>
      <c r="D1753" s="840" t="s">
        <v>601</v>
      </c>
      <c r="E1753" s="826" t="s">
        <v>5198</v>
      </c>
      <c r="F1753" s="840" t="s">
        <v>5199</v>
      </c>
      <c r="G1753" s="826" t="s">
        <v>4803</v>
      </c>
      <c r="H1753" s="826" t="s">
        <v>4804</v>
      </c>
      <c r="I1753" s="832">
        <v>111.57499885559082</v>
      </c>
      <c r="J1753" s="832">
        <v>116</v>
      </c>
      <c r="K1753" s="833">
        <v>12943.079833984375</v>
      </c>
    </row>
    <row r="1754" spans="1:11" ht="14.45" customHeight="1" x14ac:dyDescent="0.2">
      <c r="A1754" s="822" t="s">
        <v>575</v>
      </c>
      <c r="B1754" s="823" t="s">
        <v>576</v>
      </c>
      <c r="C1754" s="826" t="s">
        <v>600</v>
      </c>
      <c r="D1754" s="840" t="s">
        <v>601</v>
      </c>
      <c r="E1754" s="826" t="s">
        <v>5198</v>
      </c>
      <c r="F1754" s="840" t="s">
        <v>5199</v>
      </c>
      <c r="G1754" s="826" t="s">
        <v>5212</v>
      </c>
      <c r="H1754" s="826" t="s">
        <v>5213</v>
      </c>
      <c r="I1754" s="832">
        <v>791.34002685546875</v>
      </c>
      <c r="J1754" s="832">
        <v>24</v>
      </c>
      <c r="K1754" s="833">
        <v>18992.16015625</v>
      </c>
    </row>
    <row r="1755" spans="1:11" ht="14.45" customHeight="1" x14ac:dyDescent="0.2">
      <c r="A1755" s="822" t="s">
        <v>575</v>
      </c>
      <c r="B1755" s="823" t="s">
        <v>576</v>
      </c>
      <c r="C1755" s="826" t="s">
        <v>600</v>
      </c>
      <c r="D1755" s="840" t="s">
        <v>601</v>
      </c>
      <c r="E1755" s="826" t="s">
        <v>5198</v>
      </c>
      <c r="F1755" s="840" t="s">
        <v>5199</v>
      </c>
      <c r="G1755" s="826" t="s">
        <v>5212</v>
      </c>
      <c r="H1755" s="826" t="s">
        <v>5214</v>
      </c>
      <c r="I1755" s="832">
        <v>791.34002685546875</v>
      </c>
      <c r="J1755" s="832">
        <v>6</v>
      </c>
      <c r="K1755" s="833">
        <v>4748.0400390625</v>
      </c>
    </row>
    <row r="1756" spans="1:11" ht="14.45" customHeight="1" x14ac:dyDescent="0.2">
      <c r="A1756" s="822" t="s">
        <v>575</v>
      </c>
      <c r="B1756" s="823" t="s">
        <v>576</v>
      </c>
      <c r="C1756" s="826" t="s">
        <v>600</v>
      </c>
      <c r="D1756" s="840" t="s">
        <v>601</v>
      </c>
      <c r="E1756" s="826" t="s">
        <v>5198</v>
      </c>
      <c r="F1756" s="840" t="s">
        <v>5199</v>
      </c>
      <c r="G1756" s="826" t="s">
        <v>5215</v>
      </c>
      <c r="H1756" s="826" t="s">
        <v>5216</v>
      </c>
      <c r="I1756" s="832">
        <v>791.34002685546875</v>
      </c>
      <c r="J1756" s="832">
        <v>6</v>
      </c>
      <c r="K1756" s="833">
        <v>4748.0400390625</v>
      </c>
    </row>
    <row r="1757" spans="1:11" ht="14.45" customHeight="1" x14ac:dyDescent="0.2">
      <c r="A1757" s="822" t="s">
        <v>575</v>
      </c>
      <c r="B1757" s="823" t="s">
        <v>576</v>
      </c>
      <c r="C1757" s="826" t="s">
        <v>600</v>
      </c>
      <c r="D1757" s="840" t="s">
        <v>601</v>
      </c>
      <c r="E1757" s="826" t="s">
        <v>5217</v>
      </c>
      <c r="F1757" s="840" t="s">
        <v>5218</v>
      </c>
      <c r="G1757" s="826" t="s">
        <v>5219</v>
      </c>
      <c r="H1757" s="826" t="s">
        <v>5220</v>
      </c>
      <c r="I1757" s="832">
        <v>2003.3399658203125</v>
      </c>
      <c r="J1757" s="832">
        <v>2</v>
      </c>
      <c r="K1757" s="833">
        <v>4006.669921875</v>
      </c>
    </row>
    <row r="1758" spans="1:11" ht="14.45" customHeight="1" x14ac:dyDescent="0.2">
      <c r="A1758" s="822" t="s">
        <v>575</v>
      </c>
      <c r="B1758" s="823" t="s">
        <v>576</v>
      </c>
      <c r="C1758" s="826" t="s">
        <v>606</v>
      </c>
      <c r="D1758" s="840" t="s">
        <v>607</v>
      </c>
      <c r="E1758" s="826" t="s">
        <v>3081</v>
      </c>
      <c r="F1758" s="840" t="s">
        <v>3082</v>
      </c>
      <c r="G1758" s="826" t="s">
        <v>5221</v>
      </c>
      <c r="H1758" s="826" t="s">
        <v>5222</v>
      </c>
      <c r="I1758" s="832">
        <v>78.650001525878906</v>
      </c>
      <c r="J1758" s="832">
        <v>700</v>
      </c>
      <c r="K1758" s="833">
        <v>55054.490234375</v>
      </c>
    </row>
    <row r="1759" spans="1:11" ht="14.45" customHeight="1" x14ac:dyDescent="0.2">
      <c r="A1759" s="822" t="s">
        <v>575</v>
      </c>
      <c r="B1759" s="823" t="s">
        <v>576</v>
      </c>
      <c r="C1759" s="826" t="s">
        <v>606</v>
      </c>
      <c r="D1759" s="840" t="s">
        <v>607</v>
      </c>
      <c r="E1759" s="826" t="s">
        <v>3081</v>
      </c>
      <c r="F1759" s="840" t="s">
        <v>3082</v>
      </c>
      <c r="G1759" s="826" t="s">
        <v>5223</v>
      </c>
      <c r="H1759" s="826" t="s">
        <v>5224</v>
      </c>
      <c r="I1759" s="832">
        <v>70.178571428571431</v>
      </c>
      <c r="J1759" s="832">
        <v>1435</v>
      </c>
      <c r="K1759" s="833">
        <v>100708</v>
      </c>
    </row>
    <row r="1760" spans="1:11" ht="14.45" customHeight="1" x14ac:dyDescent="0.2">
      <c r="A1760" s="822" t="s">
        <v>575</v>
      </c>
      <c r="B1760" s="823" t="s">
        <v>576</v>
      </c>
      <c r="C1760" s="826" t="s">
        <v>606</v>
      </c>
      <c r="D1760" s="840" t="s">
        <v>607</v>
      </c>
      <c r="E1760" s="826" t="s">
        <v>3081</v>
      </c>
      <c r="F1760" s="840" t="s">
        <v>3082</v>
      </c>
      <c r="G1760" s="826" t="s">
        <v>5225</v>
      </c>
      <c r="H1760" s="826" t="s">
        <v>5226</v>
      </c>
      <c r="I1760" s="832">
        <v>74.75</v>
      </c>
      <c r="J1760" s="832">
        <v>100</v>
      </c>
      <c r="K1760" s="833">
        <v>7475</v>
      </c>
    </row>
    <row r="1761" spans="1:11" ht="14.45" customHeight="1" x14ac:dyDescent="0.2">
      <c r="A1761" s="822" t="s">
        <v>575</v>
      </c>
      <c r="B1761" s="823" t="s">
        <v>576</v>
      </c>
      <c r="C1761" s="826" t="s">
        <v>606</v>
      </c>
      <c r="D1761" s="840" t="s">
        <v>607</v>
      </c>
      <c r="E1761" s="826" t="s">
        <v>3081</v>
      </c>
      <c r="F1761" s="840" t="s">
        <v>3082</v>
      </c>
      <c r="G1761" s="826" t="s">
        <v>3105</v>
      </c>
      <c r="H1761" s="826" t="s">
        <v>3107</v>
      </c>
      <c r="I1761" s="832">
        <v>1.2899999618530273</v>
      </c>
      <c r="J1761" s="832">
        <v>300</v>
      </c>
      <c r="K1761" s="833">
        <v>387</v>
      </c>
    </row>
    <row r="1762" spans="1:11" ht="14.45" customHeight="1" x14ac:dyDescent="0.2">
      <c r="A1762" s="822" t="s">
        <v>575</v>
      </c>
      <c r="B1762" s="823" t="s">
        <v>576</v>
      </c>
      <c r="C1762" s="826" t="s">
        <v>606</v>
      </c>
      <c r="D1762" s="840" t="s">
        <v>607</v>
      </c>
      <c r="E1762" s="826" t="s">
        <v>3081</v>
      </c>
      <c r="F1762" s="840" t="s">
        <v>3082</v>
      </c>
      <c r="G1762" s="826" t="s">
        <v>3110</v>
      </c>
      <c r="H1762" s="826" t="s">
        <v>3111</v>
      </c>
      <c r="I1762" s="832">
        <v>0.4699999988079071</v>
      </c>
      <c r="J1762" s="832">
        <v>400</v>
      </c>
      <c r="K1762" s="833">
        <v>188</v>
      </c>
    </row>
    <row r="1763" spans="1:11" ht="14.45" customHeight="1" x14ac:dyDescent="0.2">
      <c r="A1763" s="822" t="s">
        <v>575</v>
      </c>
      <c r="B1763" s="823" t="s">
        <v>576</v>
      </c>
      <c r="C1763" s="826" t="s">
        <v>606</v>
      </c>
      <c r="D1763" s="840" t="s">
        <v>607</v>
      </c>
      <c r="E1763" s="826" t="s">
        <v>3081</v>
      </c>
      <c r="F1763" s="840" t="s">
        <v>3082</v>
      </c>
      <c r="G1763" s="826" t="s">
        <v>3110</v>
      </c>
      <c r="H1763" s="826" t="s">
        <v>3112</v>
      </c>
      <c r="I1763" s="832">
        <v>0.4699999988079071</v>
      </c>
      <c r="J1763" s="832">
        <v>200</v>
      </c>
      <c r="K1763" s="833">
        <v>94</v>
      </c>
    </row>
    <row r="1764" spans="1:11" ht="14.45" customHeight="1" x14ac:dyDescent="0.2">
      <c r="A1764" s="822" t="s">
        <v>575</v>
      </c>
      <c r="B1764" s="823" t="s">
        <v>576</v>
      </c>
      <c r="C1764" s="826" t="s">
        <v>606</v>
      </c>
      <c r="D1764" s="840" t="s">
        <v>607</v>
      </c>
      <c r="E1764" s="826" t="s">
        <v>3081</v>
      </c>
      <c r="F1764" s="840" t="s">
        <v>3082</v>
      </c>
      <c r="G1764" s="826" t="s">
        <v>3756</v>
      </c>
      <c r="H1764" s="826" t="s">
        <v>3757</v>
      </c>
      <c r="I1764" s="832">
        <v>2.5399999618530273</v>
      </c>
      <c r="J1764" s="832">
        <v>3290</v>
      </c>
      <c r="K1764" s="833">
        <v>8356.6002197265625</v>
      </c>
    </row>
    <row r="1765" spans="1:11" ht="14.45" customHeight="1" x14ac:dyDescent="0.2">
      <c r="A1765" s="822" t="s">
        <v>575</v>
      </c>
      <c r="B1765" s="823" t="s">
        <v>576</v>
      </c>
      <c r="C1765" s="826" t="s">
        <v>606</v>
      </c>
      <c r="D1765" s="840" t="s">
        <v>607</v>
      </c>
      <c r="E1765" s="826" t="s">
        <v>3081</v>
      </c>
      <c r="F1765" s="840" t="s">
        <v>3082</v>
      </c>
      <c r="G1765" s="826" t="s">
        <v>3141</v>
      </c>
      <c r="H1765" s="826" t="s">
        <v>3142</v>
      </c>
      <c r="I1765" s="832">
        <v>2.880000114440918</v>
      </c>
      <c r="J1765" s="832">
        <v>50</v>
      </c>
      <c r="K1765" s="833">
        <v>144</v>
      </c>
    </row>
    <row r="1766" spans="1:11" ht="14.45" customHeight="1" x14ac:dyDescent="0.2">
      <c r="A1766" s="822" t="s">
        <v>575</v>
      </c>
      <c r="B1766" s="823" t="s">
        <v>576</v>
      </c>
      <c r="C1766" s="826" t="s">
        <v>606</v>
      </c>
      <c r="D1766" s="840" t="s">
        <v>607</v>
      </c>
      <c r="E1766" s="826" t="s">
        <v>3081</v>
      </c>
      <c r="F1766" s="840" t="s">
        <v>3082</v>
      </c>
      <c r="G1766" s="826" t="s">
        <v>5227</v>
      </c>
      <c r="H1766" s="826" t="s">
        <v>5228</v>
      </c>
      <c r="I1766" s="832">
        <v>599.1500244140625</v>
      </c>
      <c r="J1766" s="832">
        <v>2</v>
      </c>
      <c r="K1766" s="833">
        <v>1198.300048828125</v>
      </c>
    </row>
    <row r="1767" spans="1:11" ht="14.45" customHeight="1" x14ac:dyDescent="0.2">
      <c r="A1767" s="822" t="s">
        <v>575</v>
      </c>
      <c r="B1767" s="823" t="s">
        <v>576</v>
      </c>
      <c r="C1767" s="826" t="s">
        <v>606</v>
      </c>
      <c r="D1767" s="840" t="s">
        <v>607</v>
      </c>
      <c r="E1767" s="826" t="s">
        <v>3081</v>
      </c>
      <c r="F1767" s="840" t="s">
        <v>3082</v>
      </c>
      <c r="G1767" s="826" t="s">
        <v>5229</v>
      </c>
      <c r="H1767" s="826" t="s">
        <v>5230</v>
      </c>
      <c r="I1767" s="832">
        <v>13.756363521922719</v>
      </c>
      <c r="J1767" s="832">
        <v>2100</v>
      </c>
      <c r="K1767" s="833">
        <v>28904.8798828125</v>
      </c>
    </row>
    <row r="1768" spans="1:11" ht="14.45" customHeight="1" x14ac:dyDescent="0.2">
      <c r="A1768" s="822" t="s">
        <v>575</v>
      </c>
      <c r="B1768" s="823" t="s">
        <v>576</v>
      </c>
      <c r="C1768" s="826" t="s">
        <v>606</v>
      </c>
      <c r="D1768" s="840" t="s">
        <v>607</v>
      </c>
      <c r="E1768" s="826" t="s">
        <v>3081</v>
      </c>
      <c r="F1768" s="840" t="s">
        <v>3082</v>
      </c>
      <c r="G1768" s="826" t="s">
        <v>3163</v>
      </c>
      <c r="H1768" s="826" t="s">
        <v>3164</v>
      </c>
      <c r="I1768" s="832">
        <v>227.99800109863281</v>
      </c>
      <c r="J1768" s="832">
        <v>225</v>
      </c>
      <c r="K1768" s="833">
        <v>51310.75927734375</v>
      </c>
    </row>
    <row r="1769" spans="1:11" ht="14.45" customHeight="1" x14ac:dyDescent="0.2">
      <c r="A1769" s="822" t="s">
        <v>575</v>
      </c>
      <c r="B1769" s="823" t="s">
        <v>576</v>
      </c>
      <c r="C1769" s="826" t="s">
        <v>606</v>
      </c>
      <c r="D1769" s="840" t="s">
        <v>607</v>
      </c>
      <c r="E1769" s="826" t="s">
        <v>3081</v>
      </c>
      <c r="F1769" s="840" t="s">
        <v>3082</v>
      </c>
      <c r="G1769" s="826" t="s">
        <v>4375</v>
      </c>
      <c r="H1769" s="826" t="s">
        <v>5231</v>
      </c>
      <c r="I1769" s="832">
        <v>41.280001640319824</v>
      </c>
      <c r="J1769" s="832">
        <v>250</v>
      </c>
      <c r="K1769" s="833">
        <v>10326.539794921875</v>
      </c>
    </row>
    <row r="1770" spans="1:11" ht="14.45" customHeight="1" x14ac:dyDescent="0.2">
      <c r="A1770" s="822" t="s">
        <v>575</v>
      </c>
      <c r="B1770" s="823" t="s">
        <v>576</v>
      </c>
      <c r="C1770" s="826" t="s">
        <v>606</v>
      </c>
      <c r="D1770" s="840" t="s">
        <v>607</v>
      </c>
      <c r="E1770" s="826" t="s">
        <v>3081</v>
      </c>
      <c r="F1770" s="840" t="s">
        <v>3082</v>
      </c>
      <c r="G1770" s="826" t="s">
        <v>3756</v>
      </c>
      <c r="H1770" s="826" t="s">
        <v>5232</v>
      </c>
      <c r="I1770" s="832">
        <v>2.6333333916134305</v>
      </c>
      <c r="J1770" s="832">
        <v>1050</v>
      </c>
      <c r="K1770" s="833">
        <v>2760.4199829101563</v>
      </c>
    </row>
    <row r="1771" spans="1:11" ht="14.45" customHeight="1" x14ac:dyDescent="0.2">
      <c r="A1771" s="822" t="s">
        <v>575</v>
      </c>
      <c r="B1771" s="823" t="s">
        <v>576</v>
      </c>
      <c r="C1771" s="826" t="s">
        <v>606</v>
      </c>
      <c r="D1771" s="840" t="s">
        <v>607</v>
      </c>
      <c r="E1771" s="826" t="s">
        <v>3081</v>
      </c>
      <c r="F1771" s="840" t="s">
        <v>3082</v>
      </c>
      <c r="G1771" s="826" t="s">
        <v>3149</v>
      </c>
      <c r="H1771" s="826" t="s">
        <v>3179</v>
      </c>
      <c r="I1771" s="832">
        <v>139.16999816894531</v>
      </c>
      <c r="J1771" s="832">
        <v>1</v>
      </c>
      <c r="K1771" s="833">
        <v>139.16999816894531</v>
      </c>
    </row>
    <row r="1772" spans="1:11" ht="14.45" customHeight="1" x14ac:dyDescent="0.2">
      <c r="A1772" s="822" t="s">
        <v>575</v>
      </c>
      <c r="B1772" s="823" t="s">
        <v>576</v>
      </c>
      <c r="C1772" s="826" t="s">
        <v>606</v>
      </c>
      <c r="D1772" s="840" t="s">
        <v>607</v>
      </c>
      <c r="E1772" s="826" t="s">
        <v>3081</v>
      </c>
      <c r="F1772" s="840" t="s">
        <v>3082</v>
      </c>
      <c r="G1772" s="826" t="s">
        <v>5229</v>
      </c>
      <c r="H1772" s="826" t="s">
        <v>5233</v>
      </c>
      <c r="I1772" s="832">
        <v>13.739999771118164</v>
      </c>
      <c r="J1772" s="832">
        <v>700</v>
      </c>
      <c r="K1772" s="833">
        <v>9621.35986328125</v>
      </c>
    </row>
    <row r="1773" spans="1:11" ht="14.45" customHeight="1" x14ac:dyDescent="0.2">
      <c r="A1773" s="822" t="s">
        <v>575</v>
      </c>
      <c r="B1773" s="823" t="s">
        <v>576</v>
      </c>
      <c r="C1773" s="826" t="s">
        <v>606</v>
      </c>
      <c r="D1773" s="840" t="s">
        <v>607</v>
      </c>
      <c r="E1773" s="826" t="s">
        <v>3081</v>
      </c>
      <c r="F1773" s="840" t="s">
        <v>3082</v>
      </c>
      <c r="G1773" s="826" t="s">
        <v>3163</v>
      </c>
      <c r="H1773" s="826" t="s">
        <v>3183</v>
      </c>
      <c r="I1773" s="832">
        <v>227.36400451660157</v>
      </c>
      <c r="J1773" s="832">
        <v>125</v>
      </c>
      <c r="K1773" s="833">
        <v>28420.6396484375</v>
      </c>
    </row>
    <row r="1774" spans="1:11" ht="14.45" customHeight="1" x14ac:dyDescent="0.2">
      <c r="A1774" s="822" t="s">
        <v>575</v>
      </c>
      <c r="B1774" s="823" t="s">
        <v>576</v>
      </c>
      <c r="C1774" s="826" t="s">
        <v>606</v>
      </c>
      <c r="D1774" s="840" t="s">
        <v>607</v>
      </c>
      <c r="E1774" s="826" t="s">
        <v>3081</v>
      </c>
      <c r="F1774" s="840" t="s">
        <v>3082</v>
      </c>
      <c r="G1774" s="826" t="s">
        <v>4375</v>
      </c>
      <c r="H1774" s="826" t="s">
        <v>4376</v>
      </c>
      <c r="I1774" s="832">
        <v>41.240001678466797</v>
      </c>
      <c r="J1774" s="832">
        <v>150</v>
      </c>
      <c r="K1774" s="833">
        <v>6186.539794921875</v>
      </c>
    </row>
    <row r="1775" spans="1:11" ht="14.45" customHeight="1" x14ac:dyDescent="0.2">
      <c r="A1775" s="822" t="s">
        <v>575</v>
      </c>
      <c r="B1775" s="823" t="s">
        <v>576</v>
      </c>
      <c r="C1775" s="826" t="s">
        <v>606</v>
      </c>
      <c r="D1775" s="840" t="s">
        <v>607</v>
      </c>
      <c r="E1775" s="826" t="s">
        <v>3081</v>
      </c>
      <c r="F1775" s="840" t="s">
        <v>3082</v>
      </c>
      <c r="G1775" s="826" t="s">
        <v>3248</v>
      </c>
      <c r="H1775" s="826" t="s">
        <v>3249</v>
      </c>
      <c r="I1775" s="832">
        <v>34.040000915527344</v>
      </c>
      <c r="J1775" s="832">
        <v>50</v>
      </c>
      <c r="K1775" s="833">
        <v>1702</v>
      </c>
    </row>
    <row r="1776" spans="1:11" ht="14.45" customHeight="1" x14ac:dyDescent="0.2">
      <c r="A1776" s="822" t="s">
        <v>575</v>
      </c>
      <c r="B1776" s="823" t="s">
        <v>576</v>
      </c>
      <c r="C1776" s="826" t="s">
        <v>606</v>
      </c>
      <c r="D1776" s="840" t="s">
        <v>607</v>
      </c>
      <c r="E1776" s="826" t="s">
        <v>3081</v>
      </c>
      <c r="F1776" s="840" t="s">
        <v>3082</v>
      </c>
      <c r="G1776" s="826" t="s">
        <v>3253</v>
      </c>
      <c r="H1776" s="826" t="s">
        <v>3254</v>
      </c>
      <c r="I1776" s="832">
        <v>0.67000001668930054</v>
      </c>
      <c r="J1776" s="832">
        <v>100</v>
      </c>
      <c r="K1776" s="833">
        <v>67</v>
      </c>
    </row>
    <row r="1777" spans="1:11" ht="14.45" customHeight="1" x14ac:dyDescent="0.2">
      <c r="A1777" s="822" t="s">
        <v>575</v>
      </c>
      <c r="B1777" s="823" t="s">
        <v>576</v>
      </c>
      <c r="C1777" s="826" t="s">
        <v>606</v>
      </c>
      <c r="D1777" s="840" t="s">
        <v>607</v>
      </c>
      <c r="E1777" s="826" t="s">
        <v>3081</v>
      </c>
      <c r="F1777" s="840" t="s">
        <v>3082</v>
      </c>
      <c r="G1777" s="826" t="s">
        <v>3253</v>
      </c>
      <c r="H1777" s="826" t="s">
        <v>3255</v>
      </c>
      <c r="I1777" s="832">
        <v>0.67000001668930054</v>
      </c>
      <c r="J1777" s="832">
        <v>2200</v>
      </c>
      <c r="K1777" s="833">
        <v>1474</v>
      </c>
    </row>
    <row r="1778" spans="1:11" ht="14.45" customHeight="1" x14ac:dyDescent="0.2">
      <c r="A1778" s="822" t="s">
        <v>575</v>
      </c>
      <c r="B1778" s="823" t="s">
        <v>576</v>
      </c>
      <c r="C1778" s="826" t="s">
        <v>606</v>
      </c>
      <c r="D1778" s="840" t="s">
        <v>607</v>
      </c>
      <c r="E1778" s="826" t="s">
        <v>3264</v>
      </c>
      <c r="F1778" s="840" t="s">
        <v>3265</v>
      </c>
      <c r="G1778" s="826" t="s">
        <v>3289</v>
      </c>
      <c r="H1778" s="826" t="s">
        <v>3291</v>
      </c>
      <c r="I1778" s="832">
        <v>4.3560000419616696</v>
      </c>
      <c r="J1778" s="832">
        <v>1200</v>
      </c>
      <c r="K1778" s="833">
        <v>5226.6901245117188</v>
      </c>
    </row>
    <row r="1779" spans="1:11" ht="14.45" customHeight="1" x14ac:dyDescent="0.2">
      <c r="A1779" s="822" t="s">
        <v>575</v>
      </c>
      <c r="B1779" s="823" t="s">
        <v>576</v>
      </c>
      <c r="C1779" s="826" t="s">
        <v>606</v>
      </c>
      <c r="D1779" s="840" t="s">
        <v>607</v>
      </c>
      <c r="E1779" s="826" t="s">
        <v>3264</v>
      </c>
      <c r="F1779" s="840" t="s">
        <v>3265</v>
      </c>
      <c r="G1779" s="826" t="s">
        <v>3344</v>
      </c>
      <c r="H1779" s="826" t="s">
        <v>3345</v>
      </c>
      <c r="I1779" s="832">
        <v>7.8666666348775225</v>
      </c>
      <c r="J1779" s="832">
        <v>1250</v>
      </c>
      <c r="K1779" s="833">
        <v>9832.5</v>
      </c>
    </row>
    <row r="1780" spans="1:11" ht="14.45" customHeight="1" x14ac:dyDescent="0.2">
      <c r="A1780" s="822" t="s">
        <v>575</v>
      </c>
      <c r="B1780" s="823" t="s">
        <v>576</v>
      </c>
      <c r="C1780" s="826" t="s">
        <v>606</v>
      </c>
      <c r="D1780" s="840" t="s">
        <v>607</v>
      </c>
      <c r="E1780" s="826" t="s">
        <v>3264</v>
      </c>
      <c r="F1780" s="840" t="s">
        <v>3265</v>
      </c>
      <c r="G1780" s="826" t="s">
        <v>3344</v>
      </c>
      <c r="H1780" s="826" t="s">
        <v>3346</v>
      </c>
      <c r="I1780" s="832">
        <v>8.7985715866088867</v>
      </c>
      <c r="J1780" s="832">
        <v>650</v>
      </c>
      <c r="K1780" s="833">
        <v>5683</v>
      </c>
    </row>
    <row r="1781" spans="1:11" ht="14.45" customHeight="1" x14ac:dyDescent="0.2">
      <c r="A1781" s="822" t="s">
        <v>575</v>
      </c>
      <c r="B1781" s="823" t="s">
        <v>576</v>
      </c>
      <c r="C1781" s="826" t="s">
        <v>606</v>
      </c>
      <c r="D1781" s="840" t="s">
        <v>607</v>
      </c>
      <c r="E1781" s="826" t="s">
        <v>3264</v>
      </c>
      <c r="F1781" s="840" t="s">
        <v>3265</v>
      </c>
      <c r="G1781" s="826" t="s">
        <v>3241</v>
      </c>
      <c r="H1781" s="826" t="s">
        <v>3411</v>
      </c>
      <c r="I1781" s="832">
        <v>34.5</v>
      </c>
      <c r="J1781" s="832">
        <v>54</v>
      </c>
      <c r="K1781" s="833">
        <v>1863</v>
      </c>
    </row>
    <row r="1782" spans="1:11" ht="14.45" customHeight="1" x14ac:dyDescent="0.2">
      <c r="A1782" s="822" t="s">
        <v>575</v>
      </c>
      <c r="B1782" s="823" t="s">
        <v>576</v>
      </c>
      <c r="C1782" s="826" t="s">
        <v>606</v>
      </c>
      <c r="D1782" s="840" t="s">
        <v>607</v>
      </c>
      <c r="E1782" s="826" t="s">
        <v>3264</v>
      </c>
      <c r="F1782" s="840" t="s">
        <v>3265</v>
      </c>
      <c r="G1782" s="826" t="s">
        <v>5234</v>
      </c>
      <c r="H1782" s="826" t="s">
        <v>5235</v>
      </c>
      <c r="I1782" s="832">
        <v>724.78997802734375</v>
      </c>
      <c r="J1782" s="832">
        <v>5</v>
      </c>
      <c r="K1782" s="833">
        <v>3623.9498901367188</v>
      </c>
    </row>
    <row r="1783" spans="1:11" ht="14.45" customHeight="1" x14ac:dyDescent="0.2">
      <c r="A1783" s="822" t="s">
        <v>575</v>
      </c>
      <c r="B1783" s="823" t="s">
        <v>576</v>
      </c>
      <c r="C1783" s="826" t="s">
        <v>606</v>
      </c>
      <c r="D1783" s="840" t="s">
        <v>607</v>
      </c>
      <c r="E1783" s="826" t="s">
        <v>3569</v>
      </c>
      <c r="F1783" s="840" t="s">
        <v>3570</v>
      </c>
      <c r="G1783" s="826" t="s">
        <v>5236</v>
      </c>
      <c r="H1783" s="826" t="s">
        <v>5237</v>
      </c>
      <c r="I1783" s="832">
        <v>7.0180000305175785</v>
      </c>
      <c r="J1783" s="832">
        <v>300</v>
      </c>
      <c r="K1783" s="833">
        <v>2105.5</v>
      </c>
    </row>
    <row r="1784" spans="1:11" ht="14.45" customHeight="1" x14ac:dyDescent="0.2">
      <c r="A1784" s="822" t="s">
        <v>575</v>
      </c>
      <c r="B1784" s="823" t="s">
        <v>576</v>
      </c>
      <c r="C1784" s="826" t="s">
        <v>606</v>
      </c>
      <c r="D1784" s="840" t="s">
        <v>607</v>
      </c>
      <c r="E1784" s="826" t="s">
        <v>3569</v>
      </c>
      <c r="F1784" s="840" t="s">
        <v>3570</v>
      </c>
      <c r="G1784" s="826" t="s">
        <v>3571</v>
      </c>
      <c r="H1784" s="826" t="s">
        <v>3572</v>
      </c>
      <c r="I1784" s="832">
        <v>7.0175000429153442</v>
      </c>
      <c r="J1784" s="832">
        <v>250</v>
      </c>
      <c r="K1784" s="833">
        <v>1754.5</v>
      </c>
    </row>
    <row r="1785" spans="1:11" ht="14.45" customHeight="1" x14ac:dyDescent="0.2">
      <c r="A1785" s="822" t="s">
        <v>575</v>
      </c>
      <c r="B1785" s="823" t="s">
        <v>576</v>
      </c>
      <c r="C1785" s="826" t="s">
        <v>606</v>
      </c>
      <c r="D1785" s="840" t="s">
        <v>607</v>
      </c>
      <c r="E1785" s="826" t="s">
        <v>3569</v>
      </c>
      <c r="F1785" s="840" t="s">
        <v>3570</v>
      </c>
      <c r="G1785" s="826" t="s">
        <v>5236</v>
      </c>
      <c r="H1785" s="826" t="s">
        <v>5238</v>
      </c>
      <c r="I1785" s="832">
        <v>7.0157143729073663</v>
      </c>
      <c r="J1785" s="832">
        <v>550</v>
      </c>
      <c r="K1785" s="833">
        <v>3858.5</v>
      </c>
    </row>
    <row r="1786" spans="1:11" ht="14.45" customHeight="1" x14ac:dyDescent="0.2">
      <c r="A1786" s="822" t="s">
        <v>575</v>
      </c>
      <c r="B1786" s="823" t="s">
        <v>576</v>
      </c>
      <c r="C1786" s="826" t="s">
        <v>606</v>
      </c>
      <c r="D1786" s="840" t="s">
        <v>607</v>
      </c>
      <c r="E1786" s="826" t="s">
        <v>3569</v>
      </c>
      <c r="F1786" s="840" t="s">
        <v>3570</v>
      </c>
      <c r="G1786" s="826" t="s">
        <v>3571</v>
      </c>
      <c r="H1786" s="826" t="s">
        <v>3577</v>
      </c>
      <c r="I1786" s="832">
        <v>7.0199999809265137</v>
      </c>
      <c r="J1786" s="832">
        <v>100</v>
      </c>
      <c r="K1786" s="833">
        <v>702</v>
      </c>
    </row>
    <row r="1787" spans="1:11" ht="14.45" customHeight="1" x14ac:dyDescent="0.2">
      <c r="A1787" s="822" t="s">
        <v>575</v>
      </c>
      <c r="B1787" s="823" t="s">
        <v>576</v>
      </c>
      <c r="C1787" s="826" t="s">
        <v>606</v>
      </c>
      <c r="D1787" s="840" t="s">
        <v>607</v>
      </c>
      <c r="E1787" s="826" t="s">
        <v>3569</v>
      </c>
      <c r="F1787" s="840" t="s">
        <v>3570</v>
      </c>
      <c r="G1787" s="826" t="s">
        <v>3573</v>
      </c>
      <c r="H1787" s="826" t="s">
        <v>3578</v>
      </c>
      <c r="I1787" s="832">
        <v>7.0199999809265137</v>
      </c>
      <c r="J1787" s="832">
        <v>50</v>
      </c>
      <c r="K1787" s="833">
        <v>351</v>
      </c>
    </row>
    <row r="1788" spans="1:11" ht="14.45" customHeight="1" x14ac:dyDescent="0.2">
      <c r="A1788" s="822" t="s">
        <v>575</v>
      </c>
      <c r="B1788" s="823" t="s">
        <v>576</v>
      </c>
      <c r="C1788" s="826" t="s">
        <v>606</v>
      </c>
      <c r="D1788" s="840" t="s">
        <v>607</v>
      </c>
      <c r="E1788" s="826" t="s">
        <v>3569</v>
      </c>
      <c r="F1788" s="840" t="s">
        <v>3570</v>
      </c>
      <c r="G1788" s="826" t="s">
        <v>3575</v>
      </c>
      <c r="H1788" s="826" t="s">
        <v>5239</v>
      </c>
      <c r="I1788" s="832">
        <v>7.0199999809265137</v>
      </c>
      <c r="J1788" s="832">
        <v>50</v>
      </c>
      <c r="K1788" s="833">
        <v>351</v>
      </c>
    </row>
    <row r="1789" spans="1:11" ht="14.45" customHeight="1" x14ac:dyDescent="0.2">
      <c r="A1789" s="822" t="s">
        <v>575</v>
      </c>
      <c r="B1789" s="823" t="s">
        <v>576</v>
      </c>
      <c r="C1789" s="826" t="s">
        <v>606</v>
      </c>
      <c r="D1789" s="840" t="s">
        <v>607</v>
      </c>
      <c r="E1789" s="826" t="s">
        <v>3569</v>
      </c>
      <c r="F1789" s="840" t="s">
        <v>3570</v>
      </c>
      <c r="G1789" s="826" t="s">
        <v>3581</v>
      </c>
      <c r="H1789" s="826" t="s">
        <v>3582</v>
      </c>
      <c r="I1789" s="832">
        <v>0.62999999523162842</v>
      </c>
      <c r="J1789" s="832">
        <v>1000</v>
      </c>
      <c r="K1789" s="833">
        <v>630</v>
      </c>
    </row>
    <row r="1790" spans="1:11" ht="14.45" customHeight="1" x14ac:dyDescent="0.2">
      <c r="A1790" s="822" t="s">
        <v>575</v>
      </c>
      <c r="B1790" s="823" t="s">
        <v>576</v>
      </c>
      <c r="C1790" s="826" t="s">
        <v>606</v>
      </c>
      <c r="D1790" s="840" t="s">
        <v>607</v>
      </c>
      <c r="E1790" s="826" t="s">
        <v>3569</v>
      </c>
      <c r="F1790" s="840" t="s">
        <v>3570</v>
      </c>
      <c r="G1790" s="826" t="s">
        <v>3581</v>
      </c>
      <c r="H1790" s="826" t="s">
        <v>3592</v>
      </c>
      <c r="I1790" s="832">
        <v>0.62999999523162842</v>
      </c>
      <c r="J1790" s="832">
        <v>2000</v>
      </c>
      <c r="K1790" s="833">
        <v>1260</v>
      </c>
    </row>
    <row r="1791" spans="1:11" ht="14.45" customHeight="1" x14ac:dyDescent="0.2">
      <c r="A1791" s="822" t="s">
        <v>575</v>
      </c>
      <c r="B1791" s="823" t="s">
        <v>576</v>
      </c>
      <c r="C1791" s="826" t="s">
        <v>606</v>
      </c>
      <c r="D1791" s="840" t="s">
        <v>607</v>
      </c>
      <c r="E1791" s="826" t="s">
        <v>5240</v>
      </c>
      <c r="F1791" s="840" t="s">
        <v>5241</v>
      </c>
      <c r="G1791" s="826" t="s">
        <v>5242</v>
      </c>
      <c r="H1791" s="826" t="s">
        <v>5243</v>
      </c>
      <c r="I1791" s="832">
        <v>93.150001525878906</v>
      </c>
      <c r="J1791" s="832">
        <v>889</v>
      </c>
      <c r="K1791" s="833">
        <v>82810.350463867188</v>
      </c>
    </row>
    <row r="1792" spans="1:11" ht="14.45" customHeight="1" x14ac:dyDescent="0.2">
      <c r="A1792" s="822" t="s">
        <v>575</v>
      </c>
      <c r="B1792" s="823" t="s">
        <v>576</v>
      </c>
      <c r="C1792" s="826" t="s">
        <v>606</v>
      </c>
      <c r="D1792" s="840" t="s">
        <v>607</v>
      </c>
      <c r="E1792" s="826" t="s">
        <v>5240</v>
      </c>
      <c r="F1792" s="840" t="s">
        <v>5241</v>
      </c>
      <c r="G1792" s="826" t="s">
        <v>5242</v>
      </c>
      <c r="H1792" s="826" t="s">
        <v>5244</v>
      </c>
      <c r="I1792" s="832">
        <v>93.150001525878906</v>
      </c>
      <c r="J1792" s="832">
        <v>800</v>
      </c>
      <c r="K1792" s="833">
        <v>74520</v>
      </c>
    </row>
    <row r="1793" spans="1:11" ht="14.45" customHeight="1" x14ac:dyDescent="0.2">
      <c r="A1793" s="822" t="s">
        <v>575</v>
      </c>
      <c r="B1793" s="823" t="s">
        <v>576</v>
      </c>
      <c r="C1793" s="826" t="s">
        <v>606</v>
      </c>
      <c r="D1793" s="840" t="s">
        <v>607</v>
      </c>
      <c r="E1793" s="826" t="s">
        <v>5240</v>
      </c>
      <c r="F1793" s="840" t="s">
        <v>5241</v>
      </c>
      <c r="G1793" s="826" t="s">
        <v>5245</v>
      </c>
      <c r="H1793" s="826" t="s">
        <v>5246</v>
      </c>
      <c r="I1793" s="832">
        <v>1480</v>
      </c>
      <c r="J1793" s="832">
        <v>20</v>
      </c>
      <c r="K1793" s="833">
        <v>29600</v>
      </c>
    </row>
    <row r="1794" spans="1:11" ht="14.45" customHeight="1" x14ac:dyDescent="0.2">
      <c r="A1794" s="822" t="s">
        <v>575</v>
      </c>
      <c r="B1794" s="823" t="s">
        <v>576</v>
      </c>
      <c r="C1794" s="826" t="s">
        <v>606</v>
      </c>
      <c r="D1794" s="840" t="s">
        <v>607</v>
      </c>
      <c r="E1794" s="826" t="s">
        <v>5240</v>
      </c>
      <c r="F1794" s="840" t="s">
        <v>5241</v>
      </c>
      <c r="G1794" s="826" t="s">
        <v>5247</v>
      </c>
      <c r="H1794" s="826" t="s">
        <v>5248</v>
      </c>
      <c r="I1794" s="832">
        <v>1480</v>
      </c>
      <c r="J1794" s="832">
        <v>20</v>
      </c>
      <c r="K1794" s="833">
        <v>29600</v>
      </c>
    </row>
    <row r="1795" spans="1:11" ht="14.45" customHeight="1" x14ac:dyDescent="0.2">
      <c r="A1795" s="822" t="s">
        <v>575</v>
      </c>
      <c r="B1795" s="823" t="s">
        <v>576</v>
      </c>
      <c r="C1795" s="826" t="s">
        <v>606</v>
      </c>
      <c r="D1795" s="840" t="s">
        <v>607</v>
      </c>
      <c r="E1795" s="826" t="s">
        <v>5240</v>
      </c>
      <c r="F1795" s="840" t="s">
        <v>5241</v>
      </c>
      <c r="G1795" s="826" t="s">
        <v>5249</v>
      </c>
      <c r="H1795" s="826" t="s">
        <v>5250</v>
      </c>
      <c r="I1795" s="832">
        <v>1480</v>
      </c>
      <c r="J1795" s="832">
        <v>20</v>
      </c>
      <c r="K1795" s="833">
        <v>29600</v>
      </c>
    </row>
    <row r="1796" spans="1:11" ht="14.45" customHeight="1" x14ac:dyDescent="0.2">
      <c r="A1796" s="822" t="s">
        <v>575</v>
      </c>
      <c r="B1796" s="823" t="s">
        <v>576</v>
      </c>
      <c r="C1796" s="826" t="s">
        <v>606</v>
      </c>
      <c r="D1796" s="840" t="s">
        <v>607</v>
      </c>
      <c r="E1796" s="826" t="s">
        <v>5240</v>
      </c>
      <c r="F1796" s="840" t="s">
        <v>5241</v>
      </c>
      <c r="G1796" s="826" t="s">
        <v>5251</v>
      </c>
      <c r="H1796" s="826" t="s">
        <v>5252</v>
      </c>
      <c r="I1796" s="832">
        <v>1550</v>
      </c>
      <c r="J1796" s="832">
        <v>50</v>
      </c>
      <c r="K1796" s="833">
        <v>77499.98046875</v>
      </c>
    </row>
    <row r="1797" spans="1:11" ht="14.45" customHeight="1" x14ac:dyDescent="0.2">
      <c r="A1797" s="822" t="s">
        <v>575</v>
      </c>
      <c r="B1797" s="823" t="s">
        <v>576</v>
      </c>
      <c r="C1797" s="826" t="s">
        <v>606</v>
      </c>
      <c r="D1797" s="840" t="s">
        <v>607</v>
      </c>
      <c r="E1797" s="826" t="s">
        <v>5240</v>
      </c>
      <c r="F1797" s="840" t="s">
        <v>5241</v>
      </c>
      <c r="G1797" s="826" t="s">
        <v>5251</v>
      </c>
      <c r="H1797" s="826" t="s">
        <v>5253</v>
      </c>
      <c r="I1797" s="832">
        <v>1550</v>
      </c>
      <c r="J1797" s="832">
        <v>75</v>
      </c>
      <c r="K1797" s="833">
        <v>116249.84375</v>
      </c>
    </row>
    <row r="1798" spans="1:11" ht="14.45" customHeight="1" x14ac:dyDescent="0.2">
      <c r="A1798" s="822" t="s">
        <v>575</v>
      </c>
      <c r="B1798" s="823" t="s">
        <v>576</v>
      </c>
      <c r="C1798" s="826" t="s">
        <v>606</v>
      </c>
      <c r="D1798" s="840" t="s">
        <v>607</v>
      </c>
      <c r="E1798" s="826" t="s">
        <v>5240</v>
      </c>
      <c r="F1798" s="840" t="s">
        <v>5241</v>
      </c>
      <c r="G1798" s="826" t="s">
        <v>5254</v>
      </c>
      <c r="H1798" s="826" t="s">
        <v>5255</v>
      </c>
      <c r="I1798" s="832">
        <v>2250.449951171875</v>
      </c>
      <c r="J1798" s="832">
        <v>5</v>
      </c>
      <c r="K1798" s="833">
        <v>11252.259765625</v>
      </c>
    </row>
    <row r="1799" spans="1:11" ht="14.45" customHeight="1" x14ac:dyDescent="0.2">
      <c r="A1799" s="822" t="s">
        <v>575</v>
      </c>
      <c r="B1799" s="823" t="s">
        <v>576</v>
      </c>
      <c r="C1799" s="826" t="s">
        <v>606</v>
      </c>
      <c r="D1799" s="840" t="s">
        <v>607</v>
      </c>
      <c r="E1799" s="826" t="s">
        <v>5240</v>
      </c>
      <c r="F1799" s="840" t="s">
        <v>5241</v>
      </c>
      <c r="G1799" s="826" t="s">
        <v>5254</v>
      </c>
      <c r="H1799" s="826" t="s">
        <v>5256</v>
      </c>
      <c r="I1799" s="832">
        <v>2250.4559570312499</v>
      </c>
      <c r="J1799" s="832">
        <v>45</v>
      </c>
      <c r="K1799" s="833">
        <v>101270.470703125</v>
      </c>
    </row>
    <row r="1800" spans="1:11" ht="14.45" customHeight="1" x14ac:dyDescent="0.2">
      <c r="A1800" s="822" t="s">
        <v>575</v>
      </c>
      <c r="B1800" s="823" t="s">
        <v>576</v>
      </c>
      <c r="C1800" s="826" t="s">
        <v>606</v>
      </c>
      <c r="D1800" s="840" t="s">
        <v>607</v>
      </c>
      <c r="E1800" s="826" t="s">
        <v>5240</v>
      </c>
      <c r="F1800" s="840" t="s">
        <v>5241</v>
      </c>
      <c r="G1800" s="826" t="s">
        <v>5257</v>
      </c>
      <c r="H1800" s="826" t="s">
        <v>5258</v>
      </c>
      <c r="I1800" s="832">
        <v>2377.64990234375</v>
      </c>
      <c r="J1800" s="832">
        <v>70</v>
      </c>
      <c r="K1800" s="833">
        <v>166435.5</v>
      </c>
    </row>
    <row r="1801" spans="1:11" ht="14.45" customHeight="1" x14ac:dyDescent="0.2">
      <c r="A1801" s="822" t="s">
        <v>575</v>
      </c>
      <c r="B1801" s="823" t="s">
        <v>576</v>
      </c>
      <c r="C1801" s="826" t="s">
        <v>606</v>
      </c>
      <c r="D1801" s="840" t="s">
        <v>607</v>
      </c>
      <c r="E1801" s="826" t="s">
        <v>5240</v>
      </c>
      <c r="F1801" s="840" t="s">
        <v>5241</v>
      </c>
      <c r="G1801" s="826" t="s">
        <v>5257</v>
      </c>
      <c r="H1801" s="826" t="s">
        <v>5259</v>
      </c>
      <c r="I1801" s="832">
        <v>2548.5624389648438</v>
      </c>
      <c r="J1801" s="832">
        <v>31</v>
      </c>
      <c r="K1801" s="833">
        <v>77125.39990234375</v>
      </c>
    </row>
    <row r="1802" spans="1:11" ht="14.45" customHeight="1" x14ac:dyDescent="0.2">
      <c r="A1802" s="822" t="s">
        <v>575</v>
      </c>
      <c r="B1802" s="823" t="s">
        <v>576</v>
      </c>
      <c r="C1802" s="826" t="s">
        <v>606</v>
      </c>
      <c r="D1802" s="840" t="s">
        <v>607</v>
      </c>
      <c r="E1802" s="826" t="s">
        <v>5240</v>
      </c>
      <c r="F1802" s="840" t="s">
        <v>5241</v>
      </c>
      <c r="G1802" s="826" t="s">
        <v>5260</v>
      </c>
      <c r="H1802" s="826" t="s">
        <v>5261</v>
      </c>
      <c r="I1802" s="832">
        <v>2250.4512858072917</v>
      </c>
      <c r="J1802" s="832">
        <v>130</v>
      </c>
      <c r="K1802" s="833">
        <v>292559.0947265625</v>
      </c>
    </row>
    <row r="1803" spans="1:11" ht="14.45" customHeight="1" x14ac:dyDescent="0.2">
      <c r="A1803" s="822" t="s">
        <v>575</v>
      </c>
      <c r="B1803" s="823" t="s">
        <v>576</v>
      </c>
      <c r="C1803" s="826" t="s">
        <v>606</v>
      </c>
      <c r="D1803" s="840" t="s">
        <v>607</v>
      </c>
      <c r="E1803" s="826" t="s">
        <v>5240</v>
      </c>
      <c r="F1803" s="840" t="s">
        <v>5241</v>
      </c>
      <c r="G1803" s="826" t="s">
        <v>5260</v>
      </c>
      <c r="H1803" s="826" t="s">
        <v>5262</v>
      </c>
      <c r="I1803" s="832">
        <v>2250.4542410714284</v>
      </c>
      <c r="J1803" s="832">
        <v>29</v>
      </c>
      <c r="K1803" s="833">
        <v>65263.21923828125</v>
      </c>
    </row>
    <row r="1804" spans="1:11" ht="14.45" customHeight="1" x14ac:dyDescent="0.2">
      <c r="A1804" s="822" t="s">
        <v>575</v>
      </c>
      <c r="B1804" s="823" t="s">
        <v>576</v>
      </c>
      <c r="C1804" s="826" t="s">
        <v>606</v>
      </c>
      <c r="D1804" s="840" t="s">
        <v>607</v>
      </c>
      <c r="E1804" s="826" t="s">
        <v>5240</v>
      </c>
      <c r="F1804" s="840" t="s">
        <v>5241</v>
      </c>
      <c r="G1804" s="826" t="s">
        <v>5263</v>
      </c>
      <c r="H1804" s="826" t="s">
        <v>5264</v>
      </c>
      <c r="I1804" s="832">
        <v>3782.889892578125</v>
      </c>
      <c r="J1804" s="832">
        <v>35</v>
      </c>
      <c r="K1804" s="833">
        <v>132401.16870117188</v>
      </c>
    </row>
    <row r="1805" spans="1:11" ht="14.45" customHeight="1" x14ac:dyDescent="0.2">
      <c r="A1805" s="822" t="s">
        <v>575</v>
      </c>
      <c r="B1805" s="823" t="s">
        <v>576</v>
      </c>
      <c r="C1805" s="826" t="s">
        <v>606</v>
      </c>
      <c r="D1805" s="840" t="s">
        <v>607</v>
      </c>
      <c r="E1805" s="826" t="s">
        <v>5240</v>
      </c>
      <c r="F1805" s="840" t="s">
        <v>5241</v>
      </c>
      <c r="G1805" s="826" t="s">
        <v>5265</v>
      </c>
      <c r="H1805" s="826" t="s">
        <v>5266</v>
      </c>
      <c r="I1805" s="832">
        <v>3593.800048828125</v>
      </c>
      <c r="J1805" s="832">
        <v>5</v>
      </c>
      <c r="K1805" s="833">
        <v>17969</v>
      </c>
    </row>
    <row r="1806" spans="1:11" ht="14.45" customHeight="1" x14ac:dyDescent="0.2">
      <c r="A1806" s="822" t="s">
        <v>575</v>
      </c>
      <c r="B1806" s="823" t="s">
        <v>576</v>
      </c>
      <c r="C1806" s="826" t="s">
        <v>606</v>
      </c>
      <c r="D1806" s="840" t="s">
        <v>607</v>
      </c>
      <c r="E1806" s="826" t="s">
        <v>5240</v>
      </c>
      <c r="F1806" s="840" t="s">
        <v>5241</v>
      </c>
      <c r="G1806" s="826" t="s">
        <v>5267</v>
      </c>
      <c r="H1806" s="826" t="s">
        <v>5268</v>
      </c>
      <c r="I1806" s="832">
        <v>3782.889892578125</v>
      </c>
      <c r="J1806" s="832">
        <v>5</v>
      </c>
      <c r="K1806" s="833">
        <v>18914.44921875</v>
      </c>
    </row>
    <row r="1807" spans="1:11" ht="14.45" customHeight="1" x14ac:dyDescent="0.2">
      <c r="A1807" s="822" t="s">
        <v>575</v>
      </c>
      <c r="B1807" s="823" t="s">
        <v>576</v>
      </c>
      <c r="C1807" s="826" t="s">
        <v>606</v>
      </c>
      <c r="D1807" s="840" t="s">
        <v>607</v>
      </c>
      <c r="E1807" s="826" t="s">
        <v>5240</v>
      </c>
      <c r="F1807" s="840" t="s">
        <v>5241</v>
      </c>
      <c r="G1807" s="826" t="s">
        <v>5269</v>
      </c>
      <c r="H1807" s="826" t="s">
        <v>5270</v>
      </c>
      <c r="I1807" s="832">
        <v>2377.64990234375</v>
      </c>
      <c r="J1807" s="832">
        <v>47</v>
      </c>
      <c r="K1807" s="833">
        <v>111749.5498046875</v>
      </c>
    </row>
    <row r="1808" spans="1:11" ht="14.45" customHeight="1" x14ac:dyDescent="0.2">
      <c r="A1808" s="822" t="s">
        <v>575</v>
      </c>
      <c r="B1808" s="823" t="s">
        <v>576</v>
      </c>
      <c r="C1808" s="826" t="s">
        <v>606</v>
      </c>
      <c r="D1808" s="840" t="s">
        <v>607</v>
      </c>
      <c r="E1808" s="826" t="s">
        <v>5240</v>
      </c>
      <c r="F1808" s="840" t="s">
        <v>5241</v>
      </c>
      <c r="G1808" s="826" t="s">
        <v>5269</v>
      </c>
      <c r="H1808" s="826" t="s">
        <v>5271</v>
      </c>
      <c r="I1808" s="832">
        <v>2527.689900716146</v>
      </c>
      <c r="J1808" s="832">
        <v>28</v>
      </c>
      <c r="K1808" s="833">
        <v>71075.39892578125</v>
      </c>
    </row>
    <row r="1809" spans="1:11" ht="14.45" customHeight="1" x14ac:dyDescent="0.2">
      <c r="A1809" s="822" t="s">
        <v>575</v>
      </c>
      <c r="B1809" s="823" t="s">
        <v>576</v>
      </c>
      <c r="C1809" s="826" t="s">
        <v>606</v>
      </c>
      <c r="D1809" s="840" t="s">
        <v>607</v>
      </c>
      <c r="E1809" s="826" t="s">
        <v>5240</v>
      </c>
      <c r="F1809" s="840" t="s">
        <v>5241</v>
      </c>
      <c r="G1809" s="826" t="s">
        <v>5272</v>
      </c>
      <c r="H1809" s="826" t="s">
        <v>5273</v>
      </c>
      <c r="I1809" s="832">
        <v>5526.0498046875</v>
      </c>
      <c r="J1809" s="832">
        <v>15</v>
      </c>
      <c r="K1809" s="833">
        <v>82890.73828125</v>
      </c>
    </row>
    <row r="1810" spans="1:11" ht="14.45" customHeight="1" x14ac:dyDescent="0.2">
      <c r="A1810" s="822" t="s">
        <v>575</v>
      </c>
      <c r="B1810" s="823" t="s">
        <v>576</v>
      </c>
      <c r="C1810" s="826" t="s">
        <v>606</v>
      </c>
      <c r="D1810" s="840" t="s">
        <v>607</v>
      </c>
      <c r="E1810" s="826" t="s">
        <v>5240</v>
      </c>
      <c r="F1810" s="840" t="s">
        <v>5241</v>
      </c>
      <c r="G1810" s="826" t="s">
        <v>5274</v>
      </c>
      <c r="H1810" s="826" t="s">
        <v>5275</v>
      </c>
      <c r="I1810" s="832">
        <v>5526.054931640625</v>
      </c>
      <c r="J1810" s="832">
        <v>10</v>
      </c>
      <c r="K1810" s="833">
        <v>55260.5390625</v>
      </c>
    </row>
    <row r="1811" spans="1:11" ht="14.45" customHeight="1" x14ac:dyDescent="0.2">
      <c r="A1811" s="822" t="s">
        <v>575</v>
      </c>
      <c r="B1811" s="823" t="s">
        <v>576</v>
      </c>
      <c r="C1811" s="826" t="s">
        <v>606</v>
      </c>
      <c r="D1811" s="840" t="s">
        <v>607</v>
      </c>
      <c r="E1811" s="826" t="s">
        <v>5240</v>
      </c>
      <c r="F1811" s="840" t="s">
        <v>5241</v>
      </c>
      <c r="G1811" s="826" t="s">
        <v>5276</v>
      </c>
      <c r="H1811" s="826" t="s">
        <v>5277</v>
      </c>
      <c r="I1811" s="832">
        <v>5008.441487630208</v>
      </c>
      <c r="J1811" s="832">
        <v>40</v>
      </c>
      <c r="K1811" s="833">
        <v>199663</v>
      </c>
    </row>
    <row r="1812" spans="1:11" ht="14.45" customHeight="1" x14ac:dyDescent="0.2">
      <c r="A1812" s="822" t="s">
        <v>575</v>
      </c>
      <c r="B1812" s="823" t="s">
        <v>576</v>
      </c>
      <c r="C1812" s="826" t="s">
        <v>606</v>
      </c>
      <c r="D1812" s="840" t="s">
        <v>607</v>
      </c>
      <c r="E1812" s="826" t="s">
        <v>5240</v>
      </c>
      <c r="F1812" s="840" t="s">
        <v>5241</v>
      </c>
      <c r="G1812" s="826" t="s">
        <v>5276</v>
      </c>
      <c r="H1812" s="826" t="s">
        <v>5278</v>
      </c>
      <c r="I1812" s="832">
        <v>5056.58984375</v>
      </c>
      <c r="J1812" s="832">
        <v>10</v>
      </c>
      <c r="K1812" s="833">
        <v>50565.921875</v>
      </c>
    </row>
    <row r="1813" spans="1:11" ht="14.45" customHeight="1" x14ac:dyDescent="0.2">
      <c r="A1813" s="822" t="s">
        <v>575</v>
      </c>
      <c r="B1813" s="823" t="s">
        <v>576</v>
      </c>
      <c r="C1813" s="826" t="s">
        <v>606</v>
      </c>
      <c r="D1813" s="840" t="s">
        <v>607</v>
      </c>
      <c r="E1813" s="826" t="s">
        <v>5240</v>
      </c>
      <c r="F1813" s="840" t="s">
        <v>5241</v>
      </c>
      <c r="G1813" s="826" t="s">
        <v>5279</v>
      </c>
      <c r="H1813" s="826" t="s">
        <v>5280</v>
      </c>
      <c r="I1813" s="832">
        <v>4368.43017578125</v>
      </c>
      <c r="J1813" s="832">
        <v>5</v>
      </c>
      <c r="K1813" s="833">
        <v>21842.130859375</v>
      </c>
    </row>
    <row r="1814" spans="1:11" ht="14.45" customHeight="1" x14ac:dyDescent="0.2">
      <c r="A1814" s="822" t="s">
        <v>575</v>
      </c>
      <c r="B1814" s="823" t="s">
        <v>576</v>
      </c>
      <c r="C1814" s="826" t="s">
        <v>606</v>
      </c>
      <c r="D1814" s="840" t="s">
        <v>607</v>
      </c>
      <c r="E1814" s="826" t="s">
        <v>5240</v>
      </c>
      <c r="F1814" s="840" t="s">
        <v>5241</v>
      </c>
      <c r="G1814" s="826" t="s">
        <v>5281</v>
      </c>
      <c r="H1814" s="826" t="s">
        <v>5282</v>
      </c>
      <c r="I1814" s="832">
        <v>6071</v>
      </c>
      <c r="J1814" s="832">
        <v>5</v>
      </c>
      <c r="K1814" s="833">
        <v>30355</v>
      </c>
    </row>
    <row r="1815" spans="1:11" ht="14.45" customHeight="1" x14ac:dyDescent="0.2">
      <c r="A1815" s="822" t="s">
        <v>575</v>
      </c>
      <c r="B1815" s="823" t="s">
        <v>576</v>
      </c>
      <c r="C1815" s="826" t="s">
        <v>606</v>
      </c>
      <c r="D1815" s="840" t="s">
        <v>607</v>
      </c>
      <c r="E1815" s="826" t="s">
        <v>5240</v>
      </c>
      <c r="F1815" s="840" t="s">
        <v>5241</v>
      </c>
      <c r="G1815" s="826" t="s">
        <v>5283</v>
      </c>
      <c r="H1815" s="826" t="s">
        <v>5284</v>
      </c>
      <c r="I1815" s="832">
        <v>3249</v>
      </c>
      <c r="J1815" s="832">
        <v>5</v>
      </c>
      <c r="K1815" s="833">
        <v>16244.98046875</v>
      </c>
    </row>
    <row r="1816" spans="1:11" ht="14.45" customHeight="1" x14ac:dyDescent="0.2">
      <c r="A1816" s="822" t="s">
        <v>575</v>
      </c>
      <c r="B1816" s="823" t="s">
        <v>576</v>
      </c>
      <c r="C1816" s="826" t="s">
        <v>606</v>
      </c>
      <c r="D1816" s="840" t="s">
        <v>607</v>
      </c>
      <c r="E1816" s="826" t="s">
        <v>5240</v>
      </c>
      <c r="F1816" s="840" t="s">
        <v>5241</v>
      </c>
      <c r="G1816" s="826" t="s">
        <v>5285</v>
      </c>
      <c r="H1816" s="826" t="s">
        <v>5286</v>
      </c>
      <c r="I1816" s="832">
        <v>303.60000610351563</v>
      </c>
      <c r="J1816" s="832">
        <v>20</v>
      </c>
      <c r="K1816" s="833">
        <v>6072</v>
      </c>
    </row>
    <row r="1817" spans="1:11" ht="14.45" customHeight="1" x14ac:dyDescent="0.2">
      <c r="A1817" s="822" t="s">
        <v>575</v>
      </c>
      <c r="B1817" s="823" t="s">
        <v>576</v>
      </c>
      <c r="C1817" s="826" t="s">
        <v>606</v>
      </c>
      <c r="D1817" s="840" t="s">
        <v>607</v>
      </c>
      <c r="E1817" s="826" t="s">
        <v>5240</v>
      </c>
      <c r="F1817" s="840" t="s">
        <v>5241</v>
      </c>
      <c r="G1817" s="826" t="s">
        <v>5285</v>
      </c>
      <c r="H1817" s="826" t="s">
        <v>5287</v>
      </c>
      <c r="I1817" s="832">
        <v>303.55800781250002</v>
      </c>
      <c r="J1817" s="832">
        <v>74</v>
      </c>
      <c r="K1817" s="833">
        <v>22462.469635009766</v>
      </c>
    </row>
    <row r="1818" spans="1:11" ht="14.45" customHeight="1" x14ac:dyDescent="0.2">
      <c r="A1818" s="822" t="s">
        <v>575</v>
      </c>
      <c r="B1818" s="823" t="s">
        <v>576</v>
      </c>
      <c r="C1818" s="826" t="s">
        <v>606</v>
      </c>
      <c r="D1818" s="840" t="s">
        <v>607</v>
      </c>
      <c r="E1818" s="826" t="s">
        <v>5240</v>
      </c>
      <c r="F1818" s="840" t="s">
        <v>5241</v>
      </c>
      <c r="G1818" s="826" t="s">
        <v>5288</v>
      </c>
      <c r="H1818" s="826" t="s">
        <v>5289</v>
      </c>
      <c r="I1818" s="832">
        <v>4855.2998046875</v>
      </c>
      <c r="J1818" s="832">
        <v>5</v>
      </c>
      <c r="K1818" s="833">
        <v>24276.5</v>
      </c>
    </row>
    <row r="1819" spans="1:11" ht="14.45" customHeight="1" x14ac:dyDescent="0.2">
      <c r="A1819" s="822" t="s">
        <v>575</v>
      </c>
      <c r="B1819" s="823" t="s">
        <v>576</v>
      </c>
      <c r="C1819" s="826" t="s">
        <v>606</v>
      </c>
      <c r="D1819" s="840" t="s">
        <v>607</v>
      </c>
      <c r="E1819" s="826" t="s">
        <v>5240</v>
      </c>
      <c r="F1819" s="840" t="s">
        <v>5241</v>
      </c>
      <c r="G1819" s="826" t="s">
        <v>5265</v>
      </c>
      <c r="H1819" s="826" t="s">
        <v>5290</v>
      </c>
      <c r="I1819" s="832">
        <v>4238.324951171875</v>
      </c>
      <c r="J1819" s="832">
        <v>15</v>
      </c>
      <c r="K1819" s="833">
        <v>60352</v>
      </c>
    </row>
    <row r="1820" spans="1:11" ht="14.45" customHeight="1" x14ac:dyDescent="0.2">
      <c r="A1820" s="822" t="s">
        <v>575</v>
      </c>
      <c r="B1820" s="823" t="s">
        <v>576</v>
      </c>
      <c r="C1820" s="826" t="s">
        <v>606</v>
      </c>
      <c r="D1820" s="840" t="s">
        <v>607</v>
      </c>
      <c r="E1820" s="826" t="s">
        <v>5240</v>
      </c>
      <c r="F1820" s="840" t="s">
        <v>5241</v>
      </c>
      <c r="G1820" s="826" t="s">
        <v>5291</v>
      </c>
      <c r="H1820" s="826" t="s">
        <v>5292</v>
      </c>
      <c r="I1820" s="832">
        <v>479.70001220703125</v>
      </c>
      <c r="J1820" s="832">
        <v>330</v>
      </c>
      <c r="K1820" s="833">
        <v>158300.873046875</v>
      </c>
    </row>
    <row r="1821" spans="1:11" ht="14.45" customHeight="1" x14ac:dyDescent="0.2">
      <c r="A1821" s="822" t="s">
        <v>575</v>
      </c>
      <c r="B1821" s="823" t="s">
        <v>576</v>
      </c>
      <c r="C1821" s="826" t="s">
        <v>606</v>
      </c>
      <c r="D1821" s="840" t="s">
        <v>607</v>
      </c>
      <c r="E1821" s="826" t="s">
        <v>5240</v>
      </c>
      <c r="F1821" s="840" t="s">
        <v>5241</v>
      </c>
      <c r="G1821" s="826" t="s">
        <v>5291</v>
      </c>
      <c r="H1821" s="826" t="s">
        <v>5293</v>
      </c>
      <c r="I1821" s="832">
        <v>479.70001220703125</v>
      </c>
      <c r="J1821" s="832">
        <v>20</v>
      </c>
      <c r="K1821" s="833">
        <v>9593.990234375</v>
      </c>
    </row>
    <row r="1822" spans="1:11" ht="14.45" customHeight="1" x14ac:dyDescent="0.2">
      <c r="A1822" s="822" t="s">
        <v>575</v>
      </c>
      <c r="B1822" s="823" t="s">
        <v>576</v>
      </c>
      <c r="C1822" s="826" t="s">
        <v>606</v>
      </c>
      <c r="D1822" s="840" t="s">
        <v>607</v>
      </c>
      <c r="E1822" s="826" t="s">
        <v>5240</v>
      </c>
      <c r="F1822" s="840" t="s">
        <v>5241</v>
      </c>
      <c r="G1822" s="826" t="s">
        <v>5291</v>
      </c>
      <c r="H1822" s="826" t="s">
        <v>5294</v>
      </c>
      <c r="I1822" s="832">
        <v>479.69858224051342</v>
      </c>
      <c r="J1822" s="832">
        <v>150</v>
      </c>
      <c r="K1822" s="833">
        <v>71954.69091796875</v>
      </c>
    </row>
    <row r="1823" spans="1:11" ht="14.45" customHeight="1" x14ac:dyDescent="0.2">
      <c r="A1823" s="822" t="s">
        <v>5295</v>
      </c>
      <c r="B1823" s="823" t="s">
        <v>5296</v>
      </c>
      <c r="C1823" s="826" t="s">
        <v>5297</v>
      </c>
      <c r="D1823" s="840" t="s">
        <v>5298</v>
      </c>
      <c r="E1823" s="826" t="s">
        <v>3081</v>
      </c>
      <c r="F1823" s="840" t="s">
        <v>3082</v>
      </c>
      <c r="G1823" s="826" t="s">
        <v>3113</v>
      </c>
      <c r="H1823" s="826" t="s">
        <v>3114</v>
      </c>
      <c r="I1823" s="832">
        <v>1.1699999570846558</v>
      </c>
      <c r="J1823" s="832">
        <v>2</v>
      </c>
      <c r="K1823" s="833">
        <v>2.3399999141693115</v>
      </c>
    </row>
    <row r="1824" spans="1:11" ht="14.45" customHeight="1" x14ac:dyDescent="0.2">
      <c r="A1824" s="822" t="s">
        <v>5295</v>
      </c>
      <c r="B1824" s="823" t="s">
        <v>5296</v>
      </c>
      <c r="C1824" s="826" t="s">
        <v>5297</v>
      </c>
      <c r="D1824" s="840" t="s">
        <v>5298</v>
      </c>
      <c r="E1824" s="826" t="s">
        <v>3081</v>
      </c>
      <c r="F1824" s="840" t="s">
        <v>3082</v>
      </c>
      <c r="G1824" s="826" t="s">
        <v>5299</v>
      </c>
      <c r="H1824" s="826" t="s">
        <v>5300</v>
      </c>
      <c r="I1824" s="832">
        <v>10.119999885559082</v>
      </c>
      <c r="J1824" s="832">
        <v>1</v>
      </c>
      <c r="K1824" s="833">
        <v>10.119999885559082</v>
      </c>
    </row>
    <row r="1825" spans="1:11" ht="14.45" customHeight="1" x14ac:dyDescent="0.2">
      <c r="A1825" s="822" t="s">
        <v>5295</v>
      </c>
      <c r="B1825" s="823" t="s">
        <v>5296</v>
      </c>
      <c r="C1825" s="826" t="s">
        <v>5297</v>
      </c>
      <c r="D1825" s="840" t="s">
        <v>5298</v>
      </c>
      <c r="E1825" s="826" t="s">
        <v>3081</v>
      </c>
      <c r="F1825" s="840" t="s">
        <v>3082</v>
      </c>
      <c r="G1825" s="826" t="s">
        <v>5301</v>
      </c>
      <c r="H1825" s="826" t="s">
        <v>5302</v>
      </c>
      <c r="I1825" s="832">
        <v>13.020000457763672</v>
      </c>
      <c r="J1825" s="832">
        <v>1</v>
      </c>
      <c r="K1825" s="833">
        <v>13.020000457763672</v>
      </c>
    </row>
    <row r="1826" spans="1:11" ht="14.45" customHeight="1" x14ac:dyDescent="0.2">
      <c r="A1826" s="822" t="s">
        <v>5295</v>
      </c>
      <c r="B1826" s="823" t="s">
        <v>5296</v>
      </c>
      <c r="C1826" s="826" t="s">
        <v>5297</v>
      </c>
      <c r="D1826" s="840" t="s">
        <v>5298</v>
      </c>
      <c r="E1826" s="826" t="s">
        <v>3081</v>
      </c>
      <c r="F1826" s="840" t="s">
        <v>3082</v>
      </c>
      <c r="G1826" s="826" t="s">
        <v>3186</v>
      </c>
      <c r="H1826" s="826" t="s">
        <v>3187</v>
      </c>
      <c r="I1826" s="832">
        <v>0.85000002384185791</v>
      </c>
      <c r="J1826" s="832">
        <v>5</v>
      </c>
      <c r="K1826" s="833">
        <v>4.25</v>
      </c>
    </row>
    <row r="1827" spans="1:11" ht="14.45" customHeight="1" x14ac:dyDescent="0.2">
      <c r="A1827" s="822" t="s">
        <v>5295</v>
      </c>
      <c r="B1827" s="823" t="s">
        <v>5296</v>
      </c>
      <c r="C1827" s="826" t="s">
        <v>5297</v>
      </c>
      <c r="D1827" s="840" t="s">
        <v>5298</v>
      </c>
      <c r="E1827" s="826" t="s">
        <v>3081</v>
      </c>
      <c r="F1827" s="840" t="s">
        <v>3082</v>
      </c>
      <c r="G1827" s="826" t="s">
        <v>5303</v>
      </c>
      <c r="H1827" s="826" t="s">
        <v>5304</v>
      </c>
      <c r="I1827" s="832">
        <v>15.020000457763672</v>
      </c>
      <c r="J1827" s="832">
        <v>24</v>
      </c>
      <c r="K1827" s="833">
        <v>360.48001098632813</v>
      </c>
    </row>
    <row r="1828" spans="1:11" ht="14.45" customHeight="1" x14ac:dyDescent="0.2">
      <c r="A1828" s="822" t="s">
        <v>5295</v>
      </c>
      <c r="B1828" s="823" t="s">
        <v>5296</v>
      </c>
      <c r="C1828" s="826" t="s">
        <v>5297</v>
      </c>
      <c r="D1828" s="840" t="s">
        <v>5298</v>
      </c>
      <c r="E1828" s="826" t="s">
        <v>3081</v>
      </c>
      <c r="F1828" s="840" t="s">
        <v>3082</v>
      </c>
      <c r="G1828" s="826" t="s">
        <v>3206</v>
      </c>
      <c r="H1828" s="826" t="s">
        <v>3207</v>
      </c>
      <c r="I1828" s="832">
        <v>0.37999999523162842</v>
      </c>
      <c r="J1828" s="832">
        <v>25</v>
      </c>
      <c r="K1828" s="833">
        <v>9.5</v>
      </c>
    </row>
    <row r="1829" spans="1:11" ht="14.45" customHeight="1" x14ac:dyDescent="0.2">
      <c r="A1829" s="822" t="s">
        <v>5295</v>
      </c>
      <c r="B1829" s="823" t="s">
        <v>5296</v>
      </c>
      <c r="C1829" s="826" t="s">
        <v>5297</v>
      </c>
      <c r="D1829" s="840" t="s">
        <v>5298</v>
      </c>
      <c r="E1829" s="826" t="s">
        <v>3081</v>
      </c>
      <c r="F1829" s="840" t="s">
        <v>3082</v>
      </c>
      <c r="G1829" s="826" t="s">
        <v>5305</v>
      </c>
      <c r="H1829" s="826" t="s">
        <v>5306</v>
      </c>
      <c r="I1829" s="832">
        <v>7.0900001525878906</v>
      </c>
      <c r="J1829" s="832">
        <v>2</v>
      </c>
      <c r="K1829" s="833">
        <v>14.180000305175781</v>
      </c>
    </row>
    <row r="1830" spans="1:11" ht="14.45" customHeight="1" x14ac:dyDescent="0.2">
      <c r="A1830" s="822" t="s">
        <v>5295</v>
      </c>
      <c r="B1830" s="823" t="s">
        <v>5296</v>
      </c>
      <c r="C1830" s="826" t="s">
        <v>5297</v>
      </c>
      <c r="D1830" s="840" t="s">
        <v>5298</v>
      </c>
      <c r="E1830" s="826" t="s">
        <v>3081</v>
      </c>
      <c r="F1830" s="840" t="s">
        <v>3082</v>
      </c>
      <c r="G1830" s="826" t="s">
        <v>5307</v>
      </c>
      <c r="H1830" s="826" t="s">
        <v>5308</v>
      </c>
      <c r="I1830" s="832">
        <v>8.3400001525878906</v>
      </c>
      <c r="J1830" s="832">
        <v>2</v>
      </c>
      <c r="K1830" s="833">
        <v>16.680000305175781</v>
      </c>
    </row>
    <row r="1831" spans="1:11" ht="14.45" customHeight="1" x14ac:dyDescent="0.2">
      <c r="A1831" s="822" t="s">
        <v>5295</v>
      </c>
      <c r="B1831" s="823" t="s">
        <v>5296</v>
      </c>
      <c r="C1831" s="826" t="s">
        <v>5297</v>
      </c>
      <c r="D1831" s="840" t="s">
        <v>5298</v>
      </c>
      <c r="E1831" s="826" t="s">
        <v>3081</v>
      </c>
      <c r="F1831" s="840" t="s">
        <v>3082</v>
      </c>
      <c r="G1831" s="826" t="s">
        <v>5309</v>
      </c>
      <c r="H1831" s="826" t="s">
        <v>5310</v>
      </c>
      <c r="I1831" s="832">
        <v>9.5900001525878906</v>
      </c>
      <c r="J1831" s="832">
        <v>1</v>
      </c>
      <c r="K1831" s="833">
        <v>9.5900001525878906</v>
      </c>
    </row>
    <row r="1832" spans="1:11" ht="14.45" customHeight="1" x14ac:dyDescent="0.2">
      <c r="A1832" s="822" t="s">
        <v>5295</v>
      </c>
      <c r="B1832" s="823" t="s">
        <v>5296</v>
      </c>
      <c r="C1832" s="826" t="s">
        <v>5297</v>
      </c>
      <c r="D1832" s="840" t="s">
        <v>5298</v>
      </c>
      <c r="E1832" s="826" t="s">
        <v>3081</v>
      </c>
      <c r="F1832" s="840" t="s">
        <v>3082</v>
      </c>
      <c r="G1832" s="826" t="s">
        <v>5311</v>
      </c>
      <c r="H1832" s="826" t="s">
        <v>5312</v>
      </c>
      <c r="I1832" s="832">
        <v>19.969999313354492</v>
      </c>
      <c r="J1832" s="832">
        <v>1</v>
      </c>
      <c r="K1832" s="833">
        <v>19.969999313354492</v>
      </c>
    </row>
    <row r="1833" spans="1:11" ht="14.45" customHeight="1" x14ac:dyDescent="0.2">
      <c r="A1833" s="822" t="s">
        <v>5295</v>
      </c>
      <c r="B1833" s="823" t="s">
        <v>5296</v>
      </c>
      <c r="C1833" s="826" t="s">
        <v>5297</v>
      </c>
      <c r="D1833" s="840" t="s">
        <v>5298</v>
      </c>
      <c r="E1833" s="826" t="s">
        <v>3081</v>
      </c>
      <c r="F1833" s="840" t="s">
        <v>3082</v>
      </c>
      <c r="G1833" s="826" t="s">
        <v>5313</v>
      </c>
      <c r="H1833" s="826" t="s">
        <v>5314</v>
      </c>
      <c r="I1833" s="832">
        <v>25.25</v>
      </c>
      <c r="J1833" s="832">
        <v>1</v>
      </c>
      <c r="K1833" s="833">
        <v>25.25</v>
      </c>
    </row>
    <row r="1834" spans="1:11" ht="14.45" customHeight="1" x14ac:dyDescent="0.2">
      <c r="A1834" s="822" t="s">
        <v>5295</v>
      </c>
      <c r="B1834" s="823" t="s">
        <v>5296</v>
      </c>
      <c r="C1834" s="826" t="s">
        <v>5297</v>
      </c>
      <c r="D1834" s="840" t="s">
        <v>5298</v>
      </c>
      <c r="E1834" s="826" t="s">
        <v>3081</v>
      </c>
      <c r="F1834" s="840" t="s">
        <v>3082</v>
      </c>
      <c r="G1834" s="826" t="s">
        <v>5315</v>
      </c>
      <c r="H1834" s="826" t="s">
        <v>5316</v>
      </c>
      <c r="I1834" s="832">
        <v>10.350000381469727</v>
      </c>
      <c r="J1834" s="832">
        <v>1</v>
      </c>
      <c r="K1834" s="833">
        <v>10.350000381469727</v>
      </c>
    </row>
    <row r="1835" spans="1:11" ht="14.45" customHeight="1" thickBot="1" x14ac:dyDescent="0.25">
      <c r="A1835" s="814" t="s">
        <v>5295</v>
      </c>
      <c r="B1835" s="815" t="s">
        <v>5296</v>
      </c>
      <c r="C1835" s="818" t="s">
        <v>5297</v>
      </c>
      <c r="D1835" s="841" t="s">
        <v>5298</v>
      </c>
      <c r="E1835" s="818" t="s">
        <v>3569</v>
      </c>
      <c r="F1835" s="841" t="s">
        <v>3570</v>
      </c>
      <c r="G1835" s="818" t="s">
        <v>3575</v>
      </c>
      <c r="H1835" s="818" t="s">
        <v>3576</v>
      </c>
      <c r="I1835" s="834">
        <v>7.0199999809265137</v>
      </c>
      <c r="J1835" s="834">
        <v>2</v>
      </c>
      <c r="K1835" s="835">
        <v>14.039999961853027</v>
      </c>
    </row>
  </sheetData>
  <autoFilter ref="A4:K4" xr:uid="{00000000-0009-0000-0000-000019000000}"/>
  <mergeCells count="2">
    <mergeCell ref="A1:K1"/>
    <mergeCell ref="C3:G3"/>
  </mergeCells>
  <hyperlinks>
    <hyperlink ref="A2" location="Obsah!A1" display="Zpět na Obsah  KL 01  1.-4.měsíc" xr:uid="{C13A9959-C381-40D5-84E3-B6D4DCCD1179}"/>
  </hyperlinks>
  <pageMargins left="0.25" right="0.25" top="0.75" bottom="0.75" header="0.3" footer="0.3"/>
  <pageSetup paperSize="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List13">
    <tabColor theme="3" tint="0.39997558519241921"/>
    <pageSetUpPr fitToPage="1"/>
  </sheetPr>
  <dimension ref="A1:S29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28515625" defaultRowHeight="15" outlineLevelCol="1" x14ac:dyDescent="0.25"/>
  <cols>
    <col min="1" max="1" width="8.28515625" customWidth="1"/>
    <col min="2" max="2" width="27.42578125" bestFit="1" customWidth="1" outlineLevel="1"/>
    <col min="3" max="3" width="10.85546875" style="460" bestFit="1" customWidth="1"/>
    <col min="4" max="6" width="10.28515625" hidden="1" customWidth="1" outlineLevel="1"/>
    <col min="7" max="7" width="10" customWidth="1" collapsed="1"/>
    <col min="8" max="10" width="10" customWidth="1"/>
    <col min="11" max="14" width="10.7109375" customWidth="1"/>
    <col min="15" max="15" width="12.28515625" customWidth="1"/>
    <col min="16" max="17" width="8.85546875" style="370" customWidth="1"/>
    <col min="18" max="18" width="7.28515625" style="459" customWidth="1"/>
    <col min="19" max="19" width="8" style="370" customWidth="1"/>
    <col min="21" max="21" width="11.28515625" bestFit="1" customWidth="1"/>
  </cols>
  <sheetData>
    <row r="1" spans="1:19" ht="19.5" thickBot="1" x14ac:dyDescent="0.35">
      <c r="A1" s="602" t="s">
        <v>129</v>
      </c>
      <c r="B1" s="548"/>
      <c r="C1" s="548"/>
      <c r="D1" s="548"/>
      <c r="E1" s="548"/>
      <c r="F1" s="548"/>
      <c r="G1" s="548"/>
      <c r="H1" s="548"/>
      <c r="I1" s="548"/>
      <c r="J1" s="548"/>
      <c r="K1" s="548"/>
      <c r="L1" s="548"/>
      <c r="M1" s="548"/>
      <c r="N1" s="548"/>
      <c r="O1" s="548"/>
      <c r="P1" s="548"/>
      <c r="Q1" s="548"/>
      <c r="R1" s="548"/>
      <c r="S1" s="548"/>
    </row>
    <row r="2" spans="1:19" ht="15.75" thickBot="1" x14ac:dyDescent="0.3">
      <c r="A2" s="705" t="s">
        <v>328</v>
      </c>
      <c r="B2" s="372"/>
    </row>
    <row r="3" spans="1:19" x14ac:dyDescent="0.25">
      <c r="A3" s="614" t="s">
        <v>235</v>
      </c>
      <c r="B3" s="615"/>
      <c r="C3" s="616" t="s">
        <v>224</v>
      </c>
      <c r="D3" s="617"/>
      <c r="E3" s="617"/>
      <c r="F3" s="618"/>
      <c r="G3" s="619" t="s">
        <v>225</v>
      </c>
      <c r="H3" s="620"/>
      <c r="I3" s="620"/>
      <c r="J3" s="621"/>
      <c r="K3" s="622" t="s">
        <v>234</v>
      </c>
      <c r="L3" s="623"/>
      <c r="M3" s="623"/>
      <c r="N3" s="623"/>
      <c r="O3" s="624"/>
      <c r="P3" s="620" t="s">
        <v>293</v>
      </c>
      <c r="Q3" s="620"/>
      <c r="R3" s="620"/>
      <c r="S3" s="621"/>
    </row>
    <row r="4" spans="1:19" ht="15.75" thickBot="1" x14ac:dyDescent="0.3">
      <c r="A4" s="594">
        <v>2020</v>
      </c>
      <c r="B4" s="595"/>
      <c r="C4" s="596" t="s">
        <v>292</v>
      </c>
      <c r="D4" s="598" t="s">
        <v>130</v>
      </c>
      <c r="E4" s="598" t="s">
        <v>95</v>
      </c>
      <c r="F4" s="600" t="s">
        <v>68</v>
      </c>
      <c r="G4" s="588" t="s">
        <v>226</v>
      </c>
      <c r="H4" s="590" t="s">
        <v>230</v>
      </c>
      <c r="I4" s="590" t="s">
        <v>291</v>
      </c>
      <c r="J4" s="592" t="s">
        <v>227</v>
      </c>
      <c r="K4" s="611" t="s">
        <v>290</v>
      </c>
      <c r="L4" s="612"/>
      <c r="M4" s="612"/>
      <c r="N4" s="613"/>
      <c r="O4" s="600" t="s">
        <v>289</v>
      </c>
      <c r="P4" s="603" t="s">
        <v>288</v>
      </c>
      <c r="Q4" s="603" t="s">
        <v>237</v>
      </c>
      <c r="R4" s="605" t="s">
        <v>95</v>
      </c>
      <c r="S4" s="607" t="s">
        <v>236</v>
      </c>
    </row>
    <row r="5" spans="1:19" s="494" customFormat="1" ht="19.149999999999999" customHeight="1" x14ac:dyDescent="0.25">
      <c r="A5" s="609" t="s">
        <v>287</v>
      </c>
      <c r="B5" s="610"/>
      <c r="C5" s="597"/>
      <c r="D5" s="599"/>
      <c r="E5" s="599"/>
      <c r="F5" s="601"/>
      <c r="G5" s="589"/>
      <c r="H5" s="591"/>
      <c r="I5" s="591"/>
      <c r="J5" s="593"/>
      <c r="K5" s="497" t="s">
        <v>228</v>
      </c>
      <c r="L5" s="496" t="s">
        <v>229</v>
      </c>
      <c r="M5" s="496" t="s">
        <v>286</v>
      </c>
      <c r="N5" s="495" t="s">
        <v>3</v>
      </c>
      <c r="O5" s="601"/>
      <c r="P5" s="604"/>
      <c r="Q5" s="604"/>
      <c r="R5" s="606"/>
      <c r="S5" s="608"/>
    </row>
    <row r="6" spans="1:19" ht="15.75" thickBot="1" x14ac:dyDescent="0.3">
      <c r="A6" s="586" t="s">
        <v>223</v>
      </c>
      <c r="B6" s="587"/>
      <c r="C6" s="493">
        <f ca="1">SUM(Tabulka[01 uv_sk])/2</f>
        <v>99.100000000000009</v>
      </c>
      <c r="D6" s="491"/>
      <c r="E6" s="491"/>
      <c r="F6" s="490"/>
      <c r="G6" s="492">
        <f ca="1">SUM(Tabulka[05 h_vram])/2</f>
        <v>72414.19</v>
      </c>
      <c r="H6" s="491">
        <f ca="1">SUM(Tabulka[06 h_naduv])/2</f>
        <v>5499.75</v>
      </c>
      <c r="I6" s="491">
        <f ca="1">SUM(Tabulka[07 h_nadzk])/2</f>
        <v>1052.94</v>
      </c>
      <c r="J6" s="490">
        <f ca="1">SUM(Tabulka[08 h_oon])/2</f>
        <v>0</v>
      </c>
      <c r="K6" s="492">
        <f ca="1">SUM(Tabulka[09 m_kl])/2</f>
        <v>0</v>
      </c>
      <c r="L6" s="491">
        <f ca="1">SUM(Tabulka[10 m_gr])/2</f>
        <v>0</v>
      </c>
      <c r="M6" s="491">
        <f ca="1">SUM(Tabulka[11 m_jo])/2</f>
        <v>117900</v>
      </c>
      <c r="N6" s="491">
        <f ca="1">SUM(Tabulka[12 m_oc])/2</f>
        <v>117900</v>
      </c>
      <c r="O6" s="490">
        <f ca="1">SUM(Tabulka[13 m_sk])/2</f>
        <v>30752884</v>
      </c>
      <c r="P6" s="489">
        <f ca="1">SUM(Tabulka[14_vzsk])/2</f>
        <v>15480</v>
      </c>
      <c r="Q6" s="489">
        <f ca="1">SUM(Tabulka[15_vzpl])/2</f>
        <v>44890.029325513198</v>
      </c>
      <c r="R6" s="488">
        <f ca="1">IF(Q6=0,0,P6/Q6)</f>
        <v>0.34484272415482603</v>
      </c>
      <c r="S6" s="487">
        <f ca="1">Q6-P6</f>
        <v>29410.029325513198</v>
      </c>
    </row>
    <row r="7" spans="1:19" hidden="1" x14ac:dyDescent="0.25">
      <c r="A7" s="486" t="s">
        <v>285</v>
      </c>
      <c r="B7" s="485" t="s">
        <v>284</v>
      </c>
      <c r="C7" s="484" t="s">
        <v>283</v>
      </c>
      <c r="D7" s="483" t="s">
        <v>282</v>
      </c>
      <c r="E7" s="482" t="s">
        <v>281</v>
      </c>
      <c r="F7" s="481" t="s">
        <v>280</v>
      </c>
      <c r="G7" s="480" t="s">
        <v>279</v>
      </c>
      <c r="H7" s="478" t="s">
        <v>278</v>
      </c>
      <c r="I7" s="478" t="s">
        <v>277</v>
      </c>
      <c r="J7" s="477" t="s">
        <v>276</v>
      </c>
      <c r="K7" s="479" t="s">
        <v>275</v>
      </c>
      <c r="L7" s="478" t="s">
        <v>274</v>
      </c>
      <c r="M7" s="478" t="s">
        <v>273</v>
      </c>
      <c r="N7" s="477" t="s">
        <v>272</v>
      </c>
      <c r="O7" s="476" t="s">
        <v>271</v>
      </c>
      <c r="P7" s="475" t="s">
        <v>270</v>
      </c>
      <c r="Q7" s="474" t="s">
        <v>269</v>
      </c>
      <c r="R7" s="473" t="s">
        <v>268</v>
      </c>
      <c r="S7" s="472" t="s">
        <v>267</v>
      </c>
    </row>
    <row r="8" spans="1:19" x14ac:dyDescent="0.25">
      <c r="A8" s="469" t="s">
        <v>266</v>
      </c>
      <c r="B8" s="468"/>
      <c r="C8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22</v>
      </c>
      <c r="D8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17464</v>
      </c>
      <c r="H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3297.5</v>
      </c>
      <c r="I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241</v>
      </c>
      <c r="J8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21700</v>
      </c>
      <c r="N8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21700</v>
      </c>
      <c r="O8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12862093</v>
      </c>
      <c r="P8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7100</v>
      </c>
      <c r="Q8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24890.029325513198</v>
      </c>
      <c r="R8" s="471">
        <f ca="1">IF(Tabulka[[#This Row],[15_vzpl]]=0,"",Tabulka[[#This Row],[14_vzsk]]/Tabulka[[#This Row],[15_vzpl]])</f>
        <v>0.28525478645066271</v>
      </c>
      <c r="S8" s="470">
        <f ca="1">IF(Tabulka[[#This Row],[15_vzpl]]-Tabulka[[#This Row],[14_vzsk]]=0,"",Tabulka[[#This Row],[15_vzpl]]-Tabulka[[#This Row],[14_vzsk]])</f>
        <v>17790.029325513198</v>
      </c>
    </row>
    <row r="9" spans="1:19" x14ac:dyDescent="0.25">
      <c r="A9" s="469">
        <v>99</v>
      </c>
      <c r="B9" s="468" t="s">
        <v>5327</v>
      </c>
      <c r="C9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9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816</v>
      </c>
      <c r="H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71</v>
      </c>
      <c r="I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9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9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9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264401</v>
      </c>
      <c r="P9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7100</v>
      </c>
      <c r="Q9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24890.029325513198</v>
      </c>
      <c r="R9" s="471">
        <f ca="1">IF(Tabulka[[#This Row],[15_vzpl]]=0,"",Tabulka[[#This Row],[14_vzsk]]/Tabulka[[#This Row],[15_vzpl]])</f>
        <v>0.28525478645066271</v>
      </c>
      <c r="S9" s="470">
        <f ca="1">IF(Tabulka[[#This Row],[15_vzpl]]-Tabulka[[#This Row],[14_vzsk]]=0,"",Tabulka[[#This Row],[15_vzpl]]-Tabulka[[#This Row],[14_vzsk]])</f>
        <v>17790.029325513198</v>
      </c>
    </row>
    <row r="10" spans="1:19" x14ac:dyDescent="0.25">
      <c r="A10" s="469">
        <v>100</v>
      </c>
      <c r="B10" s="468" t="s">
        <v>5328</v>
      </c>
      <c r="C10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</v>
      </c>
      <c r="D10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2376</v>
      </c>
      <c r="H1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537.5</v>
      </c>
      <c r="I1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0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8000</v>
      </c>
      <c r="N10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8000</v>
      </c>
      <c r="O10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1098638</v>
      </c>
      <c r="P10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0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0" s="471" t="str">
        <f ca="1">IF(Tabulka[[#This Row],[15_vzpl]]=0,"",Tabulka[[#This Row],[14_vzsk]]/Tabulka[[#This Row],[15_vzpl]])</f>
        <v/>
      </c>
      <c r="S10" s="470" t="str">
        <f ca="1">IF(Tabulka[[#This Row],[15_vzpl]]-Tabulka[[#This Row],[14_vzsk]]=0,"",Tabulka[[#This Row],[15_vzpl]]-Tabulka[[#This Row],[14_vzsk]])</f>
        <v/>
      </c>
    </row>
    <row r="11" spans="1:19" x14ac:dyDescent="0.25">
      <c r="A11" s="469">
        <v>101</v>
      </c>
      <c r="B11" s="468" t="s">
        <v>5329</v>
      </c>
      <c r="C11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18</v>
      </c>
      <c r="D11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14272</v>
      </c>
      <c r="H1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2689</v>
      </c>
      <c r="I1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241</v>
      </c>
      <c r="J11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13700</v>
      </c>
      <c r="N11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13700</v>
      </c>
      <c r="O11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11499054</v>
      </c>
      <c r="P11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1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1" s="471" t="str">
        <f ca="1">IF(Tabulka[[#This Row],[15_vzpl]]=0,"",Tabulka[[#This Row],[14_vzsk]]/Tabulka[[#This Row],[15_vzpl]])</f>
        <v/>
      </c>
      <c r="S11" s="470" t="str">
        <f ca="1">IF(Tabulka[[#This Row],[15_vzpl]]-Tabulka[[#This Row],[14_vzsk]]=0,"",Tabulka[[#This Row],[15_vzpl]]-Tabulka[[#This Row],[14_vzsk]])</f>
        <v/>
      </c>
    </row>
    <row r="12" spans="1:19" x14ac:dyDescent="0.25">
      <c r="A12" s="469" t="s">
        <v>5318</v>
      </c>
      <c r="B12" s="468"/>
      <c r="C12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2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784</v>
      </c>
      <c r="H1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47</v>
      </c>
      <c r="I1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2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2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2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303491</v>
      </c>
      <c r="P12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2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2" s="471" t="str">
        <f ca="1">IF(Tabulka[[#This Row],[15_vzpl]]=0,"",Tabulka[[#This Row],[14_vzsk]]/Tabulka[[#This Row],[15_vzpl]])</f>
        <v/>
      </c>
      <c r="S12" s="470" t="str">
        <f ca="1">IF(Tabulka[[#This Row],[15_vzpl]]-Tabulka[[#This Row],[14_vzsk]]=0,"",Tabulka[[#This Row],[15_vzpl]]-Tabulka[[#This Row],[14_vzsk]])</f>
        <v/>
      </c>
    </row>
    <row r="13" spans="1:19" x14ac:dyDescent="0.25">
      <c r="A13" s="469">
        <v>526</v>
      </c>
      <c r="B13" s="468" t="s">
        <v>5330</v>
      </c>
      <c r="C13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3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784</v>
      </c>
      <c r="H13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47</v>
      </c>
      <c r="I13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3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3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3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3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3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303491</v>
      </c>
      <c r="P13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3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3" s="471" t="str">
        <f ca="1">IF(Tabulka[[#This Row],[15_vzpl]]=0,"",Tabulka[[#This Row],[14_vzsk]]/Tabulka[[#This Row],[15_vzpl]])</f>
        <v/>
      </c>
      <c r="S13" s="470" t="str">
        <f ca="1">IF(Tabulka[[#This Row],[15_vzpl]]-Tabulka[[#This Row],[14_vzsk]]=0,"",Tabulka[[#This Row],[15_vzpl]]-Tabulka[[#This Row],[14_vzsk]])</f>
        <v/>
      </c>
    </row>
    <row r="14" spans="1:19" x14ac:dyDescent="0.25">
      <c r="A14" s="469" t="s">
        <v>5319</v>
      </c>
      <c r="B14" s="468"/>
      <c r="C14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74.099999999999994</v>
      </c>
      <c r="D14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4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4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4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52578.19</v>
      </c>
      <c r="H14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2155.25</v>
      </c>
      <c r="I14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811.93999999999994</v>
      </c>
      <c r="J14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4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4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4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96200</v>
      </c>
      <c r="N14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96200</v>
      </c>
      <c r="O14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17250912</v>
      </c>
      <c r="P14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8380</v>
      </c>
      <c r="Q14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20000</v>
      </c>
      <c r="R14" s="471">
        <f ca="1">IF(Tabulka[[#This Row],[15_vzpl]]=0,"",Tabulka[[#This Row],[14_vzsk]]/Tabulka[[#This Row],[15_vzpl]])</f>
        <v>0.41899999999999998</v>
      </c>
      <c r="S14" s="470">
        <f ca="1">IF(Tabulka[[#This Row],[15_vzpl]]-Tabulka[[#This Row],[14_vzsk]]=0,"",Tabulka[[#This Row],[15_vzpl]]-Tabulka[[#This Row],[14_vzsk]])</f>
        <v>11620</v>
      </c>
    </row>
    <row r="15" spans="1:19" x14ac:dyDescent="0.25">
      <c r="A15" s="469">
        <v>303</v>
      </c>
      <c r="B15" s="468" t="s">
        <v>5331</v>
      </c>
      <c r="C15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15.25</v>
      </c>
      <c r="D15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5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5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5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9649</v>
      </c>
      <c r="H15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317.75</v>
      </c>
      <c r="I15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356.38</v>
      </c>
      <c r="J15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5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5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5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25312</v>
      </c>
      <c r="N15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25312</v>
      </c>
      <c r="O15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2936836</v>
      </c>
      <c r="P15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8380</v>
      </c>
      <c r="Q15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20000</v>
      </c>
      <c r="R15" s="471">
        <f ca="1">IF(Tabulka[[#This Row],[15_vzpl]]=0,"",Tabulka[[#This Row],[14_vzsk]]/Tabulka[[#This Row],[15_vzpl]])</f>
        <v>0.41899999999999998</v>
      </c>
      <c r="S15" s="470">
        <f ca="1">IF(Tabulka[[#This Row],[15_vzpl]]-Tabulka[[#This Row],[14_vzsk]]=0,"",Tabulka[[#This Row],[15_vzpl]]-Tabulka[[#This Row],[14_vzsk]])</f>
        <v>11620</v>
      </c>
    </row>
    <row r="16" spans="1:19" x14ac:dyDescent="0.25">
      <c r="A16" s="469">
        <v>304</v>
      </c>
      <c r="B16" s="468" t="s">
        <v>5332</v>
      </c>
      <c r="C16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25.3</v>
      </c>
      <c r="D16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6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6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6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19054.5</v>
      </c>
      <c r="H16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1047</v>
      </c>
      <c r="I16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274.5</v>
      </c>
      <c r="J16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6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6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6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33046</v>
      </c>
      <c r="N16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33046</v>
      </c>
      <c r="O16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7006201</v>
      </c>
      <c r="P16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6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6" s="471" t="str">
        <f ca="1">IF(Tabulka[[#This Row],[15_vzpl]]=0,"",Tabulka[[#This Row],[14_vzsk]]/Tabulka[[#This Row],[15_vzpl]])</f>
        <v/>
      </c>
      <c r="S16" s="470" t="str">
        <f ca="1">IF(Tabulka[[#This Row],[15_vzpl]]-Tabulka[[#This Row],[14_vzsk]]=0,"",Tabulka[[#This Row],[15_vzpl]]-Tabulka[[#This Row],[14_vzsk]])</f>
        <v/>
      </c>
    </row>
    <row r="17" spans="1:19" x14ac:dyDescent="0.25">
      <c r="A17" s="469">
        <v>305</v>
      </c>
      <c r="B17" s="468" t="s">
        <v>5333</v>
      </c>
      <c r="C17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17.25</v>
      </c>
      <c r="D17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7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7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7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12960</v>
      </c>
      <c r="H17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678</v>
      </c>
      <c r="I17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150.25</v>
      </c>
      <c r="J17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7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7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7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31722</v>
      </c>
      <c r="N17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31722</v>
      </c>
      <c r="O17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4956287</v>
      </c>
      <c r="P17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7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7" s="471" t="str">
        <f ca="1">IF(Tabulka[[#This Row],[15_vzpl]]=0,"",Tabulka[[#This Row],[14_vzsk]]/Tabulka[[#This Row],[15_vzpl]])</f>
        <v/>
      </c>
      <c r="S17" s="470" t="str">
        <f ca="1">IF(Tabulka[[#This Row],[15_vzpl]]-Tabulka[[#This Row],[14_vzsk]]=0,"",Tabulka[[#This Row],[15_vzpl]]-Tabulka[[#This Row],[14_vzsk]])</f>
        <v/>
      </c>
    </row>
    <row r="18" spans="1:19" x14ac:dyDescent="0.25">
      <c r="A18" s="469">
        <v>418</v>
      </c>
      <c r="B18" s="468" t="s">
        <v>5334</v>
      </c>
      <c r="C18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3.9</v>
      </c>
      <c r="D18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8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8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8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2655</v>
      </c>
      <c r="H1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8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8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8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741197</v>
      </c>
      <c r="P18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8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8" s="471" t="str">
        <f ca="1">IF(Tabulka[[#This Row],[15_vzpl]]=0,"",Tabulka[[#This Row],[14_vzsk]]/Tabulka[[#This Row],[15_vzpl]])</f>
        <v/>
      </c>
      <c r="S18" s="470" t="str">
        <f ca="1">IF(Tabulka[[#This Row],[15_vzpl]]-Tabulka[[#This Row],[14_vzsk]]=0,"",Tabulka[[#This Row],[15_vzpl]]-Tabulka[[#This Row],[14_vzsk]])</f>
        <v/>
      </c>
    </row>
    <row r="19" spans="1:19" x14ac:dyDescent="0.25">
      <c r="A19" s="469">
        <v>424</v>
      </c>
      <c r="B19" s="468" t="s">
        <v>5335</v>
      </c>
      <c r="C19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4.25</v>
      </c>
      <c r="D19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9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9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9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2250.69</v>
      </c>
      <c r="H1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</v>
      </c>
      <c r="I1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22.810000000000002</v>
      </c>
      <c r="J19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6120</v>
      </c>
      <c r="N19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6120</v>
      </c>
      <c r="O19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508699</v>
      </c>
      <c r="P19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9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9" s="471" t="str">
        <f ca="1">IF(Tabulka[[#This Row],[15_vzpl]]=0,"",Tabulka[[#This Row],[14_vzsk]]/Tabulka[[#This Row],[15_vzpl]])</f>
        <v/>
      </c>
      <c r="S19" s="470" t="str">
        <f ca="1">IF(Tabulka[[#This Row],[15_vzpl]]-Tabulka[[#This Row],[14_vzsk]]=0,"",Tabulka[[#This Row],[15_vzpl]]-Tabulka[[#This Row],[14_vzsk]])</f>
        <v/>
      </c>
    </row>
    <row r="20" spans="1:19" x14ac:dyDescent="0.25">
      <c r="A20" s="469">
        <v>636</v>
      </c>
      <c r="B20" s="468" t="s">
        <v>5336</v>
      </c>
      <c r="C20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1.4</v>
      </c>
      <c r="D20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0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0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0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816</v>
      </c>
      <c r="H2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0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20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20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171553</v>
      </c>
      <c r="P20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0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0" s="471" t="str">
        <f ca="1">IF(Tabulka[[#This Row],[15_vzpl]]=0,"",Tabulka[[#This Row],[14_vzsk]]/Tabulka[[#This Row],[15_vzpl]])</f>
        <v/>
      </c>
      <c r="S20" s="470" t="str">
        <f ca="1">IF(Tabulka[[#This Row],[15_vzpl]]-Tabulka[[#This Row],[14_vzsk]]=0,"",Tabulka[[#This Row],[15_vzpl]]-Tabulka[[#This Row],[14_vzsk]])</f>
        <v/>
      </c>
    </row>
    <row r="21" spans="1:19" x14ac:dyDescent="0.25">
      <c r="A21" s="469">
        <v>642</v>
      </c>
      <c r="B21" s="468" t="s">
        <v>5337</v>
      </c>
      <c r="C21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6.75</v>
      </c>
      <c r="D21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1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1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1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5193</v>
      </c>
      <c r="H2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102.5</v>
      </c>
      <c r="I2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</v>
      </c>
      <c r="J21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21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21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930139</v>
      </c>
      <c r="P21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1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1" s="471" t="str">
        <f ca="1">IF(Tabulka[[#This Row],[15_vzpl]]=0,"",Tabulka[[#This Row],[14_vzsk]]/Tabulka[[#This Row],[15_vzpl]])</f>
        <v/>
      </c>
      <c r="S21" s="470" t="str">
        <f ca="1">IF(Tabulka[[#This Row],[15_vzpl]]-Tabulka[[#This Row],[14_vzsk]]=0,"",Tabulka[[#This Row],[15_vzpl]]-Tabulka[[#This Row],[14_vzsk]])</f>
        <v/>
      </c>
    </row>
    <row r="22" spans="1:19" x14ac:dyDescent="0.25">
      <c r="A22" s="469" t="s">
        <v>5320</v>
      </c>
      <c r="B22" s="468"/>
      <c r="C22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</v>
      </c>
      <c r="D22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2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2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2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1588</v>
      </c>
      <c r="H2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2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22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22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336388</v>
      </c>
      <c r="P22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2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2" s="471" t="str">
        <f ca="1">IF(Tabulka[[#This Row],[15_vzpl]]=0,"",Tabulka[[#This Row],[14_vzsk]]/Tabulka[[#This Row],[15_vzpl]])</f>
        <v/>
      </c>
      <c r="S22" s="470" t="str">
        <f ca="1">IF(Tabulka[[#This Row],[15_vzpl]]-Tabulka[[#This Row],[14_vzsk]]=0,"",Tabulka[[#This Row],[15_vzpl]]-Tabulka[[#This Row],[14_vzsk]])</f>
        <v/>
      </c>
    </row>
    <row r="23" spans="1:19" x14ac:dyDescent="0.25">
      <c r="A23" s="469">
        <v>30</v>
      </c>
      <c r="B23" s="468" t="s">
        <v>5338</v>
      </c>
      <c r="C23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</v>
      </c>
      <c r="D23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3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3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3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1588</v>
      </c>
      <c r="H23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3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3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3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3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3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23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23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336388</v>
      </c>
      <c r="P23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3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3" s="471" t="str">
        <f ca="1">IF(Tabulka[[#This Row],[15_vzpl]]=0,"",Tabulka[[#This Row],[14_vzsk]]/Tabulka[[#This Row],[15_vzpl]])</f>
        <v/>
      </c>
      <c r="S23" s="470" t="str">
        <f ca="1">IF(Tabulka[[#This Row],[15_vzpl]]-Tabulka[[#This Row],[14_vzsk]]=0,"",Tabulka[[#This Row],[15_vzpl]]-Tabulka[[#This Row],[14_vzsk]])</f>
        <v/>
      </c>
    </row>
    <row r="24" spans="1:19" x14ac:dyDescent="0.25">
      <c r="A24" t="s">
        <v>295</v>
      </c>
    </row>
    <row r="25" spans="1:19" x14ac:dyDescent="0.25">
      <c r="A25" s="222" t="s">
        <v>201</v>
      </c>
    </row>
    <row r="26" spans="1:19" x14ac:dyDescent="0.25">
      <c r="A26" s="223" t="s">
        <v>265</v>
      </c>
    </row>
    <row r="27" spans="1:19" x14ac:dyDescent="0.25">
      <c r="A27" s="461" t="s">
        <v>264</v>
      </c>
    </row>
    <row r="28" spans="1:19" x14ac:dyDescent="0.25">
      <c r="A28" s="374" t="s">
        <v>233</v>
      </c>
    </row>
    <row r="29" spans="1:19" x14ac:dyDescent="0.25">
      <c r="A29" s="376" t="s">
        <v>238</v>
      </c>
    </row>
  </sheetData>
  <mergeCells count="23"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</mergeCells>
  <conditionalFormatting sqref="S6:S23">
    <cfRule type="cellIs" dxfId="25" priority="3" operator="lessThan">
      <formula>0</formula>
    </cfRule>
  </conditionalFormatting>
  <conditionalFormatting sqref="R6:R23">
    <cfRule type="cellIs" dxfId="24" priority="4" operator="greaterThan">
      <formula>1</formula>
    </cfRule>
  </conditionalFormatting>
  <conditionalFormatting sqref="A8:S23">
    <cfRule type="expression" dxfId="23" priority="2">
      <formula>$B8=""</formula>
    </cfRule>
  </conditionalFormatting>
  <conditionalFormatting sqref="P8:S23">
    <cfRule type="expression" dxfId="22" priority="1">
      <formula>$B8&lt;&gt;""</formula>
    </cfRule>
  </conditionalFormatting>
  <dataValidations count="1">
    <dataValidation type="list" allowBlank="1" showInputMessage="1" showErrorMessage="1" sqref="A4:B4" xr:uid="{00000000-0002-0000-1A00-000000000000}">
      <formula1>Obdobi</formula1>
    </dataValidation>
  </dataValidations>
  <hyperlinks>
    <hyperlink ref="A2" location="Obsah!A1" display="Zpět na Obsah  KL 01  1.-4.měsíc" xr:uid="{3E44A5D6-B7D6-4987-9211-C0CCDC272D53}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14">
    <tabColor rgb="FFFFFF66"/>
    <pageSetUpPr fitToPage="1"/>
  </sheetPr>
  <dimension ref="A1:E34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ColWidth="8.85546875" defaultRowHeight="12.75" x14ac:dyDescent="0.2"/>
  <cols>
    <col min="1" max="1" width="104.140625" style="270" bestFit="1" customWidth="1"/>
    <col min="2" max="2" width="11.7109375" style="270" hidden="1" customWidth="1"/>
    <col min="3" max="4" width="11" style="272" customWidth="1"/>
    <col min="5" max="5" width="11" style="273" customWidth="1"/>
    <col min="6" max="16384" width="8.85546875" style="270"/>
  </cols>
  <sheetData>
    <row r="1" spans="1:5" ht="19.5" thickBot="1" x14ac:dyDescent="0.35">
      <c r="A1" s="516" t="s">
        <v>150</v>
      </c>
      <c r="B1" s="516"/>
      <c r="C1" s="517"/>
      <c r="D1" s="517"/>
      <c r="E1" s="517"/>
    </row>
    <row r="2" spans="1:5" ht="14.45" customHeight="1" thickBot="1" x14ac:dyDescent="0.25">
      <c r="A2" s="705" t="s">
        <v>328</v>
      </c>
      <c r="B2" s="271"/>
    </row>
    <row r="3" spans="1:5" ht="14.45" customHeight="1" thickBot="1" x14ac:dyDescent="0.25">
      <c r="A3" s="274"/>
      <c r="C3" s="275" t="s">
        <v>130</v>
      </c>
      <c r="D3" s="276" t="s">
        <v>93</v>
      </c>
      <c r="E3" s="277" t="s">
        <v>95</v>
      </c>
    </row>
    <row r="4" spans="1:5" ht="14.45" customHeight="1" thickBot="1" x14ac:dyDescent="0.25">
      <c r="A4" s="278" t="str">
        <f>HYPERLINK("#HI!A1","NÁKLADY CELKEM (v tisících Kč)")</f>
        <v>NÁKLADY CELKEM (v tisících Kč)</v>
      </c>
      <c r="B4" s="279"/>
      <c r="C4" s="280">
        <f ca="1">IF(ISERROR(VLOOKUP("Náklady celkem",INDIRECT("HI!$A:$G"),6,0)),0,VLOOKUP("Náklady celkem",INDIRECT("HI!$A:$G"),6,0))</f>
        <v>0</v>
      </c>
      <c r="D4" s="280">
        <f ca="1">IF(ISERROR(VLOOKUP("Náklady celkem",INDIRECT("HI!$A:$G"),5,0)),0,VLOOKUP("Náklady celkem",INDIRECT("HI!$A:$G"),5,0))</f>
        <v>73238.640350000001</v>
      </c>
      <c r="E4" s="281">
        <f ca="1">IF(C4=0,0,D4/C4)</f>
        <v>0</v>
      </c>
    </row>
    <row r="5" spans="1:5" ht="14.45" customHeight="1" x14ac:dyDescent="0.2">
      <c r="A5" s="282" t="s">
        <v>193</v>
      </c>
      <c r="B5" s="283"/>
      <c r="C5" s="284"/>
      <c r="D5" s="284"/>
      <c r="E5" s="285"/>
    </row>
    <row r="6" spans="1:5" ht="14.45" customHeight="1" x14ac:dyDescent="0.2">
      <c r="A6" s="286" t="s">
        <v>198</v>
      </c>
      <c r="B6" s="287"/>
      <c r="C6" s="288"/>
      <c r="D6" s="288"/>
      <c r="E6" s="285"/>
    </row>
    <row r="7" spans="1:5" ht="14.45" customHeight="1" x14ac:dyDescent="0.25">
      <c r="A7" s="401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287" t="s">
        <v>135</v>
      </c>
      <c r="C7" s="288">
        <f>IF(ISERROR(HI!F5),"",HI!F5)</f>
        <v>0</v>
      </c>
      <c r="D7" s="288">
        <f>IF(ISERROR(HI!E5),"",HI!E5)</f>
        <v>3735.4323600000007</v>
      </c>
      <c r="E7" s="285">
        <f t="shared" ref="E7:E15" si="0">IF(C7=0,0,D7/C7)</f>
        <v>0</v>
      </c>
    </row>
    <row r="8" spans="1:5" ht="14.45" customHeight="1" x14ac:dyDescent="0.25">
      <c r="A8" s="401" t="str">
        <f>HYPERLINK("#'LŽ PL'!A1","Plnění pozitivního listu (min. 90%)")</f>
        <v>Plnění pozitivního listu (min. 90%)</v>
      </c>
      <c r="B8" s="287" t="s">
        <v>185</v>
      </c>
      <c r="C8" s="289">
        <v>0.9</v>
      </c>
      <c r="D8" s="289">
        <f>IF(ISERROR(VLOOKUP("celkem",'LŽ PL'!$A:$F,5,0)),0,VLOOKUP("celkem",'LŽ PL'!$A:$F,5,0))</f>
        <v>0.91120689849378611</v>
      </c>
      <c r="E8" s="285">
        <f t="shared" si="0"/>
        <v>1.01245210943754</v>
      </c>
    </row>
    <row r="9" spans="1:5" ht="14.45" customHeight="1" x14ac:dyDescent="0.25">
      <c r="A9" s="401" t="str">
        <f>HYPERLINK("#'LŽ Statim'!A1","Podíl statimových žádanek (max. 30%)")</f>
        <v>Podíl statimových žádanek (max. 30%)</v>
      </c>
      <c r="B9" s="399" t="s">
        <v>251</v>
      </c>
      <c r="C9" s="400">
        <v>0.3</v>
      </c>
      <c r="D9" s="400">
        <f>IF('LŽ Statim'!G3="",0,'LŽ Statim'!G3)</f>
        <v>0.23079187518398586</v>
      </c>
      <c r="E9" s="285">
        <f>IF(C9=0,0,D9/C9)</f>
        <v>0.76930625061328628</v>
      </c>
    </row>
    <row r="10" spans="1:5" ht="14.45" customHeight="1" x14ac:dyDescent="0.2">
      <c r="A10" s="290" t="s">
        <v>194</v>
      </c>
      <c r="B10" s="287"/>
      <c r="C10" s="288"/>
      <c r="D10" s="288"/>
      <c r="E10" s="285"/>
    </row>
    <row r="11" spans="1:5" ht="14.45" customHeight="1" x14ac:dyDescent="0.25">
      <c r="A11" s="401" t="str">
        <f>HYPERLINK("#'Léky Recepty'!A1","Záchyt v lékárně (Úhrada Kč, min. 60%)")</f>
        <v>Záchyt v lékárně (Úhrada Kč, min. 60%)</v>
      </c>
      <c r="B11" s="287" t="s">
        <v>140</v>
      </c>
      <c r="C11" s="289">
        <v>0.6</v>
      </c>
      <c r="D11" s="289">
        <f>IF(ISERROR(VLOOKUP("Celkem",'Léky Recepty'!B:H,5,0)),0,VLOOKUP("Celkem",'Léky Recepty'!B:H,5,0))</f>
        <v>0.42085476995827337</v>
      </c>
      <c r="E11" s="285">
        <f t="shared" si="0"/>
        <v>0.7014246165971223</v>
      </c>
    </row>
    <row r="12" spans="1:5" ht="14.45" customHeight="1" x14ac:dyDescent="0.25">
      <c r="A12" s="401" t="str">
        <f>HYPERLINK("#'LRp PL'!A1","Plnění pozitivního listu (min. 80%)")</f>
        <v>Plnění pozitivního listu (min. 80%)</v>
      </c>
      <c r="B12" s="287" t="s">
        <v>186</v>
      </c>
      <c r="C12" s="289">
        <v>0.8</v>
      </c>
      <c r="D12" s="289">
        <f>IF(ISERROR(VLOOKUP("Celkem",'LRp PL'!A:F,5,0)),0,VLOOKUP("Celkem",'LRp PL'!A:F,5,0))</f>
        <v>0.86077422444196294</v>
      </c>
      <c r="E12" s="285">
        <f t="shared" si="0"/>
        <v>1.0759677805524537</v>
      </c>
    </row>
    <row r="13" spans="1:5" ht="14.45" customHeight="1" x14ac:dyDescent="0.2">
      <c r="A13" s="290" t="s">
        <v>195</v>
      </c>
      <c r="B13" s="287"/>
      <c r="C13" s="288"/>
      <c r="D13" s="288"/>
      <c r="E13" s="285"/>
    </row>
    <row r="14" spans="1:5" ht="14.45" customHeight="1" x14ac:dyDescent="0.2">
      <c r="A14" s="291" t="s">
        <v>199</v>
      </c>
      <c r="B14" s="287"/>
      <c r="C14" s="284"/>
      <c r="D14" s="284"/>
      <c r="E14" s="285"/>
    </row>
    <row r="15" spans="1:5" ht="14.45" customHeight="1" x14ac:dyDescent="0.2">
      <c r="A15" s="292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5" s="287" t="s">
        <v>135</v>
      </c>
      <c r="C15" s="288">
        <f>IF(ISERROR(HI!F6),"",HI!F6)</f>
        <v>0</v>
      </c>
      <c r="D15" s="288">
        <f>IF(ISERROR(HI!E6),"",HI!E6)</f>
        <v>15542.692749999997</v>
      </c>
      <c r="E15" s="285">
        <f t="shared" si="0"/>
        <v>0</v>
      </c>
    </row>
    <row r="16" spans="1:5" ht="14.45" customHeight="1" thickBot="1" x14ac:dyDescent="0.25">
      <c r="A16" s="293" t="str">
        <f>HYPERLINK("#HI!A1","Osobní náklady")</f>
        <v>Osobní náklady</v>
      </c>
      <c r="B16" s="287"/>
      <c r="C16" s="284">
        <f ca="1">IF(ISERROR(VLOOKUP("Osobní náklady (Kč) *",INDIRECT("HI!$A:$G"),6,0)),0,VLOOKUP("Osobní náklady (Kč) *",INDIRECT("HI!$A:$G"),6,0))</f>
        <v>0</v>
      </c>
      <c r="D16" s="284">
        <f ca="1">IF(ISERROR(VLOOKUP("Osobní náklady (Kč) *",INDIRECT("HI!$A:$G"),5,0)),0,VLOOKUP("Osobní náklady (Kč) *",INDIRECT("HI!$A:$G"),5,0))</f>
        <v>41732.966399999998</v>
      </c>
      <c r="E16" s="285">
        <f ca="1">IF(C16=0,0,D16/C16)</f>
        <v>0</v>
      </c>
    </row>
    <row r="17" spans="1:5" ht="14.45" customHeight="1" thickBot="1" x14ac:dyDescent="0.25">
      <c r="A17" s="297"/>
      <c r="B17" s="298"/>
      <c r="C17" s="299"/>
      <c r="D17" s="299"/>
      <c r="E17" s="300"/>
    </row>
    <row r="18" spans="1:5" ht="14.45" customHeight="1" thickBot="1" x14ac:dyDescent="0.25">
      <c r="A18" s="301" t="str">
        <f>HYPERLINK("#HI!A1","VÝNOSY CELKEM (v tisících)")</f>
        <v>VÝNOSY CELKEM (v tisících)</v>
      </c>
      <c r="B18" s="302"/>
      <c r="C18" s="303">
        <f ca="1">IF(ISERROR(VLOOKUP("Výnosy celkem",INDIRECT("HI!$A:$G"),6,0)),0,VLOOKUP("Výnosy celkem",INDIRECT("HI!$A:$G"),6,0))</f>
        <v>80189.806969999991</v>
      </c>
      <c r="D18" s="303">
        <f ca="1">IF(ISERROR(VLOOKUP("Výnosy celkem",INDIRECT("HI!$A:$G"),5,0)),0,VLOOKUP("Výnosy celkem",INDIRECT("HI!$A:$G"),5,0))</f>
        <v>60254.742620000005</v>
      </c>
      <c r="E18" s="304">
        <f t="shared" ref="E18:E31" ca="1" si="1">IF(C18=0,0,D18/C18)</f>
        <v>0.75140151718462245</v>
      </c>
    </row>
    <row r="19" spans="1:5" ht="14.45" customHeight="1" x14ac:dyDescent="0.2">
      <c r="A19" s="305" t="str">
        <f>HYPERLINK("#HI!A1","Ambulance (body za výkony + Kč za ZUM a ZULP)")</f>
        <v>Ambulance (body za výkony + Kč za ZUM a ZULP)</v>
      </c>
      <c r="B19" s="283"/>
      <c r="C19" s="284">
        <f ca="1">IF(ISERROR(VLOOKUP("Ambulance *",INDIRECT("HI!$A:$G"),6,0)),0,VLOOKUP("Ambulance *",INDIRECT("HI!$A:$G"),6,0))</f>
        <v>650.86696999999992</v>
      </c>
      <c r="D19" s="284">
        <f ca="1">IF(ISERROR(VLOOKUP("Ambulance *",INDIRECT("HI!$A:$G"),5,0)),0,VLOOKUP("Ambulance *",INDIRECT("HI!$A:$G"),5,0))</f>
        <v>613.84262000000012</v>
      </c>
      <c r="E19" s="285">
        <f t="shared" ca="1" si="1"/>
        <v>0.94311533430556505</v>
      </c>
    </row>
    <row r="20" spans="1:5" ht="14.45" customHeight="1" x14ac:dyDescent="0.25">
      <c r="A20" s="429" t="str">
        <f>HYPERLINK("#'ZV Vykáz.-A'!A1","Zdravotní výkony vykázané u ambulantních pacientů (min. 100 % 2016)")</f>
        <v>Zdravotní výkony vykázané u ambulantních pacientů (min. 100 % 2016)</v>
      </c>
      <c r="B20" s="430" t="s">
        <v>152</v>
      </c>
      <c r="C20" s="289">
        <v>1</v>
      </c>
      <c r="D20" s="289">
        <f>IF(ISERROR(VLOOKUP("Celkem:",'ZV Vykáz.-A'!$A:$AB,10,0)),"",VLOOKUP("Celkem:",'ZV Vykáz.-A'!$A:$AB,10,0))</f>
        <v>0.94311533430556493</v>
      </c>
      <c r="E20" s="285">
        <f t="shared" si="1"/>
        <v>0.94311533430556493</v>
      </c>
    </row>
    <row r="21" spans="1:5" ht="14.45" customHeight="1" x14ac:dyDescent="0.25">
      <c r="A21" s="427" t="str">
        <f>HYPERLINK("#'ZV Vykáz.-A'!A1","Specializovaná ambulantní péče")</f>
        <v>Specializovaná ambulantní péče</v>
      </c>
      <c r="B21" s="430" t="s">
        <v>152</v>
      </c>
      <c r="C21" s="289">
        <v>1</v>
      </c>
      <c r="D21" s="400">
        <f>IF(ISERROR(VLOOKUP("Specializovaná ambulantní péče",'ZV Vykáz.-A'!$A:$AB,10,0)),"",VLOOKUP("Specializovaná ambulantní péče",'ZV Vykáz.-A'!$A:$AB,10,0))</f>
        <v>0.94311533430556538</v>
      </c>
      <c r="E21" s="285">
        <f t="shared" si="1"/>
        <v>0.94311533430556538</v>
      </c>
    </row>
    <row r="22" spans="1:5" ht="14.45" customHeight="1" x14ac:dyDescent="0.25">
      <c r="A22" s="427" t="str">
        <f>HYPERLINK("#'ZV Vykáz.-A'!A1","Ambulantní péče ve vyjmenovaných odbornostech (§9)")</f>
        <v>Ambulantní péče ve vyjmenovaných odbornostech (§9)</v>
      </c>
      <c r="B22" s="430" t="s">
        <v>152</v>
      </c>
      <c r="C22" s="289">
        <v>1</v>
      </c>
      <c r="D22" s="400" t="str">
        <f>IF(ISERROR(VLOOKUP("Ambulantní péče ve vyjmenovaných odbornostech (§9) *",'ZV Vykáz.-A'!$A:$AB,10,0)),"",VLOOKUP("Ambulantní péče ve vyjmenovaných odbornostech (§9) *",'ZV Vykáz.-A'!$A:$AB,10,0))</f>
        <v/>
      </c>
      <c r="E22" s="285">
        <f>IF(OR(C22=0,D22=""),0,IF(C22="","",D22/C22))</f>
        <v>0</v>
      </c>
    </row>
    <row r="23" spans="1:5" ht="14.45" customHeight="1" x14ac:dyDescent="0.2">
      <c r="A23" s="306" t="str">
        <f>HYPERLINK("#'ZV Vykáz.-H'!A1","Zdravotní výkony vykázané u hospitalizovaných pacientů (max. 85 %)")</f>
        <v>Zdravotní výkony vykázané u hospitalizovaných pacientů (max. 85 %)</v>
      </c>
      <c r="B23" s="430" t="s">
        <v>154</v>
      </c>
      <c r="C23" s="289">
        <v>0.85</v>
      </c>
      <c r="D23" s="289">
        <f>IF(ISERROR(VLOOKUP("Celkem:",'ZV Vykáz.-H'!$A:$S,7,0)),"",VLOOKUP("Celkem:",'ZV Vykáz.-H'!$A:$S,7,0))</f>
        <v>0.74358739055007428</v>
      </c>
      <c r="E23" s="285">
        <f t="shared" si="1"/>
        <v>0.87480869476479328</v>
      </c>
    </row>
    <row r="24" spans="1:5" ht="14.45" customHeight="1" x14ac:dyDescent="0.2">
      <c r="A24" s="307" t="str">
        <f>HYPERLINK("#HI!A1","Hospitalizace (casemix * 30000)")</f>
        <v>Hospitalizace (casemix * 30000)</v>
      </c>
      <c r="B24" s="287"/>
      <c r="C24" s="284">
        <f ca="1">IF(ISERROR(VLOOKUP("Hospitalizace *",INDIRECT("HI!$A:$G"),6,0)),0,VLOOKUP("Hospitalizace *",INDIRECT("HI!$A:$G"),6,0))</f>
        <v>79538.939999999988</v>
      </c>
      <c r="D24" s="284">
        <f ca="1">IF(ISERROR(VLOOKUP("Hospitalizace *",INDIRECT("HI!$A:$G"),5,0)),0,VLOOKUP("Hospitalizace *",INDIRECT("HI!$A:$G"),5,0))</f>
        <v>59640.9</v>
      </c>
      <c r="E24" s="285">
        <f ca="1">IF(C24=0,0,D24/C24)</f>
        <v>0.74983272344338525</v>
      </c>
    </row>
    <row r="25" spans="1:5" ht="14.45" customHeight="1" x14ac:dyDescent="0.25">
      <c r="A25" s="429" t="str">
        <f>HYPERLINK("#'CaseMix'!A1","Casemix (min. 100 % 2016)")</f>
        <v>Casemix (min. 100 % 2016)</v>
      </c>
      <c r="B25" s="287" t="s">
        <v>70</v>
      </c>
      <c r="C25" s="289">
        <v>1</v>
      </c>
      <c r="D25" s="289">
        <f>IF(ISERROR(VLOOKUP("Celkem",CaseMix!A:O,6,0)),0,VLOOKUP("Celkem",CaseMix!A:O,6,0))</f>
        <v>0.74983272344338514</v>
      </c>
      <c r="E25" s="285">
        <f t="shared" si="1"/>
        <v>0.74983272344338514</v>
      </c>
    </row>
    <row r="26" spans="1:5" ht="14.45" customHeight="1" x14ac:dyDescent="0.25">
      <c r="A26" s="428" t="str">
        <f>HYPERLINK("#'CaseMix'!A1","DRG - Úhrada formou případového paušálu")</f>
        <v>DRG - Úhrada formou případového paušálu</v>
      </c>
      <c r="B26" s="287" t="s">
        <v>70</v>
      </c>
      <c r="C26" s="289">
        <v>1</v>
      </c>
      <c r="D26" s="289">
        <f>IF(ISERROR(CaseMix!F26),"",CaseMix!F26)</f>
        <v>0.74426491572112041</v>
      </c>
      <c r="E26" s="285">
        <f t="shared" si="1"/>
        <v>0.74426491572112041</v>
      </c>
    </row>
    <row r="27" spans="1:5" ht="14.45" customHeight="1" x14ac:dyDescent="0.25">
      <c r="A27" s="428" t="str">
        <f>HYPERLINK("#'CaseMix'!A1","DRG - Individuálně smluvně sjednaná složka úhrady")</f>
        <v>DRG - Individuálně smluvně sjednaná složka úhrady</v>
      </c>
      <c r="B27" s="287" t="s">
        <v>70</v>
      </c>
      <c r="C27" s="289">
        <v>1</v>
      </c>
      <c r="D27" s="289">
        <f>IF(ISERROR(CaseMix!F39),"",CaseMix!F39)</f>
        <v>1.2324558502546463</v>
      </c>
      <c r="E27" s="285">
        <f t="shared" si="1"/>
        <v>1.2324558502546463</v>
      </c>
    </row>
    <row r="28" spans="1:5" ht="14.45" customHeight="1" x14ac:dyDescent="0.25">
      <c r="A28" s="427" t="str">
        <f>HYPERLINK("#'CaseMix'!A1","DRG - Úhrada vyčleněná z úhrady formou případového paušálu")</f>
        <v>DRG - Úhrada vyčleněná z úhrady formou případového paušálu</v>
      </c>
      <c r="B28" s="287" t="s">
        <v>70</v>
      </c>
      <c r="C28" s="289">
        <v>1</v>
      </c>
      <c r="D28" s="289">
        <f>IF(ISERROR(CaseMix!F52),"",CaseMix!F52)</f>
        <v>0</v>
      </c>
      <c r="E28" s="285">
        <f t="shared" ref="E28" si="2">IF(C28=0,0,D28/C28)</f>
        <v>0</v>
      </c>
    </row>
    <row r="29" spans="1:5" ht="14.45" customHeight="1" x14ac:dyDescent="0.2">
      <c r="A29" s="306" t="str">
        <f>HYPERLINK("#'CaseMix'!A1","Počet hospitalizací ukončených na pracovišti (min. 95 %)")</f>
        <v>Počet hospitalizací ukončených na pracovišti (min. 95 %)</v>
      </c>
      <c r="B29" s="287" t="s">
        <v>70</v>
      </c>
      <c r="C29" s="289">
        <v>0.95</v>
      </c>
      <c r="D29" s="289">
        <f>IF(ISERROR(CaseMix!K13),"",CaseMix!K13)</f>
        <v>0.78913738019169333</v>
      </c>
      <c r="E29" s="285">
        <f t="shared" si="1"/>
        <v>0.83067092651757202</v>
      </c>
    </row>
    <row r="30" spans="1:5" ht="14.45" customHeight="1" x14ac:dyDescent="0.2">
      <c r="A30" s="306" t="str">
        <f>HYPERLINK("#'ALOS'!A1","Průměrná délka hospitalizace (max. 100 % republikového průměru)")</f>
        <v>Průměrná délka hospitalizace (max. 100 % republikového průměru)</v>
      </c>
      <c r="B30" s="287" t="s">
        <v>85</v>
      </c>
      <c r="C30" s="289">
        <v>1</v>
      </c>
      <c r="D30" s="308">
        <f>IF(ISERROR(INDEX(ALOS!$E:$E,COUNT(ALOS!$E:$E)+32)),0,INDEX(ALOS!$E:$E,COUNT(ALOS!$E:$E)+32))</f>
        <v>0.90434782608695652</v>
      </c>
      <c r="E30" s="285">
        <f t="shared" si="1"/>
        <v>0.90434782608695652</v>
      </c>
    </row>
    <row r="31" spans="1:5" ht="25.5" x14ac:dyDescent="0.2">
      <c r="A31" s="309" t="str">
        <f>HYPERLINK("#'ZV Vyžád.'!A1","Zdravotní výkony (vybraných odborností) vyžádané v rámci hospitalizace (95 % při splnění casemixu 100 %, při nesplnění casemixu 100 % snížení limitu o dvojnásobek procentních bodů, o který nebylo dosaženo casemixu 100 %)")</f>
        <v>Zdravotní výkony (vybraných odborností) vyžádané v rámci hospitalizace (95 % při splnění casemixu 100 %, při nesplnění casemixu 100 % snížení limitu o dvojnásobek procentních bodů, o který nebylo dosaženo casemixu 100 %)</v>
      </c>
      <c r="B31" s="287" t="s">
        <v>149</v>
      </c>
      <c r="C31" s="289">
        <f>IF(E25&gt;1,95%,95%-2*ABS(C25-D25))</f>
        <v>0.44966544688677024</v>
      </c>
      <c r="D31" s="289">
        <f>IF(ISERROR(VLOOKUP("Celkem:",'ZV Vyžád.'!$A:$M,7,0)),"",VLOOKUP("Celkem:",'ZV Vyžád.'!$A:$M,7,0))</f>
        <v>0.82905941494528557</v>
      </c>
      <c r="E31" s="285">
        <f t="shared" si="1"/>
        <v>1.8437249752793439</v>
      </c>
    </row>
    <row r="32" spans="1:5" ht="14.45" customHeight="1" thickBot="1" x14ac:dyDescent="0.25">
      <c r="A32" s="310" t="s">
        <v>196</v>
      </c>
      <c r="B32" s="294"/>
      <c r="C32" s="295"/>
      <c r="D32" s="295"/>
      <c r="E32" s="296"/>
    </row>
    <row r="33" spans="1:5" ht="14.45" customHeight="1" thickBot="1" x14ac:dyDescent="0.25">
      <c r="A33" s="311"/>
      <c r="B33" s="312"/>
      <c r="C33" s="313"/>
      <c r="D33" s="313"/>
      <c r="E33" s="314"/>
    </row>
    <row r="34" spans="1:5" ht="14.45" customHeight="1" thickBot="1" x14ac:dyDescent="0.25">
      <c r="A34" s="315" t="s">
        <v>197</v>
      </c>
      <c r="B34" s="316"/>
      <c r="C34" s="317"/>
      <c r="D34" s="317"/>
      <c r="E34" s="318"/>
    </row>
  </sheetData>
  <mergeCells count="1">
    <mergeCell ref="A1:E1"/>
  </mergeCells>
  <conditionalFormatting sqref="E5">
    <cfRule type="cellIs" dxfId="95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94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93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9">
    <cfRule type="cellIs" dxfId="92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24">
    <cfRule type="cellIs" dxfId="91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90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25:E27 E18 E8 E11:E12 E29 E20:E21">
    <cfRule type="cellIs" dxfId="89" priority="26" operator="lessThan">
      <formula>1</formula>
    </cfRule>
    <cfRule type="iconSet" priority="27">
      <iconSet iconSet="3Symbols2">
        <cfvo type="percent" val="0"/>
        <cfvo type="num" val="1"/>
        <cfvo type="num" val="1"/>
      </iconSet>
    </cfRule>
  </conditionalFormatting>
  <conditionalFormatting sqref="E9">
    <cfRule type="cellIs" dxfId="88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28">
    <cfRule type="iconSet" priority="6">
      <iconSet iconSet="3Symbols2">
        <cfvo type="percent" val="0"/>
        <cfvo type="num" val="1"/>
        <cfvo type="num" val="1"/>
      </iconSet>
    </cfRule>
  </conditionalFormatting>
  <conditionalFormatting sqref="E28">
    <cfRule type="cellIs" dxfId="87" priority="5" operator="lessThan">
      <formula>1</formula>
    </cfRule>
  </conditionalFormatting>
  <conditionalFormatting sqref="E30:E31 E4 E7 E15 E22:E23">
    <cfRule type="cellIs" dxfId="86" priority="29" operator="greaterThan">
      <formula>1</formula>
    </cfRule>
    <cfRule type="iconSet" priority="30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 xr:uid="{8BBA0054-086E-43FA-948A-1A9E48618164}"/>
  </hyperlinks>
  <pageMargins left="0.25" right="0.25" top="0.75" bottom="0.75" header="0.3" footer="0.3"/>
  <pageSetup paperSize="9" fitToHeight="0" orientation="landscape" r:id="rId1"/>
  <ignoredErrors>
    <ignoredError sqref="E20:E21 E23" evalError="1"/>
    <ignoredError sqref="E22" formula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List16">
    <tabColor theme="7" tint="0.39997558519241921"/>
  </sheetPr>
  <dimension ref="A1:S88"/>
  <sheetViews>
    <sheetView workbookViewId="0"/>
  </sheetViews>
  <sheetFormatPr defaultRowHeight="15" x14ac:dyDescent="0.25"/>
  <cols>
    <col min="1" max="1" width="9.42578125" customWidth="1"/>
    <col min="5" max="5" width="10.28515625" customWidth="1"/>
    <col min="6" max="6" width="11" customWidth="1"/>
    <col min="7" max="7" width="11.140625" customWidth="1"/>
    <col min="8" max="8" width="12.140625" customWidth="1"/>
    <col min="9" max="9" width="11.7109375" customWidth="1"/>
    <col min="10" max="10" width="12.7109375" customWidth="1"/>
    <col min="11" max="11" width="12.42578125" customWidth="1"/>
    <col min="12" max="12" width="10.7109375" customWidth="1"/>
    <col min="13" max="13" width="9.42578125" customWidth="1"/>
    <col min="14" max="15" width="9.7109375" customWidth="1"/>
    <col min="16" max="16" width="10" customWidth="1"/>
    <col min="17" max="17" width="9.7109375" customWidth="1"/>
    <col min="18" max="18" width="9.42578125" customWidth="1"/>
    <col min="19" max="19" width="9.28515625" customWidth="1"/>
  </cols>
  <sheetData>
    <row r="1" spans="1:19" x14ac:dyDescent="0.25">
      <c r="A1" t="s">
        <v>5326</v>
      </c>
    </row>
    <row r="2" spans="1:19" x14ac:dyDescent="0.25">
      <c r="A2" s="705" t="s">
        <v>328</v>
      </c>
    </row>
    <row r="3" spans="1:19" x14ac:dyDescent="0.25">
      <c r="A3" s="507" t="s">
        <v>210</v>
      </c>
      <c r="B3" s="506">
        <v>2020</v>
      </c>
      <c r="C3" t="s">
        <v>294</v>
      </c>
      <c r="D3" t="s">
        <v>285</v>
      </c>
      <c r="E3" t="s">
        <v>283</v>
      </c>
      <c r="F3" t="s">
        <v>282</v>
      </c>
      <c r="G3" t="s">
        <v>281</v>
      </c>
      <c r="H3" t="s">
        <v>280</v>
      </c>
      <c r="I3" t="s">
        <v>279</v>
      </c>
      <c r="J3" t="s">
        <v>278</v>
      </c>
      <c r="K3" t="s">
        <v>277</v>
      </c>
      <c r="L3" t="s">
        <v>276</v>
      </c>
      <c r="M3" t="s">
        <v>275</v>
      </c>
      <c r="N3" t="s">
        <v>274</v>
      </c>
      <c r="O3" t="s">
        <v>273</v>
      </c>
      <c r="P3" t="s">
        <v>272</v>
      </c>
      <c r="Q3" t="s">
        <v>271</v>
      </c>
      <c r="R3" t="s">
        <v>270</v>
      </c>
      <c r="S3" t="s">
        <v>269</v>
      </c>
    </row>
    <row r="4" spans="1:19" x14ac:dyDescent="0.25">
      <c r="A4" s="505" t="s">
        <v>211</v>
      </c>
      <c r="B4" s="504">
        <v>1</v>
      </c>
      <c r="C4" s="499">
        <v>1</v>
      </c>
      <c r="D4" s="499" t="s">
        <v>266</v>
      </c>
      <c r="E4" s="498">
        <v>22</v>
      </c>
      <c r="F4" s="498"/>
      <c r="G4" s="498"/>
      <c r="H4" s="498"/>
      <c r="I4" s="498">
        <v>3704</v>
      </c>
      <c r="J4" s="498">
        <v>689</v>
      </c>
      <c r="K4" s="498">
        <v>55.5</v>
      </c>
      <c r="L4" s="498"/>
      <c r="M4" s="498"/>
      <c r="N4" s="498"/>
      <c r="O4" s="498"/>
      <c r="P4" s="498"/>
      <c r="Q4" s="498">
        <v>2633749</v>
      </c>
      <c r="R4" s="498">
        <v>1000</v>
      </c>
      <c r="S4" s="498">
        <v>4978.0058651026393</v>
      </c>
    </row>
    <row r="5" spans="1:19" x14ac:dyDescent="0.25">
      <c r="A5" s="503" t="s">
        <v>212</v>
      </c>
      <c r="B5" s="502">
        <v>2</v>
      </c>
      <c r="C5">
        <v>1</v>
      </c>
      <c r="D5">
        <v>99</v>
      </c>
      <c r="E5">
        <v>1</v>
      </c>
      <c r="I5">
        <v>160</v>
      </c>
      <c r="Q5">
        <v>46478</v>
      </c>
      <c r="R5">
        <v>1000</v>
      </c>
      <c r="S5">
        <v>4978.0058651026393</v>
      </c>
    </row>
    <row r="6" spans="1:19" x14ac:dyDescent="0.25">
      <c r="A6" s="505" t="s">
        <v>213</v>
      </c>
      <c r="B6" s="504">
        <v>3</v>
      </c>
      <c r="C6">
        <v>1</v>
      </c>
      <c r="D6">
        <v>100</v>
      </c>
      <c r="E6">
        <v>3</v>
      </c>
      <c r="I6">
        <v>496</v>
      </c>
      <c r="J6">
        <v>117</v>
      </c>
      <c r="Q6">
        <v>219940</v>
      </c>
    </row>
    <row r="7" spans="1:19" x14ac:dyDescent="0.25">
      <c r="A7" s="503" t="s">
        <v>214</v>
      </c>
      <c r="B7" s="502">
        <v>4</v>
      </c>
      <c r="C7">
        <v>1</v>
      </c>
      <c r="D7">
        <v>101</v>
      </c>
      <c r="E7">
        <v>18</v>
      </c>
      <c r="I7">
        <v>3048</v>
      </c>
      <c r="J7">
        <v>572</v>
      </c>
      <c r="K7">
        <v>55.5</v>
      </c>
      <c r="Q7">
        <v>2367331</v>
      </c>
    </row>
    <row r="8" spans="1:19" x14ac:dyDescent="0.25">
      <c r="A8" s="505" t="s">
        <v>215</v>
      </c>
      <c r="B8" s="504">
        <v>5</v>
      </c>
      <c r="C8">
        <v>1</v>
      </c>
      <c r="D8" t="s">
        <v>5318</v>
      </c>
      <c r="E8">
        <v>1</v>
      </c>
      <c r="I8">
        <v>168</v>
      </c>
      <c r="J8">
        <v>6</v>
      </c>
      <c r="Q8">
        <v>61097</v>
      </c>
    </row>
    <row r="9" spans="1:19" x14ac:dyDescent="0.25">
      <c r="A9" s="503" t="s">
        <v>216</v>
      </c>
      <c r="B9" s="502">
        <v>6</v>
      </c>
      <c r="C9">
        <v>1</v>
      </c>
      <c r="D9">
        <v>526</v>
      </c>
      <c r="E9">
        <v>1</v>
      </c>
      <c r="I9">
        <v>168</v>
      </c>
      <c r="J9">
        <v>6</v>
      </c>
      <c r="Q9">
        <v>61097</v>
      </c>
    </row>
    <row r="10" spans="1:19" x14ac:dyDescent="0.25">
      <c r="A10" s="505" t="s">
        <v>217</v>
      </c>
      <c r="B10" s="504">
        <v>7</v>
      </c>
      <c r="C10">
        <v>1</v>
      </c>
      <c r="D10" t="s">
        <v>5319</v>
      </c>
      <c r="E10">
        <v>73.75</v>
      </c>
      <c r="I10">
        <v>10901.4</v>
      </c>
      <c r="J10">
        <v>422</v>
      </c>
      <c r="K10">
        <v>194</v>
      </c>
      <c r="O10">
        <v>39612</v>
      </c>
      <c r="P10">
        <v>39612</v>
      </c>
      <c r="Q10">
        <v>3441188</v>
      </c>
      <c r="R10">
        <v>7280</v>
      </c>
      <c r="S10">
        <v>4000</v>
      </c>
    </row>
    <row r="11" spans="1:19" x14ac:dyDescent="0.25">
      <c r="A11" s="503" t="s">
        <v>218</v>
      </c>
      <c r="B11" s="502">
        <v>8</v>
      </c>
      <c r="C11">
        <v>1</v>
      </c>
      <c r="D11">
        <v>303</v>
      </c>
      <c r="E11">
        <v>15.25</v>
      </c>
      <c r="I11">
        <v>1904</v>
      </c>
      <c r="J11">
        <v>19.5</v>
      </c>
      <c r="K11">
        <v>114</v>
      </c>
      <c r="O11">
        <v>6800</v>
      </c>
      <c r="P11">
        <v>6800</v>
      </c>
      <c r="Q11">
        <v>598455</v>
      </c>
      <c r="R11">
        <v>7280</v>
      </c>
      <c r="S11">
        <v>4000</v>
      </c>
    </row>
    <row r="12" spans="1:19" x14ac:dyDescent="0.25">
      <c r="A12" s="505" t="s">
        <v>219</v>
      </c>
      <c r="B12" s="504">
        <v>9</v>
      </c>
      <c r="C12">
        <v>1</v>
      </c>
      <c r="D12">
        <v>304</v>
      </c>
      <c r="E12">
        <v>24</v>
      </c>
      <c r="I12">
        <v>3745.5</v>
      </c>
      <c r="J12">
        <v>195.5</v>
      </c>
      <c r="K12">
        <v>56</v>
      </c>
      <c r="O12">
        <v>13928</v>
      </c>
      <c r="P12">
        <v>13928</v>
      </c>
      <c r="Q12">
        <v>1288779</v>
      </c>
    </row>
    <row r="13" spans="1:19" x14ac:dyDescent="0.25">
      <c r="A13" s="503" t="s">
        <v>220</v>
      </c>
      <c r="B13" s="502">
        <v>10</v>
      </c>
      <c r="C13">
        <v>1</v>
      </c>
      <c r="D13">
        <v>305</v>
      </c>
      <c r="E13">
        <v>17.75</v>
      </c>
      <c r="I13">
        <v>2876</v>
      </c>
      <c r="J13">
        <v>167.5</v>
      </c>
      <c r="K13">
        <v>24</v>
      </c>
      <c r="O13">
        <v>16444</v>
      </c>
      <c r="P13">
        <v>16444</v>
      </c>
      <c r="Q13">
        <v>1054769</v>
      </c>
    </row>
    <row r="14" spans="1:19" x14ac:dyDescent="0.25">
      <c r="A14" s="505" t="s">
        <v>221</v>
      </c>
      <c r="B14" s="504">
        <v>11</v>
      </c>
      <c r="C14">
        <v>1</v>
      </c>
      <c r="D14">
        <v>418</v>
      </c>
      <c r="E14">
        <v>4</v>
      </c>
      <c r="I14">
        <v>564</v>
      </c>
      <c r="Q14">
        <v>152543</v>
      </c>
    </row>
    <row r="15" spans="1:19" x14ac:dyDescent="0.25">
      <c r="A15" s="503" t="s">
        <v>222</v>
      </c>
      <c r="B15" s="502">
        <v>12</v>
      </c>
      <c r="C15">
        <v>1</v>
      </c>
      <c r="D15">
        <v>424</v>
      </c>
      <c r="E15">
        <v>4</v>
      </c>
      <c r="I15">
        <v>581.9</v>
      </c>
      <c r="O15">
        <v>2440</v>
      </c>
      <c r="P15">
        <v>2440</v>
      </c>
      <c r="Q15">
        <v>127360</v>
      </c>
    </row>
    <row r="16" spans="1:19" x14ac:dyDescent="0.25">
      <c r="A16" s="501" t="s">
        <v>210</v>
      </c>
      <c r="B16" s="500">
        <v>2020</v>
      </c>
      <c r="C16">
        <v>1</v>
      </c>
      <c r="D16">
        <v>636</v>
      </c>
      <c r="E16">
        <v>2</v>
      </c>
      <c r="I16">
        <v>180</v>
      </c>
      <c r="Q16">
        <v>33794</v>
      </c>
    </row>
    <row r="17" spans="3:19" x14ac:dyDescent="0.25">
      <c r="C17">
        <v>1</v>
      </c>
      <c r="D17">
        <v>642</v>
      </c>
      <c r="E17">
        <v>6.75</v>
      </c>
      <c r="I17">
        <v>1050</v>
      </c>
      <c r="J17">
        <v>39.5</v>
      </c>
      <c r="Q17">
        <v>185488</v>
      </c>
    </row>
    <row r="18" spans="3:19" x14ac:dyDescent="0.25">
      <c r="C18">
        <v>1</v>
      </c>
      <c r="D18" t="s">
        <v>5320</v>
      </c>
      <c r="E18">
        <v>2</v>
      </c>
      <c r="I18">
        <v>356</v>
      </c>
      <c r="Q18">
        <v>67238</v>
      </c>
    </row>
    <row r="19" spans="3:19" x14ac:dyDescent="0.25">
      <c r="C19">
        <v>1</v>
      </c>
      <c r="D19">
        <v>30</v>
      </c>
      <c r="E19">
        <v>2</v>
      </c>
      <c r="I19">
        <v>356</v>
      </c>
      <c r="Q19">
        <v>67238</v>
      </c>
    </row>
    <row r="20" spans="3:19" x14ac:dyDescent="0.25">
      <c r="C20" t="s">
        <v>5321</v>
      </c>
      <c r="E20">
        <v>98.75</v>
      </c>
      <c r="I20">
        <v>15129.4</v>
      </c>
      <c r="J20">
        <v>1117</v>
      </c>
      <c r="K20">
        <v>249.5</v>
      </c>
      <c r="O20">
        <v>39612</v>
      </c>
      <c r="P20">
        <v>39612</v>
      </c>
      <c r="Q20">
        <v>6203272</v>
      </c>
      <c r="R20">
        <v>8280</v>
      </c>
      <c r="S20">
        <v>8978.0058651026393</v>
      </c>
    </row>
    <row r="21" spans="3:19" x14ac:dyDescent="0.25">
      <c r="C21">
        <v>2</v>
      </c>
      <c r="D21" t="s">
        <v>266</v>
      </c>
      <c r="E21">
        <v>22</v>
      </c>
      <c r="I21">
        <v>3056</v>
      </c>
      <c r="J21">
        <v>658</v>
      </c>
      <c r="K21">
        <v>42.6</v>
      </c>
      <c r="Q21">
        <v>2572441</v>
      </c>
      <c r="S21">
        <v>4978.0058651026393</v>
      </c>
    </row>
    <row r="22" spans="3:19" x14ac:dyDescent="0.25">
      <c r="C22">
        <v>2</v>
      </c>
      <c r="D22">
        <v>99</v>
      </c>
      <c r="E22">
        <v>1</v>
      </c>
      <c r="I22">
        <v>160</v>
      </c>
      <c r="J22">
        <v>11</v>
      </c>
      <c r="Q22">
        <v>50606</v>
      </c>
      <c r="S22">
        <v>4978.0058651026393</v>
      </c>
    </row>
    <row r="23" spans="3:19" x14ac:dyDescent="0.25">
      <c r="C23">
        <v>2</v>
      </c>
      <c r="D23">
        <v>100</v>
      </c>
      <c r="E23">
        <v>3</v>
      </c>
      <c r="I23">
        <v>400</v>
      </c>
      <c r="J23">
        <v>112.5</v>
      </c>
      <c r="Q23">
        <v>220239</v>
      </c>
    </row>
    <row r="24" spans="3:19" x14ac:dyDescent="0.25">
      <c r="C24">
        <v>2</v>
      </c>
      <c r="D24">
        <v>101</v>
      </c>
      <c r="E24">
        <v>18</v>
      </c>
      <c r="I24">
        <v>2496</v>
      </c>
      <c r="J24">
        <v>534.5</v>
      </c>
      <c r="K24">
        <v>42.6</v>
      </c>
      <c r="Q24">
        <v>2301596</v>
      </c>
    </row>
    <row r="25" spans="3:19" x14ac:dyDescent="0.25">
      <c r="C25">
        <v>2</v>
      </c>
      <c r="D25" t="s">
        <v>5318</v>
      </c>
      <c r="E25">
        <v>1</v>
      </c>
      <c r="I25">
        <v>160</v>
      </c>
      <c r="J25">
        <v>10</v>
      </c>
      <c r="Q25">
        <v>63018</v>
      </c>
    </row>
    <row r="26" spans="3:19" x14ac:dyDescent="0.25">
      <c r="C26">
        <v>2</v>
      </c>
      <c r="D26">
        <v>526</v>
      </c>
      <c r="E26">
        <v>1</v>
      </c>
      <c r="I26">
        <v>160</v>
      </c>
      <c r="J26">
        <v>10</v>
      </c>
      <c r="Q26">
        <v>63018</v>
      </c>
    </row>
    <row r="27" spans="3:19" x14ac:dyDescent="0.25">
      <c r="C27">
        <v>2</v>
      </c>
      <c r="D27" t="s">
        <v>5319</v>
      </c>
      <c r="E27">
        <v>74.75</v>
      </c>
      <c r="I27">
        <v>9591.52</v>
      </c>
      <c r="J27">
        <v>613.25</v>
      </c>
      <c r="K27">
        <v>269.58</v>
      </c>
      <c r="O27">
        <v>2250</v>
      </c>
      <c r="P27">
        <v>2250</v>
      </c>
      <c r="Q27">
        <v>3514411</v>
      </c>
      <c r="R27">
        <v>1100</v>
      </c>
      <c r="S27">
        <v>4000</v>
      </c>
    </row>
    <row r="28" spans="3:19" x14ac:dyDescent="0.25">
      <c r="C28">
        <v>2</v>
      </c>
      <c r="D28">
        <v>303</v>
      </c>
      <c r="E28">
        <v>15.25</v>
      </c>
      <c r="I28">
        <v>1653</v>
      </c>
      <c r="J28">
        <v>98.25</v>
      </c>
      <c r="K28">
        <v>108</v>
      </c>
      <c r="O28">
        <v>750</v>
      </c>
      <c r="P28">
        <v>750</v>
      </c>
      <c r="Q28">
        <v>588983</v>
      </c>
      <c r="R28">
        <v>1100</v>
      </c>
      <c r="S28">
        <v>4000</v>
      </c>
    </row>
    <row r="29" spans="3:19" x14ac:dyDescent="0.25">
      <c r="C29">
        <v>2</v>
      </c>
      <c r="D29">
        <v>304</v>
      </c>
      <c r="E29">
        <v>24</v>
      </c>
      <c r="I29">
        <v>3445</v>
      </c>
      <c r="J29">
        <v>256</v>
      </c>
      <c r="K29">
        <v>98</v>
      </c>
      <c r="O29">
        <v>750</v>
      </c>
      <c r="P29">
        <v>750</v>
      </c>
      <c r="Q29">
        <v>1362832</v>
      </c>
    </row>
    <row r="30" spans="3:19" x14ac:dyDescent="0.25">
      <c r="C30">
        <v>2</v>
      </c>
      <c r="D30">
        <v>305</v>
      </c>
      <c r="E30">
        <v>18.75</v>
      </c>
      <c r="I30">
        <v>2492</v>
      </c>
      <c r="J30">
        <v>241</v>
      </c>
      <c r="K30">
        <v>52</v>
      </c>
      <c r="O30">
        <v>750</v>
      </c>
      <c r="P30">
        <v>750</v>
      </c>
      <c r="Q30">
        <v>1079655</v>
      </c>
    </row>
    <row r="31" spans="3:19" x14ac:dyDescent="0.25">
      <c r="C31">
        <v>2</v>
      </c>
      <c r="D31">
        <v>418</v>
      </c>
      <c r="E31">
        <v>4</v>
      </c>
      <c r="I31">
        <v>504</v>
      </c>
      <c r="Q31">
        <v>153161</v>
      </c>
    </row>
    <row r="32" spans="3:19" x14ac:dyDescent="0.25">
      <c r="C32">
        <v>2</v>
      </c>
      <c r="D32">
        <v>424</v>
      </c>
      <c r="E32">
        <v>4</v>
      </c>
      <c r="I32">
        <v>397.52</v>
      </c>
      <c r="K32">
        <v>11.58</v>
      </c>
      <c r="Q32">
        <v>106395</v>
      </c>
    </row>
    <row r="33" spans="3:19" x14ac:dyDescent="0.25">
      <c r="C33">
        <v>2</v>
      </c>
      <c r="D33">
        <v>636</v>
      </c>
      <c r="E33">
        <v>2</v>
      </c>
      <c r="I33">
        <v>132</v>
      </c>
      <c r="Q33">
        <v>33350</v>
      </c>
    </row>
    <row r="34" spans="3:19" x14ac:dyDescent="0.25">
      <c r="C34">
        <v>2</v>
      </c>
      <c r="D34">
        <v>642</v>
      </c>
      <c r="E34">
        <v>6.75</v>
      </c>
      <c r="I34">
        <v>968</v>
      </c>
      <c r="J34">
        <v>18</v>
      </c>
      <c r="Q34">
        <v>190035</v>
      </c>
    </row>
    <row r="35" spans="3:19" x14ac:dyDescent="0.25">
      <c r="C35">
        <v>2</v>
      </c>
      <c r="D35" t="s">
        <v>5320</v>
      </c>
      <c r="E35">
        <v>2</v>
      </c>
      <c r="I35">
        <v>312</v>
      </c>
      <c r="Q35">
        <v>66988</v>
      </c>
    </row>
    <row r="36" spans="3:19" x14ac:dyDescent="0.25">
      <c r="C36">
        <v>2</v>
      </c>
      <c r="D36">
        <v>30</v>
      </c>
      <c r="E36">
        <v>2</v>
      </c>
      <c r="I36">
        <v>312</v>
      </c>
      <c r="Q36">
        <v>66988</v>
      </c>
    </row>
    <row r="37" spans="3:19" x14ac:dyDescent="0.25">
      <c r="C37" t="s">
        <v>5322</v>
      </c>
      <c r="E37">
        <v>99.75</v>
      </c>
      <c r="I37">
        <v>13119.52</v>
      </c>
      <c r="J37">
        <v>1281.25</v>
      </c>
      <c r="K37">
        <v>312.18</v>
      </c>
      <c r="O37">
        <v>2250</v>
      </c>
      <c r="P37">
        <v>2250</v>
      </c>
      <c r="Q37">
        <v>6216858</v>
      </c>
      <c r="R37">
        <v>1100</v>
      </c>
      <c r="S37">
        <v>8978.0058651026393</v>
      </c>
    </row>
    <row r="38" spans="3:19" x14ac:dyDescent="0.25">
      <c r="C38">
        <v>3</v>
      </c>
      <c r="D38" t="s">
        <v>266</v>
      </c>
      <c r="E38">
        <v>22</v>
      </c>
      <c r="I38">
        <v>3436.8</v>
      </c>
      <c r="J38">
        <v>730.5</v>
      </c>
      <c r="K38">
        <v>52</v>
      </c>
      <c r="Q38">
        <v>2593861</v>
      </c>
      <c r="R38">
        <v>5600</v>
      </c>
      <c r="S38">
        <v>4978.0058651026393</v>
      </c>
    </row>
    <row r="39" spans="3:19" x14ac:dyDescent="0.25">
      <c r="C39">
        <v>3</v>
      </c>
      <c r="D39">
        <v>99</v>
      </c>
      <c r="E39">
        <v>1</v>
      </c>
      <c r="I39">
        <v>176</v>
      </c>
      <c r="J39">
        <v>55</v>
      </c>
      <c r="Q39">
        <v>68313</v>
      </c>
      <c r="R39">
        <v>5600</v>
      </c>
      <c r="S39">
        <v>4978.0058651026393</v>
      </c>
    </row>
    <row r="40" spans="3:19" x14ac:dyDescent="0.25">
      <c r="C40">
        <v>3</v>
      </c>
      <c r="D40">
        <v>100</v>
      </c>
      <c r="E40">
        <v>3</v>
      </c>
      <c r="I40">
        <v>456</v>
      </c>
      <c r="J40">
        <v>104</v>
      </c>
      <c r="Q40">
        <v>213317</v>
      </c>
    </row>
    <row r="41" spans="3:19" x14ac:dyDescent="0.25">
      <c r="C41">
        <v>3</v>
      </c>
      <c r="D41">
        <v>101</v>
      </c>
      <c r="E41">
        <v>18</v>
      </c>
      <c r="I41">
        <v>2804.8</v>
      </c>
      <c r="J41">
        <v>571.5</v>
      </c>
      <c r="K41">
        <v>52</v>
      </c>
      <c r="Q41">
        <v>2312231</v>
      </c>
    </row>
    <row r="42" spans="3:19" x14ac:dyDescent="0.25">
      <c r="C42">
        <v>3</v>
      </c>
      <c r="D42" t="s">
        <v>5318</v>
      </c>
      <c r="E42">
        <v>1</v>
      </c>
      <c r="I42">
        <v>176</v>
      </c>
      <c r="Q42">
        <v>57363</v>
      </c>
    </row>
    <row r="43" spans="3:19" x14ac:dyDescent="0.25">
      <c r="C43">
        <v>3</v>
      </c>
      <c r="D43">
        <v>526</v>
      </c>
      <c r="E43">
        <v>1</v>
      </c>
      <c r="I43">
        <v>176</v>
      </c>
      <c r="Q43">
        <v>57363</v>
      </c>
    </row>
    <row r="44" spans="3:19" x14ac:dyDescent="0.25">
      <c r="C44">
        <v>3</v>
      </c>
      <c r="D44" t="s">
        <v>5319</v>
      </c>
      <c r="E44">
        <v>74.75</v>
      </c>
      <c r="I44">
        <v>10639.77</v>
      </c>
      <c r="J44">
        <v>304</v>
      </c>
      <c r="K44">
        <v>147.85999999999999</v>
      </c>
      <c r="O44">
        <v>31168</v>
      </c>
      <c r="P44">
        <v>31168</v>
      </c>
      <c r="Q44">
        <v>3403484</v>
      </c>
      <c r="S44">
        <v>4000</v>
      </c>
    </row>
    <row r="45" spans="3:19" x14ac:dyDescent="0.25">
      <c r="C45">
        <v>3</v>
      </c>
      <c r="D45">
        <v>303</v>
      </c>
      <c r="E45">
        <v>15.25</v>
      </c>
      <c r="I45">
        <v>1837.5</v>
      </c>
      <c r="J45">
        <v>82.5</v>
      </c>
      <c r="K45">
        <v>64.38</v>
      </c>
      <c r="O45">
        <v>10400</v>
      </c>
      <c r="P45">
        <v>10400</v>
      </c>
      <c r="Q45">
        <v>590157</v>
      </c>
      <c r="S45">
        <v>4000</v>
      </c>
    </row>
    <row r="46" spans="3:19" x14ac:dyDescent="0.25">
      <c r="C46">
        <v>3</v>
      </c>
      <c r="D46">
        <v>304</v>
      </c>
      <c r="E46">
        <v>25.5</v>
      </c>
      <c r="I46">
        <v>3759</v>
      </c>
      <c r="J46">
        <v>146</v>
      </c>
      <c r="K46">
        <v>55.5</v>
      </c>
      <c r="O46">
        <v>9900</v>
      </c>
      <c r="P46">
        <v>9900</v>
      </c>
      <c r="Q46">
        <v>1336781</v>
      </c>
    </row>
    <row r="47" spans="3:19" x14ac:dyDescent="0.25">
      <c r="C47">
        <v>3</v>
      </c>
      <c r="D47">
        <v>305</v>
      </c>
      <c r="E47">
        <v>17.25</v>
      </c>
      <c r="I47">
        <v>2688</v>
      </c>
      <c r="J47">
        <v>65.5</v>
      </c>
      <c r="K47">
        <v>16.75</v>
      </c>
      <c r="O47">
        <v>9628</v>
      </c>
      <c r="P47">
        <v>9628</v>
      </c>
      <c r="Q47">
        <v>1000780</v>
      </c>
    </row>
    <row r="48" spans="3:19" x14ac:dyDescent="0.25">
      <c r="C48">
        <v>3</v>
      </c>
      <c r="D48">
        <v>418</v>
      </c>
      <c r="E48">
        <v>4</v>
      </c>
      <c r="I48">
        <v>591</v>
      </c>
      <c r="Q48">
        <v>150894</v>
      </c>
    </row>
    <row r="49" spans="3:19" x14ac:dyDescent="0.25">
      <c r="C49">
        <v>3</v>
      </c>
      <c r="D49">
        <v>424</v>
      </c>
      <c r="E49">
        <v>5</v>
      </c>
      <c r="I49">
        <v>515.77</v>
      </c>
      <c r="J49">
        <v>10</v>
      </c>
      <c r="K49">
        <v>11.23</v>
      </c>
      <c r="O49">
        <v>1240</v>
      </c>
      <c r="P49">
        <v>1240</v>
      </c>
      <c r="Q49">
        <v>110873</v>
      </c>
    </row>
    <row r="50" spans="3:19" x14ac:dyDescent="0.25">
      <c r="C50">
        <v>3</v>
      </c>
      <c r="D50">
        <v>636</v>
      </c>
      <c r="E50">
        <v>1</v>
      </c>
      <c r="I50">
        <v>180</v>
      </c>
      <c r="Q50">
        <v>37440</v>
      </c>
    </row>
    <row r="51" spans="3:19" x14ac:dyDescent="0.25">
      <c r="C51">
        <v>3</v>
      </c>
      <c r="D51">
        <v>642</v>
      </c>
      <c r="E51">
        <v>6.75</v>
      </c>
      <c r="I51">
        <v>1068.5</v>
      </c>
      <c r="Q51">
        <v>176559</v>
      </c>
    </row>
    <row r="52" spans="3:19" x14ac:dyDescent="0.25">
      <c r="C52">
        <v>3</v>
      </c>
      <c r="D52" t="s">
        <v>5320</v>
      </c>
      <c r="E52">
        <v>2</v>
      </c>
      <c r="I52">
        <v>296</v>
      </c>
      <c r="Q52">
        <v>67360</v>
      </c>
    </row>
    <row r="53" spans="3:19" x14ac:dyDescent="0.25">
      <c r="C53">
        <v>3</v>
      </c>
      <c r="D53">
        <v>30</v>
      </c>
      <c r="E53">
        <v>2</v>
      </c>
      <c r="I53">
        <v>296</v>
      </c>
      <c r="Q53">
        <v>67360</v>
      </c>
    </row>
    <row r="54" spans="3:19" x14ac:dyDescent="0.25">
      <c r="C54" t="s">
        <v>5323</v>
      </c>
      <c r="E54">
        <v>99.75</v>
      </c>
      <c r="I54">
        <v>14548.57</v>
      </c>
      <c r="J54">
        <v>1034.5</v>
      </c>
      <c r="K54">
        <v>199.85999999999999</v>
      </c>
      <c r="O54">
        <v>31168</v>
      </c>
      <c r="P54">
        <v>31168</v>
      </c>
      <c r="Q54">
        <v>6122068</v>
      </c>
      <c r="R54">
        <v>5600</v>
      </c>
      <c r="S54">
        <v>8978.0058651026393</v>
      </c>
    </row>
    <row r="55" spans="3:19" x14ac:dyDescent="0.25">
      <c r="C55">
        <v>4</v>
      </c>
      <c r="D55" t="s">
        <v>266</v>
      </c>
      <c r="E55">
        <v>22</v>
      </c>
      <c r="I55">
        <v>3806.4</v>
      </c>
      <c r="J55">
        <v>615</v>
      </c>
      <c r="K55">
        <v>43.7</v>
      </c>
      <c r="Q55">
        <v>2518296</v>
      </c>
      <c r="S55">
        <v>4978.0058651026393</v>
      </c>
    </row>
    <row r="56" spans="3:19" x14ac:dyDescent="0.25">
      <c r="C56">
        <v>4</v>
      </c>
      <c r="D56">
        <v>99</v>
      </c>
      <c r="E56">
        <v>1</v>
      </c>
      <c r="I56">
        <v>176</v>
      </c>
      <c r="J56">
        <v>4</v>
      </c>
      <c r="Q56">
        <v>50242</v>
      </c>
      <c r="S56">
        <v>4978.0058651026393</v>
      </c>
    </row>
    <row r="57" spans="3:19" x14ac:dyDescent="0.25">
      <c r="C57">
        <v>4</v>
      </c>
      <c r="D57">
        <v>100</v>
      </c>
      <c r="E57">
        <v>3</v>
      </c>
      <c r="I57">
        <v>528</v>
      </c>
      <c r="J57">
        <v>102</v>
      </c>
      <c r="Q57">
        <v>213300</v>
      </c>
    </row>
    <row r="58" spans="3:19" x14ac:dyDescent="0.25">
      <c r="C58">
        <v>4</v>
      </c>
      <c r="D58">
        <v>101</v>
      </c>
      <c r="E58">
        <v>18</v>
      </c>
      <c r="I58">
        <v>3102.4</v>
      </c>
      <c r="J58">
        <v>509</v>
      </c>
      <c r="K58">
        <v>43.7</v>
      </c>
      <c r="Q58">
        <v>2254754</v>
      </c>
    </row>
    <row r="59" spans="3:19" x14ac:dyDescent="0.25">
      <c r="C59">
        <v>4</v>
      </c>
      <c r="D59" t="s">
        <v>5318</v>
      </c>
      <c r="E59">
        <v>1</v>
      </c>
      <c r="I59">
        <v>112</v>
      </c>
      <c r="J59">
        <v>28</v>
      </c>
      <c r="Q59">
        <v>69616</v>
      </c>
    </row>
    <row r="60" spans="3:19" x14ac:dyDescent="0.25">
      <c r="C60">
        <v>4</v>
      </c>
      <c r="D60">
        <v>526</v>
      </c>
      <c r="E60">
        <v>1</v>
      </c>
      <c r="I60">
        <v>112</v>
      </c>
      <c r="J60">
        <v>28</v>
      </c>
      <c r="Q60">
        <v>69616</v>
      </c>
    </row>
    <row r="61" spans="3:19" x14ac:dyDescent="0.25">
      <c r="C61">
        <v>4</v>
      </c>
      <c r="D61" t="s">
        <v>5319</v>
      </c>
      <c r="E61">
        <v>74.25</v>
      </c>
      <c r="I61">
        <v>10669</v>
      </c>
      <c r="J61">
        <v>355.5</v>
      </c>
      <c r="K61">
        <v>47</v>
      </c>
      <c r="O61">
        <v>1500</v>
      </c>
      <c r="P61">
        <v>1500</v>
      </c>
      <c r="Q61">
        <v>3273521</v>
      </c>
      <c r="S61">
        <v>4000</v>
      </c>
    </row>
    <row r="62" spans="3:19" x14ac:dyDescent="0.25">
      <c r="C62">
        <v>4</v>
      </c>
      <c r="D62">
        <v>303</v>
      </c>
      <c r="E62">
        <v>15.75</v>
      </c>
      <c r="I62">
        <v>2184.5</v>
      </c>
      <c r="J62">
        <v>55</v>
      </c>
      <c r="Q62">
        <v>503098</v>
      </c>
      <c r="S62">
        <v>4000</v>
      </c>
    </row>
    <row r="63" spans="3:19" x14ac:dyDescent="0.25">
      <c r="C63">
        <v>4</v>
      </c>
      <c r="D63">
        <v>304</v>
      </c>
      <c r="E63">
        <v>26.5</v>
      </c>
      <c r="I63">
        <v>4004</v>
      </c>
      <c r="J63">
        <v>188</v>
      </c>
      <c r="K63">
        <v>27.5</v>
      </c>
      <c r="O63">
        <v>750</v>
      </c>
      <c r="P63">
        <v>750</v>
      </c>
      <c r="Q63">
        <v>1443194</v>
      </c>
    </row>
    <row r="64" spans="3:19" x14ac:dyDescent="0.25">
      <c r="C64">
        <v>4</v>
      </c>
      <c r="D64">
        <v>305</v>
      </c>
      <c r="E64">
        <v>16.25</v>
      </c>
      <c r="I64">
        <v>2448</v>
      </c>
      <c r="J64">
        <v>106</v>
      </c>
      <c r="K64">
        <v>19.5</v>
      </c>
      <c r="O64">
        <v>750</v>
      </c>
      <c r="P64">
        <v>750</v>
      </c>
      <c r="Q64">
        <v>891748</v>
      </c>
    </row>
    <row r="65" spans="3:19" x14ac:dyDescent="0.25">
      <c r="C65">
        <v>4</v>
      </c>
      <c r="D65">
        <v>418</v>
      </c>
      <c r="E65">
        <v>3.75</v>
      </c>
      <c r="I65">
        <v>480</v>
      </c>
      <c r="Q65">
        <v>141228</v>
      </c>
    </row>
    <row r="66" spans="3:19" x14ac:dyDescent="0.25">
      <c r="C66">
        <v>4</v>
      </c>
      <c r="D66">
        <v>424</v>
      </c>
      <c r="E66">
        <v>4.25</v>
      </c>
      <c r="I66">
        <v>364</v>
      </c>
      <c r="Q66">
        <v>73844</v>
      </c>
    </row>
    <row r="67" spans="3:19" x14ac:dyDescent="0.25">
      <c r="C67">
        <v>4</v>
      </c>
      <c r="D67">
        <v>636</v>
      </c>
      <c r="E67">
        <v>1</v>
      </c>
      <c r="I67">
        <v>156</v>
      </c>
      <c r="Q67">
        <v>33233</v>
      </c>
    </row>
    <row r="68" spans="3:19" x14ac:dyDescent="0.25">
      <c r="C68">
        <v>4</v>
      </c>
      <c r="D68">
        <v>642</v>
      </c>
      <c r="E68">
        <v>6.75</v>
      </c>
      <c r="I68">
        <v>1032.5</v>
      </c>
      <c r="J68">
        <v>6.5</v>
      </c>
      <c r="Q68">
        <v>187176</v>
      </c>
    </row>
    <row r="69" spans="3:19" x14ac:dyDescent="0.25">
      <c r="C69">
        <v>4</v>
      </c>
      <c r="D69" t="s">
        <v>5320</v>
      </c>
      <c r="E69">
        <v>2</v>
      </c>
      <c r="I69">
        <v>304</v>
      </c>
      <c r="Q69">
        <v>67663</v>
      </c>
    </row>
    <row r="70" spans="3:19" x14ac:dyDescent="0.25">
      <c r="C70">
        <v>4</v>
      </c>
      <c r="D70">
        <v>30</v>
      </c>
      <c r="E70">
        <v>2</v>
      </c>
      <c r="I70">
        <v>304</v>
      </c>
      <c r="Q70">
        <v>67663</v>
      </c>
    </row>
    <row r="71" spans="3:19" x14ac:dyDescent="0.25">
      <c r="C71" t="s">
        <v>5324</v>
      </c>
      <c r="E71">
        <v>99.25</v>
      </c>
      <c r="I71">
        <v>14891.4</v>
      </c>
      <c r="J71">
        <v>998.5</v>
      </c>
      <c r="K71">
        <v>90.7</v>
      </c>
      <c r="O71">
        <v>1500</v>
      </c>
      <c r="P71">
        <v>1500</v>
      </c>
      <c r="Q71">
        <v>5929096</v>
      </c>
      <c r="S71">
        <v>8978.0058651026393</v>
      </c>
    </row>
    <row r="72" spans="3:19" x14ac:dyDescent="0.25">
      <c r="C72">
        <v>5</v>
      </c>
      <c r="D72" t="s">
        <v>266</v>
      </c>
      <c r="E72">
        <v>22</v>
      </c>
      <c r="I72">
        <v>3460.8</v>
      </c>
      <c r="J72">
        <v>605</v>
      </c>
      <c r="K72">
        <v>47.2</v>
      </c>
      <c r="O72">
        <v>21700</v>
      </c>
      <c r="P72">
        <v>21700</v>
      </c>
      <c r="Q72">
        <v>2543746</v>
      </c>
      <c r="R72">
        <v>500</v>
      </c>
      <c r="S72">
        <v>4978.0058651026393</v>
      </c>
    </row>
    <row r="73" spans="3:19" x14ac:dyDescent="0.25">
      <c r="C73">
        <v>5</v>
      </c>
      <c r="D73">
        <v>99</v>
      </c>
      <c r="E73">
        <v>1</v>
      </c>
      <c r="I73">
        <v>144</v>
      </c>
      <c r="J73">
        <v>1</v>
      </c>
      <c r="Q73">
        <v>48762</v>
      </c>
      <c r="R73">
        <v>500</v>
      </c>
      <c r="S73">
        <v>4978.0058651026393</v>
      </c>
    </row>
    <row r="74" spans="3:19" x14ac:dyDescent="0.25">
      <c r="C74">
        <v>5</v>
      </c>
      <c r="D74">
        <v>100</v>
      </c>
      <c r="E74">
        <v>3</v>
      </c>
      <c r="I74">
        <v>496</v>
      </c>
      <c r="J74">
        <v>102</v>
      </c>
      <c r="O74">
        <v>8000</v>
      </c>
      <c r="P74">
        <v>8000</v>
      </c>
      <c r="Q74">
        <v>231842</v>
      </c>
    </row>
    <row r="75" spans="3:19" x14ac:dyDescent="0.25">
      <c r="C75">
        <v>5</v>
      </c>
      <c r="D75">
        <v>101</v>
      </c>
      <c r="E75">
        <v>18</v>
      </c>
      <c r="I75">
        <v>2820.8</v>
      </c>
      <c r="J75">
        <v>502</v>
      </c>
      <c r="K75">
        <v>47.2</v>
      </c>
      <c r="O75">
        <v>13700</v>
      </c>
      <c r="P75">
        <v>13700</v>
      </c>
      <c r="Q75">
        <v>2263142</v>
      </c>
    </row>
    <row r="76" spans="3:19" x14ac:dyDescent="0.25">
      <c r="C76">
        <v>5</v>
      </c>
      <c r="D76" t="s">
        <v>5318</v>
      </c>
      <c r="E76">
        <v>1</v>
      </c>
      <c r="I76">
        <v>168</v>
      </c>
      <c r="J76">
        <v>3</v>
      </c>
      <c r="Q76">
        <v>52397</v>
      </c>
    </row>
    <row r="77" spans="3:19" x14ac:dyDescent="0.25">
      <c r="C77">
        <v>5</v>
      </c>
      <c r="D77">
        <v>526</v>
      </c>
      <c r="E77">
        <v>1</v>
      </c>
      <c r="I77">
        <v>168</v>
      </c>
      <c r="J77">
        <v>3</v>
      </c>
      <c r="Q77">
        <v>52397</v>
      </c>
    </row>
    <row r="78" spans="3:19" x14ac:dyDescent="0.25">
      <c r="C78">
        <v>5</v>
      </c>
      <c r="D78" t="s">
        <v>5319</v>
      </c>
      <c r="E78">
        <v>73</v>
      </c>
      <c r="I78">
        <v>10776.5</v>
      </c>
      <c r="J78">
        <v>460.5</v>
      </c>
      <c r="K78">
        <v>153.5</v>
      </c>
      <c r="O78">
        <v>21670</v>
      </c>
      <c r="P78">
        <v>21670</v>
      </c>
      <c r="Q78">
        <v>3618308</v>
      </c>
      <c r="S78">
        <v>4000</v>
      </c>
    </row>
    <row r="79" spans="3:19" x14ac:dyDescent="0.25">
      <c r="C79">
        <v>5</v>
      </c>
      <c r="D79">
        <v>303</v>
      </c>
      <c r="E79">
        <v>14.75</v>
      </c>
      <c r="I79">
        <v>2070</v>
      </c>
      <c r="J79">
        <v>62.5</v>
      </c>
      <c r="K79">
        <v>70</v>
      </c>
      <c r="O79">
        <v>7362</v>
      </c>
      <c r="P79">
        <v>7362</v>
      </c>
      <c r="Q79">
        <v>656143</v>
      </c>
      <c r="S79">
        <v>4000</v>
      </c>
    </row>
    <row r="80" spans="3:19" x14ac:dyDescent="0.25">
      <c r="C80">
        <v>5</v>
      </c>
      <c r="D80">
        <v>304</v>
      </c>
      <c r="E80">
        <v>26.5</v>
      </c>
      <c r="I80">
        <v>4101</v>
      </c>
      <c r="J80">
        <v>261.5</v>
      </c>
      <c r="K80">
        <v>37.5</v>
      </c>
      <c r="O80">
        <v>7718</v>
      </c>
      <c r="P80">
        <v>7718</v>
      </c>
      <c r="Q80">
        <v>1574615</v>
      </c>
    </row>
    <row r="81" spans="3:19" x14ac:dyDescent="0.25">
      <c r="C81">
        <v>5</v>
      </c>
      <c r="D81">
        <v>305</v>
      </c>
      <c r="E81">
        <v>16.25</v>
      </c>
      <c r="I81">
        <v>2456</v>
      </c>
      <c r="J81">
        <v>98</v>
      </c>
      <c r="K81">
        <v>38</v>
      </c>
      <c r="O81">
        <v>4150</v>
      </c>
      <c r="P81">
        <v>4150</v>
      </c>
      <c r="Q81">
        <v>929335</v>
      </c>
    </row>
    <row r="82" spans="3:19" x14ac:dyDescent="0.25">
      <c r="C82">
        <v>5</v>
      </c>
      <c r="D82">
        <v>418</v>
      </c>
      <c r="E82">
        <v>3.75</v>
      </c>
      <c r="I82">
        <v>516</v>
      </c>
      <c r="Q82">
        <v>143371</v>
      </c>
    </row>
    <row r="83" spans="3:19" x14ac:dyDescent="0.25">
      <c r="C83">
        <v>5</v>
      </c>
      <c r="D83">
        <v>424</v>
      </c>
      <c r="E83">
        <v>4</v>
      </c>
      <c r="I83">
        <v>391.5</v>
      </c>
      <c r="O83">
        <v>2440</v>
      </c>
      <c r="P83">
        <v>2440</v>
      </c>
      <c r="Q83">
        <v>90227</v>
      </c>
    </row>
    <row r="84" spans="3:19" x14ac:dyDescent="0.25">
      <c r="C84">
        <v>5</v>
      </c>
      <c r="D84">
        <v>636</v>
      </c>
      <c r="E84">
        <v>1</v>
      </c>
      <c r="I84">
        <v>168</v>
      </c>
      <c r="Q84">
        <v>33736</v>
      </c>
    </row>
    <row r="85" spans="3:19" x14ac:dyDescent="0.25">
      <c r="C85">
        <v>5</v>
      </c>
      <c r="D85">
        <v>642</v>
      </c>
      <c r="E85">
        <v>6.75</v>
      </c>
      <c r="I85">
        <v>1074</v>
      </c>
      <c r="J85">
        <v>38.5</v>
      </c>
      <c r="K85">
        <v>8</v>
      </c>
      <c r="Q85">
        <v>190881</v>
      </c>
    </row>
    <row r="86" spans="3:19" x14ac:dyDescent="0.25">
      <c r="C86">
        <v>5</v>
      </c>
      <c r="D86" t="s">
        <v>5320</v>
      </c>
      <c r="E86">
        <v>2</v>
      </c>
      <c r="I86">
        <v>320</v>
      </c>
      <c r="Q86">
        <v>67139</v>
      </c>
    </row>
    <row r="87" spans="3:19" x14ac:dyDescent="0.25">
      <c r="C87">
        <v>5</v>
      </c>
      <c r="D87">
        <v>30</v>
      </c>
      <c r="E87">
        <v>2</v>
      </c>
      <c r="I87">
        <v>320</v>
      </c>
      <c r="Q87">
        <v>67139</v>
      </c>
    </row>
    <row r="88" spans="3:19" x14ac:dyDescent="0.25">
      <c r="C88" t="s">
        <v>5325</v>
      </c>
      <c r="E88">
        <v>98</v>
      </c>
      <c r="I88">
        <v>14725.3</v>
      </c>
      <c r="J88">
        <v>1068.5</v>
      </c>
      <c r="K88">
        <v>200.7</v>
      </c>
      <c r="O88">
        <v>43370</v>
      </c>
      <c r="P88">
        <v>43370</v>
      </c>
      <c r="Q88">
        <v>6281590</v>
      </c>
      <c r="R88">
        <v>500</v>
      </c>
      <c r="S88">
        <v>8978.0058651026393</v>
      </c>
    </row>
  </sheetData>
  <hyperlinks>
    <hyperlink ref="A2" location="Obsah!A1" display="Zpět na Obsah  KL 01  1.-4.měsíc" xr:uid="{33FAC879-957C-46C7-9EA8-E54B5257C54B}"/>
  </hyperlinks>
  <pageMargins left="0.7" right="0.7" top="0.78740157499999996" bottom="0.78740157499999996" header="0.3" footer="0.3"/>
  <tableParts count="1">
    <tablePart r:id="rId1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List3">
    <tabColor theme="5" tint="0.39997558519241921"/>
    <outlinePr summaryRight="0"/>
    <pageSetUpPr fitToPage="1"/>
  </sheetPr>
  <dimension ref="A1:AB20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ColWidth="8.85546875" defaultRowHeight="14.45" customHeight="1" outlineLevelCol="1" x14ac:dyDescent="0.2"/>
  <cols>
    <col min="1" max="1" width="50" style="247" customWidth="1" collapsed="1"/>
    <col min="2" max="2" width="7.7109375" style="215" hidden="1" customWidth="1" outlineLevel="1"/>
    <col min="3" max="4" width="5.42578125" style="247" hidden="1" customWidth="1"/>
    <col min="5" max="5" width="7.7109375" style="215" customWidth="1"/>
    <col min="6" max="6" width="7.7109375" style="215" hidden="1" customWidth="1"/>
    <col min="7" max="7" width="5.42578125" style="247" hidden="1" customWidth="1"/>
    <col min="8" max="8" width="7.7109375" style="215" customWidth="1" collapsed="1"/>
    <col min="9" max="9" width="7.7109375" style="332" hidden="1" customWidth="1" outlineLevel="1"/>
    <col min="10" max="10" width="7.7109375" style="332" customWidth="1" collapsed="1"/>
    <col min="11" max="12" width="7.7109375" style="215" hidden="1" customWidth="1"/>
    <col min="13" max="13" width="5.42578125" style="247" hidden="1" customWidth="1"/>
    <col min="14" max="14" width="7.7109375" style="215" customWidth="1"/>
    <col min="15" max="15" width="7.7109375" style="215" hidden="1" customWidth="1"/>
    <col min="16" max="16" width="5.42578125" style="247" hidden="1" customWidth="1"/>
    <col min="17" max="17" width="7.7109375" style="215" customWidth="1" collapsed="1"/>
    <col min="18" max="18" width="7.7109375" style="332" hidden="1" customWidth="1" outlineLevel="1"/>
    <col min="19" max="19" width="7.7109375" style="332" customWidth="1" collapsed="1"/>
    <col min="20" max="21" width="7.7109375" style="215" hidden="1" customWidth="1"/>
    <col min="22" max="22" width="5" style="247" hidden="1" customWidth="1"/>
    <col min="23" max="23" width="7.7109375" style="215" customWidth="1"/>
    <col min="24" max="24" width="7.7109375" style="215" hidden="1" customWidth="1"/>
    <col min="25" max="25" width="5" style="247" hidden="1" customWidth="1"/>
    <col min="26" max="26" width="7.7109375" style="215" customWidth="1" collapsed="1"/>
    <col min="27" max="27" width="7.7109375" style="332" hidden="1" customWidth="1" outlineLevel="1"/>
    <col min="28" max="28" width="7.7109375" style="332" customWidth="1" collapsed="1"/>
    <col min="29" max="16384" width="8.85546875" style="247"/>
  </cols>
  <sheetData>
    <row r="1" spans="1:28" ht="18.600000000000001" customHeight="1" thickBot="1" x14ac:dyDescent="0.35">
      <c r="A1" s="626" t="s">
        <v>5343</v>
      </c>
      <c r="B1" s="516"/>
      <c r="C1" s="516"/>
      <c r="D1" s="516"/>
      <c r="E1" s="516"/>
      <c r="F1" s="516"/>
      <c r="G1" s="516"/>
      <c r="H1" s="516"/>
      <c r="I1" s="516"/>
      <c r="J1" s="516"/>
      <c r="K1" s="516"/>
      <c r="L1" s="516"/>
      <c r="M1" s="516"/>
      <c r="N1" s="516"/>
      <c r="O1" s="516"/>
      <c r="P1" s="516"/>
      <c r="Q1" s="516"/>
      <c r="R1" s="516"/>
      <c r="S1" s="516"/>
      <c r="T1" s="516"/>
      <c r="U1" s="516"/>
      <c r="V1" s="516"/>
      <c r="W1" s="516"/>
      <c r="X1" s="516"/>
      <c r="Y1" s="516"/>
      <c r="Z1" s="516"/>
      <c r="AA1" s="516"/>
      <c r="AB1" s="516"/>
    </row>
    <row r="2" spans="1:28" ht="14.45" customHeight="1" thickBot="1" x14ac:dyDescent="0.25">
      <c r="A2" s="705" t="s">
        <v>328</v>
      </c>
      <c r="B2" s="220"/>
      <c r="C2" s="220"/>
      <c r="D2" s="220"/>
      <c r="E2" s="220"/>
      <c r="F2" s="220"/>
      <c r="G2" s="220"/>
      <c r="H2" s="220"/>
      <c r="I2" s="349"/>
      <c r="J2" s="349"/>
      <c r="K2" s="220"/>
      <c r="L2" s="220"/>
      <c r="M2" s="220"/>
      <c r="N2" s="220"/>
      <c r="O2" s="220"/>
      <c r="P2" s="220"/>
      <c r="Q2" s="220"/>
      <c r="R2" s="349"/>
      <c r="S2" s="349"/>
      <c r="T2" s="220"/>
      <c r="U2" s="220"/>
      <c r="V2" s="220"/>
      <c r="W2" s="220"/>
      <c r="X2" s="220"/>
      <c r="Y2" s="220"/>
      <c r="Z2" s="220"/>
      <c r="AA2" s="349"/>
      <c r="AB2" s="349"/>
    </row>
    <row r="3" spans="1:28" ht="14.45" customHeight="1" thickBot="1" x14ac:dyDescent="0.25">
      <c r="A3" s="342" t="s">
        <v>158</v>
      </c>
      <c r="B3" s="343">
        <f>SUBTOTAL(9,B6:B1048576)/4</f>
        <v>674233.3</v>
      </c>
      <c r="C3" s="344">
        <f t="shared" ref="C3:Z3" si="0">SUBTOTAL(9,C6:C1048576)</f>
        <v>9</v>
      </c>
      <c r="D3" s="344"/>
      <c r="E3" s="344">
        <f>SUBTOTAL(9,E6:E1048576)/4</f>
        <v>650866.97</v>
      </c>
      <c r="F3" s="344"/>
      <c r="G3" s="344">
        <f t="shared" si="0"/>
        <v>10</v>
      </c>
      <c r="H3" s="344">
        <f>SUBTOTAL(9,H6:H1048576)/4</f>
        <v>613842.62000000011</v>
      </c>
      <c r="I3" s="347">
        <f>IF(B3&lt;&gt;0,H3/B3,"")</f>
        <v>0.91043058834382706</v>
      </c>
      <c r="J3" s="345">
        <f>IF(E3&lt;&gt;0,H3/E3,"")</f>
        <v>0.94311533430556493</v>
      </c>
      <c r="K3" s="346">
        <f t="shared" si="0"/>
        <v>31008.86</v>
      </c>
      <c r="L3" s="346"/>
      <c r="M3" s="344">
        <f t="shared" si="0"/>
        <v>0.41331501484475064</v>
      </c>
      <c r="N3" s="344">
        <f t="shared" si="0"/>
        <v>153173.97999999998</v>
      </c>
      <c r="O3" s="344"/>
      <c r="P3" s="344">
        <f t="shared" si="0"/>
        <v>3</v>
      </c>
      <c r="Q3" s="344">
        <f t="shared" si="0"/>
        <v>370358.86000000004</v>
      </c>
      <c r="R3" s="347">
        <f>IF(K3&lt;&gt;0,Q3/K3,"")</f>
        <v>11.943646428794867</v>
      </c>
      <c r="S3" s="347">
        <f>IF(N3&lt;&gt;0,Q3/N3,"")</f>
        <v>2.4178966949869691</v>
      </c>
      <c r="T3" s="343">
        <f t="shared" si="0"/>
        <v>0</v>
      </c>
      <c r="U3" s="346"/>
      <c r="V3" s="344">
        <f t="shared" si="0"/>
        <v>0</v>
      </c>
      <c r="W3" s="344">
        <f t="shared" si="0"/>
        <v>0</v>
      </c>
      <c r="X3" s="344"/>
      <c r="Y3" s="344">
        <f t="shared" si="0"/>
        <v>0</v>
      </c>
      <c r="Z3" s="344">
        <f t="shared" si="0"/>
        <v>0</v>
      </c>
      <c r="AA3" s="347" t="str">
        <f>IF(T3&lt;&gt;0,Z3/T3,"")</f>
        <v/>
      </c>
      <c r="AB3" s="345" t="str">
        <f>IF(W3&lt;&gt;0,Z3/W3,"")</f>
        <v/>
      </c>
    </row>
    <row r="4" spans="1:28" ht="14.45" customHeight="1" x14ac:dyDescent="0.2">
      <c r="A4" s="627" t="s">
        <v>255</v>
      </c>
      <c r="B4" s="628" t="s">
        <v>122</v>
      </c>
      <c r="C4" s="629"/>
      <c r="D4" s="630"/>
      <c r="E4" s="629"/>
      <c r="F4" s="630"/>
      <c r="G4" s="629"/>
      <c r="H4" s="629"/>
      <c r="I4" s="630"/>
      <c r="J4" s="631"/>
      <c r="K4" s="628" t="s">
        <v>123</v>
      </c>
      <c r="L4" s="630"/>
      <c r="M4" s="629"/>
      <c r="N4" s="629"/>
      <c r="O4" s="630"/>
      <c r="P4" s="629"/>
      <c r="Q4" s="629"/>
      <c r="R4" s="630"/>
      <c r="S4" s="631"/>
      <c r="T4" s="628" t="s">
        <v>124</v>
      </c>
      <c r="U4" s="630"/>
      <c r="V4" s="629"/>
      <c r="W4" s="629"/>
      <c r="X4" s="630"/>
      <c r="Y4" s="629"/>
      <c r="Z4" s="629"/>
      <c r="AA4" s="630"/>
      <c r="AB4" s="631"/>
    </row>
    <row r="5" spans="1:28" ht="14.45" customHeight="1" thickBot="1" x14ac:dyDescent="0.25">
      <c r="A5" s="842"/>
      <c r="B5" s="843">
        <v>2018</v>
      </c>
      <c r="C5" s="844"/>
      <c r="D5" s="844"/>
      <c r="E5" s="844">
        <v>2019</v>
      </c>
      <c r="F5" s="844"/>
      <c r="G5" s="844"/>
      <c r="H5" s="844">
        <v>2020</v>
      </c>
      <c r="I5" s="845" t="s">
        <v>324</v>
      </c>
      <c r="J5" s="846" t="s">
        <v>2</v>
      </c>
      <c r="K5" s="843">
        <v>2015</v>
      </c>
      <c r="L5" s="844"/>
      <c r="M5" s="844"/>
      <c r="N5" s="844">
        <v>2019</v>
      </c>
      <c r="O5" s="844"/>
      <c r="P5" s="844"/>
      <c r="Q5" s="844">
        <v>2020</v>
      </c>
      <c r="R5" s="845" t="s">
        <v>324</v>
      </c>
      <c r="S5" s="846" t="s">
        <v>2</v>
      </c>
      <c r="T5" s="843">
        <v>2015</v>
      </c>
      <c r="U5" s="844"/>
      <c r="V5" s="844"/>
      <c r="W5" s="844">
        <v>2019</v>
      </c>
      <c r="X5" s="844"/>
      <c r="Y5" s="844"/>
      <c r="Z5" s="844">
        <v>2020</v>
      </c>
      <c r="AA5" s="845" t="s">
        <v>324</v>
      </c>
      <c r="AB5" s="846" t="s">
        <v>2</v>
      </c>
    </row>
    <row r="6" spans="1:28" ht="14.45" customHeight="1" x14ac:dyDescent="0.25">
      <c r="A6" s="847" t="s">
        <v>5339</v>
      </c>
      <c r="B6" s="848">
        <v>674233.29999999993</v>
      </c>
      <c r="C6" s="849">
        <v>1</v>
      </c>
      <c r="D6" s="849">
        <v>1.0359003161583082</v>
      </c>
      <c r="E6" s="848">
        <v>650866.96999999986</v>
      </c>
      <c r="F6" s="849">
        <v>0.96534385056329897</v>
      </c>
      <c r="G6" s="849">
        <v>1</v>
      </c>
      <c r="H6" s="848">
        <v>613842.62000000023</v>
      </c>
      <c r="I6" s="849">
        <v>0.9104305883438274</v>
      </c>
      <c r="J6" s="849">
        <v>0.94311533430556538</v>
      </c>
      <c r="K6" s="848">
        <v>15504.43</v>
      </c>
      <c r="L6" s="849">
        <v>1</v>
      </c>
      <c r="M6" s="849">
        <v>0.20244208579028897</v>
      </c>
      <c r="N6" s="848">
        <v>76586.989999999991</v>
      </c>
      <c r="O6" s="849">
        <v>4.9396843353802744</v>
      </c>
      <c r="P6" s="849">
        <v>1</v>
      </c>
      <c r="Q6" s="848">
        <v>185179.43000000002</v>
      </c>
      <c r="R6" s="849">
        <v>11.943646428794867</v>
      </c>
      <c r="S6" s="849">
        <v>2.4178966949869691</v>
      </c>
      <c r="T6" s="848"/>
      <c r="U6" s="849"/>
      <c r="V6" s="849"/>
      <c r="W6" s="848"/>
      <c r="X6" s="849"/>
      <c r="Y6" s="849"/>
      <c r="Z6" s="848"/>
      <c r="AA6" s="849"/>
      <c r="AB6" s="850"/>
    </row>
    <row r="7" spans="1:28" ht="14.45" customHeight="1" x14ac:dyDescent="0.25">
      <c r="A7" s="857" t="s">
        <v>5340</v>
      </c>
      <c r="B7" s="851">
        <v>658298.32999999996</v>
      </c>
      <c r="C7" s="852">
        <v>1</v>
      </c>
      <c r="D7" s="852">
        <v>1.0397610170445899</v>
      </c>
      <c r="E7" s="851">
        <v>633124.64999999991</v>
      </c>
      <c r="F7" s="852">
        <v>0.96175946549947944</v>
      </c>
      <c r="G7" s="852">
        <v>1</v>
      </c>
      <c r="H7" s="851">
        <v>606301.9700000002</v>
      </c>
      <c r="I7" s="852">
        <v>0.92101398768549247</v>
      </c>
      <c r="J7" s="852">
        <v>0.95763444054816105</v>
      </c>
      <c r="K7" s="851"/>
      <c r="L7" s="852"/>
      <c r="M7" s="852"/>
      <c r="N7" s="851">
        <v>3062</v>
      </c>
      <c r="O7" s="852"/>
      <c r="P7" s="852">
        <v>1</v>
      </c>
      <c r="Q7" s="851">
        <v>185179.43000000002</v>
      </c>
      <c r="R7" s="852"/>
      <c r="S7" s="852">
        <v>60.476626387981717</v>
      </c>
      <c r="T7" s="851"/>
      <c r="U7" s="852"/>
      <c r="V7" s="852"/>
      <c r="W7" s="851"/>
      <c r="X7" s="852"/>
      <c r="Y7" s="852"/>
      <c r="Z7" s="851"/>
      <c r="AA7" s="852"/>
      <c r="AB7" s="853"/>
    </row>
    <row r="8" spans="1:28" ht="14.45" customHeight="1" x14ac:dyDescent="0.25">
      <c r="A8" s="857" t="s">
        <v>5341</v>
      </c>
      <c r="B8" s="851">
        <v>14194.97</v>
      </c>
      <c r="C8" s="852">
        <v>1</v>
      </c>
      <c r="D8" s="852">
        <v>3.3109191756155361</v>
      </c>
      <c r="E8" s="851">
        <v>4287.32</v>
      </c>
      <c r="F8" s="852">
        <v>0.30203093067473902</v>
      </c>
      <c r="G8" s="852">
        <v>1</v>
      </c>
      <c r="H8" s="851">
        <v>7540.65</v>
      </c>
      <c r="I8" s="852">
        <v>0.53121986168339907</v>
      </c>
      <c r="J8" s="852">
        <v>1.758826026515399</v>
      </c>
      <c r="K8" s="851"/>
      <c r="L8" s="852"/>
      <c r="M8" s="852"/>
      <c r="N8" s="851"/>
      <c r="O8" s="852"/>
      <c r="P8" s="852"/>
      <c r="Q8" s="851"/>
      <c r="R8" s="852"/>
      <c r="S8" s="852"/>
      <c r="T8" s="851"/>
      <c r="U8" s="852"/>
      <c r="V8" s="852"/>
      <c r="W8" s="851"/>
      <c r="X8" s="852"/>
      <c r="Y8" s="852"/>
      <c r="Z8" s="851"/>
      <c r="AA8" s="852"/>
      <c r="AB8" s="853"/>
    </row>
    <row r="9" spans="1:28" ht="14.45" customHeight="1" thickBot="1" x14ac:dyDescent="0.3">
      <c r="A9" s="858" t="s">
        <v>5342</v>
      </c>
      <c r="B9" s="854">
        <v>1740</v>
      </c>
      <c r="C9" s="855">
        <v>1</v>
      </c>
      <c r="D9" s="855">
        <v>0.12931995540691194</v>
      </c>
      <c r="E9" s="854">
        <v>13455</v>
      </c>
      <c r="F9" s="855">
        <v>7.7327586206896548</v>
      </c>
      <c r="G9" s="855">
        <v>1</v>
      </c>
      <c r="H9" s="854"/>
      <c r="I9" s="855"/>
      <c r="J9" s="855"/>
      <c r="K9" s="854">
        <v>15504.43</v>
      </c>
      <c r="L9" s="855">
        <v>1</v>
      </c>
      <c r="M9" s="855">
        <v>0.21087292905446164</v>
      </c>
      <c r="N9" s="854">
        <v>73524.989999999991</v>
      </c>
      <c r="O9" s="855">
        <v>4.7421923927548439</v>
      </c>
      <c r="P9" s="855">
        <v>1</v>
      </c>
      <c r="Q9" s="854"/>
      <c r="R9" s="855"/>
      <c r="S9" s="855"/>
      <c r="T9" s="854"/>
      <c r="U9" s="855"/>
      <c r="V9" s="855"/>
      <c r="W9" s="854"/>
      <c r="X9" s="855"/>
      <c r="Y9" s="855"/>
      <c r="Z9" s="854"/>
      <c r="AA9" s="855"/>
      <c r="AB9" s="856"/>
    </row>
    <row r="10" spans="1:28" ht="14.45" customHeight="1" thickBot="1" x14ac:dyDescent="0.25"/>
    <row r="11" spans="1:28" ht="14.45" customHeight="1" x14ac:dyDescent="0.25">
      <c r="A11" s="847" t="s">
        <v>594</v>
      </c>
      <c r="B11" s="848">
        <v>672493.3</v>
      </c>
      <c r="C11" s="849">
        <v>1</v>
      </c>
      <c r="D11" s="849">
        <v>1.1082911435514684</v>
      </c>
      <c r="E11" s="848">
        <v>606783.97000000009</v>
      </c>
      <c r="F11" s="849">
        <v>0.90228998564000573</v>
      </c>
      <c r="G11" s="849">
        <v>1</v>
      </c>
      <c r="H11" s="848">
        <v>476682.62</v>
      </c>
      <c r="I11" s="849">
        <v>0.70882880171445573</v>
      </c>
      <c r="J11" s="850">
        <v>0.78558868323433118</v>
      </c>
    </row>
    <row r="12" spans="1:28" ht="14.45" customHeight="1" x14ac:dyDescent="0.25">
      <c r="A12" s="857" t="s">
        <v>5344</v>
      </c>
      <c r="B12" s="851">
        <v>266000.65999999997</v>
      </c>
      <c r="C12" s="852">
        <v>1</v>
      </c>
      <c r="D12" s="852">
        <v>1.36585943205241</v>
      </c>
      <c r="E12" s="851">
        <v>194749.66</v>
      </c>
      <c r="F12" s="852">
        <v>0.73213976235998823</v>
      </c>
      <c r="G12" s="852">
        <v>1</v>
      </c>
      <c r="H12" s="851">
        <v>168627</v>
      </c>
      <c r="I12" s="852">
        <v>0.63393451730533301</v>
      </c>
      <c r="J12" s="853">
        <v>0.86586543976508101</v>
      </c>
    </row>
    <row r="13" spans="1:28" ht="14.45" customHeight="1" x14ac:dyDescent="0.25">
      <c r="A13" s="857" t="s">
        <v>5345</v>
      </c>
      <c r="B13" s="851">
        <v>406492.64</v>
      </c>
      <c r="C13" s="852">
        <v>1</v>
      </c>
      <c r="D13" s="852">
        <v>0.98655046469309793</v>
      </c>
      <c r="E13" s="851">
        <v>412034.31000000006</v>
      </c>
      <c r="F13" s="852">
        <v>1.0136328913605914</v>
      </c>
      <c r="G13" s="852">
        <v>1</v>
      </c>
      <c r="H13" s="851">
        <v>308055.62</v>
      </c>
      <c r="I13" s="852">
        <v>0.7578381246951974</v>
      </c>
      <c r="J13" s="853">
        <v>0.74764555408019284</v>
      </c>
    </row>
    <row r="14" spans="1:28" ht="14.45" customHeight="1" x14ac:dyDescent="0.25">
      <c r="A14" s="859" t="s">
        <v>606</v>
      </c>
      <c r="B14" s="860">
        <v>1740</v>
      </c>
      <c r="C14" s="861">
        <v>1</v>
      </c>
      <c r="D14" s="861">
        <v>3.9470997890343217E-2</v>
      </c>
      <c r="E14" s="860">
        <v>44083</v>
      </c>
      <c r="F14" s="861">
        <v>25.335057471264367</v>
      </c>
      <c r="G14" s="861">
        <v>1</v>
      </c>
      <c r="H14" s="860">
        <v>137160</v>
      </c>
      <c r="I14" s="861">
        <v>78.827586206896555</v>
      </c>
      <c r="J14" s="862">
        <v>3.111403488873262</v>
      </c>
    </row>
    <row r="15" spans="1:28" ht="14.45" customHeight="1" x14ac:dyDescent="0.25">
      <c r="A15" s="857" t="s">
        <v>5344</v>
      </c>
      <c r="B15" s="851">
        <v>1740</v>
      </c>
      <c r="C15" s="852">
        <v>1</v>
      </c>
      <c r="D15" s="852">
        <v>6.0397792356555242E-2</v>
      </c>
      <c r="E15" s="851">
        <v>28809</v>
      </c>
      <c r="F15" s="852">
        <v>16.556896551724137</v>
      </c>
      <c r="G15" s="852">
        <v>1</v>
      </c>
      <c r="H15" s="851">
        <v>119460</v>
      </c>
      <c r="I15" s="852">
        <v>68.65517241379311</v>
      </c>
      <c r="J15" s="853">
        <v>4.1466208476517759</v>
      </c>
    </row>
    <row r="16" spans="1:28" ht="14.45" customHeight="1" thickBot="1" x14ac:dyDescent="0.3">
      <c r="A16" s="858" t="s">
        <v>5345</v>
      </c>
      <c r="B16" s="854"/>
      <c r="C16" s="855"/>
      <c r="D16" s="855"/>
      <c r="E16" s="854">
        <v>15274</v>
      </c>
      <c r="F16" s="855"/>
      <c r="G16" s="855">
        <v>1</v>
      </c>
      <c r="H16" s="854">
        <v>17700</v>
      </c>
      <c r="I16" s="855"/>
      <c r="J16" s="856">
        <v>1.1588320020950635</v>
      </c>
    </row>
    <row r="17" spans="1:1" ht="14.45" customHeight="1" x14ac:dyDescent="0.2">
      <c r="A17" s="787" t="s">
        <v>295</v>
      </c>
    </row>
    <row r="18" spans="1:1" ht="14.45" customHeight="1" x14ac:dyDescent="0.2">
      <c r="A18" s="788" t="s">
        <v>1896</v>
      </c>
    </row>
    <row r="19" spans="1:1" ht="14.45" customHeight="1" x14ac:dyDescent="0.2">
      <c r="A19" s="787" t="s">
        <v>5346</v>
      </c>
    </row>
    <row r="20" spans="1:1" ht="14.45" customHeight="1" x14ac:dyDescent="0.2">
      <c r="A20" s="787" t="s">
        <v>5347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21" priority="4" stopIfTrue="1" operator="lessThan">
      <formula>0.95</formula>
    </cfRule>
  </conditionalFormatting>
  <hyperlinks>
    <hyperlink ref="A2" location="Obsah!A1" display="Zpět na Obsah  KL 01  1.-4.měsíc" xr:uid="{FF16866A-49E4-4655-A376-373E52F8CE56}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List57">
    <tabColor theme="0" tint="-0.249977111117893"/>
    <pageSetUpPr fitToPage="1"/>
  </sheetPr>
  <dimension ref="A1:G28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ColWidth="8.85546875" defaultRowHeight="14.45" customHeight="1" outlineLevelCol="1" x14ac:dyDescent="0.2"/>
  <cols>
    <col min="1" max="1" width="46.7109375" style="247" bestFit="1" customWidth="1"/>
    <col min="2" max="2" width="7.7109375" style="329" hidden="1" customWidth="1" outlineLevel="1"/>
    <col min="3" max="3" width="7.7109375" style="329" customWidth="1" collapsed="1"/>
    <col min="4" max="4" width="7.7109375" style="329" customWidth="1"/>
    <col min="5" max="5" width="7.7109375" style="215" hidden="1" customWidth="1" outlineLevel="1"/>
    <col min="6" max="6" width="7.7109375" style="215" customWidth="1" collapsed="1"/>
    <col min="7" max="7" width="7.7109375" style="215" customWidth="1"/>
    <col min="8" max="16384" width="8.85546875" style="247"/>
  </cols>
  <sheetData>
    <row r="1" spans="1:7" ht="18.600000000000001" customHeight="1" thickBot="1" x14ac:dyDescent="0.35">
      <c r="A1" s="626" t="s">
        <v>5352</v>
      </c>
      <c r="B1" s="516"/>
      <c r="C1" s="516"/>
      <c r="D1" s="516"/>
      <c r="E1" s="516"/>
      <c r="F1" s="516"/>
      <c r="G1" s="516"/>
    </row>
    <row r="2" spans="1:7" ht="14.45" customHeight="1" thickBot="1" x14ac:dyDescent="0.25">
      <c r="A2" s="705" t="s">
        <v>328</v>
      </c>
      <c r="B2" s="220"/>
      <c r="C2" s="220"/>
      <c r="D2" s="220"/>
      <c r="E2" s="220"/>
      <c r="F2" s="220"/>
      <c r="G2" s="220"/>
    </row>
    <row r="3" spans="1:7" ht="14.45" customHeight="1" thickBot="1" x14ac:dyDescent="0.25">
      <c r="A3" s="439" t="s">
        <v>158</v>
      </c>
      <c r="B3" s="403">
        <f t="shared" ref="B3:G3" si="0">SUBTOTAL(9,B6:B1048576)</f>
        <v>1769</v>
      </c>
      <c r="C3" s="404">
        <f t="shared" si="0"/>
        <v>1730</v>
      </c>
      <c r="D3" s="438">
        <f t="shared" si="0"/>
        <v>2120</v>
      </c>
      <c r="E3" s="346">
        <f t="shared" si="0"/>
        <v>674233.29999999981</v>
      </c>
      <c r="F3" s="344">
        <f t="shared" si="0"/>
        <v>650866.97</v>
      </c>
      <c r="G3" s="405">
        <f t="shared" si="0"/>
        <v>613842.61999999988</v>
      </c>
    </row>
    <row r="4" spans="1:7" ht="14.45" customHeight="1" x14ac:dyDescent="0.2">
      <c r="A4" s="627" t="s">
        <v>166</v>
      </c>
      <c r="B4" s="632" t="s">
        <v>253</v>
      </c>
      <c r="C4" s="630"/>
      <c r="D4" s="633"/>
      <c r="E4" s="632" t="s">
        <v>122</v>
      </c>
      <c r="F4" s="630"/>
      <c r="G4" s="633"/>
    </row>
    <row r="5" spans="1:7" ht="14.45" customHeight="1" thickBot="1" x14ac:dyDescent="0.25">
      <c r="A5" s="842"/>
      <c r="B5" s="843">
        <v>2018</v>
      </c>
      <c r="C5" s="844">
        <v>2019</v>
      </c>
      <c r="D5" s="863">
        <v>2020</v>
      </c>
      <c r="E5" s="843">
        <v>2018</v>
      </c>
      <c r="F5" s="844">
        <v>2019</v>
      </c>
      <c r="G5" s="863">
        <v>2020</v>
      </c>
    </row>
    <row r="6" spans="1:7" ht="14.45" customHeight="1" x14ac:dyDescent="0.2">
      <c r="A6" s="836" t="s">
        <v>1898</v>
      </c>
      <c r="B6" s="225">
        <v>9</v>
      </c>
      <c r="C6" s="225">
        <v>3</v>
      </c>
      <c r="D6" s="225">
        <v>14</v>
      </c>
      <c r="E6" s="864">
        <v>681.99</v>
      </c>
      <c r="F6" s="864">
        <v>243.32999999999998</v>
      </c>
      <c r="G6" s="865">
        <v>1164.67</v>
      </c>
    </row>
    <row r="7" spans="1:7" ht="14.45" customHeight="1" x14ac:dyDescent="0.2">
      <c r="A7" s="837" t="s">
        <v>5344</v>
      </c>
      <c r="B7" s="832">
        <v>392</v>
      </c>
      <c r="C7" s="832">
        <v>365</v>
      </c>
      <c r="D7" s="832">
        <v>979</v>
      </c>
      <c r="E7" s="866">
        <v>267740.65999999997</v>
      </c>
      <c r="F7" s="866">
        <v>223558.66</v>
      </c>
      <c r="G7" s="867">
        <v>288087</v>
      </c>
    </row>
    <row r="8" spans="1:7" ht="14.45" customHeight="1" x14ac:dyDescent="0.2">
      <c r="A8" s="837" t="s">
        <v>1899</v>
      </c>
      <c r="B8" s="832"/>
      <c r="C8" s="832">
        <v>103</v>
      </c>
      <c r="D8" s="832">
        <v>100</v>
      </c>
      <c r="E8" s="866"/>
      <c r="F8" s="866">
        <v>40582.33</v>
      </c>
      <c r="G8" s="867">
        <v>37963.660000000003</v>
      </c>
    </row>
    <row r="9" spans="1:7" ht="14.45" customHeight="1" x14ac:dyDescent="0.2">
      <c r="A9" s="837" t="s">
        <v>5348</v>
      </c>
      <c r="B9" s="832"/>
      <c r="C9" s="832">
        <v>1</v>
      </c>
      <c r="D9" s="832"/>
      <c r="E9" s="866"/>
      <c r="F9" s="866">
        <v>1178</v>
      </c>
      <c r="G9" s="867"/>
    </row>
    <row r="10" spans="1:7" ht="14.45" customHeight="1" x14ac:dyDescent="0.2">
      <c r="A10" s="837" t="s">
        <v>5349</v>
      </c>
      <c r="B10" s="832"/>
      <c r="C10" s="832">
        <v>12</v>
      </c>
      <c r="D10" s="832">
        <v>3</v>
      </c>
      <c r="E10" s="866"/>
      <c r="F10" s="866">
        <v>11171</v>
      </c>
      <c r="G10" s="867">
        <v>3540</v>
      </c>
    </row>
    <row r="11" spans="1:7" ht="14.45" customHeight="1" x14ac:dyDescent="0.2">
      <c r="A11" s="837" t="s">
        <v>5350</v>
      </c>
      <c r="B11" s="832">
        <v>2</v>
      </c>
      <c r="C11" s="832">
        <v>4</v>
      </c>
      <c r="D11" s="832"/>
      <c r="E11" s="866">
        <v>74</v>
      </c>
      <c r="F11" s="866">
        <v>288.33</v>
      </c>
      <c r="G11" s="867"/>
    </row>
    <row r="12" spans="1:7" ht="14.45" customHeight="1" x14ac:dyDescent="0.2">
      <c r="A12" s="837" t="s">
        <v>1900</v>
      </c>
      <c r="B12" s="832"/>
      <c r="C12" s="832">
        <v>2</v>
      </c>
      <c r="D12" s="832">
        <v>3</v>
      </c>
      <c r="E12" s="866"/>
      <c r="F12" s="866">
        <v>159.32999999999998</v>
      </c>
      <c r="G12" s="867">
        <v>245.32999999999998</v>
      </c>
    </row>
    <row r="13" spans="1:7" ht="14.45" customHeight="1" x14ac:dyDescent="0.2">
      <c r="A13" s="837" t="s">
        <v>1901</v>
      </c>
      <c r="B13" s="832">
        <v>291</v>
      </c>
      <c r="C13" s="832">
        <v>382</v>
      </c>
      <c r="D13" s="832">
        <v>237</v>
      </c>
      <c r="E13" s="866">
        <v>133780.67000000001</v>
      </c>
      <c r="F13" s="866">
        <v>180735.66999999998</v>
      </c>
      <c r="G13" s="867">
        <v>107546.33</v>
      </c>
    </row>
    <row r="14" spans="1:7" ht="14.45" customHeight="1" x14ac:dyDescent="0.2">
      <c r="A14" s="837" t="s">
        <v>1902</v>
      </c>
      <c r="B14" s="832">
        <v>2</v>
      </c>
      <c r="C14" s="832">
        <v>16</v>
      </c>
      <c r="D14" s="832">
        <v>6</v>
      </c>
      <c r="E14" s="866">
        <v>160.32999999999998</v>
      </c>
      <c r="F14" s="866">
        <v>1315</v>
      </c>
      <c r="G14" s="867">
        <v>490.67</v>
      </c>
    </row>
    <row r="15" spans="1:7" ht="14.45" customHeight="1" x14ac:dyDescent="0.2">
      <c r="A15" s="837" t="s">
        <v>1904</v>
      </c>
      <c r="B15" s="832">
        <v>18</v>
      </c>
      <c r="C15" s="832">
        <v>12</v>
      </c>
      <c r="D15" s="832">
        <v>17</v>
      </c>
      <c r="E15" s="866">
        <v>1480.9899999999998</v>
      </c>
      <c r="F15" s="866">
        <v>918.66</v>
      </c>
      <c r="G15" s="867">
        <v>1293</v>
      </c>
    </row>
    <row r="16" spans="1:7" ht="14.45" customHeight="1" x14ac:dyDescent="0.2">
      <c r="A16" s="837" t="s">
        <v>1905</v>
      </c>
      <c r="B16" s="832">
        <v>28</v>
      </c>
      <c r="C16" s="832"/>
      <c r="D16" s="832">
        <v>12</v>
      </c>
      <c r="E16" s="866">
        <v>2181</v>
      </c>
      <c r="F16" s="866"/>
      <c r="G16" s="867">
        <v>971.67000000000007</v>
      </c>
    </row>
    <row r="17" spans="1:7" ht="14.45" customHeight="1" x14ac:dyDescent="0.2">
      <c r="A17" s="837" t="s">
        <v>1906</v>
      </c>
      <c r="B17" s="832"/>
      <c r="C17" s="832"/>
      <c r="D17" s="832">
        <v>3</v>
      </c>
      <c r="E17" s="866"/>
      <c r="F17" s="866"/>
      <c r="G17" s="867">
        <v>245.32999999999998</v>
      </c>
    </row>
    <row r="18" spans="1:7" ht="14.45" customHeight="1" x14ac:dyDescent="0.2">
      <c r="A18" s="837" t="s">
        <v>1907</v>
      </c>
      <c r="B18" s="832">
        <v>543</v>
      </c>
      <c r="C18" s="832">
        <v>563</v>
      </c>
      <c r="D18" s="832">
        <v>498</v>
      </c>
      <c r="E18" s="866">
        <v>77728.66</v>
      </c>
      <c r="F18" s="866">
        <v>83787.67</v>
      </c>
      <c r="G18" s="867">
        <v>63960.66</v>
      </c>
    </row>
    <row r="19" spans="1:7" ht="14.45" customHeight="1" x14ac:dyDescent="0.2">
      <c r="A19" s="837" t="s">
        <v>1908</v>
      </c>
      <c r="B19" s="832">
        <v>160</v>
      </c>
      <c r="C19" s="832">
        <v>162</v>
      </c>
      <c r="D19" s="832">
        <v>131</v>
      </c>
      <c r="E19" s="866">
        <v>75033.989999999991</v>
      </c>
      <c r="F19" s="866">
        <v>78251.33</v>
      </c>
      <c r="G19" s="867">
        <v>66821.33</v>
      </c>
    </row>
    <row r="20" spans="1:7" ht="14.45" customHeight="1" x14ac:dyDescent="0.2">
      <c r="A20" s="837" t="s">
        <v>1909</v>
      </c>
      <c r="B20" s="832">
        <v>3</v>
      </c>
      <c r="C20" s="832"/>
      <c r="D20" s="832"/>
      <c r="E20" s="866">
        <v>243.32999999999998</v>
      </c>
      <c r="F20" s="866"/>
      <c r="G20" s="867"/>
    </row>
    <row r="21" spans="1:7" ht="14.45" customHeight="1" x14ac:dyDescent="0.2">
      <c r="A21" s="837" t="s">
        <v>1910</v>
      </c>
      <c r="B21" s="832">
        <v>18</v>
      </c>
      <c r="C21" s="832"/>
      <c r="D21" s="832">
        <v>10</v>
      </c>
      <c r="E21" s="866">
        <v>2633.33</v>
      </c>
      <c r="F21" s="866"/>
      <c r="G21" s="867">
        <v>1710.32</v>
      </c>
    </row>
    <row r="22" spans="1:7" ht="14.45" customHeight="1" x14ac:dyDescent="0.2">
      <c r="A22" s="837" t="s">
        <v>1911</v>
      </c>
      <c r="B22" s="832">
        <v>16</v>
      </c>
      <c r="C22" s="832"/>
      <c r="D22" s="832">
        <v>4</v>
      </c>
      <c r="E22" s="866">
        <v>1288.3399999999999</v>
      </c>
      <c r="F22" s="866"/>
      <c r="G22" s="867">
        <v>320.65999999999997</v>
      </c>
    </row>
    <row r="23" spans="1:7" ht="14.45" customHeight="1" x14ac:dyDescent="0.2">
      <c r="A23" s="837" t="s">
        <v>1912</v>
      </c>
      <c r="B23" s="832">
        <v>161</v>
      </c>
      <c r="C23" s="832">
        <v>105</v>
      </c>
      <c r="D23" s="832">
        <v>103</v>
      </c>
      <c r="E23" s="866">
        <v>46757.34</v>
      </c>
      <c r="F23" s="866">
        <v>28677.66</v>
      </c>
      <c r="G23" s="867">
        <v>39481.990000000005</v>
      </c>
    </row>
    <row r="24" spans="1:7" ht="14.45" customHeight="1" x14ac:dyDescent="0.2">
      <c r="A24" s="837" t="s">
        <v>5351</v>
      </c>
      <c r="B24" s="832">
        <v>125</v>
      </c>
      <c r="C24" s="832"/>
      <c r="D24" s="832"/>
      <c r="E24" s="866">
        <v>64411.67</v>
      </c>
      <c r="F24" s="866"/>
      <c r="G24" s="867"/>
    </row>
    <row r="25" spans="1:7" ht="14.45" customHeight="1" thickBot="1" x14ac:dyDescent="0.25">
      <c r="A25" s="870" t="s">
        <v>1913</v>
      </c>
      <c r="B25" s="834">
        <v>1</v>
      </c>
      <c r="C25" s="834"/>
      <c r="D25" s="834"/>
      <c r="E25" s="868">
        <v>37</v>
      </c>
      <c r="F25" s="868"/>
      <c r="G25" s="869"/>
    </row>
    <row r="26" spans="1:7" ht="14.45" customHeight="1" x14ac:dyDescent="0.2">
      <c r="A26" s="787" t="s">
        <v>295</v>
      </c>
    </row>
    <row r="27" spans="1:7" ht="14.45" customHeight="1" x14ac:dyDescent="0.2">
      <c r="A27" s="788" t="s">
        <v>1896</v>
      </c>
    </row>
    <row r="28" spans="1:7" ht="14.45" customHeight="1" x14ac:dyDescent="0.2">
      <c r="A28" s="787" t="s">
        <v>5346</v>
      </c>
    </row>
  </sheetData>
  <autoFilter ref="A4:A5" xr:uid="{00000000-0009-0000-0000-000021000000}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 xr:uid="{E6B7C7D5-A02B-4C3E-B870-12F902E75A92}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List2">
    <tabColor theme="0" tint="-0.249977111117893"/>
    <outlinePr summaryRight="0"/>
    <pageSetUpPr fitToPage="1"/>
  </sheetPr>
  <dimension ref="A1:R53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ColWidth="8.85546875" defaultRowHeight="14.45" customHeight="1" outlineLevelCol="1" x14ac:dyDescent="0.2"/>
  <cols>
    <col min="1" max="1" width="3.28515625" style="247" customWidth="1"/>
    <col min="2" max="2" width="8.7109375" style="247" bestFit="1" customWidth="1"/>
    <col min="3" max="3" width="6.140625" style="247" customWidth="1"/>
    <col min="4" max="4" width="2.140625" style="247" bestFit="1" customWidth="1"/>
    <col min="5" max="5" width="8" style="247" customWidth="1"/>
    <col min="6" max="6" width="50.85546875" style="247" bestFit="1" customWidth="1" collapsed="1"/>
    <col min="7" max="8" width="11.140625" style="329" hidden="1" customWidth="1" outlineLevel="1"/>
    <col min="9" max="10" width="9.28515625" style="247" hidden="1" customWidth="1"/>
    <col min="11" max="12" width="11.140625" style="329" customWidth="1"/>
    <col min="13" max="14" width="9.28515625" style="247" hidden="1" customWidth="1"/>
    <col min="15" max="16" width="11.140625" style="329" customWidth="1"/>
    <col min="17" max="17" width="11.140625" style="332" customWidth="1"/>
    <col min="18" max="18" width="11.140625" style="329" customWidth="1"/>
    <col min="19" max="16384" width="8.85546875" style="247"/>
  </cols>
  <sheetData>
    <row r="1" spans="1:18" ht="18.600000000000001" customHeight="1" thickBot="1" x14ac:dyDescent="0.35">
      <c r="A1" s="516" t="s">
        <v>5433</v>
      </c>
      <c r="B1" s="548"/>
      <c r="C1" s="548"/>
      <c r="D1" s="548"/>
      <c r="E1" s="548"/>
      <c r="F1" s="548"/>
      <c r="G1" s="548"/>
      <c r="H1" s="548"/>
      <c r="I1" s="548"/>
      <c r="J1" s="548"/>
      <c r="K1" s="548"/>
      <c r="L1" s="548"/>
      <c r="M1" s="548"/>
      <c r="N1" s="548"/>
      <c r="O1" s="548"/>
      <c r="P1" s="548"/>
      <c r="Q1" s="548"/>
      <c r="R1" s="548"/>
    </row>
    <row r="2" spans="1:18" ht="14.45" customHeight="1" thickBot="1" x14ac:dyDescent="0.25">
      <c r="A2" s="705" t="s">
        <v>328</v>
      </c>
      <c r="B2" s="319"/>
      <c r="C2" s="319"/>
      <c r="D2" s="220"/>
      <c r="E2" s="220"/>
      <c r="F2" s="220"/>
      <c r="G2" s="352"/>
      <c r="H2" s="352"/>
      <c r="I2" s="220"/>
      <c r="J2" s="220"/>
      <c r="K2" s="352"/>
      <c r="L2" s="352"/>
      <c r="M2" s="220"/>
      <c r="N2" s="220"/>
      <c r="O2" s="352"/>
      <c r="P2" s="352"/>
      <c r="Q2" s="349"/>
      <c r="R2" s="352"/>
    </row>
    <row r="3" spans="1:18" ht="14.45" customHeight="1" thickBot="1" x14ac:dyDescent="0.25">
      <c r="F3" s="112" t="s">
        <v>158</v>
      </c>
      <c r="G3" s="207">
        <f t="shared" ref="G3:P3" si="0">SUBTOTAL(9,G6:G1048576)</f>
        <v>1772</v>
      </c>
      <c r="H3" s="208">
        <f t="shared" si="0"/>
        <v>689737.7300000001</v>
      </c>
      <c r="I3" s="78"/>
      <c r="J3" s="78"/>
      <c r="K3" s="208">
        <f t="shared" si="0"/>
        <v>1748</v>
      </c>
      <c r="L3" s="208">
        <f t="shared" si="0"/>
        <v>727453.96</v>
      </c>
      <c r="M3" s="78"/>
      <c r="N3" s="78"/>
      <c r="O3" s="208">
        <f t="shared" si="0"/>
        <v>2162</v>
      </c>
      <c r="P3" s="208">
        <f t="shared" si="0"/>
        <v>799022.05</v>
      </c>
      <c r="Q3" s="79">
        <f>IF(L3=0,0,P3/L3)</f>
        <v>1.0983816075453079</v>
      </c>
      <c r="R3" s="209">
        <f>IF(O3=0,0,P3/O3)</f>
        <v>369.57541628122112</v>
      </c>
    </row>
    <row r="4" spans="1:18" ht="14.45" customHeight="1" x14ac:dyDescent="0.2">
      <c r="A4" s="634" t="s">
        <v>260</v>
      </c>
      <c r="B4" s="634" t="s">
        <v>118</v>
      </c>
      <c r="C4" s="642" t="s">
        <v>0</v>
      </c>
      <c r="D4" s="636" t="s">
        <v>119</v>
      </c>
      <c r="E4" s="641" t="s">
        <v>89</v>
      </c>
      <c r="F4" s="637" t="s">
        <v>80</v>
      </c>
      <c r="G4" s="638">
        <v>2018</v>
      </c>
      <c r="H4" s="639"/>
      <c r="I4" s="206"/>
      <c r="J4" s="206"/>
      <c r="K4" s="638">
        <v>2019</v>
      </c>
      <c r="L4" s="639"/>
      <c r="M4" s="206"/>
      <c r="N4" s="206"/>
      <c r="O4" s="638">
        <v>2020</v>
      </c>
      <c r="P4" s="639"/>
      <c r="Q4" s="640" t="s">
        <v>2</v>
      </c>
      <c r="R4" s="635" t="s">
        <v>121</v>
      </c>
    </row>
    <row r="5" spans="1:18" ht="14.45" customHeight="1" thickBot="1" x14ac:dyDescent="0.25">
      <c r="A5" s="871"/>
      <c r="B5" s="871"/>
      <c r="C5" s="872"/>
      <c r="D5" s="873"/>
      <c r="E5" s="874"/>
      <c r="F5" s="875"/>
      <c r="G5" s="876" t="s">
        <v>90</v>
      </c>
      <c r="H5" s="877" t="s">
        <v>14</v>
      </c>
      <c r="I5" s="878"/>
      <c r="J5" s="878"/>
      <c r="K5" s="876" t="s">
        <v>90</v>
      </c>
      <c r="L5" s="877" t="s">
        <v>14</v>
      </c>
      <c r="M5" s="878"/>
      <c r="N5" s="878"/>
      <c r="O5" s="876" t="s">
        <v>90</v>
      </c>
      <c r="P5" s="877" t="s">
        <v>14</v>
      </c>
      <c r="Q5" s="879"/>
      <c r="R5" s="880"/>
    </row>
    <row r="6" spans="1:18" ht="14.45" customHeight="1" x14ac:dyDescent="0.2">
      <c r="A6" s="807" t="s">
        <v>5353</v>
      </c>
      <c r="B6" s="808" t="s">
        <v>5354</v>
      </c>
      <c r="C6" s="808" t="s">
        <v>594</v>
      </c>
      <c r="D6" s="808" t="s">
        <v>5355</v>
      </c>
      <c r="E6" s="808" t="s">
        <v>5356</v>
      </c>
      <c r="F6" s="808" t="s">
        <v>5357</v>
      </c>
      <c r="G6" s="225"/>
      <c r="H6" s="225"/>
      <c r="I6" s="808"/>
      <c r="J6" s="808"/>
      <c r="K6" s="225"/>
      <c r="L6" s="225"/>
      <c r="M6" s="808"/>
      <c r="N6" s="808"/>
      <c r="O6" s="225">
        <v>1</v>
      </c>
      <c r="P6" s="225">
        <v>68</v>
      </c>
      <c r="Q6" s="813"/>
      <c r="R6" s="831">
        <v>68</v>
      </c>
    </row>
    <row r="7" spans="1:18" ht="14.45" customHeight="1" x14ac:dyDescent="0.2">
      <c r="A7" s="822" t="s">
        <v>5353</v>
      </c>
      <c r="B7" s="823" t="s">
        <v>5354</v>
      </c>
      <c r="C7" s="823" t="s">
        <v>594</v>
      </c>
      <c r="D7" s="823" t="s">
        <v>5355</v>
      </c>
      <c r="E7" s="823" t="s">
        <v>5358</v>
      </c>
      <c r="F7" s="823" t="s">
        <v>5359</v>
      </c>
      <c r="G7" s="832">
        <v>166</v>
      </c>
      <c r="H7" s="832">
        <v>6142</v>
      </c>
      <c r="I7" s="823">
        <v>0.91317276241451084</v>
      </c>
      <c r="J7" s="823">
        <v>37</v>
      </c>
      <c r="K7" s="832">
        <v>177</v>
      </c>
      <c r="L7" s="832">
        <v>6726</v>
      </c>
      <c r="M7" s="823">
        <v>1</v>
      </c>
      <c r="N7" s="823">
        <v>38</v>
      </c>
      <c r="O7" s="832">
        <v>228</v>
      </c>
      <c r="P7" s="832">
        <v>8664</v>
      </c>
      <c r="Q7" s="828">
        <v>1.2881355932203389</v>
      </c>
      <c r="R7" s="833">
        <v>38</v>
      </c>
    </row>
    <row r="8" spans="1:18" ht="14.45" customHeight="1" x14ac:dyDescent="0.2">
      <c r="A8" s="822" t="s">
        <v>5353</v>
      </c>
      <c r="B8" s="823" t="s">
        <v>5354</v>
      </c>
      <c r="C8" s="823" t="s">
        <v>594</v>
      </c>
      <c r="D8" s="823" t="s">
        <v>5355</v>
      </c>
      <c r="E8" s="823" t="s">
        <v>5360</v>
      </c>
      <c r="F8" s="823" t="s">
        <v>5361</v>
      </c>
      <c r="G8" s="832">
        <v>4</v>
      </c>
      <c r="H8" s="832">
        <v>2808</v>
      </c>
      <c r="I8" s="823">
        <v>3.9717114568599716</v>
      </c>
      <c r="J8" s="823">
        <v>702</v>
      </c>
      <c r="K8" s="832">
        <v>1</v>
      </c>
      <c r="L8" s="832">
        <v>707</v>
      </c>
      <c r="M8" s="823">
        <v>1</v>
      </c>
      <c r="N8" s="823">
        <v>707</v>
      </c>
      <c r="O8" s="832">
        <v>2</v>
      </c>
      <c r="P8" s="832">
        <v>1422</v>
      </c>
      <c r="Q8" s="828">
        <v>2.0113154172560113</v>
      </c>
      <c r="R8" s="833">
        <v>711</v>
      </c>
    </row>
    <row r="9" spans="1:18" ht="14.45" customHeight="1" x14ac:dyDescent="0.2">
      <c r="A9" s="822" t="s">
        <v>5353</v>
      </c>
      <c r="B9" s="823" t="s">
        <v>5354</v>
      </c>
      <c r="C9" s="823" t="s">
        <v>594</v>
      </c>
      <c r="D9" s="823" t="s">
        <v>5355</v>
      </c>
      <c r="E9" s="823" t="s">
        <v>5362</v>
      </c>
      <c r="F9" s="823" t="s">
        <v>5363</v>
      </c>
      <c r="G9" s="832">
        <v>238</v>
      </c>
      <c r="H9" s="832">
        <v>33558</v>
      </c>
      <c r="I9" s="823">
        <v>0.84401408450704229</v>
      </c>
      <c r="J9" s="823">
        <v>141</v>
      </c>
      <c r="K9" s="832">
        <v>280</v>
      </c>
      <c r="L9" s="832">
        <v>39760</v>
      </c>
      <c r="M9" s="823">
        <v>1</v>
      </c>
      <c r="N9" s="823">
        <v>142</v>
      </c>
      <c r="O9" s="832">
        <v>212</v>
      </c>
      <c r="P9" s="832">
        <v>30316</v>
      </c>
      <c r="Q9" s="828">
        <v>0.76247484909456742</v>
      </c>
      <c r="R9" s="833">
        <v>143</v>
      </c>
    </row>
    <row r="10" spans="1:18" ht="14.45" customHeight="1" x14ac:dyDescent="0.2">
      <c r="A10" s="822" t="s">
        <v>5353</v>
      </c>
      <c r="B10" s="823" t="s">
        <v>5354</v>
      </c>
      <c r="C10" s="823" t="s">
        <v>594</v>
      </c>
      <c r="D10" s="823" t="s">
        <v>5355</v>
      </c>
      <c r="E10" s="823" t="s">
        <v>5364</v>
      </c>
      <c r="F10" s="823" t="s">
        <v>5365</v>
      </c>
      <c r="G10" s="832">
        <v>17</v>
      </c>
      <c r="H10" s="832">
        <v>16286</v>
      </c>
      <c r="I10" s="823">
        <v>0.67646936656282453</v>
      </c>
      <c r="J10" s="823">
        <v>958</v>
      </c>
      <c r="K10" s="832">
        <v>25</v>
      </c>
      <c r="L10" s="832">
        <v>24075</v>
      </c>
      <c r="M10" s="823">
        <v>1</v>
      </c>
      <c r="N10" s="823">
        <v>963</v>
      </c>
      <c r="O10" s="832">
        <v>16</v>
      </c>
      <c r="P10" s="832">
        <v>15472</v>
      </c>
      <c r="Q10" s="828">
        <v>0.64265835929387327</v>
      </c>
      <c r="R10" s="833">
        <v>967</v>
      </c>
    </row>
    <row r="11" spans="1:18" ht="14.45" customHeight="1" x14ac:dyDescent="0.2">
      <c r="A11" s="822" t="s">
        <v>5353</v>
      </c>
      <c r="B11" s="823" t="s">
        <v>5354</v>
      </c>
      <c r="C11" s="823" t="s">
        <v>594</v>
      </c>
      <c r="D11" s="823" t="s">
        <v>5355</v>
      </c>
      <c r="E11" s="823" t="s">
        <v>5366</v>
      </c>
      <c r="F11" s="823" t="s">
        <v>5367</v>
      </c>
      <c r="G11" s="832">
        <v>4</v>
      </c>
      <c r="H11" s="832">
        <v>1728</v>
      </c>
      <c r="I11" s="823">
        <v>0.28374384236453204</v>
      </c>
      <c r="J11" s="823">
        <v>432</v>
      </c>
      <c r="K11" s="832">
        <v>14</v>
      </c>
      <c r="L11" s="832">
        <v>6090</v>
      </c>
      <c r="M11" s="823">
        <v>1</v>
      </c>
      <c r="N11" s="823">
        <v>435</v>
      </c>
      <c r="O11" s="832">
        <v>2</v>
      </c>
      <c r="P11" s="832">
        <v>874</v>
      </c>
      <c r="Q11" s="828">
        <v>0.14351395730706076</v>
      </c>
      <c r="R11" s="833">
        <v>437</v>
      </c>
    </row>
    <row r="12" spans="1:18" ht="14.45" customHeight="1" x14ac:dyDescent="0.2">
      <c r="A12" s="822" t="s">
        <v>5353</v>
      </c>
      <c r="B12" s="823" t="s">
        <v>5354</v>
      </c>
      <c r="C12" s="823" t="s">
        <v>594</v>
      </c>
      <c r="D12" s="823" t="s">
        <v>5355</v>
      </c>
      <c r="E12" s="823" t="s">
        <v>5368</v>
      </c>
      <c r="F12" s="823" t="s">
        <v>5369</v>
      </c>
      <c r="G12" s="832">
        <v>376</v>
      </c>
      <c r="H12" s="832">
        <v>379760</v>
      </c>
      <c r="I12" s="823">
        <v>1.1157335589714661</v>
      </c>
      <c r="J12" s="823">
        <v>1010</v>
      </c>
      <c r="K12" s="832">
        <v>336</v>
      </c>
      <c r="L12" s="832">
        <v>340368</v>
      </c>
      <c r="M12" s="823">
        <v>1</v>
      </c>
      <c r="N12" s="823">
        <v>1013</v>
      </c>
      <c r="O12" s="832">
        <v>261</v>
      </c>
      <c r="P12" s="832">
        <v>265176</v>
      </c>
      <c r="Q12" s="828">
        <v>0.77908616556197996</v>
      </c>
      <c r="R12" s="833">
        <v>1016</v>
      </c>
    </row>
    <row r="13" spans="1:18" ht="14.45" customHeight="1" x14ac:dyDescent="0.2">
      <c r="A13" s="822" t="s">
        <v>5353</v>
      </c>
      <c r="B13" s="823" t="s">
        <v>5354</v>
      </c>
      <c r="C13" s="823" t="s">
        <v>594</v>
      </c>
      <c r="D13" s="823" t="s">
        <v>5355</v>
      </c>
      <c r="E13" s="823" t="s">
        <v>5370</v>
      </c>
      <c r="F13" s="823" t="s">
        <v>5371</v>
      </c>
      <c r="G13" s="832">
        <v>2</v>
      </c>
      <c r="H13" s="832">
        <v>4248</v>
      </c>
      <c r="I13" s="823"/>
      <c r="J13" s="823">
        <v>2124</v>
      </c>
      <c r="K13" s="832"/>
      <c r="L13" s="832"/>
      <c r="M13" s="823"/>
      <c r="N13" s="823"/>
      <c r="O13" s="832">
        <v>1</v>
      </c>
      <c r="P13" s="832">
        <v>2134</v>
      </c>
      <c r="Q13" s="828"/>
      <c r="R13" s="833">
        <v>2134</v>
      </c>
    </row>
    <row r="14" spans="1:18" ht="14.45" customHeight="1" x14ac:dyDescent="0.2">
      <c r="A14" s="822" t="s">
        <v>5353</v>
      </c>
      <c r="B14" s="823" t="s">
        <v>5354</v>
      </c>
      <c r="C14" s="823" t="s">
        <v>594</v>
      </c>
      <c r="D14" s="823" t="s">
        <v>5355</v>
      </c>
      <c r="E14" s="823" t="s">
        <v>5372</v>
      </c>
      <c r="F14" s="823" t="s">
        <v>5373</v>
      </c>
      <c r="G14" s="832"/>
      <c r="H14" s="832"/>
      <c r="I14" s="823"/>
      <c r="J14" s="823"/>
      <c r="K14" s="832">
        <v>1</v>
      </c>
      <c r="L14" s="832">
        <v>1069</v>
      </c>
      <c r="M14" s="823">
        <v>1</v>
      </c>
      <c r="N14" s="823">
        <v>1069</v>
      </c>
      <c r="O14" s="832"/>
      <c r="P14" s="832"/>
      <c r="Q14" s="828"/>
      <c r="R14" s="833"/>
    </row>
    <row r="15" spans="1:18" ht="14.45" customHeight="1" x14ac:dyDescent="0.2">
      <c r="A15" s="822" t="s">
        <v>5353</v>
      </c>
      <c r="B15" s="823" t="s">
        <v>5354</v>
      </c>
      <c r="C15" s="823" t="s">
        <v>594</v>
      </c>
      <c r="D15" s="823" t="s">
        <v>5355</v>
      </c>
      <c r="E15" s="823" t="s">
        <v>5374</v>
      </c>
      <c r="F15" s="823" t="s">
        <v>5375</v>
      </c>
      <c r="G15" s="832">
        <v>4</v>
      </c>
      <c r="H15" s="832">
        <v>1276</v>
      </c>
      <c r="I15" s="823">
        <v>1.9813664596273293</v>
      </c>
      <c r="J15" s="823">
        <v>319</v>
      </c>
      <c r="K15" s="832">
        <v>2</v>
      </c>
      <c r="L15" s="832">
        <v>644</v>
      </c>
      <c r="M15" s="823">
        <v>1</v>
      </c>
      <c r="N15" s="823">
        <v>322</v>
      </c>
      <c r="O15" s="832">
        <v>3</v>
      </c>
      <c r="P15" s="832">
        <v>972</v>
      </c>
      <c r="Q15" s="828">
        <v>1.5093167701863355</v>
      </c>
      <c r="R15" s="833">
        <v>324</v>
      </c>
    </row>
    <row r="16" spans="1:18" ht="14.45" customHeight="1" x14ac:dyDescent="0.2">
      <c r="A16" s="822" t="s">
        <v>5353</v>
      </c>
      <c r="B16" s="823" t="s">
        <v>5354</v>
      </c>
      <c r="C16" s="823" t="s">
        <v>594</v>
      </c>
      <c r="D16" s="823" t="s">
        <v>5355</v>
      </c>
      <c r="E16" s="823" t="s">
        <v>5376</v>
      </c>
      <c r="F16" s="823" t="s">
        <v>5377</v>
      </c>
      <c r="G16" s="832">
        <v>3</v>
      </c>
      <c r="H16" s="832">
        <v>2622</v>
      </c>
      <c r="I16" s="823">
        <v>0.42710539175761525</v>
      </c>
      <c r="J16" s="823">
        <v>874</v>
      </c>
      <c r="K16" s="832">
        <v>7</v>
      </c>
      <c r="L16" s="832">
        <v>6139</v>
      </c>
      <c r="M16" s="823">
        <v>1</v>
      </c>
      <c r="N16" s="823">
        <v>877</v>
      </c>
      <c r="O16" s="832">
        <v>4</v>
      </c>
      <c r="P16" s="832">
        <v>3524</v>
      </c>
      <c r="Q16" s="828">
        <v>0.5740348590975729</v>
      </c>
      <c r="R16" s="833">
        <v>881</v>
      </c>
    </row>
    <row r="17" spans="1:18" ht="14.45" customHeight="1" x14ac:dyDescent="0.2">
      <c r="A17" s="822" t="s">
        <v>5353</v>
      </c>
      <c r="B17" s="823" t="s">
        <v>5354</v>
      </c>
      <c r="C17" s="823" t="s">
        <v>594</v>
      </c>
      <c r="D17" s="823" t="s">
        <v>5355</v>
      </c>
      <c r="E17" s="823" t="s">
        <v>5378</v>
      </c>
      <c r="F17" s="823" t="s">
        <v>5379</v>
      </c>
      <c r="G17" s="832">
        <v>331</v>
      </c>
      <c r="H17" s="832">
        <v>11033.33</v>
      </c>
      <c r="I17" s="823">
        <v>1.0247690785899051</v>
      </c>
      <c r="J17" s="823">
        <v>33.333323262839876</v>
      </c>
      <c r="K17" s="832">
        <v>323</v>
      </c>
      <c r="L17" s="832">
        <v>10766.65</v>
      </c>
      <c r="M17" s="823">
        <v>1</v>
      </c>
      <c r="N17" s="823">
        <v>33.333281733746126</v>
      </c>
      <c r="O17" s="832">
        <v>231</v>
      </c>
      <c r="P17" s="832">
        <v>7699.97</v>
      </c>
      <c r="Q17" s="828">
        <v>0.71516859933219712</v>
      </c>
      <c r="R17" s="833">
        <v>33.333203463203468</v>
      </c>
    </row>
    <row r="18" spans="1:18" ht="14.45" customHeight="1" x14ac:dyDescent="0.2">
      <c r="A18" s="822" t="s">
        <v>5353</v>
      </c>
      <c r="B18" s="823" t="s">
        <v>5354</v>
      </c>
      <c r="C18" s="823" t="s">
        <v>594</v>
      </c>
      <c r="D18" s="823" t="s">
        <v>5355</v>
      </c>
      <c r="E18" s="823" t="s">
        <v>5380</v>
      </c>
      <c r="F18" s="823" t="s">
        <v>5381</v>
      </c>
      <c r="G18" s="832">
        <v>100</v>
      </c>
      <c r="H18" s="832">
        <v>3700</v>
      </c>
      <c r="I18" s="823">
        <v>0.98351940457203613</v>
      </c>
      <c r="J18" s="823">
        <v>37</v>
      </c>
      <c r="K18" s="832">
        <v>99</v>
      </c>
      <c r="L18" s="832">
        <v>3762</v>
      </c>
      <c r="M18" s="823">
        <v>1</v>
      </c>
      <c r="N18" s="823">
        <v>38</v>
      </c>
      <c r="O18" s="832">
        <v>77</v>
      </c>
      <c r="P18" s="832">
        <v>2926</v>
      </c>
      <c r="Q18" s="828">
        <v>0.77777777777777779</v>
      </c>
      <c r="R18" s="833">
        <v>38</v>
      </c>
    </row>
    <row r="19" spans="1:18" ht="14.45" customHeight="1" x14ac:dyDescent="0.2">
      <c r="A19" s="822" t="s">
        <v>5353</v>
      </c>
      <c r="B19" s="823" t="s">
        <v>5354</v>
      </c>
      <c r="C19" s="823" t="s">
        <v>594</v>
      </c>
      <c r="D19" s="823" t="s">
        <v>5355</v>
      </c>
      <c r="E19" s="823" t="s">
        <v>5382</v>
      </c>
      <c r="F19" s="823" t="s">
        <v>5383</v>
      </c>
      <c r="G19" s="832"/>
      <c r="H19" s="832"/>
      <c r="I19" s="823"/>
      <c r="J19" s="823"/>
      <c r="K19" s="832"/>
      <c r="L19" s="832"/>
      <c r="M19" s="823"/>
      <c r="N19" s="823"/>
      <c r="O19" s="832">
        <v>1</v>
      </c>
      <c r="P19" s="832">
        <v>88</v>
      </c>
      <c r="Q19" s="828"/>
      <c r="R19" s="833">
        <v>88</v>
      </c>
    </row>
    <row r="20" spans="1:18" ht="14.45" customHeight="1" x14ac:dyDescent="0.2">
      <c r="A20" s="822" t="s">
        <v>5353</v>
      </c>
      <c r="B20" s="823" t="s">
        <v>5354</v>
      </c>
      <c r="C20" s="823" t="s">
        <v>594</v>
      </c>
      <c r="D20" s="823" t="s">
        <v>5355</v>
      </c>
      <c r="E20" s="823" t="s">
        <v>5384</v>
      </c>
      <c r="F20" s="823" t="s">
        <v>5385</v>
      </c>
      <c r="G20" s="832">
        <v>38</v>
      </c>
      <c r="H20" s="832">
        <v>76608</v>
      </c>
      <c r="I20" s="823">
        <v>1.5809806835066864</v>
      </c>
      <c r="J20" s="823">
        <v>2016</v>
      </c>
      <c r="K20" s="832">
        <v>24</v>
      </c>
      <c r="L20" s="832">
        <v>48456</v>
      </c>
      <c r="M20" s="823">
        <v>1</v>
      </c>
      <c r="N20" s="823">
        <v>2019</v>
      </c>
      <c r="O20" s="832">
        <v>24</v>
      </c>
      <c r="P20" s="832">
        <v>48528</v>
      </c>
      <c r="Q20" s="828">
        <v>1.0014858841010401</v>
      </c>
      <c r="R20" s="833">
        <v>2022</v>
      </c>
    </row>
    <row r="21" spans="1:18" ht="14.45" customHeight="1" x14ac:dyDescent="0.2">
      <c r="A21" s="822" t="s">
        <v>5353</v>
      </c>
      <c r="B21" s="823" t="s">
        <v>5354</v>
      </c>
      <c r="C21" s="823" t="s">
        <v>594</v>
      </c>
      <c r="D21" s="823" t="s">
        <v>5355</v>
      </c>
      <c r="E21" s="823" t="s">
        <v>5386</v>
      </c>
      <c r="F21" s="823" t="s">
        <v>5387</v>
      </c>
      <c r="G21" s="832">
        <v>329</v>
      </c>
      <c r="H21" s="832">
        <v>116795</v>
      </c>
      <c r="I21" s="823">
        <v>1.0696492352779559</v>
      </c>
      <c r="J21" s="823">
        <v>355</v>
      </c>
      <c r="K21" s="832">
        <v>305</v>
      </c>
      <c r="L21" s="832">
        <v>109190</v>
      </c>
      <c r="M21" s="823">
        <v>1</v>
      </c>
      <c r="N21" s="823">
        <v>358</v>
      </c>
      <c r="O21" s="832">
        <v>217</v>
      </c>
      <c r="P21" s="832">
        <v>78120</v>
      </c>
      <c r="Q21" s="828">
        <v>0.71545013279604364</v>
      </c>
      <c r="R21" s="833">
        <v>360</v>
      </c>
    </row>
    <row r="22" spans="1:18" ht="14.45" customHeight="1" x14ac:dyDescent="0.2">
      <c r="A22" s="822" t="s">
        <v>5353</v>
      </c>
      <c r="B22" s="823" t="s">
        <v>5354</v>
      </c>
      <c r="C22" s="823" t="s">
        <v>594</v>
      </c>
      <c r="D22" s="823" t="s">
        <v>5355</v>
      </c>
      <c r="E22" s="823" t="s">
        <v>5388</v>
      </c>
      <c r="F22" s="823" t="s">
        <v>5389</v>
      </c>
      <c r="G22" s="832">
        <v>3</v>
      </c>
      <c r="H22" s="832">
        <v>669</v>
      </c>
      <c r="I22" s="823"/>
      <c r="J22" s="823">
        <v>223</v>
      </c>
      <c r="K22" s="832"/>
      <c r="L22" s="832"/>
      <c r="M22" s="823"/>
      <c r="N22" s="823"/>
      <c r="O22" s="832"/>
      <c r="P22" s="832"/>
      <c r="Q22" s="828"/>
      <c r="R22" s="833"/>
    </row>
    <row r="23" spans="1:18" ht="14.45" customHeight="1" x14ac:dyDescent="0.2">
      <c r="A23" s="822" t="s">
        <v>5353</v>
      </c>
      <c r="B23" s="823" t="s">
        <v>5354</v>
      </c>
      <c r="C23" s="823" t="s">
        <v>594</v>
      </c>
      <c r="D23" s="823" t="s">
        <v>5355</v>
      </c>
      <c r="E23" s="823" t="s">
        <v>5390</v>
      </c>
      <c r="F23" s="823" t="s">
        <v>5391</v>
      </c>
      <c r="G23" s="832">
        <v>3</v>
      </c>
      <c r="H23" s="832">
        <v>534</v>
      </c>
      <c r="I23" s="823">
        <v>0.17548471902727572</v>
      </c>
      <c r="J23" s="823">
        <v>178</v>
      </c>
      <c r="K23" s="832">
        <v>17</v>
      </c>
      <c r="L23" s="832">
        <v>3043</v>
      </c>
      <c r="M23" s="823">
        <v>1</v>
      </c>
      <c r="N23" s="823">
        <v>179</v>
      </c>
      <c r="O23" s="832">
        <v>11</v>
      </c>
      <c r="P23" s="832">
        <v>1980</v>
      </c>
      <c r="Q23" s="828">
        <v>0.65067367729214587</v>
      </c>
      <c r="R23" s="833">
        <v>180</v>
      </c>
    </row>
    <row r="24" spans="1:18" ht="14.45" customHeight="1" x14ac:dyDescent="0.2">
      <c r="A24" s="822" t="s">
        <v>5353</v>
      </c>
      <c r="B24" s="823" t="s">
        <v>5354</v>
      </c>
      <c r="C24" s="823" t="s">
        <v>594</v>
      </c>
      <c r="D24" s="823" t="s">
        <v>5355</v>
      </c>
      <c r="E24" s="823" t="s">
        <v>5392</v>
      </c>
      <c r="F24" s="823" t="s">
        <v>5393</v>
      </c>
      <c r="G24" s="832">
        <v>9</v>
      </c>
      <c r="H24" s="832">
        <v>531</v>
      </c>
      <c r="I24" s="823">
        <v>0.45815358067299394</v>
      </c>
      <c r="J24" s="823">
        <v>59</v>
      </c>
      <c r="K24" s="832">
        <v>19</v>
      </c>
      <c r="L24" s="832">
        <v>1159</v>
      </c>
      <c r="M24" s="823">
        <v>1</v>
      </c>
      <c r="N24" s="823">
        <v>61</v>
      </c>
      <c r="O24" s="832">
        <v>19</v>
      </c>
      <c r="P24" s="832">
        <v>1178</v>
      </c>
      <c r="Q24" s="828">
        <v>1.0163934426229508</v>
      </c>
      <c r="R24" s="833">
        <v>62</v>
      </c>
    </row>
    <row r="25" spans="1:18" ht="14.45" customHeight="1" x14ac:dyDescent="0.2">
      <c r="A25" s="822" t="s">
        <v>5353</v>
      </c>
      <c r="B25" s="823" t="s">
        <v>5354</v>
      </c>
      <c r="C25" s="823" t="s">
        <v>594</v>
      </c>
      <c r="D25" s="823" t="s">
        <v>5355</v>
      </c>
      <c r="E25" s="823" t="s">
        <v>5394</v>
      </c>
      <c r="F25" s="823" t="s">
        <v>5395</v>
      </c>
      <c r="G25" s="832"/>
      <c r="H25" s="832"/>
      <c r="I25" s="823"/>
      <c r="J25" s="823"/>
      <c r="K25" s="832">
        <v>1</v>
      </c>
      <c r="L25" s="832">
        <v>542</v>
      </c>
      <c r="M25" s="823">
        <v>1</v>
      </c>
      <c r="N25" s="823">
        <v>542</v>
      </c>
      <c r="O25" s="832"/>
      <c r="P25" s="832"/>
      <c r="Q25" s="828"/>
      <c r="R25" s="833"/>
    </row>
    <row r="26" spans="1:18" ht="14.45" customHeight="1" x14ac:dyDescent="0.2">
      <c r="A26" s="822" t="s">
        <v>5353</v>
      </c>
      <c r="B26" s="823" t="s">
        <v>5354</v>
      </c>
      <c r="C26" s="823" t="s">
        <v>606</v>
      </c>
      <c r="D26" s="823" t="s">
        <v>5396</v>
      </c>
      <c r="E26" s="823" t="s">
        <v>5397</v>
      </c>
      <c r="F26" s="823" t="s">
        <v>5398</v>
      </c>
      <c r="G26" s="832"/>
      <c r="H26" s="832"/>
      <c r="I26" s="823"/>
      <c r="J26" s="823"/>
      <c r="K26" s="832"/>
      <c r="L26" s="832"/>
      <c r="M26" s="823"/>
      <c r="N26" s="823"/>
      <c r="O26" s="832">
        <v>2</v>
      </c>
      <c r="P26" s="832">
        <v>13354.96</v>
      </c>
      <c r="Q26" s="828"/>
      <c r="R26" s="833">
        <v>6677.48</v>
      </c>
    </row>
    <row r="27" spans="1:18" ht="14.45" customHeight="1" x14ac:dyDescent="0.2">
      <c r="A27" s="822" t="s">
        <v>5353</v>
      </c>
      <c r="B27" s="823" t="s">
        <v>5354</v>
      </c>
      <c r="C27" s="823" t="s">
        <v>606</v>
      </c>
      <c r="D27" s="823" t="s">
        <v>5396</v>
      </c>
      <c r="E27" s="823" t="s">
        <v>5399</v>
      </c>
      <c r="F27" s="823" t="s">
        <v>5398</v>
      </c>
      <c r="G27" s="832"/>
      <c r="H27" s="832"/>
      <c r="I27" s="823"/>
      <c r="J27" s="823"/>
      <c r="K27" s="832"/>
      <c r="L27" s="832"/>
      <c r="M27" s="823"/>
      <c r="N27" s="823"/>
      <c r="O27" s="832">
        <v>29</v>
      </c>
      <c r="P27" s="832">
        <v>148662.09</v>
      </c>
      <c r="Q27" s="828"/>
      <c r="R27" s="833">
        <v>5126.278965517241</v>
      </c>
    </row>
    <row r="28" spans="1:18" ht="14.45" customHeight="1" x14ac:dyDescent="0.2">
      <c r="A28" s="822" t="s">
        <v>5353</v>
      </c>
      <c r="B28" s="823" t="s">
        <v>5354</v>
      </c>
      <c r="C28" s="823" t="s">
        <v>606</v>
      </c>
      <c r="D28" s="823" t="s">
        <v>5396</v>
      </c>
      <c r="E28" s="823" t="s">
        <v>5400</v>
      </c>
      <c r="F28" s="823" t="s">
        <v>5401</v>
      </c>
      <c r="G28" s="832"/>
      <c r="H28" s="832"/>
      <c r="I28" s="823"/>
      <c r="J28" s="823"/>
      <c r="K28" s="832"/>
      <c r="L28" s="832"/>
      <c r="M28" s="823"/>
      <c r="N28" s="823"/>
      <c r="O28" s="832">
        <v>4</v>
      </c>
      <c r="P28" s="832">
        <v>9001.81</v>
      </c>
      <c r="Q28" s="828"/>
      <c r="R28" s="833">
        <v>2250.4524999999999</v>
      </c>
    </row>
    <row r="29" spans="1:18" ht="14.45" customHeight="1" x14ac:dyDescent="0.2">
      <c r="A29" s="822" t="s">
        <v>5353</v>
      </c>
      <c r="B29" s="823" t="s">
        <v>5354</v>
      </c>
      <c r="C29" s="823" t="s">
        <v>606</v>
      </c>
      <c r="D29" s="823" t="s">
        <v>5396</v>
      </c>
      <c r="E29" s="823" t="s">
        <v>5402</v>
      </c>
      <c r="F29" s="823" t="s">
        <v>5403</v>
      </c>
      <c r="G29" s="832"/>
      <c r="H29" s="832"/>
      <c r="I29" s="823"/>
      <c r="J29" s="823"/>
      <c r="K29" s="832">
        <v>1</v>
      </c>
      <c r="L29" s="832">
        <v>3062</v>
      </c>
      <c r="M29" s="823">
        <v>1</v>
      </c>
      <c r="N29" s="823">
        <v>3062</v>
      </c>
      <c r="O29" s="832">
        <v>4</v>
      </c>
      <c r="P29" s="832">
        <v>9510.6</v>
      </c>
      <c r="Q29" s="828">
        <v>3.1060091443500979</v>
      </c>
      <c r="R29" s="833">
        <v>2377.65</v>
      </c>
    </row>
    <row r="30" spans="1:18" ht="14.45" customHeight="1" x14ac:dyDescent="0.2">
      <c r="A30" s="822" t="s">
        <v>5353</v>
      </c>
      <c r="B30" s="823" t="s">
        <v>5354</v>
      </c>
      <c r="C30" s="823" t="s">
        <v>606</v>
      </c>
      <c r="D30" s="823" t="s">
        <v>5396</v>
      </c>
      <c r="E30" s="823" t="s">
        <v>5404</v>
      </c>
      <c r="F30" s="823" t="s">
        <v>5405</v>
      </c>
      <c r="G30" s="832"/>
      <c r="H30" s="832"/>
      <c r="I30" s="823"/>
      <c r="J30" s="823"/>
      <c r="K30" s="832"/>
      <c r="L30" s="832"/>
      <c r="M30" s="823"/>
      <c r="N30" s="823"/>
      <c r="O30" s="832">
        <v>3</v>
      </c>
      <c r="P30" s="832">
        <v>4649.97</v>
      </c>
      <c r="Q30" s="828"/>
      <c r="R30" s="833">
        <v>1549.99</v>
      </c>
    </row>
    <row r="31" spans="1:18" ht="14.45" customHeight="1" x14ac:dyDescent="0.2">
      <c r="A31" s="822" t="s">
        <v>5353</v>
      </c>
      <c r="B31" s="823" t="s">
        <v>5354</v>
      </c>
      <c r="C31" s="823" t="s">
        <v>606</v>
      </c>
      <c r="D31" s="823" t="s">
        <v>5355</v>
      </c>
      <c r="E31" s="823" t="s">
        <v>5406</v>
      </c>
      <c r="F31" s="823" t="s">
        <v>5407</v>
      </c>
      <c r="G31" s="832"/>
      <c r="H31" s="832"/>
      <c r="I31" s="823"/>
      <c r="J31" s="823"/>
      <c r="K31" s="832"/>
      <c r="L31" s="832"/>
      <c r="M31" s="823"/>
      <c r="N31" s="823"/>
      <c r="O31" s="832">
        <v>680</v>
      </c>
      <c r="P31" s="832">
        <v>73440</v>
      </c>
      <c r="Q31" s="828"/>
      <c r="R31" s="833">
        <v>108</v>
      </c>
    </row>
    <row r="32" spans="1:18" ht="14.45" customHeight="1" x14ac:dyDescent="0.2">
      <c r="A32" s="822" t="s">
        <v>5353</v>
      </c>
      <c r="B32" s="823" t="s">
        <v>5354</v>
      </c>
      <c r="C32" s="823" t="s">
        <v>606</v>
      </c>
      <c r="D32" s="823" t="s">
        <v>5355</v>
      </c>
      <c r="E32" s="823" t="s">
        <v>5408</v>
      </c>
      <c r="F32" s="823" t="s">
        <v>5409</v>
      </c>
      <c r="G32" s="832"/>
      <c r="H32" s="832"/>
      <c r="I32" s="823"/>
      <c r="J32" s="823"/>
      <c r="K32" s="832">
        <v>26</v>
      </c>
      <c r="L32" s="832">
        <v>30628</v>
      </c>
      <c r="M32" s="823">
        <v>1</v>
      </c>
      <c r="N32" s="823">
        <v>1178</v>
      </c>
      <c r="O32" s="832">
        <v>54</v>
      </c>
      <c r="P32" s="832">
        <v>63720</v>
      </c>
      <c r="Q32" s="828">
        <v>2.080449262113099</v>
      </c>
      <c r="R32" s="833">
        <v>1180</v>
      </c>
    </row>
    <row r="33" spans="1:18" ht="14.45" customHeight="1" x14ac:dyDescent="0.2">
      <c r="A33" s="822" t="s">
        <v>5353</v>
      </c>
      <c r="B33" s="823" t="s">
        <v>5410</v>
      </c>
      <c r="C33" s="823" t="s">
        <v>594</v>
      </c>
      <c r="D33" s="823" t="s">
        <v>5355</v>
      </c>
      <c r="E33" s="823" t="s">
        <v>5411</v>
      </c>
      <c r="F33" s="823" t="s">
        <v>5412</v>
      </c>
      <c r="G33" s="832">
        <v>14</v>
      </c>
      <c r="H33" s="832">
        <v>1162</v>
      </c>
      <c r="I33" s="823">
        <v>2.3055555555555554</v>
      </c>
      <c r="J33" s="823">
        <v>83</v>
      </c>
      <c r="K33" s="832">
        <v>6</v>
      </c>
      <c r="L33" s="832">
        <v>504</v>
      </c>
      <c r="M33" s="823">
        <v>1</v>
      </c>
      <c r="N33" s="823">
        <v>84</v>
      </c>
      <c r="O33" s="832">
        <v>13</v>
      </c>
      <c r="P33" s="832">
        <v>1105</v>
      </c>
      <c r="Q33" s="828">
        <v>2.1924603174603177</v>
      </c>
      <c r="R33" s="833">
        <v>85</v>
      </c>
    </row>
    <row r="34" spans="1:18" ht="14.45" customHeight="1" x14ac:dyDescent="0.2">
      <c r="A34" s="822" t="s">
        <v>5353</v>
      </c>
      <c r="B34" s="823" t="s">
        <v>5410</v>
      </c>
      <c r="C34" s="823" t="s">
        <v>594</v>
      </c>
      <c r="D34" s="823" t="s">
        <v>5355</v>
      </c>
      <c r="E34" s="823" t="s">
        <v>5406</v>
      </c>
      <c r="F34" s="823" t="s">
        <v>5407</v>
      </c>
      <c r="G34" s="832">
        <v>2</v>
      </c>
      <c r="H34" s="832">
        <v>212</v>
      </c>
      <c r="I34" s="823">
        <v>0.99065420560747663</v>
      </c>
      <c r="J34" s="823">
        <v>106</v>
      </c>
      <c r="K34" s="832">
        <v>2</v>
      </c>
      <c r="L34" s="832">
        <v>214</v>
      </c>
      <c r="M34" s="823">
        <v>1</v>
      </c>
      <c r="N34" s="823">
        <v>107</v>
      </c>
      <c r="O34" s="832">
        <v>1</v>
      </c>
      <c r="P34" s="832">
        <v>108</v>
      </c>
      <c r="Q34" s="828">
        <v>0.50467289719626163</v>
      </c>
      <c r="R34" s="833">
        <v>108</v>
      </c>
    </row>
    <row r="35" spans="1:18" ht="14.45" customHeight="1" x14ac:dyDescent="0.2">
      <c r="A35" s="822" t="s">
        <v>5353</v>
      </c>
      <c r="B35" s="823" t="s">
        <v>5410</v>
      </c>
      <c r="C35" s="823" t="s">
        <v>594</v>
      </c>
      <c r="D35" s="823" t="s">
        <v>5355</v>
      </c>
      <c r="E35" s="823" t="s">
        <v>5358</v>
      </c>
      <c r="F35" s="823" t="s">
        <v>5359</v>
      </c>
      <c r="G35" s="832">
        <v>11</v>
      </c>
      <c r="H35" s="832">
        <v>407</v>
      </c>
      <c r="I35" s="823">
        <v>2.6776315789473686</v>
      </c>
      <c r="J35" s="823">
        <v>37</v>
      </c>
      <c r="K35" s="832">
        <v>4</v>
      </c>
      <c r="L35" s="832">
        <v>152</v>
      </c>
      <c r="M35" s="823">
        <v>1</v>
      </c>
      <c r="N35" s="823">
        <v>38</v>
      </c>
      <c r="O35" s="832">
        <v>5</v>
      </c>
      <c r="P35" s="832">
        <v>190</v>
      </c>
      <c r="Q35" s="828">
        <v>1.25</v>
      </c>
      <c r="R35" s="833">
        <v>38</v>
      </c>
    </row>
    <row r="36" spans="1:18" ht="14.45" customHeight="1" x14ac:dyDescent="0.2">
      <c r="A36" s="822" t="s">
        <v>5353</v>
      </c>
      <c r="B36" s="823" t="s">
        <v>5410</v>
      </c>
      <c r="C36" s="823" t="s">
        <v>594</v>
      </c>
      <c r="D36" s="823" t="s">
        <v>5355</v>
      </c>
      <c r="E36" s="823" t="s">
        <v>5362</v>
      </c>
      <c r="F36" s="823" t="s">
        <v>5363</v>
      </c>
      <c r="G36" s="832">
        <v>27</v>
      </c>
      <c r="H36" s="832">
        <v>3807</v>
      </c>
      <c r="I36" s="823">
        <v>3.8299798792756539</v>
      </c>
      <c r="J36" s="823">
        <v>141</v>
      </c>
      <c r="K36" s="832">
        <v>7</v>
      </c>
      <c r="L36" s="832">
        <v>994</v>
      </c>
      <c r="M36" s="823">
        <v>1</v>
      </c>
      <c r="N36" s="823">
        <v>142</v>
      </c>
      <c r="O36" s="832"/>
      <c r="P36" s="832"/>
      <c r="Q36" s="828"/>
      <c r="R36" s="833"/>
    </row>
    <row r="37" spans="1:18" ht="14.45" customHeight="1" x14ac:dyDescent="0.2">
      <c r="A37" s="822" t="s">
        <v>5353</v>
      </c>
      <c r="B37" s="823" t="s">
        <v>5410</v>
      </c>
      <c r="C37" s="823" t="s">
        <v>594</v>
      </c>
      <c r="D37" s="823" t="s">
        <v>5355</v>
      </c>
      <c r="E37" s="823" t="s">
        <v>5413</v>
      </c>
      <c r="F37" s="823" t="s">
        <v>5414</v>
      </c>
      <c r="G37" s="832">
        <v>33</v>
      </c>
      <c r="H37" s="832">
        <v>4191</v>
      </c>
      <c r="I37" s="823">
        <v>2.2174603174603176</v>
      </c>
      <c r="J37" s="823">
        <v>127</v>
      </c>
      <c r="K37" s="832">
        <v>15</v>
      </c>
      <c r="L37" s="832">
        <v>1890</v>
      </c>
      <c r="M37" s="823">
        <v>1</v>
      </c>
      <c r="N37" s="823">
        <v>126</v>
      </c>
      <c r="O37" s="832">
        <v>23</v>
      </c>
      <c r="P37" s="832">
        <v>2921</v>
      </c>
      <c r="Q37" s="828">
        <v>1.5455026455026455</v>
      </c>
      <c r="R37" s="833">
        <v>127</v>
      </c>
    </row>
    <row r="38" spans="1:18" ht="14.45" customHeight="1" x14ac:dyDescent="0.2">
      <c r="A38" s="822" t="s">
        <v>5353</v>
      </c>
      <c r="B38" s="823" t="s">
        <v>5410</v>
      </c>
      <c r="C38" s="823" t="s">
        <v>594</v>
      </c>
      <c r="D38" s="823" t="s">
        <v>5355</v>
      </c>
      <c r="E38" s="823" t="s">
        <v>5415</v>
      </c>
      <c r="F38" s="823" t="s">
        <v>5416</v>
      </c>
      <c r="G38" s="832">
        <v>2</v>
      </c>
      <c r="H38" s="832">
        <v>856</v>
      </c>
      <c r="I38" s="823"/>
      <c r="J38" s="823">
        <v>428</v>
      </c>
      <c r="K38" s="832"/>
      <c r="L38" s="832"/>
      <c r="M38" s="823"/>
      <c r="N38" s="823"/>
      <c r="O38" s="832">
        <v>2</v>
      </c>
      <c r="P38" s="832">
        <v>864</v>
      </c>
      <c r="Q38" s="828"/>
      <c r="R38" s="833">
        <v>432</v>
      </c>
    </row>
    <row r="39" spans="1:18" ht="14.45" customHeight="1" x14ac:dyDescent="0.2">
      <c r="A39" s="822" t="s">
        <v>5353</v>
      </c>
      <c r="B39" s="823" t="s">
        <v>5410</v>
      </c>
      <c r="C39" s="823" t="s">
        <v>594</v>
      </c>
      <c r="D39" s="823" t="s">
        <v>5355</v>
      </c>
      <c r="E39" s="823" t="s">
        <v>5378</v>
      </c>
      <c r="F39" s="823" t="s">
        <v>5379</v>
      </c>
      <c r="G39" s="832">
        <v>36</v>
      </c>
      <c r="H39" s="832">
        <v>1199.97</v>
      </c>
      <c r="I39" s="823">
        <v>2.2500000000000004</v>
      </c>
      <c r="J39" s="823">
        <v>33.332500000000003</v>
      </c>
      <c r="K39" s="832">
        <v>16</v>
      </c>
      <c r="L39" s="832">
        <v>533.31999999999994</v>
      </c>
      <c r="M39" s="823">
        <v>1</v>
      </c>
      <c r="N39" s="823">
        <v>33.332499999999996</v>
      </c>
      <c r="O39" s="832">
        <v>26</v>
      </c>
      <c r="P39" s="832">
        <v>866.65000000000009</v>
      </c>
      <c r="Q39" s="828">
        <v>1.6250093752343813</v>
      </c>
      <c r="R39" s="833">
        <v>33.332692307692312</v>
      </c>
    </row>
    <row r="40" spans="1:18" ht="14.45" customHeight="1" x14ac:dyDescent="0.2">
      <c r="A40" s="822" t="s">
        <v>5353</v>
      </c>
      <c r="B40" s="823" t="s">
        <v>5410</v>
      </c>
      <c r="C40" s="823" t="s">
        <v>594</v>
      </c>
      <c r="D40" s="823" t="s">
        <v>5355</v>
      </c>
      <c r="E40" s="823" t="s">
        <v>5380</v>
      </c>
      <c r="F40" s="823" t="s">
        <v>5381</v>
      </c>
      <c r="G40" s="832">
        <v>3</v>
      </c>
      <c r="H40" s="832">
        <v>111</v>
      </c>
      <c r="I40" s="823"/>
      <c r="J40" s="823">
        <v>37</v>
      </c>
      <c r="K40" s="832"/>
      <c r="L40" s="832"/>
      <c r="M40" s="823"/>
      <c r="N40" s="823"/>
      <c r="O40" s="832"/>
      <c r="P40" s="832"/>
      <c r="Q40" s="828"/>
      <c r="R40" s="833"/>
    </row>
    <row r="41" spans="1:18" ht="14.45" customHeight="1" x14ac:dyDescent="0.2">
      <c r="A41" s="822" t="s">
        <v>5353</v>
      </c>
      <c r="B41" s="823" t="s">
        <v>5410</v>
      </c>
      <c r="C41" s="823" t="s">
        <v>594</v>
      </c>
      <c r="D41" s="823" t="s">
        <v>5355</v>
      </c>
      <c r="E41" s="823" t="s">
        <v>5382</v>
      </c>
      <c r="F41" s="823" t="s">
        <v>5383</v>
      </c>
      <c r="G41" s="832">
        <v>4</v>
      </c>
      <c r="H41" s="832">
        <v>344</v>
      </c>
      <c r="I41" s="823"/>
      <c r="J41" s="823">
        <v>86</v>
      </c>
      <c r="K41" s="832"/>
      <c r="L41" s="832"/>
      <c r="M41" s="823"/>
      <c r="N41" s="823"/>
      <c r="O41" s="832">
        <v>1</v>
      </c>
      <c r="P41" s="832">
        <v>88</v>
      </c>
      <c r="Q41" s="828"/>
      <c r="R41" s="833">
        <v>88</v>
      </c>
    </row>
    <row r="42" spans="1:18" ht="14.45" customHeight="1" x14ac:dyDescent="0.2">
      <c r="A42" s="822" t="s">
        <v>5353</v>
      </c>
      <c r="B42" s="823" t="s">
        <v>5410</v>
      </c>
      <c r="C42" s="823" t="s">
        <v>594</v>
      </c>
      <c r="D42" s="823" t="s">
        <v>5355</v>
      </c>
      <c r="E42" s="823" t="s">
        <v>5417</v>
      </c>
      <c r="F42" s="823" t="s">
        <v>5418</v>
      </c>
      <c r="G42" s="832">
        <v>1</v>
      </c>
      <c r="H42" s="832">
        <v>32</v>
      </c>
      <c r="I42" s="823"/>
      <c r="J42" s="823">
        <v>32</v>
      </c>
      <c r="K42" s="832"/>
      <c r="L42" s="832"/>
      <c r="M42" s="823"/>
      <c r="N42" s="823"/>
      <c r="O42" s="832">
        <v>1</v>
      </c>
      <c r="P42" s="832">
        <v>33</v>
      </c>
      <c r="Q42" s="828"/>
      <c r="R42" s="833">
        <v>33</v>
      </c>
    </row>
    <row r="43" spans="1:18" ht="14.45" customHeight="1" x14ac:dyDescent="0.2">
      <c r="A43" s="822" t="s">
        <v>5353</v>
      </c>
      <c r="B43" s="823" t="s">
        <v>5410</v>
      </c>
      <c r="C43" s="823" t="s">
        <v>594</v>
      </c>
      <c r="D43" s="823" t="s">
        <v>5355</v>
      </c>
      <c r="E43" s="823" t="s">
        <v>5388</v>
      </c>
      <c r="F43" s="823" t="s">
        <v>5389</v>
      </c>
      <c r="G43" s="832"/>
      <c r="H43" s="832"/>
      <c r="I43" s="823"/>
      <c r="J43" s="823"/>
      <c r="K43" s="832"/>
      <c r="L43" s="832"/>
      <c r="M43" s="823"/>
      <c r="N43" s="823"/>
      <c r="O43" s="832">
        <v>1</v>
      </c>
      <c r="P43" s="832">
        <v>228</v>
      </c>
      <c r="Q43" s="828"/>
      <c r="R43" s="833">
        <v>228</v>
      </c>
    </row>
    <row r="44" spans="1:18" ht="14.45" customHeight="1" x14ac:dyDescent="0.2">
      <c r="A44" s="822" t="s">
        <v>5353</v>
      </c>
      <c r="B44" s="823" t="s">
        <v>5410</v>
      </c>
      <c r="C44" s="823" t="s">
        <v>594</v>
      </c>
      <c r="D44" s="823" t="s">
        <v>5355</v>
      </c>
      <c r="E44" s="823" t="s">
        <v>5419</v>
      </c>
      <c r="F44" s="823" t="s">
        <v>5420</v>
      </c>
      <c r="G44" s="832">
        <v>1</v>
      </c>
      <c r="H44" s="832">
        <v>124</v>
      </c>
      <c r="I44" s="823"/>
      <c r="J44" s="823">
        <v>124</v>
      </c>
      <c r="K44" s="832"/>
      <c r="L44" s="832"/>
      <c r="M44" s="823"/>
      <c r="N44" s="823"/>
      <c r="O44" s="832"/>
      <c r="P44" s="832"/>
      <c r="Q44" s="828"/>
      <c r="R44" s="833"/>
    </row>
    <row r="45" spans="1:18" ht="14.45" customHeight="1" x14ac:dyDescent="0.2">
      <c r="A45" s="822" t="s">
        <v>5353</v>
      </c>
      <c r="B45" s="823" t="s">
        <v>5410</v>
      </c>
      <c r="C45" s="823" t="s">
        <v>594</v>
      </c>
      <c r="D45" s="823" t="s">
        <v>5355</v>
      </c>
      <c r="E45" s="823" t="s">
        <v>5421</v>
      </c>
      <c r="F45" s="823" t="s">
        <v>5422</v>
      </c>
      <c r="G45" s="832">
        <v>1</v>
      </c>
      <c r="H45" s="832">
        <v>375</v>
      </c>
      <c r="I45" s="823"/>
      <c r="J45" s="823">
        <v>375</v>
      </c>
      <c r="K45" s="832"/>
      <c r="L45" s="832"/>
      <c r="M45" s="823"/>
      <c r="N45" s="823"/>
      <c r="O45" s="832"/>
      <c r="P45" s="832"/>
      <c r="Q45" s="828"/>
      <c r="R45" s="833"/>
    </row>
    <row r="46" spans="1:18" ht="14.45" customHeight="1" x14ac:dyDescent="0.2">
      <c r="A46" s="822" t="s">
        <v>5353</v>
      </c>
      <c r="B46" s="823" t="s">
        <v>5410</v>
      </c>
      <c r="C46" s="823" t="s">
        <v>594</v>
      </c>
      <c r="D46" s="823" t="s">
        <v>5355</v>
      </c>
      <c r="E46" s="823" t="s">
        <v>5423</v>
      </c>
      <c r="F46" s="823" t="s">
        <v>5424</v>
      </c>
      <c r="G46" s="832">
        <v>3</v>
      </c>
      <c r="H46" s="832">
        <v>1122</v>
      </c>
      <c r="I46" s="823"/>
      <c r="J46" s="823">
        <v>374</v>
      </c>
      <c r="K46" s="832"/>
      <c r="L46" s="832"/>
      <c r="M46" s="823"/>
      <c r="N46" s="823"/>
      <c r="O46" s="832">
        <v>3</v>
      </c>
      <c r="P46" s="832">
        <v>1137</v>
      </c>
      <c r="Q46" s="828"/>
      <c r="R46" s="833">
        <v>379</v>
      </c>
    </row>
    <row r="47" spans="1:18" ht="14.45" customHeight="1" x14ac:dyDescent="0.2">
      <c r="A47" s="822" t="s">
        <v>5353</v>
      </c>
      <c r="B47" s="823" t="s">
        <v>5410</v>
      </c>
      <c r="C47" s="823" t="s">
        <v>594</v>
      </c>
      <c r="D47" s="823" t="s">
        <v>5355</v>
      </c>
      <c r="E47" s="823" t="s">
        <v>5425</v>
      </c>
      <c r="F47" s="823" t="s">
        <v>5426</v>
      </c>
      <c r="G47" s="832">
        <v>1</v>
      </c>
      <c r="H47" s="832">
        <v>252</v>
      </c>
      <c r="I47" s="823"/>
      <c r="J47" s="823">
        <v>252</v>
      </c>
      <c r="K47" s="832">
        <v>0</v>
      </c>
      <c r="L47" s="832">
        <v>0</v>
      </c>
      <c r="M47" s="823"/>
      <c r="N47" s="823"/>
      <c r="O47" s="832"/>
      <c r="P47" s="832"/>
      <c r="Q47" s="828"/>
      <c r="R47" s="833"/>
    </row>
    <row r="48" spans="1:18" ht="14.45" customHeight="1" x14ac:dyDescent="0.2">
      <c r="A48" s="822" t="s">
        <v>5353</v>
      </c>
      <c r="B48" s="823" t="s">
        <v>5427</v>
      </c>
      <c r="C48" s="823" t="s">
        <v>606</v>
      </c>
      <c r="D48" s="823" t="s">
        <v>5396</v>
      </c>
      <c r="E48" s="823" t="s">
        <v>5428</v>
      </c>
      <c r="F48" s="823" t="s">
        <v>5429</v>
      </c>
      <c r="G48" s="832"/>
      <c r="H48" s="832"/>
      <c r="I48" s="823"/>
      <c r="J48" s="823"/>
      <c r="K48" s="832">
        <v>1</v>
      </c>
      <c r="L48" s="832">
        <v>4856.3599999999997</v>
      </c>
      <c r="M48" s="823">
        <v>1</v>
      </c>
      <c r="N48" s="823">
        <v>4856.3599999999997</v>
      </c>
      <c r="O48" s="832"/>
      <c r="P48" s="832"/>
      <c r="Q48" s="828"/>
      <c r="R48" s="833"/>
    </row>
    <row r="49" spans="1:18" ht="14.45" customHeight="1" x14ac:dyDescent="0.2">
      <c r="A49" s="822" t="s">
        <v>5353</v>
      </c>
      <c r="B49" s="823" t="s">
        <v>5427</v>
      </c>
      <c r="C49" s="823" t="s">
        <v>606</v>
      </c>
      <c r="D49" s="823" t="s">
        <v>5396</v>
      </c>
      <c r="E49" s="823" t="s">
        <v>5397</v>
      </c>
      <c r="F49" s="823" t="s">
        <v>5398</v>
      </c>
      <c r="G49" s="832"/>
      <c r="H49" s="832"/>
      <c r="I49" s="823"/>
      <c r="J49" s="823"/>
      <c r="K49" s="832">
        <v>1</v>
      </c>
      <c r="L49" s="832">
        <v>6677.48</v>
      </c>
      <c r="M49" s="823">
        <v>1</v>
      </c>
      <c r="N49" s="823">
        <v>6677.48</v>
      </c>
      <c r="O49" s="832"/>
      <c r="P49" s="832"/>
      <c r="Q49" s="828"/>
      <c r="R49" s="833"/>
    </row>
    <row r="50" spans="1:18" ht="14.45" customHeight="1" x14ac:dyDescent="0.2">
      <c r="A50" s="822" t="s">
        <v>5353</v>
      </c>
      <c r="B50" s="823" t="s">
        <v>5427</v>
      </c>
      <c r="C50" s="823" t="s">
        <v>606</v>
      </c>
      <c r="D50" s="823" t="s">
        <v>5396</v>
      </c>
      <c r="E50" s="823" t="s">
        <v>5399</v>
      </c>
      <c r="F50" s="823" t="s">
        <v>5398</v>
      </c>
      <c r="G50" s="832">
        <v>2</v>
      </c>
      <c r="H50" s="832">
        <v>11136</v>
      </c>
      <c r="I50" s="823">
        <v>0.25</v>
      </c>
      <c r="J50" s="823">
        <v>5568</v>
      </c>
      <c r="K50" s="832">
        <v>8</v>
      </c>
      <c r="L50" s="832">
        <v>44544</v>
      </c>
      <c r="M50" s="823">
        <v>1</v>
      </c>
      <c r="N50" s="823">
        <v>5568</v>
      </c>
      <c r="O50" s="832"/>
      <c r="P50" s="832"/>
      <c r="Q50" s="828"/>
      <c r="R50" s="833"/>
    </row>
    <row r="51" spans="1:18" ht="14.45" customHeight="1" x14ac:dyDescent="0.2">
      <c r="A51" s="822" t="s">
        <v>5353</v>
      </c>
      <c r="B51" s="823" t="s">
        <v>5427</v>
      </c>
      <c r="C51" s="823" t="s">
        <v>606</v>
      </c>
      <c r="D51" s="823" t="s">
        <v>5396</v>
      </c>
      <c r="E51" s="823" t="s">
        <v>5430</v>
      </c>
      <c r="F51" s="823" t="s">
        <v>5401</v>
      </c>
      <c r="G51" s="832">
        <v>1</v>
      </c>
      <c r="H51" s="832">
        <v>4368.43</v>
      </c>
      <c r="I51" s="823"/>
      <c r="J51" s="823">
        <v>4368.43</v>
      </c>
      <c r="K51" s="832"/>
      <c r="L51" s="832"/>
      <c r="M51" s="823"/>
      <c r="N51" s="823"/>
      <c r="O51" s="832"/>
      <c r="P51" s="832"/>
      <c r="Q51" s="828"/>
      <c r="R51" s="833"/>
    </row>
    <row r="52" spans="1:18" ht="14.45" customHeight="1" x14ac:dyDescent="0.2">
      <c r="A52" s="822" t="s">
        <v>5353</v>
      </c>
      <c r="B52" s="823" t="s">
        <v>5427</v>
      </c>
      <c r="C52" s="823" t="s">
        <v>606</v>
      </c>
      <c r="D52" s="823" t="s">
        <v>5396</v>
      </c>
      <c r="E52" s="823" t="s">
        <v>5400</v>
      </c>
      <c r="F52" s="823" t="s">
        <v>5401</v>
      </c>
      <c r="G52" s="832"/>
      <c r="H52" s="832"/>
      <c r="I52" s="823"/>
      <c r="J52" s="823"/>
      <c r="K52" s="832">
        <v>7</v>
      </c>
      <c r="L52" s="832">
        <v>17447.150000000001</v>
      </c>
      <c r="M52" s="823">
        <v>1</v>
      </c>
      <c r="N52" s="823">
        <v>2492.4500000000003</v>
      </c>
      <c r="O52" s="832"/>
      <c r="P52" s="832"/>
      <c r="Q52" s="828"/>
      <c r="R52" s="833"/>
    </row>
    <row r="53" spans="1:18" ht="14.45" customHeight="1" thickBot="1" x14ac:dyDescent="0.25">
      <c r="A53" s="814" t="s">
        <v>5353</v>
      </c>
      <c r="B53" s="815" t="s">
        <v>5427</v>
      </c>
      <c r="C53" s="815" t="s">
        <v>606</v>
      </c>
      <c r="D53" s="815" t="s">
        <v>5355</v>
      </c>
      <c r="E53" s="815" t="s">
        <v>5431</v>
      </c>
      <c r="F53" s="815" t="s">
        <v>5432</v>
      </c>
      <c r="G53" s="834">
        <v>3</v>
      </c>
      <c r="H53" s="834">
        <v>1740</v>
      </c>
      <c r="I53" s="815">
        <v>0.12931995540691194</v>
      </c>
      <c r="J53" s="815">
        <v>580</v>
      </c>
      <c r="K53" s="834">
        <v>23</v>
      </c>
      <c r="L53" s="834">
        <v>13455</v>
      </c>
      <c r="M53" s="815">
        <v>1</v>
      </c>
      <c r="N53" s="815">
        <v>585</v>
      </c>
      <c r="O53" s="834"/>
      <c r="P53" s="834"/>
      <c r="Q53" s="820"/>
      <c r="R53" s="835"/>
    </row>
  </sheetData>
  <autoFilter ref="A5:R5" xr:uid="{00000000-0009-0000-0000-000022000000}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 xr:uid="{13BCDE96-4566-4CA2-99D3-DE686B04AE1A}"/>
  </hyperlinks>
  <pageMargins left="0.25" right="0.25" top="0.75" bottom="0.75" header="0.3" footer="0.3"/>
  <pageSetup paperSize="9" scale="79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List58">
    <tabColor theme="0" tint="-0.249977111117893"/>
    <outlinePr summaryRight="0"/>
    <pageSetUpPr fitToPage="1"/>
  </sheetPr>
  <dimension ref="A1:S156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ColWidth="8.85546875" defaultRowHeight="14.45" customHeight="1" outlineLevelCol="1" x14ac:dyDescent="0.2"/>
  <cols>
    <col min="1" max="1" width="3.28515625" style="247" customWidth="1"/>
    <col min="2" max="2" width="8.7109375" style="247" bestFit="1" customWidth="1"/>
    <col min="3" max="3" width="6.140625" style="247" customWidth="1"/>
    <col min="4" max="4" width="27.7109375" style="247" customWidth="1"/>
    <col min="5" max="5" width="2.140625" style="247" bestFit="1" customWidth="1"/>
    <col min="6" max="6" width="8" style="247" customWidth="1"/>
    <col min="7" max="7" width="50.85546875" style="247" bestFit="1" customWidth="1" collapsed="1"/>
    <col min="8" max="9" width="11.140625" style="329" hidden="1" customWidth="1" outlineLevel="1"/>
    <col min="10" max="11" width="9.28515625" style="247" hidden="1" customWidth="1"/>
    <col min="12" max="13" width="11.140625" style="329" customWidth="1"/>
    <col min="14" max="15" width="9.28515625" style="247" hidden="1" customWidth="1"/>
    <col min="16" max="17" width="11.140625" style="329" customWidth="1"/>
    <col min="18" max="18" width="11.140625" style="332" customWidth="1"/>
    <col min="19" max="19" width="11.140625" style="329" customWidth="1"/>
    <col min="20" max="16384" width="8.85546875" style="247"/>
  </cols>
  <sheetData>
    <row r="1" spans="1:19" ht="18.600000000000001" customHeight="1" thickBot="1" x14ac:dyDescent="0.35">
      <c r="A1" s="516" t="s">
        <v>5434</v>
      </c>
      <c r="B1" s="548"/>
      <c r="C1" s="548"/>
      <c r="D1" s="548"/>
      <c r="E1" s="548"/>
      <c r="F1" s="548"/>
      <c r="G1" s="548"/>
      <c r="H1" s="548"/>
      <c r="I1" s="548"/>
      <c r="J1" s="548"/>
      <c r="K1" s="548"/>
      <c r="L1" s="548"/>
      <c r="M1" s="548"/>
      <c r="N1" s="548"/>
      <c r="O1" s="548"/>
      <c r="P1" s="548"/>
      <c r="Q1" s="548"/>
      <c r="R1" s="548"/>
      <c r="S1" s="548"/>
    </row>
    <row r="2" spans="1:19" ht="14.45" customHeight="1" thickBot="1" x14ac:dyDescent="0.25">
      <c r="A2" s="705" t="s">
        <v>328</v>
      </c>
      <c r="B2" s="319"/>
      <c r="C2" s="319"/>
      <c r="D2" s="319"/>
      <c r="E2" s="220"/>
      <c r="F2" s="220"/>
      <c r="G2" s="220"/>
      <c r="H2" s="352"/>
      <c r="I2" s="352"/>
      <c r="J2" s="220"/>
      <c r="K2" s="220"/>
      <c r="L2" s="352"/>
      <c r="M2" s="352"/>
      <c r="N2" s="220"/>
      <c r="O2" s="220"/>
      <c r="P2" s="352"/>
      <c r="Q2" s="352"/>
      <c r="R2" s="349"/>
      <c r="S2" s="352"/>
    </row>
    <row r="3" spans="1:19" ht="14.45" customHeight="1" thickBot="1" x14ac:dyDescent="0.25">
      <c r="G3" s="112" t="s">
        <v>158</v>
      </c>
      <c r="H3" s="207">
        <f t="shared" ref="H3:Q3" si="0">SUBTOTAL(9,H6:H1048576)</f>
        <v>1772</v>
      </c>
      <c r="I3" s="208">
        <f t="shared" si="0"/>
        <v>689737.72999999975</v>
      </c>
      <c r="J3" s="78"/>
      <c r="K3" s="78"/>
      <c r="L3" s="208">
        <f t="shared" si="0"/>
        <v>1748</v>
      </c>
      <c r="M3" s="208">
        <f t="shared" si="0"/>
        <v>727453.95999999985</v>
      </c>
      <c r="N3" s="78"/>
      <c r="O3" s="78"/>
      <c r="P3" s="208">
        <f t="shared" si="0"/>
        <v>2162</v>
      </c>
      <c r="Q3" s="208">
        <f t="shared" si="0"/>
        <v>799022.04999999993</v>
      </c>
      <c r="R3" s="79">
        <f>IF(M3=0,0,Q3/M3)</f>
        <v>1.0983816075453079</v>
      </c>
      <c r="S3" s="209">
        <f>IF(P3=0,0,Q3/P3)</f>
        <v>369.57541628122107</v>
      </c>
    </row>
    <row r="4" spans="1:19" ht="14.45" customHeight="1" x14ac:dyDescent="0.2">
      <c r="A4" s="634" t="s">
        <v>260</v>
      </c>
      <c r="B4" s="634" t="s">
        <v>118</v>
      </c>
      <c r="C4" s="642" t="s">
        <v>0</v>
      </c>
      <c r="D4" s="431" t="s">
        <v>166</v>
      </c>
      <c r="E4" s="636" t="s">
        <v>119</v>
      </c>
      <c r="F4" s="641" t="s">
        <v>89</v>
      </c>
      <c r="G4" s="637" t="s">
        <v>80</v>
      </c>
      <c r="H4" s="638">
        <v>2018</v>
      </c>
      <c r="I4" s="639"/>
      <c r="J4" s="206"/>
      <c r="K4" s="206"/>
      <c r="L4" s="638">
        <v>2019</v>
      </c>
      <c r="M4" s="639"/>
      <c r="N4" s="206"/>
      <c r="O4" s="206"/>
      <c r="P4" s="638">
        <v>2020</v>
      </c>
      <c r="Q4" s="639"/>
      <c r="R4" s="640" t="s">
        <v>2</v>
      </c>
      <c r="S4" s="635" t="s">
        <v>121</v>
      </c>
    </row>
    <row r="5" spans="1:19" ht="14.45" customHeight="1" thickBot="1" x14ac:dyDescent="0.25">
      <c r="A5" s="871"/>
      <c r="B5" s="871"/>
      <c r="C5" s="872"/>
      <c r="D5" s="881"/>
      <c r="E5" s="873"/>
      <c r="F5" s="874"/>
      <c r="G5" s="875"/>
      <c r="H5" s="876" t="s">
        <v>90</v>
      </c>
      <c r="I5" s="877" t="s">
        <v>14</v>
      </c>
      <c r="J5" s="878"/>
      <c r="K5" s="878"/>
      <c r="L5" s="876" t="s">
        <v>90</v>
      </c>
      <c r="M5" s="877" t="s">
        <v>14</v>
      </c>
      <c r="N5" s="878"/>
      <c r="O5" s="878"/>
      <c r="P5" s="876" t="s">
        <v>90</v>
      </c>
      <c r="Q5" s="877" t="s">
        <v>14</v>
      </c>
      <c r="R5" s="879"/>
      <c r="S5" s="880"/>
    </row>
    <row r="6" spans="1:19" ht="14.45" customHeight="1" x14ac:dyDescent="0.2">
      <c r="A6" s="807" t="s">
        <v>5353</v>
      </c>
      <c r="B6" s="808" t="s">
        <v>5354</v>
      </c>
      <c r="C6" s="808" t="s">
        <v>594</v>
      </c>
      <c r="D6" s="808" t="s">
        <v>5344</v>
      </c>
      <c r="E6" s="808" t="s">
        <v>5355</v>
      </c>
      <c r="F6" s="808" t="s">
        <v>5356</v>
      </c>
      <c r="G6" s="808" t="s">
        <v>5357</v>
      </c>
      <c r="H6" s="225"/>
      <c r="I6" s="225"/>
      <c r="J6" s="808"/>
      <c r="K6" s="808"/>
      <c r="L6" s="225"/>
      <c r="M6" s="225"/>
      <c r="N6" s="808"/>
      <c r="O6" s="808"/>
      <c r="P6" s="225">
        <v>1</v>
      </c>
      <c r="Q6" s="225">
        <v>68</v>
      </c>
      <c r="R6" s="813"/>
      <c r="S6" s="831">
        <v>68</v>
      </c>
    </row>
    <row r="7" spans="1:19" ht="14.45" customHeight="1" x14ac:dyDescent="0.2">
      <c r="A7" s="822" t="s">
        <v>5353</v>
      </c>
      <c r="B7" s="823" t="s">
        <v>5354</v>
      </c>
      <c r="C7" s="823" t="s">
        <v>594</v>
      </c>
      <c r="D7" s="823" t="s">
        <v>5344</v>
      </c>
      <c r="E7" s="823" t="s">
        <v>5355</v>
      </c>
      <c r="F7" s="823" t="s">
        <v>5358</v>
      </c>
      <c r="G7" s="823" t="s">
        <v>5359</v>
      </c>
      <c r="H7" s="832">
        <v>1</v>
      </c>
      <c r="I7" s="832">
        <v>37</v>
      </c>
      <c r="J7" s="823">
        <v>0.97368421052631582</v>
      </c>
      <c r="K7" s="823">
        <v>37</v>
      </c>
      <c r="L7" s="832">
        <v>1</v>
      </c>
      <c r="M7" s="832">
        <v>38</v>
      </c>
      <c r="N7" s="823">
        <v>1</v>
      </c>
      <c r="O7" s="823">
        <v>38</v>
      </c>
      <c r="P7" s="832"/>
      <c r="Q7" s="832"/>
      <c r="R7" s="828"/>
      <c r="S7" s="833"/>
    </row>
    <row r="8" spans="1:19" ht="14.45" customHeight="1" x14ac:dyDescent="0.2">
      <c r="A8" s="822" t="s">
        <v>5353</v>
      </c>
      <c r="B8" s="823" t="s">
        <v>5354</v>
      </c>
      <c r="C8" s="823" t="s">
        <v>594</v>
      </c>
      <c r="D8" s="823" t="s">
        <v>5344</v>
      </c>
      <c r="E8" s="823" t="s">
        <v>5355</v>
      </c>
      <c r="F8" s="823" t="s">
        <v>5362</v>
      </c>
      <c r="G8" s="823" t="s">
        <v>5363</v>
      </c>
      <c r="H8" s="832">
        <v>1</v>
      </c>
      <c r="I8" s="832">
        <v>141</v>
      </c>
      <c r="J8" s="823"/>
      <c r="K8" s="823">
        <v>141</v>
      </c>
      <c r="L8" s="832"/>
      <c r="M8" s="832"/>
      <c r="N8" s="823"/>
      <c r="O8" s="823"/>
      <c r="P8" s="832"/>
      <c r="Q8" s="832"/>
      <c r="R8" s="828"/>
      <c r="S8" s="833"/>
    </row>
    <row r="9" spans="1:19" ht="14.45" customHeight="1" x14ac:dyDescent="0.2">
      <c r="A9" s="822" t="s">
        <v>5353</v>
      </c>
      <c r="B9" s="823" t="s">
        <v>5354</v>
      </c>
      <c r="C9" s="823" t="s">
        <v>594</v>
      </c>
      <c r="D9" s="823" t="s">
        <v>5344</v>
      </c>
      <c r="E9" s="823" t="s">
        <v>5355</v>
      </c>
      <c r="F9" s="823" t="s">
        <v>5364</v>
      </c>
      <c r="G9" s="823" t="s">
        <v>5365</v>
      </c>
      <c r="H9" s="832">
        <v>5</v>
      </c>
      <c r="I9" s="832">
        <v>4790</v>
      </c>
      <c r="J9" s="823">
        <v>0.41450328833506406</v>
      </c>
      <c r="K9" s="823">
        <v>958</v>
      </c>
      <c r="L9" s="832">
        <v>12</v>
      </c>
      <c r="M9" s="832">
        <v>11556</v>
      </c>
      <c r="N9" s="823">
        <v>1</v>
      </c>
      <c r="O9" s="823">
        <v>963</v>
      </c>
      <c r="P9" s="832">
        <v>6</v>
      </c>
      <c r="Q9" s="832">
        <v>5802</v>
      </c>
      <c r="R9" s="828">
        <v>0.50207684319833856</v>
      </c>
      <c r="S9" s="833">
        <v>967</v>
      </c>
    </row>
    <row r="10" spans="1:19" ht="14.45" customHeight="1" x14ac:dyDescent="0.2">
      <c r="A10" s="822" t="s">
        <v>5353</v>
      </c>
      <c r="B10" s="823" t="s">
        <v>5354</v>
      </c>
      <c r="C10" s="823" t="s">
        <v>594</v>
      </c>
      <c r="D10" s="823" t="s">
        <v>5344</v>
      </c>
      <c r="E10" s="823" t="s">
        <v>5355</v>
      </c>
      <c r="F10" s="823" t="s">
        <v>5366</v>
      </c>
      <c r="G10" s="823" t="s">
        <v>5367</v>
      </c>
      <c r="H10" s="832">
        <v>1</v>
      </c>
      <c r="I10" s="832">
        <v>432</v>
      </c>
      <c r="J10" s="823">
        <v>0.24827586206896551</v>
      </c>
      <c r="K10" s="823">
        <v>432</v>
      </c>
      <c r="L10" s="832">
        <v>4</v>
      </c>
      <c r="M10" s="832">
        <v>1740</v>
      </c>
      <c r="N10" s="823">
        <v>1</v>
      </c>
      <c r="O10" s="823">
        <v>435</v>
      </c>
      <c r="P10" s="832">
        <v>2</v>
      </c>
      <c r="Q10" s="832">
        <v>874</v>
      </c>
      <c r="R10" s="828">
        <v>0.50229885057471269</v>
      </c>
      <c r="S10" s="833">
        <v>437</v>
      </c>
    </row>
    <row r="11" spans="1:19" ht="14.45" customHeight="1" x14ac:dyDescent="0.2">
      <c r="A11" s="822" t="s">
        <v>5353</v>
      </c>
      <c r="B11" s="823" t="s">
        <v>5354</v>
      </c>
      <c r="C11" s="823" t="s">
        <v>594</v>
      </c>
      <c r="D11" s="823" t="s">
        <v>5344</v>
      </c>
      <c r="E11" s="823" t="s">
        <v>5355</v>
      </c>
      <c r="F11" s="823" t="s">
        <v>5368</v>
      </c>
      <c r="G11" s="823" t="s">
        <v>5369</v>
      </c>
      <c r="H11" s="832">
        <v>208</v>
      </c>
      <c r="I11" s="832">
        <v>210080</v>
      </c>
      <c r="J11" s="823">
        <v>1.3918389791767427</v>
      </c>
      <c r="K11" s="823">
        <v>1010</v>
      </c>
      <c r="L11" s="832">
        <v>149</v>
      </c>
      <c r="M11" s="832">
        <v>150937</v>
      </c>
      <c r="N11" s="823">
        <v>1</v>
      </c>
      <c r="O11" s="823">
        <v>1013</v>
      </c>
      <c r="P11" s="832">
        <v>129</v>
      </c>
      <c r="Q11" s="832">
        <v>131064</v>
      </c>
      <c r="R11" s="828">
        <v>0.86833579572934405</v>
      </c>
      <c r="S11" s="833">
        <v>1016</v>
      </c>
    </row>
    <row r="12" spans="1:19" ht="14.45" customHeight="1" x14ac:dyDescent="0.2">
      <c r="A12" s="822" t="s">
        <v>5353</v>
      </c>
      <c r="B12" s="823" t="s">
        <v>5354</v>
      </c>
      <c r="C12" s="823" t="s">
        <v>594</v>
      </c>
      <c r="D12" s="823" t="s">
        <v>5344</v>
      </c>
      <c r="E12" s="823" t="s">
        <v>5355</v>
      </c>
      <c r="F12" s="823" t="s">
        <v>5374</v>
      </c>
      <c r="G12" s="823" t="s">
        <v>5375</v>
      </c>
      <c r="H12" s="832">
        <v>4</v>
      </c>
      <c r="I12" s="832">
        <v>1276</v>
      </c>
      <c r="J12" s="823">
        <v>1.9813664596273293</v>
      </c>
      <c r="K12" s="823">
        <v>319</v>
      </c>
      <c r="L12" s="832">
        <v>2</v>
      </c>
      <c r="M12" s="832">
        <v>644</v>
      </c>
      <c r="N12" s="823">
        <v>1</v>
      </c>
      <c r="O12" s="823">
        <v>322</v>
      </c>
      <c r="P12" s="832">
        <v>3</v>
      </c>
      <c r="Q12" s="832">
        <v>972</v>
      </c>
      <c r="R12" s="828">
        <v>1.5093167701863355</v>
      </c>
      <c r="S12" s="833">
        <v>324</v>
      </c>
    </row>
    <row r="13" spans="1:19" ht="14.45" customHeight="1" x14ac:dyDescent="0.2">
      <c r="A13" s="822" t="s">
        <v>5353</v>
      </c>
      <c r="B13" s="823" t="s">
        <v>5354</v>
      </c>
      <c r="C13" s="823" t="s">
        <v>594</v>
      </c>
      <c r="D13" s="823" t="s">
        <v>5344</v>
      </c>
      <c r="E13" s="823" t="s">
        <v>5355</v>
      </c>
      <c r="F13" s="823" t="s">
        <v>5376</v>
      </c>
      <c r="G13" s="823" t="s">
        <v>5377</v>
      </c>
      <c r="H13" s="832">
        <v>3</v>
      </c>
      <c r="I13" s="832">
        <v>2622</v>
      </c>
      <c r="J13" s="823">
        <v>1.4948688711516533</v>
      </c>
      <c r="K13" s="823">
        <v>874</v>
      </c>
      <c r="L13" s="832">
        <v>2</v>
      </c>
      <c r="M13" s="832">
        <v>1754</v>
      </c>
      <c r="N13" s="823">
        <v>1</v>
      </c>
      <c r="O13" s="823">
        <v>877</v>
      </c>
      <c r="P13" s="832">
        <v>1</v>
      </c>
      <c r="Q13" s="832">
        <v>881</v>
      </c>
      <c r="R13" s="828">
        <v>0.5022805017103763</v>
      </c>
      <c r="S13" s="833">
        <v>881</v>
      </c>
    </row>
    <row r="14" spans="1:19" ht="14.45" customHeight="1" x14ac:dyDescent="0.2">
      <c r="A14" s="822" t="s">
        <v>5353</v>
      </c>
      <c r="B14" s="823" t="s">
        <v>5354</v>
      </c>
      <c r="C14" s="823" t="s">
        <v>594</v>
      </c>
      <c r="D14" s="823" t="s">
        <v>5344</v>
      </c>
      <c r="E14" s="823" t="s">
        <v>5355</v>
      </c>
      <c r="F14" s="823" t="s">
        <v>5378</v>
      </c>
      <c r="G14" s="823" t="s">
        <v>5379</v>
      </c>
      <c r="H14" s="832">
        <v>19</v>
      </c>
      <c r="I14" s="832">
        <v>633.33000000000004</v>
      </c>
      <c r="J14" s="823">
        <v>1.7272950417280311</v>
      </c>
      <c r="K14" s="823">
        <v>33.333157894736843</v>
      </c>
      <c r="L14" s="832">
        <v>11</v>
      </c>
      <c r="M14" s="832">
        <v>366.66000000000008</v>
      </c>
      <c r="N14" s="823">
        <v>1</v>
      </c>
      <c r="O14" s="823">
        <v>33.332727272727283</v>
      </c>
      <c r="P14" s="832"/>
      <c r="Q14" s="832"/>
      <c r="R14" s="828"/>
      <c r="S14" s="833"/>
    </row>
    <row r="15" spans="1:19" ht="14.45" customHeight="1" x14ac:dyDescent="0.2">
      <c r="A15" s="822" t="s">
        <v>5353</v>
      </c>
      <c r="B15" s="823" t="s">
        <v>5354</v>
      </c>
      <c r="C15" s="823" t="s">
        <v>594</v>
      </c>
      <c r="D15" s="823" t="s">
        <v>5344</v>
      </c>
      <c r="E15" s="823" t="s">
        <v>5355</v>
      </c>
      <c r="F15" s="823" t="s">
        <v>5380</v>
      </c>
      <c r="G15" s="823" t="s">
        <v>5381</v>
      </c>
      <c r="H15" s="832">
        <v>97</v>
      </c>
      <c r="I15" s="832">
        <v>3589</v>
      </c>
      <c r="J15" s="823">
        <v>0.95401382243487509</v>
      </c>
      <c r="K15" s="823">
        <v>37</v>
      </c>
      <c r="L15" s="832">
        <v>99</v>
      </c>
      <c r="M15" s="832">
        <v>3762</v>
      </c>
      <c r="N15" s="823">
        <v>1</v>
      </c>
      <c r="O15" s="823">
        <v>38</v>
      </c>
      <c r="P15" s="832">
        <v>76</v>
      </c>
      <c r="Q15" s="832">
        <v>2888</v>
      </c>
      <c r="R15" s="828">
        <v>0.76767676767676762</v>
      </c>
      <c r="S15" s="833">
        <v>38</v>
      </c>
    </row>
    <row r="16" spans="1:19" ht="14.45" customHeight="1" x14ac:dyDescent="0.2">
      <c r="A16" s="822" t="s">
        <v>5353</v>
      </c>
      <c r="B16" s="823" t="s">
        <v>5354</v>
      </c>
      <c r="C16" s="823" t="s">
        <v>594</v>
      </c>
      <c r="D16" s="823" t="s">
        <v>5344</v>
      </c>
      <c r="E16" s="823" t="s">
        <v>5355</v>
      </c>
      <c r="F16" s="823" t="s">
        <v>5384</v>
      </c>
      <c r="G16" s="823" t="s">
        <v>5385</v>
      </c>
      <c r="H16" s="832">
        <v>17</v>
      </c>
      <c r="I16" s="832">
        <v>34272</v>
      </c>
      <c r="J16" s="823">
        <v>2.8291233283803865</v>
      </c>
      <c r="K16" s="823">
        <v>2016</v>
      </c>
      <c r="L16" s="832">
        <v>6</v>
      </c>
      <c r="M16" s="832">
        <v>12114</v>
      </c>
      <c r="N16" s="823">
        <v>1</v>
      </c>
      <c r="O16" s="823">
        <v>2019</v>
      </c>
      <c r="P16" s="832">
        <v>10</v>
      </c>
      <c r="Q16" s="832">
        <v>20220</v>
      </c>
      <c r="R16" s="828">
        <v>1.6691431401684003</v>
      </c>
      <c r="S16" s="833">
        <v>2022</v>
      </c>
    </row>
    <row r="17" spans="1:19" ht="14.45" customHeight="1" x14ac:dyDescent="0.2">
      <c r="A17" s="822" t="s">
        <v>5353</v>
      </c>
      <c r="B17" s="823" t="s">
        <v>5354</v>
      </c>
      <c r="C17" s="823" t="s">
        <v>594</v>
      </c>
      <c r="D17" s="823" t="s">
        <v>5344</v>
      </c>
      <c r="E17" s="823" t="s">
        <v>5355</v>
      </c>
      <c r="F17" s="823" t="s">
        <v>5386</v>
      </c>
      <c r="G17" s="823" t="s">
        <v>5387</v>
      </c>
      <c r="H17" s="832">
        <v>19</v>
      </c>
      <c r="I17" s="832">
        <v>6745</v>
      </c>
      <c r="J17" s="823">
        <v>0.62802607076350092</v>
      </c>
      <c r="K17" s="823">
        <v>355</v>
      </c>
      <c r="L17" s="832">
        <v>30</v>
      </c>
      <c r="M17" s="832">
        <v>10740</v>
      </c>
      <c r="N17" s="823">
        <v>1</v>
      </c>
      <c r="O17" s="823">
        <v>358</v>
      </c>
      <c r="P17" s="832">
        <v>13</v>
      </c>
      <c r="Q17" s="832">
        <v>4680</v>
      </c>
      <c r="R17" s="828">
        <v>0.43575418994413406</v>
      </c>
      <c r="S17" s="833">
        <v>360</v>
      </c>
    </row>
    <row r="18" spans="1:19" ht="14.45" customHeight="1" x14ac:dyDescent="0.2">
      <c r="A18" s="822" t="s">
        <v>5353</v>
      </c>
      <c r="B18" s="823" t="s">
        <v>5354</v>
      </c>
      <c r="C18" s="823" t="s">
        <v>594</v>
      </c>
      <c r="D18" s="823" t="s">
        <v>5344</v>
      </c>
      <c r="E18" s="823" t="s">
        <v>5355</v>
      </c>
      <c r="F18" s="823" t="s">
        <v>5388</v>
      </c>
      <c r="G18" s="823" t="s">
        <v>5389</v>
      </c>
      <c r="H18" s="832">
        <v>2</v>
      </c>
      <c r="I18" s="832">
        <v>446</v>
      </c>
      <c r="J18" s="823"/>
      <c r="K18" s="823">
        <v>223</v>
      </c>
      <c r="L18" s="832"/>
      <c r="M18" s="832"/>
      <c r="N18" s="823"/>
      <c r="O18" s="823"/>
      <c r="P18" s="832"/>
      <c r="Q18" s="832"/>
      <c r="R18" s="828"/>
      <c r="S18" s="833"/>
    </row>
    <row r="19" spans="1:19" ht="14.45" customHeight="1" x14ac:dyDescent="0.2">
      <c r="A19" s="822" t="s">
        <v>5353</v>
      </c>
      <c r="B19" s="823" t="s">
        <v>5354</v>
      </c>
      <c r="C19" s="823" t="s">
        <v>594</v>
      </c>
      <c r="D19" s="823" t="s">
        <v>5344</v>
      </c>
      <c r="E19" s="823" t="s">
        <v>5355</v>
      </c>
      <c r="F19" s="823" t="s">
        <v>5390</v>
      </c>
      <c r="G19" s="823" t="s">
        <v>5391</v>
      </c>
      <c r="H19" s="832">
        <v>1</v>
      </c>
      <c r="I19" s="832">
        <v>178</v>
      </c>
      <c r="J19" s="823"/>
      <c r="K19" s="823">
        <v>178</v>
      </c>
      <c r="L19" s="832"/>
      <c r="M19" s="832"/>
      <c r="N19" s="823"/>
      <c r="O19" s="823"/>
      <c r="P19" s="832"/>
      <c r="Q19" s="832"/>
      <c r="R19" s="828"/>
      <c r="S19" s="833"/>
    </row>
    <row r="20" spans="1:19" ht="14.45" customHeight="1" x14ac:dyDescent="0.2">
      <c r="A20" s="822" t="s">
        <v>5353</v>
      </c>
      <c r="B20" s="823" t="s">
        <v>5354</v>
      </c>
      <c r="C20" s="823" t="s">
        <v>594</v>
      </c>
      <c r="D20" s="823" t="s">
        <v>5344</v>
      </c>
      <c r="E20" s="823" t="s">
        <v>5355</v>
      </c>
      <c r="F20" s="823" t="s">
        <v>5392</v>
      </c>
      <c r="G20" s="823" t="s">
        <v>5393</v>
      </c>
      <c r="H20" s="832">
        <v>8</v>
      </c>
      <c r="I20" s="832">
        <v>472</v>
      </c>
      <c r="J20" s="823">
        <v>0.42987249544626593</v>
      </c>
      <c r="K20" s="823">
        <v>59</v>
      </c>
      <c r="L20" s="832">
        <v>18</v>
      </c>
      <c r="M20" s="832">
        <v>1098</v>
      </c>
      <c r="N20" s="823">
        <v>1</v>
      </c>
      <c r="O20" s="823">
        <v>61</v>
      </c>
      <c r="P20" s="832">
        <v>19</v>
      </c>
      <c r="Q20" s="832">
        <v>1178</v>
      </c>
      <c r="R20" s="828">
        <v>1.0728597449908925</v>
      </c>
      <c r="S20" s="833">
        <v>62</v>
      </c>
    </row>
    <row r="21" spans="1:19" ht="14.45" customHeight="1" x14ac:dyDescent="0.2">
      <c r="A21" s="822" t="s">
        <v>5353</v>
      </c>
      <c r="B21" s="823" t="s">
        <v>5354</v>
      </c>
      <c r="C21" s="823" t="s">
        <v>594</v>
      </c>
      <c r="D21" s="823" t="s">
        <v>5350</v>
      </c>
      <c r="E21" s="823" t="s">
        <v>5355</v>
      </c>
      <c r="F21" s="823" t="s">
        <v>5358</v>
      </c>
      <c r="G21" s="823" t="s">
        <v>5359</v>
      </c>
      <c r="H21" s="832">
        <v>2</v>
      </c>
      <c r="I21" s="832">
        <v>74</v>
      </c>
      <c r="J21" s="823">
        <v>0.97368421052631582</v>
      </c>
      <c r="K21" s="823">
        <v>37</v>
      </c>
      <c r="L21" s="832">
        <v>2</v>
      </c>
      <c r="M21" s="832">
        <v>76</v>
      </c>
      <c r="N21" s="823">
        <v>1</v>
      </c>
      <c r="O21" s="823">
        <v>38</v>
      </c>
      <c r="P21" s="832"/>
      <c r="Q21" s="832"/>
      <c r="R21" s="828"/>
      <c r="S21" s="833"/>
    </row>
    <row r="22" spans="1:19" ht="14.45" customHeight="1" x14ac:dyDescent="0.2">
      <c r="A22" s="822" t="s">
        <v>5353</v>
      </c>
      <c r="B22" s="823" t="s">
        <v>5354</v>
      </c>
      <c r="C22" s="823" t="s">
        <v>594</v>
      </c>
      <c r="D22" s="823" t="s">
        <v>5350</v>
      </c>
      <c r="E22" s="823" t="s">
        <v>5355</v>
      </c>
      <c r="F22" s="823" t="s">
        <v>5378</v>
      </c>
      <c r="G22" s="823" t="s">
        <v>5379</v>
      </c>
      <c r="H22" s="832"/>
      <c r="I22" s="832"/>
      <c r="J22" s="823"/>
      <c r="K22" s="823"/>
      <c r="L22" s="832">
        <v>1</v>
      </c>
      <c r="M22" s="832">
        <v>33.33</v>
      </c>
      <c r="N22" s="823">
        <v>1</v>
      </c>
      <c r="O22" s="823">
        <v>33.33</v>
      </c>
      <c r="P22" s="832"/>
      <c r="Q22" s="832"/>
      <c r="R22" s="828"/>
      <c r="S22" s="833"/>
    </row>
    <row r="23" spans="1:19" ht="14.45" customHeight="1" x14ac:dyDescent="0.2">
      <c r="A23" s="822" t="s">
        <v>5353</v>
      </c>
      <c r="B23" s="823" t="s">
        <v>5354</v>
      </c>
      <c r="C23" s="823" t="s">
        <v>594</v>
      </c>
      <c r="D23" s="823" t="s">
        <v>5350</v>
      </c>
      <c r="E23" s="823" t="s">
        <v>5355</v>
      </c>
      <c r="F23" s="823" t="s">
        <v>5390</v>
      </c>
      <c r="G23" s="823" t="s">
        <v>5391</v>
      </c>
      <c r="H23" s="832"/>
      <c r="I23" s="832"/>
      <c r="J23" s="823"/>
      <c r="K23" s="823"/>
      <c r="L23" s="832">
        <v>1</v>
      </c>
      <c r="M23" s="832">
        <v>179</v>
      </c>
      <c r="N23" s="823">
        <v>1</v>
      </c>
      <c r="O23" s="823">
        <v>179</v>
      </c>
      <c r="P23" s="832"/>
      <c r="Q23" s="832"/>
      <c r="R23" s="828"/>
      <c r="S23" s="833"/>
    </row>
    <row r="24" spans="1:19" ht="14.45" customHeight="1" x14ac:dyDescent="0.2">
      <c r="A24" s="822" t="s">
        <v>5353</v>
      </c>
      <c r="B24" s="823" t="s">
        <v>5354</v>
      </c>
      <c r="C24" s="823" t="s">
        <v>594</v>
      </c>
      <c r="D24" s="823" t="s">
        <v>1901</v>
      </c>
      <c r="E24" s="823" t="s">
        <v>5355</v>
      </c>
      <c r="F24" s="823" t="s">
        <v>5358</v>
      </c>
      <c r="G24" s="823" t="s">
        <v>5359</v>
      </c>
      <c r="H24" s="832">
        <v>11</v>
      </c>
      <c r="I24" s="832">
        <v>407</v>
      </c>
      <c r="J24" s="823">
        <v>0.63003095975232193</v>
      </c>
      <c r="K24" s="823">
        <v>37</v>
      </c>
      <c r="L24" s="832">
        <v>17</v>
      </c>
      <c r="M24" s="832">
        <v>646</v>
      </c>
      <c r="N24" s="823">
        <v>1</v>
      </c>
      <c r="O24" s="823">
        <v>38</v>
      </c>
      <c r="P24" s="832">
        <v>29</v>
      </c>
      <c r="Q24" s="832">
        <v>1102</v>
      </c>
      <c r="R24" s="828">
        <v>1.7058823529411764</v>
      </c>
      <c r="S24" s="833">
        <v>38</v>
      </c>
    </row>
    <row r="25" spans="1:19" ht="14.45" customHeight="1" x14ac:dyDescent="0.2">
      <c r="A25" s="822" t="s">
        <v>5353</v>
      </c>
      <c r="B25" s="823" t="s">
        <v>5354</v>
      </c>
      <c r="C25" s="823" t="s">
        <v>594</v>
      </c>
      <c r="D25" s="823" t="s">
        <v>1901</v>
      </c>
      <c r="E25" s="823" t="s">
        <v>5355</v>
      </c>
      <c r="F25" s="823" t="s">
        <v>5360</v>
      </c>
      <c r="G25" s="823" t="s">
        <v>5361</v>
      </c>
      <c r="H25" s="832">
        <v>2</v>
      </c>
      <c r="I25" s="832">
        <v>1404</v>
      </c>
      <c r="J25" s="823"/>
      <c r="K25" s="823">
        <v>702</v>
      </c>
      <c r="L25" s="832"/>
      <c r="M25" s="832"/>
      <c r="N25" s="823"/>
      <c r="O25" s="823"/>
      <c r="P25" s="832"/>
      <c r="Q25" s="832"/>
      <c r="R25" s="828"/>
      <c r="S25" s="833"/>
    </row>
    <row r="26" spans="1:19" ht="14.45" customHeight="1" x14ac:dyDescent="0.2">
      <c r="A26" s="822" t="s">
        <v>5353</v>
      </c>
      <c r="B26" s="823" t="s">
        <v>5354</v>
      </c>
      <c r="C26" s="823" t="s">
        <v>594</v>
      </c>
      <c r="D26" s="823" t="s">
        <v>1901</v>
      </c>
      <c r="E26" s="823" t="s">
        <v>5355</v>
      </c>
      <c r="F26" s="823" t="s">
        <v>5362</v>
      </c>
      <c r="G26" s="823" t="s">
        <v>5363</v>
      </c>
      <c r="H26" s="832">
        <v>37</v>
      </c>
      <c r="I26" s="832">
        <v>5217</v>
      </c>
      <c r="J26" s="823">
        <v>0.48341363973313567</v>
      </c>
      <c r="K26" s="823">
        <v>141</v>
      </c>
      <c r="L26" s="832">
        <v>76</v>
      </c>
      <c r="M26" s="832">
        <v>10792</v>
      </c>
      <c r="N26" s="823">
        <v>1</v>
      </c>
      <c r="O26" s="823">
        <v>142</v>
      </c>
      <c r="P26" s="832">
        <v>48</v>
      </c>
      <c r="Q26" s="832">
        <v>6864</v>
      </c>
      <c r="R26" s="828">
        <v>0.63602668643439586</v>
      </c>
      <c r="S26" s="833">
        <v>143</v>
      </c>
    </row>
    <row r="27" spans="1:19" ht="14.45" customHeight="1" x14ac:dyDescent="0.2">
      <c r="A27" s="822" t="s">
        <v>5353</v>
      </c>
      <c r="B27" s="823" t="s">
        <v>5354</v>
      </c>
      <c r="C27" s="823" t="s">
        <v>594</v>
      </c>
      <c r="D27" s="823" t="s">
        <v>1901</v>
      </c>
      <c r="E27" s="823" t="s">
        <v>5355</v>
      </c>
      <c r="F27" s="823" t="s">
        <v>5364</v>
      </c>
      <c r="G27" s="823" t="s">
        <v>5365</v>
      </c>
      <c r="H27" s="832"/>
      <c r="I27" s="832"/>
      <c r="J27" s="823"/>
      <c r="K27" s="823"/>
      <c r="L27" s="832">
        <v>4</v>
      </c>
      <c r="M27" s="832">
        <v>3852</v>
      </c>
      <c r="N27" s="823">
        <v>1</v>
      </c>
      <c r="O27" s="823">
        <v>963</v>
      </c>
      <c r="P27" s="832">
        <v>2</v>
      </c>
      <c r="Q27" s="832">
        <v>1934</v>
      </c>
      <c r="R27" s="828">
        <v>0.50207684319833856</v>
      </c>
      <c r="S27" s="833">
        <v>967</v>
      </c>
    </row>
    <row r="28" spans="1:19" ht="14.45" customHeight="1" x14ac:dyDescent="0.2">
      <c r="A28" s="822" t="s">
        <v>5353</v>
      </c>
      <c r="B28" s="823" t="s">
        <v>5354</v>
      </c>
      <c r="C28" s="823" t="s">
        <v>594</v>
      </c>
      <c r="D28" s="823" t="s">
        <v>1901</v>
      </c>
      <c r="E28" s="823" t="s">
        <v>5355</v>
      </c>
      <c r="F28" s="823" t="s">
        <v>5368</v>
      </c>
      <c r="G28" s="823" t="s">
        <v>5369</v>
      </c>
      <c r="H28" s="832">
        <v>77</v>
      </c>
      <c r="I28" s="832">
        <v>77770</v>
      </c>
      <c r="J28" s="823">
        <v>0.74535887827178715</v>
      </c>
      <c r="K28" s="823">
        <v>1010</v>
      </c>
      <c r="L28" s="832">
        <v>103</v>
      </c>
      <c r="M28" s="832">
        <v>104339</v>
      </c>
      <c r="N28" s="823">
        <v>1</v>
      </c>
      <c r="O28" s="823">
        <v>1013</v>
      </c>
      <c r="P28" s="832">
        <v>61</v>
      </c>
      <c r="Q28" s="832">
        <v>61976</v>
      </c>
      <c r="R28" s="828">
        <v>0.59398690805930665</v>
      </c>
      <c r="S28" s="833">
        <v>1016</v>
      </c>
    </row>
    <row r="29" spans="1:19" ht="14.45" customHeight="1" x14ac:dyDescent="0.2">
      <c r="A29" s="822" t="s">
        <v>5353</v>
      </c>
      <c r="B29" s="823" t="s">
        <v>5354</v>
      </c>
      <c r="C29" s="823" t="s">
        <v>594</v>
      </c>
      <c r="D29" s="823" t="s">
        <v>1901</v>
      </c>
      <c r="E29" s="823" t="s">
        <v>5355</v>
      </c>
      <c r="F29" s="823" t="s">
        <v>5372</v>
      </c>
      <c r="G29" s="823" t="s">
        <v>5373</v>
      </c>
      <c r="H29" s="832"/>
      <c r="I29" s="832"/>
      <c r="J29" s="823"/>
      <c r="K29" s="823"/>
      <c r="L29" s="832">
        <v>1</v>
      </c>
      <c r="M29" s="832">
        <v>1069</v>
      </c>
      <c r="N29" s="823">
        <v>1</v>
      </c>
      <c r="O29" s="823">
        <v>1069</v>
      </c>
      <c r="P29" s="832"/>
      <c r="Q29" s="832"/>
      <c r="R29" s="828"/>
      <c r="S29" s="833"/>
    </row>
    <row r="30" spans="1:19" ht="14.45" customHeight="1" x14ac:dyDescent="0.2">
      <c r="A30" s="822" t="s">
        <v>5353</v>
      </c>
      <c r="B30" s="823" t="s">
        <v>5354</v>
      </c>
      <c r="C30" s="823" t="s">
        <v>594</v>
      </c>
      <c r="D30" s="823" t="s">
        <v>1901</v>
      </c>
      <c r="E30" s="823" t="s">
        <v>5355</v>
      </c>
      <c r="F30" s="823" t="s">
        <v>5376</v>
      </c>
      <c r="G30" s="823" t="s">
        <v>5377</v>
      </c>
      <c r="H30" s="832"/>
      <c r="I30" s="832"/>
      <c r="J30" s="823"/>
      <c r="K30" s="823"/>
      <c r="L30" s="832">
        <v>1</v>
      </c>
      <c r="M30" s="832">
        <v>877</v>
      </c>
      <c r="N30" s="823">
        <v>1</v>
      </c>
      <c r="O30" s="823">
        <v>877</v>
      </c>
      <c r="P30" s="832">
        <v>1</v>
      </c>
      <c r="Q30" s="832">
        <v>881</v>
      </c>
      <c r="R30" s="828">
        <v>1.0045610034207526</v>
      </c>
      <c r="S30" s="833">
        <v>881</v>
      </c>
    </row>
    <row r="31" spans="1:19" ht="14.45" customHeight="1" x14ac:dyDescent="0.2">
      <c r="A31" s="822" t="s">
        <v>5353</v>
      </c>
      <c r="B31" s="823" t="s">
        <v>5354</v>
      </c>
      <c r="C31" s="823" t="s">
        <v>594</v>
      </c>
      <c r="D31" s="823" t="s">
        <v>1901</v>
      </c>
      <c r="E31" s="823" t="s">
        <v>5355</v>
      </c>
      <c r="F31" s="823" t="s">
        <v>5378</v>
      </c>
      <c r="G31" s="823" t="s">
        <v>5379</v>
      </c>
      <c r="H31" s="832">
        <v>59</v>
      </c>
      <c r="I31" s="832">
        <v>1966.67</v>
      </c>
      <c r="J31" s="823">
        <v>0.76623406982588338</v>
      </c>
      <c r="K31" s="823">
        <v>33.333389830508473</v>
      </c>
      <c r="L31" s="832">
        <v>77</v>
      </c>
      <c r="M31" s="832">
        <v>2566.67</v>
      </c>
      <c r="N31" s="823">
        <v>1</v>
      </c>
      <c r="O31" s="823">
        <v>33.333376623376623</v>
      </c>
      <c r="P31" s="832">
        <v>43</v>
      </c>
      <c r="Q31" s="832">
        <v>1433.33</v>
      </c>
      <c r="R31" s="828">
        <v>0.55843953449411099</v>
      </c>
      <c r="S31" s="833">
        <v>33.333255813953485</v>
      </c>
    </row>
    <row r="32" spans="1:19" ht="14.45" customHeight="1" x14ac:dyDescent="0.2">
      <c r="A32" s="822" t="s">
        <v>5353</v>
      </c>
      <c r="B32" s="823" t="s">
        <v>5354</v>
      </c>
      <c r="C32" s="823" t="s">
        <v>594</v>
      </c>
      <c r="D32" s="823" t="s">
        <v>1901</v>
      </c>
      <c r="E32" s="823" t="s">
        <v>5355</v>
      </c>
      <c r="F32" s="823" t="s">
        <v>5380</v>
      </c>
      <c r="G32" s="823" t="s">
        <v>5381</v>
      </c>
      <c r="H32" s="832"/>
      <c r="I32" s="832"/>
      <c r="J32" s="823"/>
      <c r="K32" s="823"/>
      <c r="L32" s="832"/>
      <c r="M32" s="832"/>
      <c r="N32" s="823"/>
      <c r="O32" s="823"/>
      <c r="P32" s="832">
        <v>1</v>
      </c>
      <c r="Q32" s="832">
        <v>38</v>
      </c>
      <c r="R32" s="828"/>
      <c r="S32" s="833">
        <v>38</v>
      </c>
    </row>
    <row r="33" spans="1:19" ht="14.45" customHeight="1" x14ac:dyDescent="0.2">
      <c r="A33" s="822" t="s">
        <v>5353</v>
      </c>
      <c r="B33" s="823" t="s">
        <v>5354</v>
      </c>
      <c r="C33" s="823" t="s">
        <v>594</v>
      </c>
      <c r="D33" s="823" t="s">
        <v>1901</v>
      </c>
      <c r="E33" s="823" t="s">
        <v>5355</v>
      </c>
      <c r="F33" s="823" t="s">
        <v>5384</v>
      </c>
      <c r="G33" s="823" t="s">
        <v>5385</v>
      </c>
      <c r="H33" s="832">
        <v>11</v>
      </c>
      <c r="I33" s="832">
        <v>22176</v>
      </c>
      <c r="J33" s="823">
        <v>0.78454680534918275</v>
      </c>
      <c r="K33" s="823">
        <v>2016</v>
      </c>
      <c r="L33" s="832">
        <v>14</v>
      </c>
      <c r="M33" s="832">
        <v>28266</v>
      </c>
      <c r="N33" s="823">
        <v>1</v>
      </c>
      <c r="O33" s="823">
        <v>2019</v>
      </c>
      <c r="P33" s="832">
        <v>9</v>
      </c>
      <c r="Q33" s="832">
        <v>18198</v>
      </c>
      <c r="R33" s="828">
        <v>0.64381235406495441</v>
      </c>
      <c r="S33" s="833">
        <v>2022</v>
      </c>
    </row>
    <row r="34" spans="1:19" ht="14.45" customHeight="1" x14ac:dyDescent="0.2">
      <c r="A34" s="822" t="s">
        <v>5353</v>
      </c>
      <c r="B34" s="823" t="s">
        <v>5354</v>
      </c>
      <c r="C34" s="823" t="s">
        <v>594</v>
      </c>
      <c r="D34" s="823" t="s">
        <v>1901</v>
      </c>
      <c r="E34" s="823" t="s">
        <v>5355</v>
      </c>
      <c r="F34" s="823" t="s">
        <v>5386</v>
      </c>
      <c r="G34" s="823" t="s">
        <v>5387</v>
      </c>
      <c r="H34" s="832">
        <v>59</v>
      </c>
      <c r="I34" s="832">
        <v>20945</v>
      </c>
      <c r="J34" s="823">
        <v>0.76981034989708907</v>
      </c>
      <c r="K34" s="823">
        <v>355</v>
      </c>
      <c r="L34" s="832">
        <v>76</v>
      </c>
      <c r="M34" s="832">
        <v>27208</v>
      </c>
      <c r="N34" s="823">
        <v>1</v>
      </c>
      <c r="O34" s="823">
        <v>358</v>
      </c>
      <c r="P34" s="832">
        <v>41</v>
      </c>
      <c r="Q34" s="832">
        <v>14760</v>
      </c>
      <c r="R34" s="828">
        <v>0.54248750367538956</v>
      </c>
      <c r="S34" s="833">
        <v>360</v>
      </c>
    </row>
    <row r="35" spans="1:19" ht="14.45" customHeight="1" x14ac:dyDescent="0.2">
      <c r="A35" s="822" t="s">
        <v>5353</v>
      </c>
      <c r="B35" s="823" t="s">
        <v>5354</v>
      </c>
      <c r="C35" s="823" t="s">
        <v>594</v>
      </c>
      <c r="D35" s="823" t="s">
        <v>1901</v>
      </c>
      <c r="E35" s="823" t="s">
        <v>5355</v>
      </c>
      <c r="F35" s="823" t="s">
        <v>5390</v>
      </c>
      <c r="G35" s="823" t="s">
        <v>5391</v>
      </c>
      <c r="H35" s="832"/>
      <c r="I35" s="832"/>
      <c r="J35" s="823"/>
      <c r="K35" s="823"/>
      <c r="L35" s="832">
        <v>1</v>
      </c>
      <c r="M35" s="832">
        <v>179</v>
      </c>
      <c r="N35" s="823">
        <v>1</v>
      </c>
      <c r="O35" s="823">
        <v>179</v>
      </c>
      <c r="P35" s="832">
        <v>2</v>
      </c>
      <c r="Q35" s="832">
        <v>360</v>
      </c>
      <c r="R35" s="828">
        <v>2.011173184357542</v>
      </c>
      <c r="S35" s="833">
        <v>180</v>
      </c>
    </row>
    <row r="36" spans="1:19" ht="14.45" customHeight="1" x14ac:dyDescent="0.2">
      <c r="A36" s="822" t="s">
        <v>5353</v>
      </c>
      <c r="B36" s="823" t="s">
        <v>5354</v>
      </c>
      <c r="C36" s="823" t="s">
        <v>594</v>
      </c>
      <c r="D36" s="823" t="s">
        <v>1907</v>
      </c>
      <c r="E36" s="823" t="s">
        <v>5355</v>
      </c>
      <c r="F36" s="823" t="s">
        <v>5358</v>
      </c>
      <c r="G36" s="823" t="s">
        <v>5359</v>
      </c>
      <c r="H36" s="832">
        <v>145</v>
      </c>
      <c r="I36" s="832">
        <v>5365</v>
      </c>
      <c r="J36" s="823">
        <v>0.9349947716974556</v>
      </c>
      <c r="K36" s="823">
        <v>37</v>
      </c>
      <c r="L36" s="832">
        <v>151</v>
      </c>
      <c r="M36" s="832">
        <v>5738</v>
      </c>
      <c r="N36" s="823">
        <v>1</v>
      </c>
      <c r="O36" s="823">
        <v>38</v>
      </c>
      <c r="P36" s="832">
        <v>192</v>
      </c>
      <c r="Q36" s="832">
        <v>7296</v>
      </c>
      <c r="R36" s="828">
        <v>1.2715231788079471</v>
      </c>
      <c r="S36" s="833">
        <v>38</v>
      </c>
    </row>
    <row r="37" spans="1:19" ht="14.45" customHeight="1" x14ac:dyDescent="0.2">
      <c r="A37" s="822" t="s">
        <v>5353</v>
      </c>
      <c r="B37" s="823" t="s">
        <v>5354</v>
      </c>
      <c r="C37" s="823" t="s">
        <v>594</v>
      </c>
      <c r="D37" s="823" t="s">
        <v>1907</v>
      </c>
      <c r="E37" s="823" t="s">
        <v>5355</v>
      </c>
      <c r="F37" s="823" t="s">
        <v>5362</v>
      </c>
      <c r="G37" s="823" t="s">
        <v>5363</v>
      </c>
      <c r="H37" s="832">
        <v>129</v>
      </c>
      <c r="I37" s="832">
        <v>18189</v>
      </c>
      <c r="J37" s="823">
        <v>0.96309435560732815</v>
      </c>
      <c r="K37" s="823">
        <v>141</v>
      </c>
      <c r="L37" s="832">
        <v>133</v>
      </c>
      <c r="M37" s="832">
        <v>18886</v>
      </c>
      <c r="N37" s="823">
        <v>1</v>
      </c>
      <c r="O37" s="823">
        <v>142</v>
      </c>
      <c r="P37" s="832">
        <v>87</v>
      </c>
      <c r="Q37" s="832">
        <v>12441</v>
      </c>
      <c r="R37" s="828">
        <v>0.65874192523562425</v>
      </c>
      <c r="S37" s="833">
        <v>143</v>
      </c>
    </row>
    <row r="38" spans="1:19" ht="14.45" customHeight="1" x14ac:dyDescent="0.2">
      <c r="A38" s="822" t="s">
        <v>5353</v>
      </c>
      <c r="B38" s="823" t="s">
        <v>5354</v>
      </c>
      <c r="C38" s="823" t="s">
        <v>594</v>
      </c>
      <c r="D38" s="823" t="s">
        <v>1907</v>
      </c>
      <c r="E38" s="823" t="s">
        <v>5355</v>
      </c>
      <c r="F38" s="823" t="s">
        <v>5368</v>
      </c>
      <c r="G38" s="823" t="s">
        <v>5369</v>
      </c>
      <c r="H38" s="832">
        <v>2</v>
      </c>
      <c r="I38" s="832">
        <v>2020</v>
      </c>
      <c r="J38" s="823">
        <v>0.33234616650213888</v>
      </c>
      <c r="K38" s="823">
        <v>1010</v>
      </c>
      <c r="L38" s="832">
        <v>6</v>
      </c>
      <c r="M38" s="832">
        <v>6078</v>
      </c>
      <c r="N38" s="823">
        <v>1</v>
      </c>
      <c r="O38" s="823">
        <v>1013</v>
      </c>
      <c r="P38" s="832">
        <v>3</v>
      </c>
      <c r="Q38" s="832">
        <v>3048</v>
      </c>
      <c r="R38" s="828">
        <v>0.50148075024679173</v>
      </c>
      <c r="S38" s="833">
        <v>1016</v>
      </c>
    </row>
    <row r="39" spans="1:19" ht="14.45" customHeight="1" x14ac:dyDescent="0.2">
      <c r="A39" s="822" t="s">
        <v>5353</v>
      </c>
      <c r="B39" s="823" t="s">
        <v>5354</v>
      </c>
      <c r="C39" s="823" t="s">
        <v>594</v>
      </c>
      <c r="D39" s="823" t="s">
        <v>1907</v>
      </c>
      <c r="E39" s="823" t="s">
        <v>5355</v>
      </c>
      <c r="F39" s="823" t="s">
        <v>5376</v>
      </c>
      <c r="G39" s="823" t="s">
        <v>5377</v>
      </c>
      <c r="H39" s="832"/>
      <c r="I39" s="832"/>
      <c r="J39" s="823"/>
      <c r="K39" s="823"/>
      <c r="L39" s="832">
        <v>4</v>
      </c>
      <c r="M39" s="832">
        <v>3508</v>
      </c>
      <c r="N39" s="823">
        <v>1</v>
      </c>
      <c r="O39" s="823">
        <v>877</v>
      </c>
      <c r="P39" s="832">
        <v>2</v>
      </c>
      <c r="Q39" s="832">
        <v>1762</v>
      </c>
      <c r="R39" s="828">
        <v>0.5022805017103763</v>
      </c>
      <c r="S39" s="833">
        <v>881</v>
      </c>
    </row>
    <row r="40" spans="1:19" ht="14.45" customHeight="1" x14ac:dyDescent="0.2">
      <c r="A40" s="822" t="s">
        <v>5353</v>
      </c>
      <c r="B40" s="823" t="s">
        <v>5354</v>
      </c>
      <c r="C40" s="823" t="s">
        <v>594</v>
      </c>
      <c r="D40" s="823" t="s">
        <v>1907</v>
      </c>
      <c r="E40" s="823" t="s">
        <v>5355</v>
      </c>
      <c r="F40" s="823" t="s">
        <v>5378</v>
      </c>
      <c r="G40" s="823" t="s">
        <v>5379</v>
      </c>
      <c r="H40" s="832">
        <v>131</v>
      </c>
      <c r="I40" s="832">
        <v>4366.66</v>
      </c>
      <c r="J40" s="823">
        <v>0.91608187686582032</v>
      </c>
      <c r="K40" s="823">
        <v>33.333282442748093</v>
      </c>
      <c r="L40" s="832">
        <v>143</v>
      </c>
      <c r="M40" s="832">
        <v>4766.67</v>
      </c>
      <c r="N40" s="823">
        <v>1</v>
      </c>
      <c r="O40" s="823">
        <v>33.333356643356645</v>
      </c>
      <c r="P40" s="832">
        <v>110</v>
      </c>
      <c r="Q40" s="832">
        <v>3666.66</v>
      </c>
      <c r="R40" s="828">
        <v>0.76922883270710996</v>
      </c>
      <c r="S40" s="833">
        <v>33.333272727272728</v>
      </c>
    </row>
    <row r="41" spans="1:19" ht="14.45" customHeight="1" x14ac:dyDescent="0.2">
      <c r="A41" s="822" t="s">
        <v>5353</v>
      </c>
      <c r="B41" s="823" t="s">
        <v>5354</v>
      </c>
      <c r="C41" s="823" t="s">
        <v>594</v>
      </c>
      <c r="D41" s="823" t="s">
        <v>1907</v>
      </c>
      <c r="E41" s="823" t="s">
        <v>5355</v>
      </c>
      <c r="F41" s="823" t="s">
        <v>5382</v>
      </c>
      <c r="G41" s="823" t="s">
        <v>5383</v>
      </c>
      <c r="H41" s="832"/>
      <c r="I41" s="832"/>
      <c r="J41" s="823"/>
      <c r="K41" s="823"/>
      <c r="L41" s="832"/>
      <c r="M41" s="832"/>
      <c r="N41" s="823"/>
      <c r="O41" s="823"/>
      <c r="P41" s="832">
        <v>1</v>
      </c>
      <c r="Q41" s="832">
        <v>88</v>
      </c>
      <c r="R41" s="828"/>
      <c r="S41" s="833">
        <v>88</v>
      </c>
    </row>
    <row r="42" spans="1:19" ht="14.45" customHeight="1" x14ac:dyDescent="0.2">
      <c r="A42" s="822" t="s">
        <v>5353</v>
      </c>
      <c r="B42" s="823" t="s">
        <v>5354</v>
      </c>
      <c r="C42" s="823" t="s">
        <v>594</v>
      </c>
      <c r="D42" s="823" t="s">
        <v>1907</v>
      </c>
      <c r="E42" s="823" t="s">
        <v>5355</v>
      </c>
      <c r="F42" s="823" t="s">
        <v>5386</v>
      </c>
      <c r="G42" s="823" t="s">
        <v>5387</v>
      </c>
      <c r="H42" s="832">
        <v>133</v>
      </c>
      <c r="I42" s="832">
        <v>47215</v>
      </c>
      <c r="J42" s="823">
        <v>1.0550837988826816</v>
      </c>
      <c r="K42" s="823">
        <v>355</v>
      </c>
      <c r="L42" s="832">
        <v>125</v>
      </c>
      <c r="M42" s="832">
        <v>44750</v>
      </c>
      <c r="N42" s="823">
        <v>1</v>
      </c>
      <c r="O42" s="823">
        <v>358</v>
      </c>
      <c r="P42" s="832">
        <v>96</v>
      </c>
      <c r="Q42" s="832">
        <v>34560</v>
      </c>
      <c r="R42" s="828">
        <v>0.77229050279329614</v>
      </c>
      <c r="S42" s="833">
        <v>360</v>
      </c>
    </row>
    <row r="43" spans="1:19" ht="14.45" customHeight="1" x14ac:dyDescent="0.2">
      <c r="A43" s="822" t="s">
        <v>5353</v>
      </c>
      <c r="B43" s="823" t="s">
        <v>5354</v>
      </c>
      <c r="C43" s="823" t="s">
        <v>594</v>
      </c>
      <c r="D43" s="823" t="s">
        <v>1907</v>
      </c>
      <c r="E43" s="823" t="s">
        <v>5355</v>
      </c>
      <c r="F43" s="823" t="s">
        <v>5392</v>
      </c>
      <c r="G43" s="823" t="s">
        <v>5393</v>
      </c>
      <c r="H43" s="832">
        <v>1</v>
      </c>
      <c r="I43" s="832">
        <v>59</v>
      </c>
      <c r="J43" s="823">
        <v>0.96721311475409832</v>
      </c>
      <c r="K43" s="823">
        <v>59</v>
      </c>
      <c r="L43" s="832">
        <v>1</v>
      </c>
      <c r="M43" s="832">
        <v>61</v>
      </c>
      <c r="N43" s="823">
        <v>1</v>
      </c>
      <c r="O43" s="823">
        <v>61</v>
      </c>
      <c r="P43" s="832"/>
      <c r="Q43" s="832"/>
      <c r="R43" s="828"/>
      <c r="S43" s="833"/>
    </row>
    <row r="44" spans="1:19" ht="14.45" customHeight="1" x14ac:dyDescent="0.2">
      <c r="A44" s="822" t="s">
        <v>5353</v>
      </c>
      <c r="B44" s="823" t="s">
        <v>5354</v>
      </c>
      <c r="C44" s="823" t="s">
        <v>594</v>
      </c>
      <c r="D44" s="823" t="s">
        <v>1908</v>
      </c>
      <c r="E44" s="823" t="s">
        <v>5355</v>
      </c>
      <c r="F44" s="823" t="s">
        <v>5358</v>
      </c>
      <c r="G44" s="823" t="s">
        <v>5359</v>
      </c>
      <c r="H44" s="832">
        <v>4</v>
      </c>
      <c r="I44" s="832">
        <v>148</v>
      </c>
      <c r="J44" s="823">
        <v>0.64912280701754388</v>
      </c>
      <c r="K44" s="823">
        <v>37</v>
      </c>
      <c r="L44" s="832">
        <v>6</v>
      </c>
      <c r="M44" s="832">
        <v>228</v>
      </c>
      <c r="N44" s="823">
        <v>1</v>
      </c>
      <c r="O44" s="823">
        <v>38</v>
      </c>
      <c r="P44" s="832">
        <v>1</v>
      </c>
      <c r="Q44" s="832">
        <v>38</v>
      </c>
      <c r="R44" s="828">
        <v>0.16666666666666666</v>
      </c>
      <c r="S44" s="833">
        <v>38</v>
      </c>
    </row>
    <row r="45" spans="1:19" ht="14.45" customHeight="1" x14ac:dyDescent="0.2">
      <c r="A45" s="822" t="s">
        <v>5353</v>
      </c>
      <c r="B45" s="823" t="s">
        <v>5354</v>
      </c>
      <c r="C45" s="823" t="s">
        <v>594</v>
      </c>
      <c r="D45" s="823" t="s">
        <v>1908</v>
      </c>
      <c r="E45" s="823" t="s">
        <v>5355</v>
      </c>
      <c r="F45" s="823" t="s">
        <v>5362</v>
      </c>
      <c r="G45" s="823" t="s">
        <v>5363</v>
      </c>
      <c r="H45" s="832">
        <v>32</v>
      </c>
      <c r="I45" s="832">
        <v>4512</v>
      </c>
      <c r="J45" s="823">
        <v>0.99295774647887325</v>
      </c>
      <c r="K45" s="823">
        <v>141</v>
      </c>
      <c r="L45" s="832">
        <v>32</v>
      </c>
      <c r="M45" s="832">
        <v>4544</v>
      </c>
      <c r="N45" s="823">
        <v>1</v>
      </c>
      <c r="O45" s="823">
        <v>142</v>
      </c>
      <c r="P45" s="832">
        <v>28</v>
      </c>
      <c r="Q45" s="832">
        <v>4004</v>
      </c>
      <c r="R45" s="828">
        <v>0.88116197183098588</v>
      </c>
      <c r="S45" s="833">
        <v>143</v>
      </c>
    </row>
    <row r="46" spans="1:19" ht="14.45" customHeight="1" x14ac:dyDescent="0.2">
      <c r="A46" s="822" t="s">
        <v>5353</v>
      </c>
      <c r="B46" s="823" t="s">
        <v>5354</v>
      </c>
      <c r="C46" s="823" t="s">
        <v>594</v>
      </c>
      <c r="D46" s="823" t="s">
        <v>1908</v>
      </c>
      <c r="E46" s="823" t="s">
        <v>5355</v>
      </c>
      <c r="F46" s="823" t="s">
        <v>5366</v>
      </c>
      <c r="G46" s="823" t="s">
        <v>5367</v>
      </c>
      <c r="H46" s="832">
        <v>2</v>
      </c>
      <c r="I46" s="832">
        <v>864</v>
      </c>
      <c r="J46" s="823">
        <v>1.9862068965517241</v>
      </c>
      <c r="K46" s="823">
        <v>432</v>
      </c>
      <c r="L46" s="832">
        <v>1</v>
      </c>
      <c r="M46" s="832">
        <v>435</v>
      </c>
      <c r="N46" s="823">
        <v>1</v>
      </c>
      <c r="O46" s="823">
        <v>435</v>
      </c>
      <c r="P46" s="832"/>
      <c r="Q46" s="832"/>
      <c r="R46" s="828"/>
      <c r="S46" s="833"/>
    </row>
    <row r="47" spans="1:19" ht="14.45" customHeight="1" x14ac:dyDescent="0.2">
      <c r="A47" s="822" t="s">
        <v>5353</v>
      </c>
      <c r="B47" s="823" t="s">
        <v>5354</v>
      </c>
      <c r="C47" s="823" t="s">
        <v>594</v>
      </c>
      <c r="D47" s="823" t="s">
        <v>1908</v>
      </c>
      <c r="E47" s="823" t="s">
        <v>5355</v>
      </c>
      <c r="F47" s="823" t="s">
        <v>5368</v>
      </c>
      <c r="G47" s="823" t="s">
        <v>5369</v>
      </c>
      <c r="H47" s="832">
        <v>45</v>
      </c>
      <c r="I47" s="832">
        <v>45450</v>
      </c>
      <c r="J47" s="823">
        <v>0.87973985250566167</v>
      </c>
      <c r="K47" s="823">
        <v>1010</v>
      </c>
      <c r="L47" s="832">
        <v>51</v>
      </c>
      <c r="M47" s="832">
        <v>51663</v>
      </c>
      <c r="N47" s="823">
        <v>1</v>
      </c>
      <c r="O47" s="823">
        <v>1013</v>
      </c>
      <c r="P47" s="832">
        <v>41</v>
      </c>
      <c r="Q47" s="832">
        <v>41656</v>
      </c>
      <c r="R47" s="828">
        <v>0.80630238274974353</v>
      </c>
      <c r="S47" s="833">
        <v>1016</v>
      </c>
    </row>
    <row r="48" spans="1:19" ht="14.45" customHeight="1" x14ac:dyDescent="0.2">
      <c r="A48" s="822" t="s">
        <v>5353</v>
      </c>
      <c r="B48" s="823" t="s">
        <v>5354</v>
      </c>
      <c r="C48" s="823" t="s">
        <v>594</v>
      </c>
      <c r="D48" s="823" t="s">
        <v>1908</v>
      </c>
      <c r="E48" s="823" t="s">
        <v>5355</v>
      </c>
      <c r="F48" s="823" t="s">
        <v>5378</v>
      </c>
      <c r="G48" s="823" t="s">
        <v>5379</v>
      </c>
      <c r="H48" s="832">
        <v>36</v>
      </c>
      <c r="I48" s="832">
        <v>1199.99</v>
      </c>
      <c r="J48" s="823">
        <v>1.0588178200524121</v>
      </c>
      <c r="K48" s="823">
        <v>33.333055555555553</v>
      </c>
      <c r="L48" s="832">
        <v>34</v>
      </c>
      <c r="M48" s="832">
        <v>1133.33</v>
      </c>
      <c r="N48" s="823">
        <v>1</v>
      </c>
      <c r="O48" s="823">
        <v>33.333235294117642</v>
      </c>
      <c r="P48" s="832">
        <v>28</v>
      </c>
      <c r="Q48" s="832">
        <v>933.33</v>
      </c>
      <c r="R48" s="828">
        <v>0.82352889273203755</v>
      </c>
      <c r="S48" s="833">
        <v>33.333214285714284</v>
      </c>
    </row>
    <row r="49" spans="1:19" ht="14.45" customHeight="1" x14ac:dyDescent="0.2">
      <c r="A49" s="822" t="s">
        <v>5353</v>
      </c>
      <c r="B49" s="823" t="s">
        <v>5354</v>
      </c>
      <c r="C49" s="823" t="s">
        <v>594</v>
      </c>
      <c r="D49" s="823" t="s">
        <v>1908</v>
      </c>
      <c r="E49" s="823" t="s">
        <v>5355</v>
      </c>
      <c r="F49" s="823" t="s">
        <v>5384</v>
      </c>
      <c r="G49" s="823" t="s">
        <v>5385</v>
      </c>
      <c r="H49" s="832">
        <v>5</v>
      </c>
      <c r="I49" s="832">
        <v>10080</v>
      </c>
      <c r="J49" s="823">
        <v>1.2481426448736999</v>
      </c>
      <c r="K49" s="823">
        <v>2016</v>
      </c>
      <c r="L49" s="832">
        <v>4</v>
      </c>
      <c r="M49" s="832">
        <v>8076</v>
      </c>
      <c r="N49" s="823">
        <v>1</v>
      </c>
      <c r="O49" s="823">
        <v>2019</v>
      </c>
      <c r="P49" s="832">
        <v>5</v>
      </c>
      <c r="Q49" s="832">
        <v>10110</v>
      </c>
      <c r="R49" s="828">
        <v>1.2518573551263001</v>
      </c>
      <c r="S49" s="833">
        <v>2022</v>
      </c>
    </row>
    <row r="50" spans="1:19" ht="14.45" customHeight="1" x14ac:dyDescent="0.2">
      <c r="A50" s="822" t="s">
        <v>5353</v>
      </c>
      <c r="B50" s="823" t="s">
        <v>5354</v>
      </c>
      <c r="C50" s="823" t="s">
        <v>594</v>
      </c>
      <c r="D50" s="823" t="s">
        <v>1908</v>
      </c>
      <c r="E50" s="823" t="s">
        <v>5355</v>
      </c>
      <c r="F50" s="823" t="s">
        <v>5386</v>
      </c>
      <c r="G50" s="823" t="s">
        <v>5387</v>
      </c>
      <c r="H50" s="832">
        <v>36</v>
      </c>
      <c r="I50" s="832">
        <v>12780</v>
      </c>
      <c r="J50" s="823">
        <v>1.049950706539599</v>
      </c>
      <c r="K50" s="823">
        <v>355</v>
      </c>
      <c r="L50" s="832">
        <v>34</v>
      </c>
      <c r="M50" s="832">
        <v>12172</v>
      </c>
      <c r="N50" s="823">
        <v>1</v>
      </c>
      <c r="O50" s="823">
        <v>358</v>
      </c>
      <c r="P50" s="832">
        <v>28</v>
      </c>
      <c r="Q50" s="832">
        <v>10080</v>
      </c>
      <c r="R50" s="828">
        <v>0.82813013473545838</v>
      </c>
      <c r="S50" s="833">
        <v>360</v>
      </c>
    </row>
    <row r="51" spans="1:19" ht="14.45" customHeight="1" x14ac:dyDescent="0.2">
      <c r="A51" s="822" t="s">
        <v>5353</v>
      </c>
      <c r="B51" s="823" t="s">
        <v>5354</v>
      </c>
      <c r="C51" s="823" t="s">
        <v>594</v>
      </c>
      <c r="D51" s="823" t="s">
        <v>1912</v>
      </c>
      <c r="E51" s="823" t="s">
        <v>5355</v>
      </c>
      <c r="F51" s="823" t="s">
        <v>5360</v>
      </c>
      <c r="G51" s="823" t="s">
        <v>5361</v>
      </c>
      <c r="H51" s="832">
        <v>2</v>
      </c>
      <c r="I51" s="832">
        <v>1404</v>
      </c>
      <c r="J51" s="823">
        <v>1.9858557284299858</v>
      </c>
      <c r="K51" s="823">
        <v>702</v>
      </c>
      <c r="L51" s="832">
        <v>1</v>
      </c>
      <c r="M51" s="832">
        <v>707</v>
      </c>
      <c r="N51" s="823">
        <v>1</v>
      </c>
      <c r="O51" s="823">
        <v>707</v>
      </c>
      <c r="P51" s="832">
        <v>2</v>
      </c>
      <c r="Q51" s="832">
        <v>1422</v>
      </c>
      <c r="R51" s="828">
        <v>2.0113154172560113</v>
      </c>
      <c r="S51" s="833">
        <v>711</v>
      </c>
    </row>
    <row r="52" spans="1:19" ht="14.45" customHeight="1" x14ac:dyDescent="0.2">
      <c r="A52" s="822" t="s">
        <v>5353</v>
      </c>
      <c r="B52" s="823" t="s">
        <v>5354</v>
      </c>
      <c r="C52" s="823" t="s">
        <v>594</v>
      </c>
      <c r="D52" s="823" t="s">
        <v>1912</v>
      </c>
      <c r="E52" s="823" t="s">
        <v>5355</v>
      </c>
      <c r="F52" s="823" t="s">
        <v>5362</v>
      </c>
      <c r="G52" s="823" t="s">
        <v>5363</v>
      </c>
      <c r="H52" s="832">
        <v>39</v>
      </c>
      <c r="I52" s="832">
        <v>5499</v>
      </c>
      <c r="J52" s="823">
        <v>2.0381764269829503</v>
      </c>
      <c r="K52" s="823">
        <v>141</v>
      </c>
      <c r="L52" s="832">
        <v>19</v>
      </c>
      <c r="M52" s="832">
        <v>2698</v>
      </c>
      <c r="N52" s="823">
        <v>1</v>
      </c>
      <c r="O52" s="823">
        <v>142</v>
      </c>
      <c r="P52" s="832">
        <v>26</v>
      </c>
      <c r="Q52" s="832">
        <v>3718</v>
      </c>
      <c r="R52" s="828">
        <v>1.3780578206078578</v>
      </c>
      <c r="S52" s="833">
        <v>143</v>
      </c>
    </row>
    <row r="53" spans="1:19" ht="14.45" customHeight="1" x14ac:dyDescent="0.2">
      <c r="A53" s="822" t="s">
        <v>5353</v>
      </c>
      <c r="B53" s="823" t="s">
        <v>5354</v>
      </c>
      <c r="C53" s="823" t="s">
        <v>594</v>
      </c>
      <c r="D53" s="823" t="s">
        <v>1912</v>
      </c>
      <c r="E53" s="823" t="s">
        <v>5355</v>
      </c>
      <c r="F53" s="823" t="s">
        <v>5364</v>
      </c>
      <c r="G53" s="823" t="s">
        <v>5365</v>
      </c>
      <c r="H53" s="832">
        <v>12</v>
      </c>
      <c r="I53" s="832">
        <v>11496</v>
      </c>
      <c r="J53" s="823">
        <v>1.3264105226722049</v>
      </c>
      <c r="K53" s="823">
        <v>958</v>
      </c>
      <c r="L53" s="832">
        <v>9</v>
      </c>
      <c r="M53" s="832">
        <v>8667</v>
      </c>
      <c r="N53" s="823">
        <v>1</v>
      </c>
      <c r="O53" s="823">
        <v>963</v>
      </c>
      <c r="P53" s="832">
        <v>8</v>
      </c>
      <c r="Q53" s="832">
        <v>7736</v>
      </c>
      <c r="R53" s="828">
        <v>0.89258105457482406</v>
      </c>
      <c r="S53" s="833">
        <v>967</v>
      </c>
    </row>
    <row r="54" spans="1:19" ht="14.45" customHeight="1" x14ac:dyDescent="0.2">
      <c r="A54" s="822" t="s">
        <v>5353</v>
      </c>
      <c r="B54" s="823" t="s">
        <v>5354</v>
      </c>
      <c r="C54" s="823" t="s">
        <v>594</v>
      </c>
      <c r="D54" s="823" t="s">
        <v>1912</v>
      </c>
      <c r="E54" s="823" t="s">
        <v>5355</v>
      </c>
      <c r="F54" s="823" t="s">
        <v>5366</v>
      </c>
      <c r="G54" s="823" t="s">
        <v>5367</v>
      </c>
      <c r="H54" s="832">
        <v>1</v>
      </c>
      <c r="I54" s="832">
        <v>432</v>
      </c>
      <c r="J54" s="823">
        <v>0.12413793103448276</v>
      </c>
      <c r="K54" s="823">
        <v>432</v>
      </c>
      <c r="L54" s="832">
        <v>8</v>
      </c>
      <c r="M54" s="832">
        <v>3480</v>
      </c>
      <c r="N54" s="823">
        <v>1</v>
      </c>
      <c r="O54" s="823">
        <v>435</v>
      </c>
      <c r="P54" s="832"/>
      <c r="Q54" s="832"/>
      <c r="R54" s="828"/>
      <c r="S54" s="833"/>
    </row>
    <row r="55" spans="1:19" ht="14.45" customHeight="1" x14ac:dyDescent="0.2">
      <c r="A55" s="822" t="s">
        <v>5353</v>
      </c>
      <c r="B55" s="823" t="s">
        <v>5354</v>
      </c>
      <c r="C55" s="823" t="s">
        <v>594</v>
      </c>
      <c r="D55" s="823" t="s">
        <v>1912</v>
      </c>
      <c r="E55" s="823" t="s">
        <v>5355</v>
      </c>
      <c r="F55" s="823" t="s">
        <v>5368</v>
      </c>
      <c r="G55" s="823" t="s">
        <v>5369</v>
      </c>
      <c r="H55" s="832">
        <v>5</v>
      </c>
      <c r="I55" s="832">
        <v>5050</v>
      </c>
      <c r="J55" s="823"/>
      <c r="K55" s="823">
        <v>1010</v>
      </c>
      <c r="L55" s="832"/>
      <c r="M55" s="832"/>
      <c r="N55" s="823"/>
      <c r="O55" s="823"/>
      <c r="P55" s="832">
        <v>2</v>
      </c>
      <c r="Q55" s="832">
        <v>2032</v>
      </c>
      <c r="R55" s="828"/>
      <c r="S55" s="833">
        <v>1016</v>
      </c>
    </row>
    <row r="56" spans="1:19" ht="14.45" customHeight="1" x14ac:dyDescent="0.2">
      <c r="A56" s="822" t="s">
        <v>5353</v>
      </c>
      <c r="B56" s="823" t="s">
        <v>5354</v>
      </c>
      <c r="C56" s="823" t="s">
        <v>594</v>
      </c>
      <c r="D56" s="823" t="s">
        <v>1912</v>
      </c>
      <c r="E56" s="823" t="s">
        <v>5355</v>
      </c>
      <c r="F56" s="823" t="s">
        <v>5370</v>
      </c>
      <c r="G56" s="823" t="s">
        <v>5371</v>
      </c>
      <c r="H56" s="832">
        <v>2</v>
      </c>
      <c r="I56" s="832">
        <v>4248</v>
      </c>
      <c r="J56" s="823"/>
      <c r="K56" s="823">
        <v>2124</v>
      </c>
      <c r="L56" s="832"/>
      <c r="M56" s="832"/>
      <c r="N56" s="823"/>
      <c r="O56" s="823"/>
      <c r="P56" s="832">
        <v>1</v>
      </c>
      <c r="Q56" s="832">
        <v>2134</v>
      </c>
      <c r="R56" s="828"/>
      <c r="S56" s="833">
        <v>2134</v>
      </c>
    </row>
    <row r="57" spans="1:19" ht="14.45" customHeight="1" x14ac:dyDescent="0.2">
      <c r="A57" s="822" t="s">
        <v>5353</v>
      </c>
      <c r="B57" s="823" t="s">
        <v>5354</v>
      </c>
      <c r="C57" s="823" t="s">
        <v>594</v>
      </c>
      <c r="D57" s="823" t="s">
        <v>1912</v>
      </c>
      <c r="E57" s="823" t="s">
        <v>5355</v>
      </c>
      <c r="F57" s="823" t="s">
        <v>5378</v>
      </c>
      <c r="G57" s="823" t="s">
        <v>5379</v>
      </c>
      <c r="H57" s="832">
        <v>48</v>
      </c>
      <c r="I57" s="832">
        <v>1600.0099999999998</v>
      </c>
      <c r="J57" s="823">
        <v>1.500018750117188</v>
      </c>
      <c r="K57" s="823">
        <v>33.333541666666662</v>
      </c>
      <c r="L57" s="832">
        <v>32</v>
      </c>
      <c r="M57" s="832">
        <v>1066.6600000000001</v>
      </c>
      <c r="N57" s="823">
        <v>1</v>
      </c>
      <c r="O57" s="823">
        <v>33.333125000000003</v>
      </c>
      <c r="P57" s="832">
        <v>27</v>
      </c>
      <c r="Q57" s="832">
        <v>899.99</v>
      </c>
      <c r="R57" s="828">
        <v>0.84374589841186498</v>
      </c>
      <c r="S57" s="833">
        <v>33.332962962962966</v>
      </c>
    </row>
    <row r="58" spans="1:19" ht="14.45" customHeight="1" x14ac:dyDescent="0.2">
      <c r="A58" s="822" t="s">
        <v>5353</v>
      </c>
      <c r="B58" s="823" t="s">
        <v>5354</v>
      </c>
      <c r="C58" s="823" t="s">
        <v>594</v>
      </c>
      <c r="D58" s="823" t="s">
        <v>1912</v>
      </c>
      <c r="E58" s="823" t="s">
        <v>5355</v>
      </c>
      <c r="F58" s="823" t="s">
        <v>5386</v>
      </c>
      <c r="G58" s="823" t="s">
        <v>5387</v>
      </c>
      <c r="H58" s="832">
        <v>44</v>
      </c>
      <c r="I58" s="832">
        <v>15620</v>
      </c>
      <c r="J58" s="823">
        <v>2.4239602731222845</v>
      </c>
      <c r="K58" s="823">
        <v>355</v>
      </c>
      <c r="L58" s="832">
        <v>18</v>
      </c>
      <c r="M58" s="832">
        <v>6444</v>
      </c>
      <c r="N58" s="823">
        <v>1</v>
      </c>
      <c r="O58" s="823">
        <v>358</v>
      </c>
      <c r="P58" s="832">
        <v>16</v>
      </c>
      <c r="Q58" s="832">
        <v>5760</v>
      </c>
      <c r="R58" s="828">
        <v>0.8938547486033519</v>
      </c>
      <c r="S58" s="833">
        <v>360</v>
      </c>
    </row>
    <row r="59" spans="1:19" ht="14.45" customHeight="1" x14ac:dyDescent="0.2">
      <c r="A59" s="822" t="s">
        <v>5353</v>
      </c>
      <c r="B59" s="823" t="s">
        <v>5354</v>
      </c>
      <c r="C59" s="823" t="s">
        <v>594</v>
      </c>
      <c r="D59" s="823" t="s">
        <v>1912</v>
      </c>
      <c r="E59" s="823" t="s">
        <v>5355</v>
      </c>
      <c r="F59" s="823" t="s">
        <v>5388</v>
      </c>
      <c r="G59" s="823" t="s">
        <v>5389</v>
      </c>
      <c r="H59" s="832">
        <v>1</v>
      </c>
      <c r="I59" s="832">
        <v>223</v>
      </c>
      <c r="J59" s="823"/>
      <c r="K59" s="823">
        <v>223</v>
      </c>
      <c r="L59" s="832"/>
      <c r="M59" s="832"/>
      <c r="N59" s="823"/>
      <c r="O59" s="823"/>
      <c r="P59" s="832"/>
      <c r="Q59" s="832"/>
      <c r="R59" s="828"/>
      <c r="S59" s="833"/>
    </row>
    <row r="60" spans="1:19" ht="14.45" customHeight="1" x14ac:dyDescent="0.2">
      <c r="A60" s="822" t="s">
        <v>5353</v>
      </c>
      <c r="B60" s="823" t="s">
        <v>5354</v>
      </c>
      <c r="C60" s="823" t="s">
        <v>594</v>
      </c>
      <c r="D60" s="823" t="s">
        <v>1912</v>
      </c>
      <c r="E60" s="823" t="s">
        <v>5355</v>
      </c>
      <c r="F60" s="823" t="s">
        <v>5390</v>
      </c>
      <c r="G60" s="823" t="s">
        <v>5391</v>
      </c>
      <c r="H60" s="832">
        <v>2</v>
      </c>
      <c r="I60" s="832">
        <v>356</v>
      </c>
      <c r="J60" s="823">
        <v>0.16573556797020483</v>
      </c>
      <c r="K60" s="823">
        <v>178</v>
      </c>
      <c r="L60" s="832">
        <v>12</v>
      </c>
      <c r="M60" s="832">
        <v>2148</v>
      </c>
      <c r="N60" s="823">
        <v>1</v>
      </c>
      <c r="O60" s="823">
        <v>179</v>
      </c>
      <c r="P60" s="832">
        <v>9</v>
      </c>
      <c r="Q60" s="832">
        <v>1620</v>
      </c>
      <c r="R60" s="828">
        <v>0.75418994413407825</v>
      </c>
      <c r="S60" s="833">
        <v>180</v>
      </c>
    </row>
    <row r="61" spans="1:19" ht="14.45" customHeight="1" x14ac:dyDescent="0.2">
      <c r="A61" s="822" t="s">
        <v>5353</v>
      </c>
      <c r="B61" s="823" t="s">
        <v>5354</v>
      </c>
      <c r="C61" s="823" t="s">
        <v>594</v>
      </c>
      <c r="D61" s="823" t="s">
        <v>1912</v>
      </c>
      <c r="E61" s="823" t="s">
        <v>5355</v>
      </c>
      <c r="F61" s="823" t="s">
        <v>5394</v>
      </c>
      <c r="G61" s="823" t="s">
        <v>5395</v>
      </c>
      <c r="H61" s="832"/>
      <c r="I61" s="832"/>
      <c r="J61" s="823"/>
      <c r="K61" s="823"/>
      <c r="L61" s="832">
        <v>1</v>
      </c>
      <c r="M61" s="832">
        <v>542</v>
      </c>
      <c r="N61" s="823">
        <v>1</v>
      </c>
      <c r="O61" s="823">
        <v>542</v>
      </c>
      <c r="P61" s="832"/>
      <c r="Q61" s="832"/>
      <c r="R61" s="828"/>
      <c r="S61" s="833"/>
    </row>
    <row r="62" spans="1:19" ht="14.45" customHeight="1" x14ac:dyDescent="0.2">
      <c r="A62" s="822" t="s">
        <v>5353</v>
      </c>
      <c r="B62" s="823" t="s">
        <v>5354</v>
      </c>
      <c r="C62" s="823" t="s">
        <v>594</v>
      </c>
      <c r="D62" s="823" t="s">
        <v>5351</v>
      </c>
      <c r="E62" s="823" t="s">
        <v>5355</v>
      </c>
      <c r="F62" s="823" t="s">
        <v>5358</v>
      </c>
      <c r="G62" s="823" t="s">
        <v>5359</v>
      </c>
      <c r="H62" s="832">
        <v>2</v>
      </c>
      <c r="I62" s="832">
        <v>74</v>
      </c>
      <c r="J62" s="823"/>
      <c r="K62" s="823">
        <v>37</v>
      </c>
      <c r="L62" s="832"/>
      <c r="M62" s="832"/>
      <c r="N62" s="823"/>
      <c r="O62" s="823"/>
      <c r="P62" s="832"/>
      <c r="Q62" s="832"/>
      <c r="R62" s="828"/>
      <c r="S62" s="833"/>
    </row>
    <row r="63" spans="1:19" ht="14.45" customHeight="1" x14ac:dyDescent="0.2">
      <c r="A63" s="822" t="s">
        <v>5353</v>
      </c>
      <c r="B63" s="823" t="s">
        <v>5354</v>
      </c>
      <c r="C63" s="823" t="s">
        <v>594</v>
      </c>
      <c r="D63" s="823" t="s">
        <v>5351</v>
      </c>
      <c r="E63" s="823" t="s">
        <v>5355</v>
      </c>
      <c r="F63" s="823" t="s">
        <v>5368</v>
      </c>
      <c r="G63" s="823" t="s">
        <v>5369</v>
      </c>
      <c r="H63" s="832">
        <v>39</v>
      </c>
      <c r="I63" s="832">
        <v>39390</v>
      </c>
      <c r="J63" s="823"/>
      <c r="K63" s="823">
        <v>1010</v>
      </c>
      <c r="L63" s="832"/>
      <c r="M63" s="832"/>
      <c r="N63" s="823"/>
      <c r="O63" s="823"/>
      <c r="P63" s="832"/>
      <c r="Q63" s="832"/>
      <c r="R63" s="828"/>
      <c r="S63" s="833"/>
    </row>
    <row r="64" spans="1:19" ht="14.45" customHeight="1" x14ac:dyDescent="0.2">
      <c r="A64" s="822" t="s">
        <v>5353</v>
      </c>
      <c r="B64" s="823" t="s">
        <v>5354</v>
      </c>
      <c r="C64" s="823" t="s">
        <v>594</v>
      </c>
      <c r="D64" s="823" t="s">
        <v>5351</v>
      </c>
      <c r="E64" s="823" t="s">
        <v>5355</v>
      </c>
      <c r="F64" s="823" t="s">
        <v>5378</v>
      </c>
      <c r="G64" s="823" t="s">
        <v>5379</v>
      </c>
      <c r="H64" s="832">
        <v>38</v>
      </c>
      <c r="I64" s="832">
        <v>1266.67</v>
      </c>
      <c r="J64" s="823"/>
      <c r="K64" s="823">
        <v>33.333421052631579</v>
      </c>
      <c r="L64" s="832"/>
      <c r="M64" s="832"/>
      <c r="N64" s="823"/>
      <c r="O64" s="823"/>
      <c r="P64" s="832"/>
      <c r="Q64" s="832"/>
      <c r="R64" s="828"/>
      <c r="S64" s="833"/>
    </row>
    <row r="65" spans="1:19" ht="14.45" customHeight="1" x14ac:dyDescent="0.2">
      <c r="A65" s="822" t="s">
        <v>5353</v>
      </c>
      <c r="B65" s="823" t="s">
        <v>5354</v>
      </c>
      <c r="C65" s="823" t="s">
        <v>594</v>
      </c>
      <c r="D65" s="823" t="s">
        <v>5351</v>
      </c>
      <c r="E65" s="823" t="s">
        <v>5355</v>
      </c>
      <c r="F65" s="823" t="s">
        <v>5380</v>
      </c>
      <c r="G65" s="823" t="s">
        <v>5381</v>
      </c>
      <c r="H65" s="832">
        <v>3</v>
      </c>
      <c r="I65" s="832">
        <v>111</v>
      </c>
      <c r="J65" s="823"/>
      <c r="K65" s="823">
        <v>37</v>
      </c>
      <c r="L65" s="832"/>
      <c r="M65" s="832"/>
      <c r="N65" s="823"/>
      <c r="O65" s="823"/>
      <c r="P65" s="832"/>
      <c r="Q65" s="832"/>
      <c r="R65" s="828"/>
      <c r="S65" s="833"/>
    </row>
    <row r="66" spans="1:19" ht="14.45" customHeight="1" x14ac:dyDescent="0.2">
      <c r="A66" s="822" t="s">
        <v>5353</v>
      </c>
      <c r="B66" s="823" t="s">
        <v>5354</v>
      </c>
      <c r="C66" s="823" t="s">
        <v>594</v>
      </c>
      <c r="D66" s="823" t="s">
        <v>5351</v>
      </c>
      <c r="E66" s="823" t="s">
        <v>5355</v>
      </c>
      <c r="F66" s="823" t="s">
        <v>5384</v>
      </c>
      <c r="G66" s="823" t="s">
        <v>5385</v>
      </c>
      <c r="H66" s="832">
        <v>5</v>
      </c>
      <c r="I66" s="832">
        <v>10080</v>
      </c>
      <c r="J66" s="823"/>
      <c r="K66" s="823">
        <v>2016</v>
      </c>
      <c r="L66" s="832"/>
      <c r="M66" s="832"/>
      <c r="N66" s="823"/>
      <c r="O66" s="823"/>
      <c r="P66" s="832"/>
      <c r="Q66" s="832"/>
      <c r="R66" s="828"/>
      <c r="S66" s="833"/>
    </row>
    <row r="67" spans="1:19" ht="14.45" customHeight="1" x14ac:dyDescent="0.2">
      <c r="A67" s="822" t="s">
        <v>5353</v>
      </c>
      <c r="B67" s="823" t="s">
        <v>5354</v>
      </c>
      <c r="C67" s="823" t="s">
        <v>594</v>
      </c>
      <c r="D67" s="823" t="s">
        <v>5351</v>
      </c>
      <c r="E67" s="823" t="s">
        <v>5355</v>
      </c>
      <c r="F67" s="823" t="s">
        <v>5386</v>
      </c>
      <c r="G67" s="823" t="s">
        <v>5387</v>
      </c>
      <c r="H67" s="832">
        <v>38</v>
      </c>
      <c r="I67" s="832">
        <v>13490</v>
      </c>
      <c r="J67" s="823"/>
      <c r="K67" s="823">
        <v>355</v>
      </c>
      <c r="L67" s="832"/>
      <c r="M67" s="832"/>
      <c r="N67" s="823"/>
      <c r="O67" s="823"/>
      <c r="P67" s="832"/>
      <c r="Q67" s="832"/>
      <c r="R67" s="828"/>
      <c r="S67" s="833"/>
    </row>
    <row r="68" spans="1:19" ht="14.45" customHeight="1" x14ac:dyDescent="0.2">
      <c r="A68" s="822" t="s">
        <v>5353</v>
      </c>
      <c r="B68" s="823" t="s">
        <v>5354</v>
      </c>
      <c r="C68" s="823" t="s">
        <v>594</v>
      </c>
      <c r="D68" s="823" t="s">
        <v>1913</v>
      </c>
      <c r="E68" s="823" t="s">
        <v>5355</v>
      </c>
      <c r="F68" s="823" t="s">
        <v>5358</v>
      </c>
      <c r="G68" s="823" t="s">
        <v>5359</v>
      </c>
      <c r="H68" s="832">
        <v>1</v>
      </c>
      <c r="I68" s="832">
        <v>37</v>
      </c>
      <c r="J68" s="823"/>
      <c r="K68" s="823">
        <v>37</v>
      </c>
      <c r="L68" s="832"/>
      <c r="M68" s="832"/>
      <c r="N68" s="823"/>
      <c r="O68" s="823"/>
      <c r="P68" s="832"/>
      <c r="Q68" s="832"/>
      <c r="R68" s="828"/>
      <c r="S68" s="833"/>
    </row>
    <row r="69" spans="1:19" ht="14.45" customHeight="1" x14ac:dyDescent="0.2">
      <c r="A69" s="822" t="s">
        <v>5353</v>
      </c>
      <c r="B69" s="823" t="s">
        <v>5354</v>
      </c>
      <c r="C69" s="823" t="s">
        <v>594</v>
      </c>
      <c r="D69" s="823" t="s">
        <v>1899</v>
      </c>
      <c r="E69" s="823" t="s">
        <v>5355</v>
      </c>
      <c r="F69" s="823" t="s">
        <v>5358</v>
      </c>
      <c r="G69" s="823" t="s">
        <v>5359</v>
      </c>
      <c r="H69" s="832"/>
      <c r="I69" s="832"/>
      <c r="J69" s="823"/>
      <c r="K69" s="823"/>
      <c r="L69" s="832"/>
      <c r="M69" s="832"/>
      <c r="N69" s="823"/>
      <c r="O69" s="823"/>
      <c r="P69" s="832">
        <v>6</v>
      </c>
      <c r="Q69" s="832">
        <v>228</v>
      </c>
      <c r="R69" s="828"/>
      <c r="S69" s="833">
        <v>38</v>
      </c>
    </row>
    <row r="70" spans="1:19" ht="14.45" customHeight="1" x14ac:dyDescent="0.2">
      <c r="A70" s="822" t="s">
        <v>5353</v>
      </c>
      <c r="B70" s="823" t="s">
        <v>5354</v>
      </c>
      <c r="C70" s="823" t="s">
        <v>594</v>
      </c>
      <c r="D70" s="823" t="s">
        <v>1899</v>
      </c>
      <c r="E70" s="823" t="s">
        <v>5355</v>
      </c>
      <c r="F70" s="823" t="s">
        <v>5362</v>
      </c>
      <c r="G70" s="823" t="s">
        <v>5363</v>
      </c>
      <c r="H70" s="832"/>
      <c r="I70" s="832"/>
      <c r="J70" s="823"/>
      <c r="K70" s="823"/>
      <c r="L70" s="832">
        <v>20</v>
      </c>
      <c r="M70" s="832">
        <v>2840</v>
      </c>
      <c r="N70" s="823">
        <v>1</v>
      </c>
      <c r="O70" s="823">
        <v>142</v>
      </c>
      <c r="P70" s="832">
        <v>23</v>
      </c>
      <c r="Q70" s="832">
        <v>3289</v>
      </c>
      <c r="R70" s="828">
        <v>1.1580985915492958</v>
      </c>
      <c r="S70" s="833">
        <v>143</v>
      </c>
    </row>
    <row r="71" spans="1:19" ht="14.45" customHeight="1" x14ac:dyDescent="0.2">
      <c r="A71" s="822" t="s">
        <v>5353</v>
      </c>
      <c r="B71" s="823" t="s">
        <v>5354</v>
      </c>
      <c r="C71" s="823" t="s">
        <v>594</v>
      </c>
      <c r="D71" s="823" t="s">
        <v>1899</v>
      </c>
      <c r="E71" s="823" t="s">
        <v>5355</v>
      </c>
      <c r="F71" s="823" t="s">
        <v>5366</v>
      </c>
      <c r="G71" s="823" t="s">
        <v>5367</v>
      </c>
      <c r="H71" s="832"/>
      <c r="I71" s="832"/>
      <c r="J71" s="823"/>
      <c r="K71" s="823"/>
      <c r="L71" s="832">
        <v>1</v>
      </c>
      <c r="M71" s="832">
        <v>435</v>
      </c>
      <c r="N71" s="823">
        <v>1</v>
      </c>
      <c r="O71" s="823">
        <v>435</v>
      </c>
      <c r="P71" s="832"/>
      <c r="Q71" s="832"/>
      <c r="R71" s="828"/>
      <c r="S71" s="833"/>
    </row>
    <row r="72" spans="1:19" ht="14.45" customHeight="1" x14ac:dyDescent="0.2">
      <c r="A72" s="822" t="s">
        <v>5353</v>
      </c>
      <c r="B72" s="823" t="s">
        <v>5354</v>
      </c>
      <c r="C72" s="823" t="s">
        <v>594</v>
      </c>
      <c r="D72" s="823" t="s">
        <v>1899</v>
      </c>
      <c r="E72" s="823" t="s">
        <v>5355</v>
      </c>
      <c r="F72" s="823" t="s">
        <v>5368</v>
      </c>
      <c r="G72" s="823" t="s">
        <v>5369</v>
      </c>
      <c r="H72" s="832"/>
      <c r="I72" s="832"/>
      <c r="J72" s="823"/>
      <c r="K72" s="823"/>
      <c r="L72" s="832">
        <v>27</v>
      </c>
      <c r="M72" s="832">
        <v>27351</v>
      </c>
      <c r="N72" s="823">
        <v>1</v>
      </c>
      <c r="O72" s="823">
        <v>1013</v>
      </c>
      <c r="P72" s="832">
        <v>25</v>
      </c>
      <c r="Q72" s="832">
        <v>25400</v>
      </c>
      <c r="R72" s="828">
        <v>0.92866805601257729</v>
      </c>
      <c r="S72" s="833">
        <v>1016</v>
      </c>
    </row>
    <row r="73" spans="1:19" ht="14.45" customHeight="1" x14ac:dyDescent="0.2">
      <c r="A73" s="822" t="s">
        <v>5353</v>
      </c>
      <c r="B73" s="823" t="s">
        <v>5354</v>
      </c>
      <c r="C73" s="823" t="s">
        <v>594</v>
      </c>
      <c r="D73" s="823" t="s">
        <v>1899</v>
      </c>
      <c r="E73" s="823" t="s">
        <v>5355</v>
      </c>
      <c r="F73" s="823" t="s">
        <v>5378</v>
      </c>
      <c r="G73" s="823" t="s">
        <v>5379</v>
      </c>
      <c r="H73" s="832"/>
      <c r="I73" s="832"/>
      <c r="J73" s="823"/>
      <c r="K73" s="823"/>
      <c r="L73" s="832">
        <v>25</v>
      </c>
      <c r="M73" s="832">
        <v>833.33</v>
      </c>
      <c r="N73" s="823">
        <v>1</v>
      </c>
      <c r="O73" s="823">
        <v>33.333200000000005</v>
      </c>
      <c r="P73" s="832">
        <v>23</v>
      </c>
      <c r="Q73" s="832">
        <v>766.6600000000002</v>
      </c>
      <c r="R73" s="828">
        <v>0.91999567998272014</v>
      </c>
      <c r="S73" s="833">
        <v>33.333043478260876</v>
      </c>
    </row>
    <row r="74" spans="1:19" ht="14.45" customHeight="1" x14ac:dyDescent="0.2">
      <c r="A74" s="822" t="s">
        <v>5353</v>
      </c>
      <c r="B74" s="823" t="s">
        <v>5354</v>
      </c>
      <c r="C74" s="823" t="s">
        <v>594</v>
      </c>
      <c r="D74" s="823" t="s">
        <v>1899</v>
      </c>
      <c r="E74" s="823" t="s">
        <v>5355</v>
      </c>
      <c r="F74" s="823" t="s">
        <v>5386</v>
      </c>
      <c r="G74" s="823" t="s">
        <v>5387</v>
      </c>
      <c r="H74" s="832"/>
      <c r="I74" s="832"/>
      <c r="J74" s="823"/>
      <c r="K74" s="823"/>
      <c r="L74" s="832">
        <v>22</v>
      </c>
      <c r="M74" s="832">
        <v>7876</v>
      </c>
      <c r="N74" s="823">
        <v>1</v>
      </c>
      <c r="O74" s="823">
        <v>358</v>
      </c>
      <c r="P74" s="832">
        <v>23</v>
      </c>
      <c r="Q74" s="832">
        <v>8280</v>
      </c>
      <c r="R74" s="828">
        <v>1.0512950736414424</v>
      </c>
      <c r="S74" s="833">
        <v>360</v>
      </c>
    </row>
    <row r="75" spans="1:19" ht="14.45" customHeight="1" x14ac:dyDescent="0.2">
      <c r="A75" s="822" t="s">
        <v>5353</v>
      </c>
      <c r="B75" s="823" t="s">
        <v>5354</v>
      </c>
      <c r="C75" s="823" t="s">
        <v>594</v>
      </c>
      <c r="D75" s="823" t="s">
        <v>1899</v>
      </c>
      <c r="E75" s="823" t="s">
        <v>5355</v>
      </c>
      <c r="F75" s="823" t="s">
        <v>5390</v>
      </c>
      <c r="G75" s="823" t="s">
        <v>5391</v>
      </c>
      <c r="H75" s="832"/>
      <c r="I75" s="832"/>
      <c r="J75" s="823"/>
      <c r="K75" s="823"/>
      <c r="L75" s="832">
        <v>3</v>
      </c>
      <c r="M75" s="832">
        <v>537</v>
      </c>
      <c r="N75" s="823">
        <v>1</v>
      </c>
      <c r="O75" s="823">
        <v>179</v>
      </c>
      <c r="P75" s="832"/>
      <c r="Q75" s="832"/>
      <c r="R75" s="828"/>
      <c r="S75" s="833"/>
    </row>
    <row r="76" spans="1:19" ht="14.45" customHeight="1" x14ac:dyDescent="0.2">
      <c r="A76" s="822" t="s">
        <v>5353</v>
      </c>
      <c r="B76" s="823" t="s">
        <v>5354</v>
      </c>
      <c r="C76" s="823" t="s">
        <v>606</v>
      </c>
      <c r="D76" s="823" t="s">
        <v>5344</v>
      </c>
      <c r="E76" s="823" t="s">
        <v>5396</v>
      </c>
      <c r="F76" s="823" t="s">
        <v>5399</v>
      </c>
      <c r="G76" s="823" t="s">
        <v>5398</v>
      </c>
      <c r="H76" s="832"/>
      <c r="I76" s="832"/>
      <c r="J76" s="823"/>
      <c r="K76" s="823"/>
      <c r="L76" s="832"/>
      <c r="M76" s="832"/>
      <c r="N76" s="823"/>
      <c r="O76" s="823"/>
      <c r="P76" s="832">
        <v>22</v>
      </c>
      <c r="Q76" s="832">
        <v>112629.84</v>
      </c>
      <c r="R76" s="828"/>
      <c r="S76" s="833">
        <v>5119.5381818181813</v>
      </c>
    </row>
    <row r="77" spans="1:19" ht="14.45" customHeight="1" x14ac:dyDescent="0.2">
      <c r="A77" s="822" t="s">
        <v>5353</v>
      </c>
      <c r="B77" s="823" t="s">
        <v>5354</v>
      </c>
      <c r="C77" s="823" t="s">
        <v>606</v>
      </c>
      <c r="D77" s="823" t="s">
        <v>5344</v>
      </c>
      <c r="E77" s="823" t="s">
        <v>5396</v>
      </c>
      <c r="F77" s="823" t="s">
        <v>5400</v>
      </c>
      <c r="G77" s="823" t="s">
        <v>5401</v>
      </c>
      <c r="H77" s="832"/>
      <c r="I77" s="832"/>
      <c r="J77" s="823"/>
      <c r="K77" s="823"/>
      <c r="L77" s="832"/>
      <c r="M77" s="832"/>
      <c r="N77" s="823"/>
      <c r="O77" s="823"/>
      <c r="P77" s="832">
        <v>4</v>
      </c>
      <c r="Q77" s="832">
        <v>9001.81</v>
      </c>
      <c r="R77" s="828"/>
      <c r="S77" s="833">
        <v>2250.4524999999999</v>
      </c>
    </row>
    <row r="78" spans="1:19" ht="14.45" customHeight="1" x14ac:dyDescent="0.2">
      <c r="A78" s="822" t="s">
        <v>5353</v>
      </c>
      <c r="B78" s="823" t="s">
        <v>5354</v>
      </c>
      <c r="C78" s="823" t="s">
        <v>606</v>
      </c>
      <c r="D78" s="823" t="s">
        <v>5344</v>
      </c>
      <c r="E78" s="823" t="s">
        <v>5396</v>
      </c>
      <c r="F78" s="823" t="s">
        <v>5402</v>
      </c>
      <c r="G78" s="823" t="s">
        <v>5403</v>
      </c>
      <c r="H78" s="832"/>
      <c r="I78" s="832"/>
      <c r="J78" s="823"/>
      <c r="K78" s="823"/>
      <c r="L78" s="832">
        <v>1</v>
      </c>
      <c r="M78" s="832">
        <v>3062</v>
      </c>
      <c r="N78" s="823">
        <v>1</v>
      </c>
      <c r="O78" s="823">
        <v>3062</v>
      </c>
      <c r="P78" s="832">
        <v>4</v>
      </c>
      <c r="Q78" s="832">
        <v>9510.6</v>
      </c>
      <c r="R78" s="828">
        <v>3.1060091443500979</v>
      </c>
      <c r="S78" s="833">
        <v>2377.65</v>
      </c>
    </row>
    <row r="79" spans="1:19" ht="14.45" customHeight="1" x14ac:dyDescent="0.2">
      <c r="A79" s="822" t="s">
        <v>5353</v>
      </c>
      <c r="B79" s="823" t="s">
        <v>5354</v>
      </c>
      <c r="C79" s="823" t="s">
        <v>606</v>
      </c>
      <c r="D79" s="823" t="s">
        <v>5344</v>
      </c>
      <c r="E79" s="823" t="s">
        <v>5396</v>
      </c>
      <c r="F79" s="823" t="s">
        <v>5404</v>
      </c>
      <c r="G79" s="823" t="s">
        <v>5405</v>
      </c>
      <c r="H79" s="832"/>
      <c r="I79" s="832"/>
      <c r="J79" s="823"/>
      <c r="K79" s="823"/>
      <c r="L79" s="832"/>
      <c r="M79" s="832"/>
      <c r="N79" s="823"/>
      <c r="O79" s="823"/>
      <c r="P79" s="832">
        <v>3</v>
      </c>
      <c r="Q79" s="832">
        <v>4649.97</v>
      </c>
      <c r="R79" s="828"/>
      <c r="S79" s="833">
        <v>1549.99</v>
      </c>
    </row>
    <row r="80" spans="1:19" ht="14.45" customHeight="1" x14ac:dyDescent="0.2">
      <c r="A80" s="822" t="s">
        <v>5353</v>
      </c>
      <c r="B80" s="823" t="s">
        <v>5354</v>
      </c>
      <c r="C80" s="823" t="s">
        <v>606</v>
      </c>
      <c r="D80" s="823" t="s">
        <v>5344</v>
      </c>
      <c r="E80" s="823" t="s">
        <v>5355</v>
      </c>
      <c r="F80" s="823" t="s">
        <v>5406</v>
      </c>
      <c r="G80" s="823" t="s">
        <v>5407</v>
      </c>
      <c r="H80" s="832"/>
      <c r="I80" s="832"/>
      <c r="J80" s="823"/>
      <c r="K80" s="823"/>
      <c r="L80" s="832"/>
      <c r="M80" s="832"/>
      <c r="N80" s="823"/>
      <c r="O80" s="823"/>
      <c r="P80" s="832">
        <v>680</v>
      </c>
      <c r="Q80" s="832">
        <v>73440</v>
      </c>
      <c r="R80" s="828"/>
      <c r="S80" s="833">
        <v>108</v>
      </c>
    </row>
    <row r="81" spans="1:19" ht="14.45" customHeight="1" x14ac:dyDescent="0.2">
      <c r="A81" s="822" t="s">
        <v>5353</v>
      </c>
      <c r="B81" s="823" t="s">
        <v>5354</v>
      </c>
      <c r="C81" s="823" t="s">
        <v>606</v>
      </c>
      <c r="D81" s="823" t="s">
        <v>5344</v>
      </c>
      <c r="E81" s="823" t="s">
        <v>5355</v>
      </c>
      <c r="F81" s="823" t="s">
        <v>5408</v>
      </c>
      <c r="G81" s="823" t="s">
        <v>5409</v>
      </c>
      <c r="H81" s="832"/>
      <c r="I81" s="832"/>
      <c r="J81" s="823"/>
      <c r="K81" s="823"/>
      <c r="L81" s="832">
        <v>18</v>
      </c>
      <c r="M81" s="832">
        <v>21204</v>
      </c>
      <c r="N81" s="823">
        <v>1</v>
      </c>
      <c r="O81" s="823">
        <v>1178</v>
      </c>
      <c r="P81" s="832">
        <v>39</v>
      </c>
      <c r="Q81" s="832">
        <v>46020</v>
      </c>
      <c r="R81" s="828">
        <v>2.1703452178834182</v>
      </c>
      <c r="S81" s="833">
        <v>1180</v>
      </c>
    </row>
    <row r="82" spans="1:19" ht="14.45" customHeight="1" x14ac:dyDescent="0.2">
      <c r="A82" s="822" t="s">
        <v>5353</v>
      </c>
      <c r="B82" s="823" t="s">
        <v>5354</v>
      </c>
      <c r="C82" s="823" t="s">
        <v>606</v>
      </c>
      <c r="D82" s="823" t="s">
        <v>5348</v>
      </c>
      <c r="E82" s="823" t="s">
        <v>5355</v>
      </c>
      <c r="F82" s="823" t="s">
        <v>5408</v>
      </c>
      <c r="G82" s="823" t="s">
        <v>5409</v>
      </c>
      <c r="H82" s="832"/>
      <c r="I82" s="832"/>
      <c r="J82" s="823"/>
      <c r="K82" s="823"/>
      <c r="L82" s="832">
        <v>1</v>
      </c>
      <c r="M82" s="832">
        <v>1178</v>
      </c>
      <c r="N82" s="823">
        <v>1</v>
      </c>
      <c r="O82" s="823">
        <v>1178</v>
      </c>
      <c r="P82" s="832"/>
      <c r="Q82" s="832"/>
      <c r="R82" s="828"/>
      <c r="S82" s="833"/>
    </row>
    <row r="83" spans="1:19" ht="14.45" customHeight="1" x14ac:dyDescent="0.2">
      <c r="A83" s="822" t="s">
        <v>5353</v>
      </c>
      <c r="B83" s="823" t="s">
        <v>5354</v>
      </c>
      <c r="C83" s="823" t="s">
        <v>606</v>
      </c>
      <c r="D83" s="823" t="s">
        <v>5349</v>
      </c>
      <c r="E83" s="823" t="s">
        <v>5355</v>
      </c>
      <c r="F83" s="823" t="s">
        <v>5408</v>
      </c>
      <c r="G83" s="823" t="s">
        <v>5409</v>
      </c>
      <c r="H83" s="832"/>
      <c r="I83" s="832"/>
      <c r="J83" s="823"/>
      <c r="K83" s="823"/>
      <c r="L83" s="832">
        <v>7</v>
      </c>
      <c r="M83" s="832">
        <v>8246</v>
      </c>
      <c r="N83" s="823">
        <v>1</v>
      </c>
      <c r="O83" s="823">
        <v>1178</v>
      </c>
      <c r="P83" s="832">
        <v>3</v>
      </c>
      <c r="Q83" s="832">
        <v>3540</v>
      </c>
      <c r="R83" s="828">
        <v>0.42929905408683</v>
      </c>
      <c r="S83" s="833">
        <v>1180</v>
      </c>
    </row>
    <row r="84" spans="1:19" ht="14.45" customHeight="1" x14ac:dyDescent="0.2">
      <c r="A84" s="822" t="s">
        <v>5353</v>
      </c>
      <c r="B84" s="823" t="s">
        <v>5354</v>
      </c>
      <c r="C84" s="823" t="s">
        <v>606</v>
      </c>
      <c r="D84" s="823" t="s">
        <v>1912</v>
      </c>
      <c r="E84" s="823" t="s">
        <v>5396</v>
      </c>
      <c r="F84" s="823" t="s">
        <v>5397</v>
      </c>
      <c r="G84" s="823" t="s">
        <v>5398</v>
      </c>
      <c r="H84" s="832"/>
      <c r="I84" s="832"/>
      <c r="J84" s="823"/>
      <c r="K84" s="823"/>
      <c r="L84" s="832"/>
      <c r="M84" s="832"/>
      <c r="N84" s="823"/>
      <c r="O84" s="823"/>
      <c r="P84" s="832">
        <v>2</v>
      </c>
      <c r="Q84" s="832">
        <v>13354.96</v>
      </c>
      <c r="R84" s="828"/>
      <c r="S84" s="833">
        <v>6677.48</v>
      </c>
    </row>
    <row r="85" spans="1:19" ht="14.45" customHeight="1" x14ac:dyDescent="0.2">
      <c r="A85" s="822" t="s">
        <v>5353</v>
      </c>
      <c r="B85" s="823" t="s">
        <v>5354</v>
      </c>
      <c r="C85" s="823" t="s">
        <v>606</v>
      </c>
      <c r="D85" s="823" t="s">
        <v>1912</v>
      </c>
      <c r="E85" s="823" t="s">
        <v>5396</v>
      </c>
      <c r="F85" s="823" t="s">
        <v>5399</v>
      </c>
      <c r="G85" s="823" t="s">
        <v>5398</v>
      </c>
      <c r="H85" s="832"/>
      <c r="I85" s="832"/>
      <c r="J85" s="823"/>
      <c r="K85" s="823"/>
      <c r="L85" s="832"/>
      <c r="M85" s="832"/>
      <c r="N85" s="823"/>
      <c r="O85" s="823"/>
      <c r="P85" s="832">
        <v>7</v>
      </c>
      <c r="Q85" s="832">
        <v>36032.25</v>
      </c>
      <c r="R85" s="828"/>
      <c r="S85" s="833">
        <v>5147.4642857142853</v>
      </c>
    </row>
    <row r="86" spans="1:19" ht="14.45" customHeight="1" x14ac:dyDescent="0.2">
      <c r="A86" s="822" t="s">
        <v>5353</v>
      </c>
      <c r="B86" s="823" t="s">
        <v>5354</v>
      </c>
      <c r="C86" s="823" t="s">
        <v>606</v>
      </c>
      <c r="D86" s="823" t="s">
        <v>1912</v>
      </c>
      <c r="E86" s="823" t="s">
        <v>5355</v>
      </c>
      <c r="F86" s="823" t="s">
        <v>5408</v>
      </c>
      <c r="G86" s="823" t="s">
        <v>5409</v>
      </c>
      <c r="H86" s="832"/>
      <c r="I86" s="832"/>
      <c r="J86" s="823"/>
      <c r="K86" s="823"/>
      <c r="L86" s="832"/>
      <c r="M86" s="832"/>
      <c r="N86" s="823"/>
      <c r="O86" s="823"/>
      <c r="P86" s="832">
        <v>12</v>
      </c>
      <c r="Q86" s="832">
        <v>14160</v>
      </c>
      <c r="R86" s="828"/>
      <c r="S86" s="833">
        <v>1180</v>
      </c>
    </row>
    <row r="87" spans="1:19" ht="14.45" customHeight="1" x14ac:dyDescent="0.2">
      <c r="A87" s="822" t="s">
        <v>5353</v>
      </c>
      <c r="B87" s="823" t="s">
        <v>5410</v>
      </c>
      <c r="C87" s="823" t="s">
        <v>594</v>
      </c>
      <c r="D87" s="823" t="s">
        <v>5344</v>
      </c>
      <c r="E87" s="823" t="s">
        <v>5355</v>
      </c>
      <c r="F87" s="823" t="s">
        <v>5413</v>
      </c>
      <c r="G87" s="823" t="s">
        <v>5414</v>
      </c>
      <c r="H87" s="832">
        <v>2</v>
      </c>
      <c r="I87" s="832">
        <v>254</v>
      </c>
      <c r="J87" s="823"/>
      <c r="K87" s="823">
        <v>127</v>
      </c>
      <c r="L87" s="832"/>
      <c r="M87" s="832"/>
      <c r="N87" s="823"/>
      <c r="O87" s="823"/>
      <c r="P87" s="832"/>
      <c r="Q87" s="832"/>
      <c r="R87" s="828"/>
      <c r="S87" s="833"/>
    </row>
    <row r="88" spans="1:19" ht="14.45" customHeight="1" x14ac:dyDescent="0.2">
      <c r="A88" s="822" t="s">
        <v>5353</v>
      </c>
      <c r="B88" s="823" t="s">
        <v>5410</v>
      </c>
      <c r="C88" s="823" t="s">
        <v>594</v>
      </c>
      <c r="D88" s="823" t="s">
        <v>5344</v>
      </c>
      <c r="E88" s="823" t="s">
        <v>5355</v>
      </c>
      <c r="F88" s="823" t="s">
        <v>5378</v>
      </c>
      <c r="G88" s="823" t="s">
        <v>5379</v>
      </c>
      <c r="H88" s="832">
        <v>1</v>
      </c>
      <c r="I88" s="832">
        <v>33.33</v>
      </c>
      <c r="J88" s="823"/>
      <c r="K88" s="823">
        <v>33.33</v>
      </c>
      <c r="L88" s="832"/>
      <c r="M88" s="832"/>
      <c r="N88" s="823"/>
      <c r="O88" s="823"/>
      <c r="P88" s="832"/>
      <c r="Q88" s="832"/>
      <c r="R88" s="828"/>
      <c r="S88" s="833"/>
    </row>
    <row r="89" spans="1:19" ht="14.45" customHeight="1" x14ac:dyDescent="0.2">
      <c r="A89" s="822" t="s">
        <v>5353</v>
      </c>
      <c r="B89" s="823" t="s">
        <v>5410</v>
      </c>
      <c r="C89" s="823" t="s">
        <v>594</v>
      </c>
      <c r="D89" s="823" t="s">
        <v>1900</v>
      </c>
      <c r="E89" s="823" t="s">
        <v>5355</v>
      </c>
      <c r="F89" s="823" t="s">
        <v>5411</v>
      </c>
      <c r="G89" s="823" t="s">
        <v>5412</v>
      </c>
      <c r="H89" s="832"/>
      <c r="I89" s="832"/>
      <c r="J89" s="823"/>
      <c r="K89" s="823"/>
      <c r="L89" s="832"/>
      <c r="M89" s="832"/>
      <c r="N89" s="823"/>
      <c r="O89" s="823"/>
      <c r="P89" s="832">
        <v>1</v>
      </c>
      <c r="Q89" s="832">
        <v>85</v>
      </c>
      <c r="R89" s="828"/>
      <c r="S89" s="833">
        <v>85</v>
      </c>
    </row>
    <row r="90" spans="1:19" ht="14.45" customHeight="1" x14ac:dyDescent="0.2">
      <c r="A90" s="822" t="s">
        <v>5353</v>
      </c>
      <c r="B90" s="823" t="s">
        <v>5410</v>
      </c>
      <c r="C90" s="823" t="s">
        <v>594</v>
      </c>
      <c r="D90" s="823" t="s">
        <v>1900</v>
      </c>
      <c r="E90" s="823" t="s">
        <v>5355</v>
      </c>
      <c r="F90" s="823" t="s">
        <v>5413</v>
      </c>
      <c r="G90" s="823" t="s">
        <v>5414</v>
      </c>
      <c r="H90" s="832"/>
      <c r="I90" s="832"/>
      <c r="J90" s="823"/>
      <c r="K90" s="823"/>
      <c r="L90" s="832">
        <v>1</v>
      </c>
      <c r="M90" s="832">
        <v>126</v>
      </c>
      <c r="N90" s="823">
        <v>1</v>
      </c>
      <c r="O90" s="823">
        <v>126</v>
      </c>
      <c r="P90" s="832">
        <v>1</v>
      </c>
      <c r="Q90" s="832">
        <v>127</v>
      </c>
      <c r="R90" s="828">
        <v>1.0079365079365079</v>
      </c>
      <c r="S90" s="833">
        <v>127</v>
      </c>
    </row>
    <row r="91" spans="1:19" ht="14.45" customHeight="1" x14ac:dyDescent="0.2">
      <c r="A91" s="822" t="s">
        <v>5353</v>
      </c>
      <c r="B91" s="823" t="s">
        <v>5410</v>
      </c>
      <c r="C91" s="823" t="s">
        <v>594</v>
      </c>
      <c r="D91" s="823" t="s">
        <v>1900</v>
      </c>
      <c r="E91" s="823" t="s">
        <v>5355</v>
      </c>
      <c r="F91" s="823" t="s">
        <v>5378</v>
      </c>
      <c r="G91" s="823" t="s">
        <v>5379</v>
      </c>
      <c r="H91" s="832"/>
      <c r="I91" s="832"/>
      <c r="J91" s="823"/>
      <c r="K91" s="823"/>
      <c r="L91" s="832">
        <v>1</v>
      </c>
      <c r="M91" s="832">
        <v>33.33</v>
      </c>
      <c r="N91" s="823">
        <v>1</v>
      </c>
      <c r="O91" s="823">
        <v>33.33</v>
      </c>
      <c r="P91" s="832">
        <v>1</v>
      </c>
      <c r="Q91" s="832">
        <v>33.33</v>
      </c>
      <c r="R91" s="828">
        <v>1</v>
      </c>
      <c r="S91" s="833">
        <v>33.33</v>
      </c>
    </row>
    <row r="92" spans="1:19" ht="14.45" customHeight="1" x14ac:dyDescent="0.2">
      <c r="A92" s="822" t="s">
        <v>5353</v>
      </c>
      <c r="B92" s="823" t="s">
        <v>5410</v>
      </c>
      <c r="C92" s="823" t="s">
        <v>594</v>
      </c>
      <c r="D92" s="823" t="s">
        <v>1901</v>
      </c>
      <c r="E92" s="823" t="s">
        <v>5355</v>
      </c>
      <c r="F92" s="823" t="s">
        <v>5411</v>
      </c>
      <c r="G92" s="823" t="s">
        <v>5412</v>
      </c>
      <c r="H92" s="832"/>
      <c r="I92" s="832"/>
      <c r="J92" s="823"/>
      <c r="K92" s="823"/>
      <c r="L92" s="832">
        <v>1</v>
      </c>
      <c r="M92" s="832">
        <v>84</v>
      </c>
      <c r="N92" s="823">
        <v>1</v>
      </c>
      <c r="O92" s="823">
        <v>84</v>
      </c>
      <c r="P92" s="832"/>
      <c r="Q92" s="832"/>
      <c r="R92" s="828"/>
      <c r="S92" s="833"/>
    </row>
    <row r="93" spans="1:19" ht="14.45" customHeight="1" x14ac:dyDescent="0.2">
      <c r="A93" s="822" t="s">
        <v>5353</v>
      </c>
      <c r="B93" s="823" t="s">
        <v>5410</v>
      </c>
      <c r="C93" s="823" t="s">
        <v>594</v>
      </c>
      <c r="D93" s="823" t="s">
        <v>1901</v>
      </c>
      <c r="E93" s="823" t="s">
        <v>5355</v>
      </c>
      <c r="F93" s="823" t="s">
        <v>5406</v>
      </c>
      <c r="G93" s="823" t="s">
        <v>5407</v>
      </c>
      <c r="H93" s="832"/>
      <c r="I93" s="832"/>
      <c r="J93" s="823"/>
      <c r="K93" s="823"/>
      <c r="L93" s="832">
        <v>1</v>
      </c>
      <c r="M93" s="832">
        <v>107</v>
      </c>
      <c r="N93" s="823">
        <v>1</v>
      </c>
      <c r="O93" s="823">
        <v>107</v>
      </c>
      <c r="P93" s="832"/>
      <c r="Q93" s="832"/>
      <c r="R93" s="828"/>
      <c r="S93" s="833"/>
    </row>
    <row r="94" spans="1:19" ht="14.45" customHeight="1" x14ac:dyDescent="0.2">
      <c r="A94" s="822" t="s">
        <v>5353</v>
      </c>
      <c r="B94" s="823" t="s">
        <v>5410</v>
      </c>
      <c r="C94" s="823" t="s">
        <v>594</v>
      </c>
      <c r="D94" s="823" t="s">
        <v>1901</v>
      </c>
      <c r="E94" s="823" t="s">
        <v>5355</v>
      </c>
      <c r="F94" s="823" t="s">
        <v>5358</v>
      </c>
      <c r="G94" s="823" t="s">
        <v>5359</v>
      </c>
      <c r="H94" s="832">
        <v>9</v>
      </c>
      <c r="I94" s="832">
        <v>333</v>
      </c>
      <c r="J94" s="823">
        <v>2.9210526315789473</v>
      </c>
      <c r="K94" s="823">
        <v>37</v>
      </c>
      <c r="L94" s="832">
        <v>3</v>
      </c>
      <c r="M94" s="832">
        <v>114</v>
      </c>
      <c r="N94" s="823">
        <v>1</v>
      </c>
      <c r="O94" s="823">
        <v>38</v>
      </c>
      <c r="P94" s="832"/>
      <c r="Q94" s="832"/>
      <c r="R94" s="828"/>
      <c r="S94" s="833"/>
    </row>
    <row r="95" spans="1:19" ht="14.45" customHeight="1" x14ac:dyDescent="0.2">
      <c r="A95" s="822" t="s">
        <v>5353</v>
      </c>
      <c r="B95" s="823" t="s">
        <v>5410</v>
      </c>
      <c r="C95" s="823" t="s">
        <v>594</v>
      </c>
      <c r="D95" s="823" t="s">
        <v>1901</v>
      </c>
      <c r="E95" s="823" t="s">
        <v>5355</v>
      </c>
      <c r="F95" s="823" t="s">
        <v>5362</v>
      </c>
      <c r="G95" s="823" t="s">
        <v>5363</v>
      </c>
      <c r="H95" s="832">
        <v>25</v>
      </c>
      <c r="I95" s="832">
        <v>3525</v>
      </c>
      <c r="J95" s="823">
        <v>12.411971830985916</v>
      </c>
      <c r="K95" s="823">
        <v>141</v>
      </c>
      <c r="L95" s="832">
        <v>2</v>
      </c>
      <c r="M95" s="832">
        <v>284</v>
      </c>
      <c r="N95" s="823">
        <v>1</v>
      </c>
      <c r="O95" s="823">
        <v>142</v>
      </c>
      <c r="P95" s="832"/>
      <c r="Q95" s="832"/>
      <c r="R95" s="828"/>
      <c r="S95" s="833"/>
    </row>
    <row r="96" spans="1:19" ht="14.45" customHeight="1" x14ac:dyDescent="0.2">
      <c r="A96" s="822" t="s">
        <v>5353</v>
      </c>
      <c r="B96" s="823" t="s">
        <v>5410</v>
      </c>
      <c r="C96" s="823" t="s">
        <v>594</v>
      </c>
      <c r="D96" s="823" t="s">
        <v>1901</v>
      </c>
      <c r="E96" s="823" t="s">
        <v>5355</v>
      </c>
      <c r="F96" s="823" t="s">
        <v>5413</v>
      </c>
      <c r="G96" s="823" t="s">
        <v>5414</v>
      </c>
      <c r="H96" s="832"/>
      <c r="I96" s="832"/>
      <c r="J96" s="823"/>
      <c r="K96" s="823"/>
      <c r="L96" s="832">
        <v>2</v>
      </c>
      <c r="M96" s="832">
        <v>252</v>
      </c>
      <c r="N96" s="823">
        <v>1</v>
      </c>
      <c r="O96" s="823">
        <v>126</v>
      </c>
      <c r="P96" s="832"/>
      <c r="Q96" s="832"/>
      <c r="R96" s="828"/>
      <c r="S96" s="833"/>
    </row>
    <row r="97" spans="1:19" ht="14.45" customHeight="1" x14ac:dyDescent="0.2">
      <c r="A97" s="822" t="s">
        <v>5353</v>
      </c>
      <c r="B97" s="823" t="s">
        <v>5410</v>
      </c>
      <c r="C97" s="823" t="s">
        <v>594</v>
      </c>
      <c r="D97" s="823" t="s">
        <v>1901</v>
      </c>
      <c r="E97" s="823" t="s">
        <v>5355</v>
      </c>
      <c r="F97" s="823" t="s">
        <v>5378</v>
      </c>
      <c r="G97" s="823" t="s">
        <v>5379</v>
      </c>
      <c r="H97" s="832"/>
      <c r="I97" s="832"/>
      <c r="J97" s="823"/>
      <c r="K97" s="823"/>
      <c r="L97" s="832">
        <v>3</v>
      </c>
      <c r="M97" s="832">
        <v>100</v>
      </c>
      <c r="N97" s="823">
        <v>1</v>
      </c>
      <c r="O97" s="823">
        <v>33.333333333333336</v>
      </c>
      <c r="P97" s="832"/>
      <c r="Q97" s="832"/>
      <c r="R97" s="828"/>
      <c r="S97" s="833"/>
    </row>
    <row r="98" spans="1:19" ht="14.45" customHeight="1" x14ac:dyDescent="0.2">
      <c r="A98" s="822" t="s">
        <v>5353</v>
      </c>
      <c r="B98" s="823" t="s">
        <v>5410</v>
      </c>
      <c r="C98" s="823" t="s">
        <v>594</v>
      </c>
      <c r="D98" s="823" t="s">
        <v>1901</v>
      </c>
      <c r="E98" s="823" t="s">
        <v>5355</v>
      </c>
      <c r="F98" s="823" t="s">
        <v>5380</v>
      </c>
      <c r="G98" s="823" t="s">
        <v>5381</v>
      </c>
      <c r="H98" s="832">
        <v>1</v>
      </c>
      <c r="I98" s="832">
        <v>37</v>
      </c>
      <c r="J98" s="823"/>
      <c r="K98" s="823">
        <v>37</v>
      </c>
      <c r="L98" s="832"/>
      <c r="M98" s="832"/>
      <c r="N98" s="823"/>
      <c r="O98" s="823"/>
      <c r="P98" s="832"/>
      <c r="Q98" s="832"/>
      <c r="R98" s="828"/>
      <c r="S98" s="833"/>
    </row>
    <row r="99" spans="1:19" ht="14.45" customHeight="1" x14ac:dyDescent="0.2">
      <c r="A99" s="822" t="s">
        <v>5353</v>
      </c>
      <c r="B99" s="823" t="s">
        <v>5410</v>
      </c>
      <c r="C99" s="823" t="s">
        <v>594</v>
      </c>
      <c r="D99" s="823" t="s">
        <v>1902</v>
      </c>
      <c r="E99" s="823" t="s">
        <v>5355</v>
      </c>
      <c r="F99" s="823" t="s">
        <v>5411</v>
      </c>
      <c r="G99" s="823" t="s">
        <v>5412</v>
      </c>
      <c r="H99" s="832"/>
      <c r="I99" s="832"/>
      <c r="J99" s="823"/>
      <c r="K99" s="823"/>
      <c r="L99" s="832">
        <v>3</v>
      </c>
      <c r="M99" s="832">
        <v>252</v>
      </c>
      <c r="N99" s="823">
        <v>1</v>
      </c>
      <c r="O99" s="823">
        <v>84</v>
      </c>
      <c r="P99" s="832">
        <v>2</v>
      </c>
      <c r="Q99" s="832">
        <v>170</v>
      </c>
      <c r="R99" s="828">
        <v>0.67460317460317465</v>
      </c>
      <c r="S99" s="833">
        <v>85</v>
      </c>
    </row>
    <row r="100" spans="1:19" ht="14.45" customHeight="1" x14ac:dyDescent="0.2">
      <c r="A100" s="822" t="s">
        <v>5353</v>
      </c>
      <c r="B100" s="823" t="s">
        <v>5410</v>
      </c>
      <c r="C100" s="823" t="s">
        <v>594</v>
      </c>
      <c r="D100" s="823" t="s">
        <v>1902</v>
      </c>
      <c r="E100" s="823" t="s">
        <v>5355</v>
      </c>
      <c r="F100" s="823" t="s">
        <v>5406</v>
      </c>
      <c r="G100" s="823" t="s">
        <v>5407</v>
      </c>
      <c r="H100" s="832"/>
      <c r="I100" s="832"/>
      <c r="J100" s="823"/>
      <c r="K100" s="823"/>
      <c r="L100" s="832">
        <v>1</v>
      </c>
      <c r="M100" s="832">
        <v>107</v>
      </c>
      <c r="N100" s="823">
        <v>1</v>
      </c>
      <c r="O100" s="823">
        <v>107</v>
      </c>
      <c r="P100" s="832"/>
      <c r="Q100" s="832"/>
      <c r="R100" s="828"/>
      <c r="S100" s="833"/>
    </row>
    <row r="101" spans="1:19" ht="14.45" customHeight="1" x14ac:dyDescent="0.2">
      <c r="A101" s="822" t="s">
        <v>5353</v>
      </c>
      <c r="B101" s="823" t="s">
        <v>5410</v>
      </c>
      <c r="C101" s="823" t="s">
        <v>594</v>
      </c>
      <c r="D101" s="823" t="s">
        <v>1902</v>
      </c>
      <c r="E101" s="823" t="s">
        <v>5355</v>
      </c>
      <c r="F101" s="823" t="s">
        <v>5413</v>
      </c>
      <c r="G101" s="823" t="s">
        <v>5414</v>
      </c>
      <c r="H101" s="832">
        <v>1</v>
      </c>
      <c r="I101" s="832">
        <v>127</v>
      </c>
      <c r="J101" s="823">
        <v>0.16798941798941799</v>
      </c>
      <c r="K101" s="823">
        <v>127</v>
      </c>
      <c r="L101" s="832">
        <v>6</v>
      </c>
      <c r="M101" s="832">
        <v>756</v>
      </c>
      <c r="N101" s="823">
        <v>1</v>
      </c>
      <c r="O101" s="823">
        <v>126</v>
      </c>
      <c r="P101" s="832">
        <v>2</v>
      </c>
      <c r="Q101" s="832">
        <v>254</v>
      </c>
      <c r="R101" s="828">
        <v>0.33597883597883599</v>
      </c>
      <c r="S101" s="833">
        <v>127</v>
      </c>
    </row>
    <row r="102" spans="1:19" ht="14.45" customHeight="1" x14ac:dyDescent="0.2">
      <c r="A102" s="822" t="s">
        <v>5353</v>
      </c>
      <c r="B102" s="823" t="s">
        <v>5410</v>
      </c>
      <c r="C102" s="823" t="s">
        <v>594</v>
      </c>
      <c r="D102" s="823" t="s">
        <v>1902</v>
      </c>
      <c r="E102" s="823" t="s">
        <v>5355</v>
      </c>
      <c r="F102" s="823" t="s">
        <v>5378</v>
      </c>
      <c r="G102" s="823" t="s">
        <v>5379</v>
      </c>
      <c r="H102" s="832">
        <v>1</v>
      </c>
      <c r="I102" s="832">
        <v>33.33</v>
      </c>
      <c r="J102" s="823">
        <v>0.16664999999999999</v>
      </c>
      <c r="K102" s="823">
        <v>33.33</v>
      </c>
      <c r="L102" s="832">
        <v>6</v>
      </c>
      <c r="M102" s="832">
        <v>200</v>
      </c>
      <c r="N102" s="823">
        <v>1</v>
      </c>
      <c r="O102" s="823">
        <v>33.333333333333336</v>
      </c>
      <c r="P102" s="832">
        <v>2</v>
      </c>
      <c r="Q102" s="832">
        <v>66.67</v>
      </c>
      <c r="R102" s="828">
        <v>0.33335000000000004</v>
      </c>
      <c r="S102" s="833">
        <v>33.335000000000001</v>
      </c>
    </row>
    <row r="103" spans="1:19" ht="14.45" customHeight="1" x14ac:dyDescent="0.2">
      <c r="A103" s="822" t="s">
        <v>5353</v>
      </c>
      <c r="B103" s="823" t="s">
        <v>5410</v>
      </c>
      <c r="C103" s="823" t="s">
        <v>594</v>
      </c>
      <c r="D103" s="823" t="s">
        <v>1904</v>
      </c>
      <c r="E103" s="823" t="s">
        <v>5355</v>
      </c>
      <c r="F103" s="823" t="s">
        <v>5411</v>
      </c>
      <c r="G103" s="823" t="s">
        <v>5412</v>
      </c>
      <c r="H103" s="832">
        <v>2</v>
      </c>
      <c r="I103" s="832">
        <v>166</v>
      </c>
      <c r="J103" s="823">
        <v>1.9761904761904763</v>
      </c>
      <c r="K103" s="823">
        <v>83</v>
      </c>
      <c r="L103" s="832">
        <v>1</v>
      </c>
      <c r="M103" s="832">
        <v>84</v>
      </c>
      <c r="N103" s="823">
        <v>1</v>
      </c>
      <c r="O103" s="823">
        <v>84</v>
      </c>
      <c r="P103" s="832">
        <v>3</v>
      </c>
      <c r="Q103" s="832">
        <v>255</v>
      </c>
      <c r="R103" s="828">
        <v>3.0357142857142856</v>
      </c>
      <c r="S103" s="833">
        <v>85</v>
      </c>
    </row>
    <row r="104" spans="1:19" ht="14.45" customHeight="1" x14ac:dyDescent="0.2">
      <c r="A104" s="822" t="s">
        <v>5353</v>
      </c>
      <c r="B104" s="823" t="s">
        <v>5410</v>
      </c>
      <c r="C104" s="823" t="s">
        <v>594</v>
      </c>
      <c r="D104" s="823" t="s">
        <v>1904</v>
      </c>
      <c r="E104" s="823" t="s">
        <v>5355</v>
      </c>
      <c r="F104" s="823" t="s">
        <v>5406</v>
      </c>
      <c r="G104" s="823" t="s">
        <v>5407</v>
      </c>
      <c r="H104" s="832">
        <v>1</v>
      </c>
      <c r="I104" s="832">
        <v>106</v>
      </c>
      <c r="J104" s="823"/>
      <c r="K104" s="823">
        <v>106</v>
      </c>
      <c r="L104" s="832"/>
      <c r="M104" s="832"/>
      <c r="N104" s="823"/>
      <c r="O104" s="823"/>
      <c r="P104" s="832"/>
      <c r="Q104" s="832"/>
      <c r="R104" s="828"/>
      <c r="S104" s="833"/>
    </row>
    <row r="105" spans="1:19" ht="14.45" customHeight="1" x14ac:dyDescent="0.2">
      <c r="A105" s="822" t="s">
        <v>5353</v>
      </c>
      <c r="B105" s="823" t="s">
        <v>5410</v>
      </c>
      <c r="C105" s="823" t="s">
        <v>594</v>
      </c>
      <c r="D105" s="823" t="s">
        <v>1904</v>
      </c>
      <c r="E105" s="823" t="s">
        <v>5355</v>
      </c>
      <c r="F105" s="823" t="s">
        <v>5358</v>
      </c>
      <c r="G105" s="823" t="s">
        <v>5359</v>
      </c>
      <c r="H105" s="832">
        <v>1</v>
      </c>
      <c r="I105" s="832">
        <v>37</v>
      </c>
      <c r="J105" s="823">
        <v>0.97368421052631582</v>
      </c>
      <c r="K105" s="823">
        <v>37</v>
      </c>
      <c r="L105" s="832">
        <v>1</v>
      </c>
      <c r="M105" s="832">
        <v>38</v>
      </c>
      <c r="N105" s="823">
        <v>1</v>
      </c>
      <c r="O105" s="823">
        <v>38</v>
      </c>
      <c r="P105" s="832">
        <v>2</v>
      </c>
      <c r="Q105" s="832">
        <v>76</v>
      </c>
      <c r="R105" s="828">
        <v>2</v>
      </c>
      <c r="S105" s="833">
        <v>38</v>
      </c>
    </row>
    <row r="106" spans="1:19" ht="14.45" customHeight="1" x14ac:dyDescent="0.2">
      <c r="A106" s="822" t="s">
        <v>5353</v>
      </c>
      <c r="B106" s="823" t="s">
        <v>5410</v>
      </c>
      <c r="C106" s="823" t="s">
        <v>594</v>
      </c>
      <c r="D106" s="823" t="s">
        <v>1904</v>
      </c>
      <c r="E106" s="823" t="s">
        <v>5355</v>
      </c>
      <c r="F106" s="823" t="s">
        <v>5413</v>
      </c>
      <c r="G106" s="823" t="s">
        <v>5414</v>
      </c>
      <c r="H106" s="832">
        <v>6</v>
      </c>
      <c r="I106" s="832">
        <v>762</v>
      </c>
      <c r="J106" s="823">
        <v>1.2095238095238094</v>
      </c>
      <c r="K106" s="823">
        <v>127</v>
      </c>
      <c r="L106" s="832">
        <v>5</v>
      </c>
      <c r="M106" s="832">
        <v>630</v>
      </c>
      <c r="N106" s="823">
        <v>1</v>
      </c>
      <c r="O106" s="823">
        <v>126</v>
      </c>
      <c r="P106" s="832">
        <v>6</v>
      </c>
      <c r="Q106" s="832">
        <v>762</v>
      </c>
      <c r="R106" s="828">
        <v>1.2095238095238094</v>
      </c>
      <c r="S106" s="833">
        <v>127</v>
      </c>
    </row>
    <row r="107" spans="1:19" ht="14.45" customHeight="1" x14ac:dyDescent="0.2">
      <c r="A107" s="822" t="s">
        <v>5353</v>
      </c>
      <c r="B107" s="823" t="s">
        <v>5410</v>
      </c>
      <c r="C107" s="823" t="s">
        <v>594</v>
      </c>
      <c r="D107" s="823" t="s">
        <v>1904</v>
      </c>
      <c r="E107" s="823" t="s">
        <v>5355</v>
      </c>
      <c r="F107" s="823" t="s">
        <v>5378</v>
      </c>
      <c r="G107" s="823" t="s">
        <v>5379</v>
      </c>
      <c r="H107" s="832">
        <v>6</v>
      </c>
      <c r="I107" s="832">
        <v>199.99</v>
      </c>
      <c r="J107" s="823">
        <v>1.1999879995199811</v>
      </c>
      <c r="K107" s="823">
        <v>33.331666666666671</v>
      </c>
      <c r="L107" s="832">
        <v>5</v>
      </c>
      <c r="M107" s="832">
        <v>166.65999999999997</v>
      </c>
      <c r="N107" s="823">
        <v>1</v>
      </c>
      <c r="O107" s="823">
        <v>33.331999999999994</v>
      </c>
      <c r="P107" s="832">
        <v>6</v>
      </c>
      <c r="Q107" s="832">
        <v>200</v>
      </c>
      <c r="R107" s="828">
        <v>1.200048001920077</v>
      </c>
      <c r="S107" s="833">
        <v>33.333333333333336</v>
      </c>
    </row>
    <row r="108" spans="1:19" ht="14.45" customHeight="1" x14ac:dyDescent="0.2">
      <c r="A108" s="822" t="s">
        <v>5353</v>
      </c>
      <c r="B108" s="823" t="s">
        <v>5410</v>
      </c>
      <c r="C108" s="823" t="s">
        <v>594</v>
      </c>
      <c r="D108" s="823" t="s">
        <v>1904</v>
      </c>
      <c r="E108" s="823" t="s">
        <v>5355</v>
      </c>
      <c r="F108" s="823" t="s">
        <v>5382</v>
      </c>
      <c r="G108" s="823" t="s">
        <v>5383</v>
      </c>
      <c r="H108" s="832">
        <v>1</v>
      </c>
      <c r="I108" s="832">
        <v>86</v>
      </c>
      <c r="J108" s="823"/>
      <c r="K108" s="823">
        <v>86</v>
      </c>
      <c r="L108" s="832"/>
      <c r="M108" s="832"/>
      <c r="N108" s="823"/>
      <c r="O108" s="823"/>
      <c r="P108" s="832"/>
      <c r="Q108" s="832"/>
      <c r="R108" s="828"/>
      <c r="S108" s="833"/>
    </row>
    <row r="109" spans="1:19" ht="14.45" customHeight="1" x14ac:dyDescent="0.2">
      <c r="A109" s="822" t="s">
        <v>5353</v>
      </c>
      <c r="B109" s="823" t="s">
        <v>5410</v>
      </c>
      <c r="C109" s="823" t="s">
        <v>594</v>
      </c>
      <c r="D109" s="823" t="s">
        <v>1904</v>
      </c>
      <c r="E109" s="823" t="s">
        <v>5355</v>
      </c>
      <c r="F109" s="823" t="s">
        <v>5419</v>
      </c>
      <c r="G109" s="823" t="s">
        <v>5420</v>
      </c>
      <c r="H109" s="832">
        <v>1</v>
      </c>
      <c r="I109" s="832">
        <v>124</v>
      </c>
      <c r="J109" s="823"/>
      <c r="K109" s="823">
        <v>124</v>
      </c>
      <c r="L109" s="832"/>
      <c r="M109" s="832"/>
      <c r="N109" s="823"/>
      <c r="O109" s="823"/>
      <c r="P109" s="832"/>
      <c r="Q109" s="832"/>
      <c r="R109" s="828"/>
      <c r="S109" s="833"/>
    </row>
    <row r="110" spans="1:19" ht="14.45" customHeight="1" x14ac:dyDescent="0.2">
      <c r="A110" s="822" t="s">
        <v>5353</v>
      </c>
      <c r="B110" s="823" t="s">
        <v>5410</v>
      </c>
      <c r="C110" s="823" t="s">
        <v>594</v>
      </c>
      <c r="D110" s="823" t="s">
        <v>1905</v>
      </c>
      <c r="E110" s="823" t="s">
        <v>5355</v>
      </c>
      <c r="F110" s="823" t="s">
        <v>5411</v>
      </c>
      <c r="G110" s="823" t="s">
        <v>5412</v>
      </c>
      <c r="H110" s="832">
        <v>8</v>
      </c>
      <c r="I110" s="832">
        <v>664</v>
      </c>
      <c r="J110" s="823"/>
      <c r="K110" s="823">
        <v>83</v>
      </c>
      <c r="L110" s="832"/>
      <c r="M110" s="832"/>
      <c r="N110" s="823"/>
      <c r="O110" s="823"/>
      <c r="P110" s="832">
        <v>2</v>
      </c>
      <c r="Q110" s="832">
        <v>170</v>
      </c>
      <c r="R110" s="828"/>
      <c r="S110" s="833">
        <v>85</v>
      </c>
    </row>
    <row r="111" spans="1:19" ht="14.45" customHeight="1" x14ac:dyDescent="0.2">
      <c r="A111" s="822" t="s">
        <v>5353</v>
      </c>
      <c r="B111" s="823" t="s">
        <v>5410</v>
      </c>
      <c r="C111" s="823" t="s">
        <v>594</v>
      </c>
      <c r="D111" s="823" t="s">
        <v>1905</v>
      </c>
      <c r="E111" s="823" t="s">
        <v>5355</v>
      </c>
      <c r="F111" s="823" t="s">
        <v>5413</v>
      </c>
      <c r="G111" s="823" t="s">
        <v>5414</v>
      </c>
      <c r="H111" s="832">
        <v>9</v>
      </c>
      <c r="I111" s="832">
        <v>1143</v>
      </c>
      <c r="J111" s="823"/>
      <c r="K111" s="823">
        <v>127</v>
      </c>
      <c r="L111" s="832"/>
      <c r="M111" s="832"/>
      <c r="N111" s="823"/>
      <c r="O111" s="823"/>
      <c r="P111" s="832">
        <v>5</v>
      </c>
      <c r="Q111" s="832">
        <v>635</v>
      </c>
      <c r="R111" s="828"/>
      <c r="S111" s="833">
        <v>127</v>
      </c>
    </row>
    <row r="112" spans="1:19" ht="14.45" customHeight="1" x14ac:dyDescent="0.2">
      <c r="A112" s="822" t="s">
        <v>5353</v>
      </c>
      <c r="B112" s="823" t="s">
        <v>5410</v>
      </c>
      <c r="C112" s="823" t="s">
        <v>594</v>
      </c>
      <c r="D112" s="823" t="s">
        <v>1905</v>
      </c>
      <c r="E112" s="823" t="s">
        <v>5355</v>
      </c>
      <c r="F112" s="823" t="s">
        <v>5378</v>
      </c>
      <c r="G112" s="823" t="s">
        <v>5379</v>
      </c>
      <c r="H112" s="832">
        <v>9</v>
      </c>
      <c r="I112" s="832">
        <v>300</v>
      </c>
      <c r="J112" s="823"/>
      <c r="K112" s="823">
        <v>33.333333333333336</v>
      </c>
      <c r="L112" s="832"/>
      <c r="M112" s="832"/>
      <c r="N112" s="823"/>
      <c r="O112" s="823"/>
      <c r="P112" s="832">
        <v>5</v>
      </c>
      <c r="Q112" s="832">
        <v>166.67000000000002</v>
      </c>
      <c r="R112" s="828"/>
      <c r="S112" s="833">
        <v>33.334000000000003</v>
      </c>
    </row>
    <row r="113" spans="1:19" ht="14.45" customHeight="1" x14ac:dyDescent="0.2">
      <c r="A113" s="822" t="s">
        <v>5353</v>
      </c>
      <c r="B113" s="823" t="s">
        <v>5410</v>
      </c>
      <c r="C113" s="823" t="s">
        <v>594</v>
      </c>
      <c r="D113" s="823" t="s">
        <v>1905</v>
      </c>
      <c r="E113" s="823" t="s">
        <v>5355</v>
      </c>
      <c r="F113" s="823" t="s">
        <v>5380</v>
      </c>
      <c r="G113" s="823" t="s">
        <v>5381</v>
      </c>
      <c r="H113" s="832">
        <v>2</v>
      </c>
      <c r="I113" s="832">
        <v>74</v>
      </c>
      <c r="J113" s="823"/>
      <c r="K113" s="823">
        <v>37</v>
      </c>
      <c r="L113" s="832"/>
      <c r="M113" s="832"/>
      <c r="N113" s="823"/>
      <c r="O113" s="823"/>
      <c r="P113" s="832"/>
      <c r="Q113" s="832"/>
      <c r="R113" s="828"/>
      <c r="S113" s="833"/>
    </row>
    <row r="114" spans="1:19" ht="14.45" customHeight="1" x14ac:dyDescent="0.2">
      <c r="A114" s="822" t="s">
        <v>5353</v>
      </c>
      <c r="B114" s="823" t="s">
        <v>5410</v>
      </c>
      <c r="C114" s="823" t="s">
        <v>594</v>
      </c>
      <c r="D114" s="823" t="s">
        <v>1906</v>
      </c>
      <c r="E114" s="823" t="s">
        <v>5355</v>
      </c>
      <c r="F114" s="823" t="s">
        <v>5411</v>
      </c>
      <c r="G114" s="823" t="s">
        <v>5412</v>
      </c>
      <c r="H114" s="832"/>
      <c r="I114" s="832"/>
      <c r="J114" s="823"/>
      <c r="K114" s="823"/>
      <c r="L114" s="832"/>
      <c r="M114" s="832"/>
      <c r="N114" s="823"/>
      <c r="O114" s="823"/>
      <c r="P114" s="832">
        <v>1</v>
      </c>
      <c r="Q114" s="832">
        <v>85</v>
      </c>
      <c r="R114" s="828"/>
      <c r="S114" s="833">
        <v>85</v>
      </c>
    </row>
    <row r="115" spans="1:19" ht="14.45" customHeight="1" x14ac:dyDescent="0.2">
      <c r="A115" s="822" t="s">
        <v>5353</v>
      </c>
      <c r="B115" s="823" t="s">
        <v>5410</v>
      </c>
      <c r="C115" s="823" t="s">
        <v>594</v>
      </c>
      <c r="D115" s="823" t="s">
        <v>1906</v>
      </c>
      <c r="E115" s="823" t="s">
        <v>5355</v>
      </c>
      <c r="F115" s="823" t="s">
        <v>5413</v>
      </c>
      <c r="G115" s="823" t="s">
        <v>5414</v>
      </c>
      <c r="H115" s="832"/>
      <c r="I115" s="832"/>
      <c r="J115" s="823"/>
      <c r="K115" s="823"/>
      <c r="L115" s="832"/>
      <c r="M115" s="832"/>
      <c r="N115" s="823"/>
      <c r="O115" s="823"/>
      <c r="P115" s="832">
        <v>1</v>
      </c>
      <c r="Q115" s="832">
        <v>127</v>
      </c>
      <c r="R115" s="828"/>
      <c r="S115" s="833">
        <v>127</v>
      </c>
    </row>
    <row r="116" spans="1:19" ht="14.45" customHeight="1" x14ac:dyDescent="0.2">
      <c r="A116" s="822" t="s">
        <v>5353</v>
      </c>
      <c r="B116" s="823" t="s">
        <v>5410</v>
      </c>
      <c r="C116" s="823" t="s">
        <v>594</v>
      </c>
      <c r="D116" s="823" t="s">
        <v>1906</v>
      </c>
      <c r="E116" s="823" t="s">
        <v>5355</v>
      </c>
      <c r="F116" s="823" t="s">
        <v>5378</v>
      </c>
      <c r="G116" s="823" t="s">
        <v>5379</v>
      </c>
      <c r="H116" s="832"/>
      <c r="I116" s="832"/>
      <c r="J116" s="823"/>
      <c r="K116" s="823"/>
      <c r="L116" s="832"/>
      <c r="M116" s="832"/>
      <c r="N116" s="823"/>
      <c r="O116" s="823"/>
      <c r="P116" s="832">
        <v>1</v>
      </c>
      <c r="Q116" s="832">
        <v>33.33</v>
      </c>
      <c r="R116" s="828"/>
      <c r="S116" s="833">
        <v>33.33</v>
      </c>
    </row>
    <row r="117" spans="1:19" ht="14.45" customHeight="1" x14ac:dyDescent="0.2">
      <c r="A117" s="822" t="s">
        <v>5353</v>
      </c>
      <c r="B117" s="823" t="s">
        <v>5410</v>
      </c>
      <c r="C117" s="823" t="s">
        <v>594</v>
      </c>
      <c r="D117" s="823" t="s">
        <v>1907</v>
      </c>
      <c r="E117" s="823" t="s">
        <v>5355</v>
      </c>
      <c r="F117" s="823" t="s">
        <v>5358</v>
      </c>
      <c r="G117" s="823" t="s">
        <v>5359</v>
      </c>
      <c r="H117" s="832"/>
      <c r="I117" s="832"/>
      <c r="J117" s="823"/>
      <c r="K117" s="823"/>
      <c r="L117" s="832"/>
      <c r="M117" s="832"/>
      <c r="N117" s="823"/>
      <c r="O117" s="823"/>
      <c r="P117" s="832">
        <v>3</v>
      </c>
      <c r="Q117" s="832">
        <v>114</v>
      </c>
      <c r="R117" s="828"/>
      <c r="S117" s="833">
        <v>38</v>
      </c>
    </row>
    <row r="118" spans="1:19" ht="14.45" customHeight="1" x14ac:dyDescent="0.2">
      <c r="A118" s="822" t="s">
        <v>5353</v>
      </c>
      <c r="B118" s="823" t="s">
        <v>5410</v>
      </c>
      <c r="C118" s="823" t="s">
        <v>594</v>
      </c>
      <c r="D118" s="823" t="s">
        <v>1907</v>
      </c>
      <c r="E118" s="823" t="s">
        <v>5355</v>
      </c>
      <c r="F118" s="823" t="s">
        <v>5415</v>
      </c>
      <c r="G118" s="823" t="s">
        <v>5416</v>
      </c>
      <c r="H118" s="832">
        <v>1</v>
      </c>
      <c r="I118" s="832">
        <v>428</v>
      </c>
      <c r="J118" s="823"/>
      <c r="K118" s="823">
        <v>428</v>
      </c>
      <c r="L118" s="832"/>
      <c r="M118" s="832"/>
      <c r="N118" s="823"/>
      <c r="O118" s="823"/>
      <c r="P118" s="832">
        <v>2</v>
      </c>
      <c r="Q118" s="832">
        <v>864</v>
      </c>
      <c r="R118" s="828"/>
      <c r="S118" s="833">
        <v>432</v>
      </c>
    </row>
    <row r="119" spans="1:19" ht="14.45" customHeight="1" x14ac:dyDescent="0.2">
      <c r="A119" s="822" t="s">
        <v>5353</v>
      </c>
      <c r="B119" s="823" t="s">
        <v>5410</v>
      </c>
      <c r="C119" s="823" t="s">
        <v>594</v>
      </c>
      <c r="D119" s="823" t="s">
        <v>1907</v>
      </c>
      <c r="E119" s="823" t="s">
        <v>5355</v>
      </c>
      <c r="F119" s="823" t="s">
        <v>5382</v>
      </c>
      <c r="G119" s="823" t="s">
        <v>5383</v>
      </c>
      <c r="H119" s="832">
        <v>1</v>
      </c>
      <c r="I119" s="832">
        <v>86</v>
      </c>
      <c r="J119" s="823"/>
      <c r="K119" s="823">
        <v>86</v>
      </c>
      <c r="L119" s="832"/>
      <c r="M119" s="832"/>
      <c r="N119" s="823"/>
      <c r="O119" s="823"/>
      <c r="P119" s="832">
        <v>1</v>
      </c>
      <c r="Q119" s="832">
        <v>88</v>
      </c>
      <c r="R119" s="828"/>
      <c r="S119" s="833">
        <v>88</v>
      </c>
    </row>
    <row r="120" spans="1:19" ht="14.45" customHeight="1" x14ac:dyDescent="0.2">
      <c r="A120" s="822" t="s">
        <v>5353</v>
      </c>
      <c r="B120" s="823" t="s">
        <v>5410</v>
      </c>
      <c r="C120" s="823" t="s">
        <v>594</v>
      </c>
      <c r="D120" s="823" t="s">
        <v>1907</v>
      </c>
      <c r="E120" s="823" t="s">
        <v>5355</v>
      </c>
      <c r="F120" s="823" t="s">
        <v>5417</v>
      </c>
      <c r="G120" s="823" t="s">
        <v>5418</v>
      </c>
      <c r="H120" s="832"/>
      <c r="I120" s="832"/>
      <c r="J120" s="823"/>
      <c r="K120" s="823"/>
      <c r="L120" s="832"/>
      <c r="M120" s="832"/>
      <c r="N120" s="823"/>
      <c r="O120" s="823"/>
      <c r="P120" s="832">
        <v>1</v>
      </c>
      <c r="Q120" s="832">
        <v>33</v>
      </c>
      <c r="R120" s="828"/>
      <c r="S120" s="833">
        <v>33</v>
      </c>
    </row>
    <row r="121" spans="1:19" ht="14.45" customHeight="1" x14ac:dyDescent="0.2">
      <c r="A121" s="822" t="s">
        <v>5353</v>
      </c>
      <c r="B121" s="823" t="s">
        <v>5410</v>
      </c>
      <c r="C121" s="823" t="s">
        <v>594</v>
      </c>
      <c r="D121" s="823" t="s">
        <v>1909</v>
      </c>
      <c r="E121" s="823" t="s">
        <v>5355</v>
      </c>
      <c r="F121" s="823" t="s">
        <v>5411</v>
      </c>
      <c r="G121" s="823" t="s">
        <v>5412</v>
      </c>
      <c r="H121" s="832">
        <v>1</v>
      </c>
      <c r="I121" s="832">
        <v>83</v>
      </c>
      <c r="J121" s="823"/>
      <c r="K121" s="823">
        <v>83</v>
      </c>
      <c r="L121" s="832"/>
      <c r="M121" s="832"/>
      <c r="N121" s="823"/>
      <c r="O121" s="823"/>
      <c r="P121" s="832"/>
      <c r="Q121" s="832"/>
      <c r="R121" s="828"/>
      <c r="S121" s="833"/>
    </row>
    <row r="122" spans="1:19" ht="14.45" customHeight="1" x14ac:dyDescent="0.2">
      <c r="A122" s="822" t="s">
        <v>5353</v>
      </c>
      <c r="B122" s="823" t="s">
        <v>5410</v>
      </c>
      <c r="C122" s="823" t="s">
        <v>594</v>
      </c>
      <c r="D122" s="823" t="s">
        <v>1909</v>
      </c>
      <c r="E122" s="823" t="s">
        <v>5355</v>
      </c>
      <c r="F122" s="823" t="s">
        <v>5413</v>
      </c>
      <c r="G122" s="823" t="s">
        <v>5414</v>
      </c>
      <c r="H122" s="832">
        <v>1</v>
      </c>
      <c r="I122" s="832">
        <v>127</v>
      </c>
      <c r="J122" s="823"/>
      <c r="K122" s="823">
        <v>127</v>
      </c>
      <c r="L122" s="832"/>
      <c r="M122" s="832"/>
      <c r="N122" s="823"/>
      <c r="O122" s="823"/>
      <c r="P122" s="832"/>
      <c r="Q122" s="832"/>
      <c r="R122" s="828"/>
      <c r="S122" s="833"/>
    </row>
    <row r="123" spans="1:19" ht="14.45" customHeight="1" x14ac:dyDescent="0.2">
      <c r="A123" s="822" t="s">
        <v>5353</v>
      </c>
      <c r="B123" s="823" t="s">
        <v>5410</v>
      </c>
      <c r="C123" s="823" t="s">
        <v>594</v>
      </c>
      <c r="D123" s="823" t="s">
        <v>1909</v>
      </c>
      <c r="E123" s="823" t="s">
        <v>5355</v>
      </c>
      <c r="F123" s="823" t="s">
        <v>5378</v>
      </c>
      <c r="G123" s="823" t="s">
        <v>5379</v>
      </c>
      <c r="H123" s="832">
        <v>1</v>
      </c>
      <c r="I123" s="832">
        <v>33.33</v>
      </c>
      <c r="J123" s="823"/>
      <c r="K123" s="823">
        <v>33.33</v>
      </c>
      <c r="L123" s="832"/>
      <c r="M123" s="832"/>
      <c r="N123" s="823"/>
      <c r="O123" s="823"/>
      <c r="P123" s="832"/>
      <c r="Q123" s="832"/>
      <c r="R123" s="828"/>
      <c r="S123" s="833"/>
    </row>
    <row r="124" spans="1:19" ht="14.45" customHeight="1" x14ac:dyDescent="0.2">
      <c r="A124" s="822" t="s">
        <v>5353</v>
      </c>
      <c r="B124" s="823" t="s">
        <v>5410</v>
      </c>
      <c r="C124" s="823" t="s">
        <v>594</v>
      </c>
      <c r="D124" s="823" t="s">
        <v>1910</v>
      </c>
      <c r="E124" s="823" t="s">
        <v>5355</v>
      </c>
      <c r="F124" s="823" t="s">
        <v>5411</v>
      </c>
      <c r="G124" s="823" t="s">
        <v>5412</v>
      </c>
      <c r="H124" s="832"/>
      <c r="I124" s="832"/>
      <c r="J124" s="823"/>
      <c r="K124" s="823"/>
      <c r="L124" s="832"/>
      <c r="M124" s="832"/>
      <c r="N124" s="823"/>
      <c r="O124" s="823"/>
      <c r="P124" s="832">
        <v>1</v>
      </c>
      <c r="Q124" s="832">
        <v>85</v>
      </c>
      <c r="R124" s="828"/>
      <c r="S124" s="833">
        <v>85</v>
      </c>
    </row>
    <row r="125" spans="1:19" ht="14.45" customHeight="1" x14ac:dyDescent="0.2">
      <c r="A125" s="822" t="s">
        <v>5353</v>
      </c>
      <c r="B125" s="823" t="s">
        <v>5410</v>
      </c>
      <c r="C125" s="823" t="s">
        <v>594</v>
      </c>
      <c r="D125" s="823" t="s">
        <v>1910</v>
      </c>
      <c r="E125" s="823" t="s">
        <v>5355</v>
      </c>
      <c r="F125" s="823" t="s">
        <v>5406</v>
      </c>
      <c r="G125" s="823" t="s">
        <v>5407</v>
      </c>
      <c r="H125" s="832">
        <v>1</v>
      </c>
      <c r="I125" s="832">
        <v>106</v>
      </c>
      <c r="J125" s="823"/>
      <c r="K125" s="823">
        <v>106</v>
      </c>
      <c r="L125" s="832"/>
      <c r="M125" s="832"/>
      <c r="N125" s="823"/>
      <c r="O125" s="823"/>
      <c r="P125" s="832"/>
      <c r="Q125" s="832"/>
      <c r="R125" s="828"/>
      <c r="S125" s="833"/>
    </row>
    <row r="126" spans="1:19" ht="14.45" customHeight="1" x14ac:dyDescent="0.2">
      <c r="A126" s="822" t="s">
        <v>5353</v>
      </c>
      <c r="B126" s="823" t="s">
        <v>5410</v>
      </c>
      <c r="C126" s="823" t="s">
        <v>594</v>
      </c>
      <c r="D126" s="823" t="s">
        <v>1910</v>
      </c>
      <c r="E126" s="823" t="s">
        <v>5355</v>
      </c>
      <c r="F126" s="823" t="s">
        <v>5358</v>
      </c>
      <c r="G126" s="823" t="s">
        <v>5359</v>
      </c>
      <c r="H126" s="832">
        <v>1</v>
      </c>
      <c r="I126" s="832">
        <v>37</v>
      </c>
      <c r="J126" s="823"/>
      <c r="K126" s="823">
        <v>37</v>
      </c>
      <c r="L126" s="832"/>
      <c r="M126" s="832"/>
      <c r="N126" s="823"/>
      <c r="O126" s="823"/>
      <c r="P126" s="832"/>
      <c r="Q126" s="832"/>
      <c r="R126" s="828"/>
      <c r="S126" s="833"/>
    </row>
    <row r="127" spans="1:19" ht="14.45" customHeight="1" x14ac:dyDescent="0.2">
      <c r="A127" s="822" t="s">
        <v>5353</v>
      </c>
      <c r="B127" s="823" t="s">
        <v>5410</v>
      </c>
      <c r="C127" s="823" t="s">
        <v>594</v>
      </c>
      <c r="D127" s="823" t="s">
        <v>1910</v>
      </c>
      <c r="E127" s="823" t="s">
        <v>5355</v>
      </c>
      <c r="F127" s="823" t="s">
        <v>5413</v>
      </c>
      <c r="G127" s="823" t="s">
        <v>5414</v>
      </c>
      <c r="H127" s="832">
        <v>4</v>
      </c>
      <c r="I127" s="832">
        <v>508</v>
      </c>
      <c r="J127" s="823"/>
      <c r="K127" s="823">
        <v>127</v>
      </c>
      <c r="L127" s="832"/>
      <c r="M127" s="832"/>
      <c r="N127" s="823"/>
      <c r="O127" s="823"/>
      <c r="P127" s="832">
        <v>1</v>
      </c>
      <c r="Q127" s="832">
        <v>127</v>
      </c>
      <c r="R127" s="828"/>
      <c r="S127" s="833">
        <v>127</v>
      </c>
    </row>
    <row r="128" spans="1:19" ht="14.45" customHeight="1" x14ac:dyDescent="0.2">
      <c r="A128" s="822" t="s">
        <v>5353</v>
      </c>
      <c r="B128" s="823" t="s">
        <v>5410</v>
      </c>
      <c r="C128" s="823" t="s">
        <v>594</v>
      </c>
      <c r="D128" s="823" t="s">
        <v>1910</v>
      </c>
      <c r="E128" s="823" t="s">
        <v>5355</v>
      </c>
      <c r="F128" s="823" t="s">
        <v>5378</v>
      </c>
      <c r="G128" s="823" t="s">
        <v>5379</v>
      </c>
      <c r="H128" s="832">
        <v>7</v>
      </c>
      <c r="I128" s="832">
        <v>233.33000000000004</v>
      </c>
      <c r="J128" s="823"/>
      <c r="K128" s="823">
        <v>33.332857142857151</v>
      </c>
      <c r="L128" s="832"/>
      <c r="M128" s="832"/>
      <c r="N128" s="823"/>
      <c r="O128" s="823"/>
      <c r="P128" s="832">
        <v>4</v>
      </c>
      <c r="Q128" s="832">
        <v>133.32</v>
      </c>
      <c r="R128" s="828"/>
      <c r="S128" s="833">
        <v>33.33</v>
      </c>
    </row>
    <row r="129" spans="1:19" ht="14.45" customHeight="1" x14ac:dyDescent="0.2">
      <c r="A129" s="822" t="s">
        <v>5353</v>
      </c>
      <c r="B129" s="823" t="s">
        <v>5410</v>
      </c>
      <c r="C129" s="823" t="s">
        <v>594</v>
      </c>
      <c r="D129" s="823" t="s">
        <v>1910</v>
      </c>
      <c r="E129" s="823" t="s">
        <v>5355</v>
      </c>
      <c r="F129" s="823" t="s">
        <v>5388</v>
      </c>
      <c r="G129" s="823" t="s">
        <v>5389</v>
      </c>
      <c r="H129" s="832"/>
      <c r="I129" s="832"/>
      <c r="J129" s="823"/>
      <c r="K129" s="823"/>
      <c r="L129" s="832"/>
      <c r="M129" s="832"/>
      <c r="N129" s="823"/>
      <c r="O129" s="823"/>
      <c r="P129" s="832">
        <v>1</v>
      </c>
      <c r="Q129" s="832">
        <v>228</v>
      </c>
      <c r="R129" s="828"/>
      <c r="S129" s="833">
        <v>228</v>
      </c>
    </row>
    <row r="130" spans="1:19" ht="14.45" customHeight="1" x14ac:dyDescent="0.2">
      <c r="A130" s="822" t="s">
        <v>5353</v>
      </c>
      <c r="B130" s="823" t="s">
        <v>5410</v>
      </c>
      <c r="C130" s="823" t="s">
        <v>594</v>
      </c>
      <c r="D130" s="823" t="s">
        <v>1910</v>
      </c>
      <c r="E130" s="823" t="s">
        <v>5355</v>
      </c>
      <c r="F130" s="823" t="s">
        <v>5421</v>
      </c>
      <c r="G130" s="823" t="s">
        <v>5422</v>
      </c>
      <c r="H130" s="832">
        <v>1</v>
      </c>
      <c r="I130" s="832">
        <v>375</v>
      </c>
      <c r="J130" s="823"/>
      <c r="K130" s="823">
        <v>375</v>
      </c>
      <c r="L130" s="832"/>
      <c r="M130" s="832"/>
      <c r="N130" s="823"/>
      <c r="O130" s="823"/>
      <c r="P130" s="832"/>
      <c r="Q130" s="832"/>
      <c r="R130" s="828"/>
      <c r="S130" s="833"/>
    </row>
    <row r="131" spans="1:19" ht="14.45" customHeight="1" x14ac:dyDescent="0.2">
      <c r="A131" s="822" t="s">
        <v>5353</v>
      </c>
      <c r="B131" s="823" t="s">
        <v>5410</v>
      </c>
      <c r="C131" s="823" t="s">
        <v>594</v>
      </c>
      <c r="D131" s="823" t="s">
        <v>1910</v>
      </c>
      <c r="E131" s="823" t="s">
        <v>5355</v>
      </c>
      <c r="F131" s="823" t="s">
        <v>5423</v>
      </c>
      <c r="G131" s="823" t="s">
        <v>5424</v>
      </c>
      <c r="H131" s="832">
        <v>3</v>
      </c>
      <c r="I131" s="832">
        <v>1122</v>
      </c>
      <c r="J131" s="823"/>
      <c r="K131" s="823">
        <v>374</v>
      </c>
      <c r="L131" s="832"/>
      <c r="M131" s="832"/>
      <c r="N131" s="823"/>
      <c r="O131" s="823"/>
      <c r="P131" s="832">
        <v>3</v>
      </c>
      <c r="Q131" s="832">
        <v>1137</v>
      </c>
      <c r="R131" s="828"/>
      <c r="S131" s="833">
        <v>379</v>
      </c>
    </row>
    <row r="132" spans="1:19" ht="14.45" customHeight="1" x14ac:dyDescent="0.2">
      <c r="A132" s="822" t="s">
        <v>5353</v>
      </c>
      <c r="B132" s="823" t="s">
        <v>5410</v>
      </c>
      <c r="C132" s="823" t="s">
        <v>594</v>
      </c>
      <c r="D132" s="823" t="s">
        <v>1910</v>
      </c>
      <c r="E132" s="823" t="s">
        <v>5355</v>
      </c>
      <c r="F132" s="823" t="s">
        <v>5425</v>
      </c>
      <c r="G132" s="823" t="s">
        <v>5426</v>
      </c>
      <c r="H132" s="832">
        <v>1</v>
      </c>
      <c r="I132" s="832">
        <v>252</v>
      </c>
      <c r="J132" s="823"/>
      <c r="K132" s="823">
        <v>252</v>
      </c>
      <c r="L132" s="832"/>
      <c r="M132" s="832"/>
      <c r="N132" s="823"/>
      <c r="O132" s="823"/>
      <c r="P132" s="832"/>
      <c r="Q132" s="832"/>
      <c r="R132" s="828"/>
      <c r="S132" s="833"/>
    </row>
    <row r="133" spans="1:19" ht="14.45" customHeight="1" x14ac:dyDescent="0.2">
      <c r="A133" s="822" t="s">
        <v>5353</v>
      </c>
      <c r="B133" s="823" t="s">
        <v>5410</v>
      </c>
      <c r="C133" s="823" t="s">
        <v>594</v>
      </c>
      <c r="D133" s="823" t="s">
        <v>1911</v>
      </c>
      <c r="E133" s="823" t="s">
        <v>5355</v>
      </c>
      <c r="F133" s="823" t="s">
        <v>5411</v>
      </c>
      <c r="G133" s="823" t="s">
        <v>5412</v>
      </c>
      <c r="H133" s="832">
        <v>2</v>
      </c>
      <c r="I133" s="832">
        <v>166</v>
      </c>
      <c r="J133" s="823"/>
      <c r="K133" s="823">
        <v>83</v>
      </c>
      <c r="L133" s="832"/>
      <c r="M133" s="832"/>
      <c r="N133" s="823"/>
      <c r="O133" s="823"/>
      <c r="P133" s="832"/>
      <c r="Q133" s="832"/>
      <c r="R133" s="828"/>
      <c r="S133" s="833"/>
    </row>
    <row r="134" spans="1:19" ht="14.45" customHeight="1" x14ac:dyDescent="0.2">
      <c r="A134" s="822" t="s">
        <v>5353</v>
      </c>
      <c r="B134" s="823" t="s">
        <v>5410</v>
      </c>
      <c r="C134" s="823" t="s">
        <v>594</v>
      </c>
      <c r="D134" s="823" t="s">
        <v>1911</v>
      </c>
      <c r="E134" s="823" t="s">
        <v>5355</v>
      </c>
      <c r="F134" s="823" t="s">
        <v>5413</v>
      </c>
      <c r="G134" s="823" t="s">
        <v>5414</v>
      </c>
      <c r="H134" s="832">
        <v>7</v>
      </c>
      <c r="I134" s="832">
        <v>889</v>
      </c>
      <c r="J134" s="823"/>
      <c r="K134" s="823">
        <v>127</v>
      </c>
      <c r="L134" s="832"/>
      <c r="M134" s="832"/>
      <c r="N134" s="823"/>
      <c r="O134" s="823"/>
      <c r="P134" s="832">
        <v>2</v>
      </c>
      <c r="Q134" s="832">
        <v>254</v>
      </c>
      <c r="R134" s="828"/>
      <c r="S134" s="833">
        <v>127</v>
      </c>
    </row>
    <row r="135" spans="1:19" ht="14.45" customHeight="1" x14ac:dyDescent="0.2">
      <c r="A135" s="822" t="s">
        <v>5353</v>
      </c>
      <c r="B135" s="823" t="s">
        <v>5410</v>
      </c>
      <c r="C135" s="823" t="s">
        <v>594</v>
      </c>
      <c r="D135" s="823" t="s">
        <v>1911</v>
      </c>
      <c r="E135" s="823" t="s">
        <v>5355</v>
      </c>
      <c r="F135" s="823" t="s">
        <v>5378</v>
      </c>
      <c r="G135" s="823" t="s">
        <v>5379</v>
      </c>
      <c r="H135" s="832">
        <v>7</v>
      </c>
      <c r="I135" s="832">
        <v>233.33999999999997</v>
      </c>
      <c r="J135" s="823"/>
      <c r="K135" s="823">
        <v>33.334285714285713</v>
      </c>
      <c r="L135" s="832"/>
      <c r="M135" s="832"/>
      <c r="N135" s="823"/>
      <c r="O135" s="823"/>
      <c r="P135" s="832">
        <v>2</v>
      </c>
      <c r="Q135" s="832">
        <v>66.66</v>
      </c>
      <c r="R135" s="828"/>
      <c r="S135" s="833">
        <v>33.33</v>
      </c>
    </row>
    <row r="136" spans="1:19" ht="14.45" customHeight="1" x14ac:dyDescent="0.2">
      <c r="A136" s="822" t="s">
        <v>5353</v>
      </c>
      <c r="B136" s="823" t="s">
        <v>5410</v>
      </c>
      <c r="C136" s="823" t="s">
        <v>594</v>
      </c>
      <c r="D136" s="823" t="s">
        <v>1912</v>
      </c>
      <c r="E136" s="823" t="s">
        <v>5355</v>
      </c>
      <c r="F136" s="823" t="s">
        <v>5362</v>
      </c>
      <c r="G136" s="823" t="s">
        <v>5363</v>
      </c>
      <c r="H136" s="832">
        <v>2</v>
      </c>
      <c r="I136" s="832">
        <v>282</v>
      </c>
      <c r="J136" s="823"/>
      <c r="K136" s="823">
        <v>141</v>
      </c>
      <c r="L136" s="832"/>
      <c r="M136" s="832"/>
      <c r="N136" s="823"/>
      <c r="O136" s="823"/>
      <c r="P136" s="832"/>
      <c r="Q136" s="832"/>
      <c r="R136" s="828"/>
      <c r="S136" s="833"/>
    </row>
    <row r="137" spans="1:19" ht="14.45" customHeight="1" x14ac:dyDescent="0.2">
      <c r="A137" s="822" t="s">
        <v>5353</v>
      </c>
      <c r="B137" s="823" t="s">
        <v>5410</v>
      </c>
      <c r="C137" s="823" t="s">
        <v>594</v>
      </c>
      <c r="D137" s="823" t="s">
        <v>1912</v>
      </c>
      <c r="E137" s="823" t="s">
        <v>5355</v>
      </c>
      <c r="F137" s="823" t="s">
        <v>5415</v>
      </c>
      <c r="G137" s="823" t="s">
        <v>5416</v>
      </c>
      <c r="H137" s="832">
        <v>1</v>
      </c>
      <c r="I137" s="832">
        <v>428</v>
      </c>
      <c r="J137" s="823"/>
      <c r="K137" s="823">
        <v>428</v>
      </c>
      <c r="L137" s="832"/>
      <c r="M137" s="832"/>
      <c r="N137" s="823"/>
      <c r="O137" s="823"/>
      <c r="P137" s="832"/>
      <c r="Q137" s="832"/>
      <c r="R137" s="828"/>
      <c r="S137" s="833"/>
    </row>
    <row r="138" spans="1:19" ht="14.45" customHeight="1" x14ac:dyDescent="0.2">
      <c r="A138" s="822" t="s">
        <v>5353</v>
      </c>
      <c r="B138" s="823" t="s">
        <v>5410</v>
      </c>
      <c r="C138" s="823" t="s">
        <v>594</v>
      </c>
      <c r="D138" s="823" t="s">
        <v>1912</v>
      </c>
      <c r="E138" s="823" t="s">
        <v>5355</v>
      </c>
      <c r="F138" s="823" t="s">
        <v>5378</v>
      </c>
      <c r="G138" s="823" t="s">
        <v>5379</v>
      </c>
      <c r="H138" s="832">
        <v>1</v>
      </c>
      <c r="I138" s="832">
        <v>33.33</v>
      </c>
      <c r="J138" s="823"/>
      <c r="K138" s="823">
        <v>33.33</v>
      </c>
      <c r="L138" s="832"/>
      <c r="M138" s="832"/>
      <c r="N138" s="823"/>
      <c r="O138" s="823"/>
      <c r="P138" s="832"/>
      <c r="Q138" s="832"/>
      <c r="R138" s="828"/>
      <c r="S138" s="833"/>
    </row>
    <row r="139" spans="1:19" ht="14.45" customHeight="1" x14ac:dyDescent="0.2">
      <c r="A139" s="822" t="s">
        <v>5353</v>
      </c>
      <c r="B139" s="823" t="s">
        <v>5410</v>
      </c>
      <c r="C139" s="823" t="s">
        <v>594</v>
      </c>
      <c r="D139" s="823" t="s">
        <v>1912</v>
      </c>
      <c r="E139" s="823" t="s">
        <v>5355</v>
      </c>
      <c r="F139" s="823" t="s">
        <v>5382</v>
      </c>
      <c r="G139" s="823" t="s">
        <v>5383</v>
      </c>
      <c r="H139" s="832">
        <v>1</v>
      </c>
      <c r="I139" s="832">
        <v>86</v>
      </c>
      <c r="J139" s="823"/>
      <c r="K139" s="823">
        <v>86</v>
      </c>
      <c r="L139" s="832"/>
      <c r="M139" s="832"/>
      <c r="N139" s="823"/>
      <c r="O139" s="823"/>
      <c r="P139" s="832"/>
      <c r="Q139" s="832"/>
      <c r="R139" s="828"/>
      <c r="S139" s="833"/>
    </row>
    <row r="140" spans="1:19" ht="14.45" customHeight="1" x14ac:dyDescent="0.2">
      <c r="A140" s="822" t="s">
        <v>5353</v>
      </c>
      <c r="B140" s="823" t="s">
        <v>5410</v>
      </c>
      <c r="C140" s="823" t="s">
        <v>594</v>
      </c>
      <c r="D140" s="823" t="s">
        <v>1898</v>
      </c>
      <c r="E140" s="823" t="s">
        <v>5355</v>
      </c>
      <c r="F140" s="823" t="s">
        <v>5411</v>
      </c>
      <c r="G140" s="823" t="s">
        <v>5412</v>
      </c>
      <c r="H140" s="832">
        <v>1</v>
      </c>
      <c r="I140" s="832">
        <v>83</v>
      </c>
      <c r="J140" s="823">
        <v>0.98809523809523814</v>
      </c>
      <c r="K140" s="823">
        <v>83</v>
      </c>
      <c r="L140" s="832">
        <v>1</v>
      </c>
      <c r="M140" s="832">
        <v>84</v>
      </c>
      <c r="N140" s="823">
        <v>1</v>
      </c>
      <c r="O140" s="823">
        <v>84</v>
      </c>
      <c r="P140" s="832">
        <v>3</v>
      </c>
      <c r="Q140" s="832">
        <v>255</v>
      </c>
      <c r="R140" s="828">
        <v>3.0357142857142856</v>
      </c>
      <c r="S140" s="833">
        <v>85</v>
      </c>
    </row>
    <row r="141" spans="1:19" ht="14.45" customHeight="1" x14ac:dyDescent="0.2">
      <c r="A141" s="822" t="s">
        <v>5353</v>
      </c>
      <c r="B141" s="823" t="s">
        <v>5410</v>
      </c>
      <c r="C141" s="823" t="s">
        <v>594</v>
      </c>
      <c r="D141" s="823" t="s">
        <v>1898</v>
      </c>
      <c r="E141" s="823" t="s">
        <v>5355</v>
      </c>
      <c r="F141" s="823" t="s">
        <v>5406</v>
      </c>
      <c r="G141" s="823" t="s">
        <v>5407</v>
      </c>
      <c r="H141" s="832"/>
      <c r="I141" s="832"/>
      <c r="J141" s="823"/>
      <c r="K141" s="823"/>
      <c r="L141" s="832"/>
      <c r="M141" s="832"/>
      <c r="N141" s="823"/>
      <c r="O141" s="823"/>
      <c r="P141" s="832">
        <v>1</v>
      </c>
      <c r="Q141" s="832">
        <v>108</v>
      </c>
      <c r="R141" s="828"/>
      <c r="S141" s="833">
        <v>108</v>
      </c>
    </row>
    <row r="142" spans="1:19" ht="14.45" customHeight="1" x14ac:dyDescent="0.2">
      <c r="A142" s="822" t="s">
        <v>5353</v>
      </c>
      <c r="B142" s="823" t="s">
        <v>5410</v>
      </c>
      <c r="C142" s="823" t="s">
        <v>594</v>
      </c>
      <c r="D142" s="823" t="s">
        <v>1898</v>
      </c>
      <c r="E142" s="823" t="s">
        <v>5355</v>
      </c>
      <c r="F142" s="823" t="s">
        <v>5413</v>
      </c>
      <c r="G142" s="823" t="s">
        <v>5414</v>
      </c>
      <c r="H142" s="832">
        <v>3</v>
      </c>
      <c r="I142" s="832">
        <v>381</v>
      </c>
      <c r="J142" s="823">
        <v>3.0238095238095237</v>
      </c>
      <c r="K142" s="823">
        <v>127</v>
      </c>
      <c r="L142" s="832">
        <v>1</v>
      </c>
      <c r="M142" s="832">
        <v>126</v>
      </c>
      <c r="N142" s="823">
        <v>1</v>
      </c>
      <c r="O142" s="823">
        <v>126</v>
      </c>
      <c r="P142" s="832">
        <v>5</v>
      </c>
      <c r="Q142" s="832">
        <v>635</v>
      </c>
      <c r="R142" s="828">
        <v>5.0396825396825395</v>
      </c>
      <c r="S142" s="833">
        <v>127</v>
      </c>
    </row>
    <row r="143" spans="1:19" ht="14.45" customHeight="1" x14ac:dyDescent="0.2">
      <c r="A143" s="822" t="s">
        <v>5353</v>
      </c>
      <c r="B143" s="823" t="s">
        <v>5410</v>
      </c>
      <c r="C143" s="823" t="s">
        <v>594</v>
      </c>
      <c r="D143" s="823" t="s">
        <v>1898</v>
      </c>
      <c r="E143" s="823" t="s">
        <v>5355</v>
      </c>
      <c r="F143" s="823" t="s">
        <v>5378</v>
      </c>
      <c r="G143" s="823" t="s">
        <v>5379</v>
      </c>
      <c r="H143" s="832">
        <v>3</v>
      </c>
      <c r="I143" s="832">
        <v>99.99</v>
      </c>
      <c r="J143" s="823">
        <v>3</v>
      </c>
      <c r="K143" s="823">
        <v>33.33</v>
      </c>
      <c r="L143" s="832">
        <v>1</v>
      </c>
      <c r="M143" s="832">
        <v>33.33</v>
      </c>
      <c r="N143" s="823">
        <v>1</v>
      </c>
      <c r="O143" s="823">
        <v>33.33</v>
      </c>
      <c r="P143" s="832">
        <v>5</v>
      </c>
      <c r="Q143" s="832">
        <v>166.67000000000002</v>
      </c>
      <c r="R143" s="828">
        <v>5.0006000600060014</v>
      </c>
      <c r="S143" s="833">
        <v>33.334000000000003</v>
      </c>
    </row>
    <row r="144" spans="1:19" ht="14.45" customHeight="1" x14ac:dyDescent="0.2">
      <c r="A144" s="822" t="s">
        <v>5353</v>
      </c>
      <c r="B144" s="823" t="s">
        <v>5410</v>
      </c>
      <c r="C144" s="823" t="s">
        <v>594</v>
      </c>
      <c r="D144" s="823" t="s">
        <v>1898</v>
      </c>
      <c r="E144" s="823" t="s">
        <v>5355</v>
      </c>
      <c r="F144" s="823" t="s">
        <v>5382</v>
      </c>
      <c r="G144" s="823" t="s">
        <v>5383</v>
      </c>
      <c r="H144" s="832">
        <v>1</v>
      </c>
      <c r="I144" s="832">
        <v>86</v>
      </c>
      <c r="J144" s="823"/>
      <c r="K144" s="823">
        <v>86</v>
      </c>
      <c r="L144" s="832"/>
      <c r="M144" s="832"/>
      <c r="N144" s="823"/>
      <c r="O144" s="823"/>
      <c r="P144" s="832"/>
      <c r="Q144" s="832"/>
      <c r="R144" s="828"/>
      <c r="S144" s="833"/>
    </row>
    <row r="145" spans="1:19" ht="14.45" customHeight="1" x14ac:dyDescent="0.2">
      <c r="A145" s="822" t="s">
        <v>5353</v>
      </c>
      <c r="B145" s="823" t="s">
        <v>5410</v>
      </c>
      <c r="C145" s="823" t="s">
        <v>594</v>
      </c>
      <c r="D145" s="823" t="s">
        <v>1898</v>
      </c>
      <c r="E145" s="823" t="s">
        <v>5355</v>
      </c>
      <c r="F145" s="823" t="s">
        <v>5417</v>
      </c>
      <c r="G145" s="823" t="s">
        <v>5418</v>
      </c>
      <c r="H145" s="832">
        <v>1</v>
      </c>
      <c r="I145" s="832">
        <v>32</v>
      </c>
      <c r="J145" s="823"/>
      <c r="K145" s="823">
        <v>32</v>
      </c>
      <c r="L145" s="832"/>
      <c r="M145" s="832"/>
      <c r="N145" s="823"/>
      <c r="O145" s="823"/>
      <c r="P145" s="832"/>
      <c r="Q145" s="832"/>
      <c r="R145" s="828"/>
      <c r="S145" s="833"/>
    </row>
    <row r="146" spans="1:19" ht="14.45" customHeight="1" x14ac:dyDescent="0.2">
      <c r="A146" s="822" t="s">
        <v>5353</v>
      </c>
      <c r="B146" s="823" t="s">
        <v>5410</v>
      </c>
      <c r="C146" s="823" t="s">
        <v>594</v>
      </c>
      <c r="D146" s="823" t="s">
        <v>1898</v>
      </c>
      <c r="E146" s="823" t="s">
        <v>5355</v>
      </c>
      <c r="F146" s="823" t="s">
        <v>5425</v>
      </c>
      <c r="G146" s="823" t="s">
        <v>5426</v>
      </c>
      <c r="H146" s="832"/>
      <c r="I146" s="832"/>
      <c r="J146" s="823"/>
      <c r="K146" s="823"/>
      <c r="L146" s="832">
        <v>0</v>
      </c>
      <c r="M146" s="832">
        <v>0</v>
      </c>
      <c r="N146" s="823"/>
      <c r="O146" s="823"/>
      <c r="P146" s="832"/>
      <c r="Q146" s="832"/>
      <c r="R146" s="828"/>
      <c r="S146" s="833"/>
    </row>
    <row r="147" spans="1:19" ht="14.45" customHeight="1" x14ac:dyDescent="0.2">
      <c r="A147" s="822" t="s">
        <v>5353</v>
      </c>
      <c r="B147" s="823" t="s">
        <v>5410</v>
      </c>
      <c r="C147" s="823" t="s">
        <v>594</v>
      </c>
      <c r="D147" s="823" t="s">
        <v>1899</v>
      </c>
      <c r="E147" s="823" t="s">
        <v>5355</v>
      </c>
      <c r="F147" s="823" t="s">
        <v>5362</v>
      </c>
      <c r="G147" s="823" t="s">
        <v>5363</v>
      </c>
      <c r="H147" s="832"/>
      <c r="I147" s="832"/>
      <c r="J147" s="823"/>
      <c r="K147" s="823"/>
      <c r="L147" s="832">
        <v>5</v>
      </c>
      <c r="M147" s="832">
        <v>710</v>
      </c>
      <c r="N147" s="823">
        <v>1</v>
      </c>
      <c r="O147" s="823">
        <v>142</v>
      </c>
      <c r="P147" s="832"/>
      <c r="Q147" s="832"/>
      <c r="R147" s="828"/>
      <c r="S147" s="833"/>
    </row>
    <row r="148" spans="1:19" ht="14.45" customHeight="1" x14ac:dyDescent="0.2">
      <c r="A148" s="822" t="s">
        <v>5353</v>
      </c>
      <c r="B148" s="823" t="s">
        <v>5427</v>
      </c>
      <c r="C148" s="823" t="s">
        <v>606</v>
      </c>
      <c r="D148" s="823" t="s">
        <v>5344</v>
      </c>
      <c r="E148" s="823" t="s">
        <v>5396</v>
      </c>
      <c r="F148" s="823" t="s">
        <v>5397</v>
      </c>
      <c r="G148" s="823" t="s">
        <v>5398</v>
      </c>
      <c r="H148" s="832"/>
      <c r="I148" s="832"/>
      <c r="J148" s="823"/>
      <c r="K148" s="823"/>
      <c r="L148" s="832">
        <v>1</v>
      </c>
      <c r="M148" s="832">
        <v>6677.48</v>
      </c>
      <c r="N148" s="823">
        <v>1</v>
      </c>
      <c r="O148" s="823">
        <v>6677.48</v>
      </c>
      <c r="P148" s="832"/>
      <c r="Q148" s="832"/>
      <c r="R148" s="828"/>
      <c r="S148" s="833"/>
    </row>
    <row r="149" spans="1:19" ht="14.45" customHeight="1" x14ac:dyDescent="0.2">
      <c r="A149" s="822" t="s">
        <v>5353</v>
      </c>
      <c r="B149" s="823" t="s">
        <v>5427</v>
      </c>
      <c r="C149" s="823" t="s">
        <v>606</v>
      </c>
      <c r="D149" s="823" t="s">
        <v>5344</v>
      </c>
      <c r="E149" s="823" t="s">
        <v>5396</v>
      </c>
      <c r="F149" s="823" t="s">
        <v>5399</v>
      </c>
      <c r="G149" s="823" t="s">
        <v>5398</v>
      </c>
      <c r="H149" s="832">
        <v>2</v>
      </c>
      <c r="I149" s="832">
        <v>11136</v>
      </c>
      <c r="J149" s="823">
        <v>0.4</v>
      </c>
      <c r="K149" s="823">
        <v>5568</v>
      </c>
      <c r="L149" s="832">
        <v>5</v>
      </c>
      <c r="M149" s="832">
        <v>27840</v>
      </c>
      <c r="N149" s="823">
        <v>1</v>
      </c>
      <c r="O149" s="823">
        <v>5568</v>
      </c>
      <c r="P149" s="832"/>
      <c r="Q149" s="832"/>
      <c r="R149" s="828"/>
      <c r="S149" s="833"/>
    </row>
    <row r="150" spans="1:19" ht="14.45" customHeight="1" x14ac:dyDescent="0.2">
      <c r="A150" s="822" t="s">
        <v>5353</v>
      </c>
      <c r="B150" s="823" t="s">
        <v>5427</v>
      </c>
      <c r="C150" s="823" t="s">
        <v>606</v>
      </c>
      <c r="D150" s="823" t="s">
        <v>5344</v>
      </c>
      <c r="E150" s="823" t="s">
        <v>5396</v>
      </c>
      <c r="F150" s="823" t="s">
        <v>5430</v>
      </c>
      <c r="G150" s="823" t="s">
        <v>5401</v>
      </c>
      <c r="H150" s="832">
        <v>1</v>
      </c>
      <c r="I150" s="832">
        <v>4368.43</v>
      </c>
      <c r="J150" s="823"/>
      <c r="K150" s="823">
        <v>4368.43</v>
      </c>
      <c r="L150" s="832"/>
      <c r="M150" s="832"/>
      <c r="N150" s="823"/>
      <c r="O150" s="823"/>
      <c r="P150" s="832"/>
      <c r="Q150" s="832"/>
      <c r="R150" s="828"/>
      <c r="S150" s="833"/>
    </row>
    <row r="151" spans="1:19" ht="14.45" customHeight="1" x14ac:dyDescent="0.2">
      <c r="A151" s="822" t="s">
        <v>5353</v>
      </c>
      <c r="B151" s="823" t="s">
        <v>5427</v>
      </c>
      <c r="C151" s="823" t="s">
        <v>606</v>
      </c>
      <c r="D151" s="823" t="s">
        <v>5344</v>
      </c>
      <c r="E151" s="823" t="s">
        <v>5396</v>
      </c>
      <c r="F151" s="823" t="s">
        <v>5400</v>
      </c>
      <c r="G151" s="823" t="s">
        <v>5401</v>
      </c>
      <c r="H151" s="832"/>
      <c r="I151" s="832"/>
      <c r="J151" s="823"/>
      <c r="K151" s="823"/>
      <c r="L151" s="832">
        <v>7</v>
      </c>
      <c r="M151" s="832">
        <v>17447.150000000001</v>
      </c>
      <c r="N151" s="823">
        <v>1</v>
      </c>
      <c r="O151" s="823">
        <v>2492.4500000000003</v>
      </c>
      <c r="P151" s="832"/>
      <c r="Q151" s="832"/>
      <c r="R151" s="828"/>
      <c r="S151" s="833"/>
    </row>
    <row r="152" spans="1:19" ht="14.45" customHeight="1" x14ac:dyDescent="0.2">
      <c r="A152" s="822" t="s">
        <v>5353</v>
      </c>
      <c r="B152" s="823" t="s">
        <v>5427</v>
      </c>
      <c r="C152" s="823" t="s">
        <v>606</v>
      </c>
      <c r="D152" s="823" t="s">
        <v>5344</v>
      </c>
      <c r="E152" s="823" t="s">
        <v>5355</v>
      </c>
      <c r="F152" s="823" t="s">
        <v>5431</v>
      </c>
      <c r="G152" s="823" t="s">
        <v>5432</v>
      </c>
      <c r="H152" s="832">
        <v>3</v>
      </c>
      <c r="I152" s="832">
        <v>1740</v>
      </c>
      <c r="J152" s="823">
        <v>0.22879684418145957</v>
      </c>
      <c r="K152" s="823">
        <v>580</v>
      </c>
      <c r="L152" s="832">
        <v>13</v>
      </c>
      <c r="M152" s="832">
        <v>7605</v>
      </c>
      <c r="N152" s="823">
        <v>1</v>
      </c>
      <c r="O152" s="823">
        <v>585</v>
      </c>
      <c r="P152" s="832"/>
      <c r="Q152" s="832"/>
      <c r="R152" s="828"/>
      <c r="S152" s="833"/>
    </row>
    <row r="153" spans="1:19" ht="14.45" customHeight="1" x14ac:dyDescent="0.2">
      <c r="A153" s="822" t="s">
        <v>5353</v>
      </c>
      <c r="B153" s="823" t="s">
        <v>5427</v>
      </c>
      <c r="C153" s="823" t="s">
        <v>606</v>
      </c>
      <c r="D153" s="823" t="s">
        <v>5349</v>
      </c>
      <c r="E153" s="823" t="s">
        <v>5355</v>
      </c>
      <c r="F153" s="823" t="s">
        <v>5431</v>
      </c>
      <c r="G153" s="823" t="s">
        <v>5432</v>
      </c>
      <c r="H153" s="832"/>
      <c r="I153" s="832"/>
      <c r="J153" s="823"/>
      <c r="K153" s="823"/>
      <c r="L153" s="832">
        <v>5</v>
      </c>
      <c r="M153" s="832">
        <v>2925</v>
      </c>
      <c r="N153" s="823">
        <v>1</v>
      </c>
      <c r="O153" s="823">
        <v>585</v>
      </c>
      <c r="P153" s="832"/>
      <c r="Q153" s="832"/>
      <c r="R153" s="828"/>
      <c r="S153" s="833"/>
    </row>
    <row r="154" spans="1:19" ht="14.45" customHeight="1" x14ac:dyDescent="0.2">
      <c r="A154" s="822" t="s">
        <v>5353</v>
      </c>
      <c r="B154" s="823" t="s">
        <v>5427</v>
      </c>
      <c r="C154" s="823" t="s">
        <v>606</v>
      </c>
      <c r="D154" s="823" t="s">
        <v>1912</v>
      </c>
      <c r="E154" s="823" t="s">
        <v>5396</v>
      </c>
      <c r="F154" s="823" t="s">
        <v>5428</v>
      </c>
      <c r="G154" s="823" t="s">
        <v>5429</v>
      </c>
      <c r="H154" s="832"/>
      <c r="I154" s="832"/>
      <c r="J154" s="823"/>
      <c r="K154" s="823"/>
      <c r="L154" s="832">
        <v>1</v>
      </c>
      <c r="M154" s="832">
        <v>4856.3599999999997</v>
      </c>
      <c r="N154" s="823">
        <v>1</v>
      </c>
      <c r="O154" s="823">
        <v>4856.3599999999997</v>
      </c>
      <c r="P154" s="832"/>
      <c r="Q154" s="832"/>
      <c r="R154" s="828"/>
      <c r="S154" s="833"/>
    </row>
    <row r="155" spans="1:19" ht="14.45" customHeight="1" x14ac:dyDescent="0.2">
      <c r="A155" s="822" t="s">
        <v>5353</v>
      </c>
      <c r="B155" s="823" t="s">
        <v>5427</v>
      </c>
      <c r="C155" s="823" t="s">
        <v>606</v>
      </c>
      <c r="D155" s="823" t="s">
        <v>1912</v>
      </c>
      <c r="E155" s="823" t="s">
        <v>5396</v>
      </c>
      <c r="F155" s="823" t="s">
        <v>5399</v>
      </c>
      <c r="G155" s="823" t="s">
        <v>5398</v>
      </c>
      <c r="H155" s="832"/>
      <c r="I155" s="832"/>
      <c r="J155" s="823"/>
      <c r="K155" s="823"/>
      <c r="L155" s="832">
        <v>3</v>
      </c>
      <c r="M155" s="832">
        <v>16704</v>
      </c>
      <c r="N155" s="823">
        <v>1</v>
      </c>
      <c r="O155" s="823">
        <v>5568</v>
      </c>
      <c r="P155" s="832"/>
      <c r="Q155" s="832"/>
      <c r="R155" s="828"/>
      <c r="S155" s="833"/>
    </row>
    <row r="156" spans="1:19" ht="14.45" customHeight="1" thickBot="1" x14ac:dyDescent="0.25">
      <c r="A156" s="814" t="s">
        <v>5353</v>
      </c>
      <c r="B156" s="815" t="s">
        <v>5427</v>
      </c>
      <c r="C156" s="815" t="s">
        <v>606</v>
      </c>
      <c r="D156" s="815" t="s">
        <v>1912</v>
      </c>
      <c r="E156" s="815" t="s">
        <v>5355</v>
      </c>
      <c r="F156" s="815" t="s">
        <v>5431</v>
      </c>
      <c r="G156" s="815" t="s">
        <v>5432</v>
      </c>
      <c r="H156" s="834"/>
      <c r="I156" s="834"/>
      <c r="J156" s="815"/>
      <c r="K156" s="815"/>
      <c r="L156" s="834">
        <v>5</v>
      </c>
      <c r="M156" s="834">
        <v>2925</v>
      </c>
      <c r="N156" s="815">
        <v>1</v>
      </c>
      <c r="O156" s="815">
        <v>585</v>
      </c>
      <c r="P156" s="834"/>
      <c r="Q156" s="834"/>
      <c r="R156" s="820"/>
      <c r="S156" s="835"/>
    </row>
  </sheetData>
  <autoFilter ref="A5:S5" xr:uid="{00000000-0009-0000-0000-000023000000}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 xr:uid="{F81595F3-DC68-47E4-BB38-674785E3038A}"/>
  </hyperlinks>
  <pageMargins left="0.25" right="0.25" top="0.75" bottom="0.75" header="0.3" footer="0.3"/>
  <pageSetup paperSize="9" scale="79" fitToHeight="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List46">
    <tabColor theme="0" tint="-0.249977111117893"/>
    <outlinePr summaryRight="0"/>
    <pageSetUpPr fitToPage="1"/>
  </sheetPr>
  <dimension ref="A1:S28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ColWidth="8.85546875" defaultRowHeight="14.45" customHeight="1" outlineLevelCol="1" x14ac:dyDescent="0.2"/>
  <cols>
    <col min="1" max="1" width="46.7109375" style="247" bestFit="1" customWidth="1" collapsed="1"/>
    <col min="2" max="2" width="7.7109375" style="215" hidden="1" customWidth="1" outlineLevel="1"/>
    <col min="3" max="3" width="0.140625" style="247" hidden="1" customWidth="1"/>
    <col min="4" max="4" width="7.7109375" style="215" customWidth="1"/>
    <col min="5" max="5" width="5.42578125" style="247" hidden="1" customWidth="1"/>
    <col min="6" max="6" width="7.7109375" style="215" customWidth="1"/>
    <col min="7" max="7" width="7.7109375" style="332" customWidth="1" collapsed="1"/>
    <col min="8" max="8" width="7.7109375" style="215" hidden="1" customWidth="1" outlineLevel="1"/>
    <col min="9" max="9" width="5.42578125" style="247" hidden="1" customWidth="1"/>
    <col min="10" max="10" width="7.7109375" style="215" customWidth="1"/>
    <col min="11" max="11" width="5.42578125" style="247" hidden="1" customWidth="1"/>
    <col min="12" max="12" width="7.7109375" style="215" customWidth="1"/>
    <col min="13" max="13" width="7.7109375" style="332" customWidth="1" collapsed="1"/>
    <col min="14" max="14" width="7.7109375" style="215" hidden="1" customWidth="1" outlineLevel="1"/>
    <col min="15" max="15" width="5" style="247" hidden="1" customWidth="1"/>
    <col min="16" max="16" width="7.7109375" style="215" customWidth="1"/>
    <col min="17" max="17" width="5" style="247" hidden="1" customWidth="1"/>
    <col min="18" max="18" width="7.7109375" style="215" customWidth="1"/>
    <col min="19" max="19" width="7.7109375" style="332" customWidth="1"/>
    <col min="20" max="16384" width="8.85546875" style="247"/>
  </cols>
  <sheetData>
    <row r="1" spans="1:19" ht="18.600000000000001" customHeight="1" thickBot="1" x14ac:dyDescent="0.35">
      <c r="A1" s="528" t="s">
        <v>156</v>
      </c>
      <c r="B1" s="516"/>
      <c r="C1" s="516"/>
      <c r="D1" s="516"/>
      <c r="E1" s="516"/>
      <c r="F1" s="516"/>
      <c r="G1" s="516"/>
      <c r="H1" s="516"/>
      <c r="I1" s="516"/>
      <c r="J1" s="516"/>
      <c r="K1" s="516"/>
      <c r="L1" s="516"/>
      <c r="M1" s="516"/>
      <c r="N1" s="516"/>
      <c r="O1" s="516"/>
      <c r="P1" s="516"/>
      <c r="Q1" s="516"/>
      <c r="R1" s="516"/>
      <c r="S1" s="516"/>
    </row>
    <row r="2" spans="1:19" ht="14.45" customHeight="1" thickBot="1" x14ac:dyDescent="0.25">
      <c r="A2" s="705" t="s">
        <v>328</v>
      </c>
      <c r="B2" s="348"/>
      <c r="C2" s="220"/>
      <c r="D2" s="348"/>
      <c r="E2" s="220"/>
      <c r="F2" s="348"/>
      <c r="G2" s="349"/>
      <c r="H2" s="348"/>
      <c r="I2" s="220"/>
      <c r="J2" s="348"/>
      <c r="K2" s="220"/>
      <c r="L2" s="348"/>
      <c r="M2" s="349"/>
      <c r="N2" s="348"/>
      <c r="O2" s="220"/>
      <c r="P2" s="348"/>
      <c r="Q2" s="220"/>
      <c r="R2" s="348"/>
      <c r="S2" s="349"/>
    </row>
    <row r="3" spans="1:19" ht="14.45" customHeight="1" thickBot="1" x14ac:dyDescent="0.25">
      <c r="A3" s="342" t="s">
        <v>158</v>
      </c>
      <c r="B3" s="343">
        <f>SUBTOTAL(9,B6:B1048576)</f>
        <v>39183253</v>
      </c>
      <c r="C3" s="344">
        <f t="shared" ref="C3:R3" si="0">SUBTOTAL(9,C6:C1048576)</f>
        <v>10.379593157598613</v>
      </c>
      <c r="D3" s="344">
        <f t="shared" si="0"/>
        <v>47697497</v>
      </c>
      <c r="E3" s="344">
        <f t="shared" si="0"/>
        <v>21</v>
      </c>
      <c r="F3" s="344">
        <f t="shared" si="0"/>
        <v>35467257.329999998</v>
      </c>
      <c r="G3" s="347">
        <f>IF(D3&lt;&gt;0,F3/D3,"")</f>
        <v>0.74358739055007428</v>
      </c>
      <c r="H3" s="343">
        <f t="shared" si="0"/>
        <v>18518471.120000001</v>
      </c>
      <c r="I3" s="344">
        <f t="shared" si="0"/>
        <v>10.06239721719983</v>
      </c>
      <c r="J3" s="344">
        <f t="shared" si="0"/>
        <v>19718423.770000007</v>
      </c>
      <c r="K3" s="344">
        <f t="shared" si="0"/>
        <v>10</v>
      </c>
      <c r="L3" s="344">
        <f t="shared" si="0"/>
        <v>15190052.080000015</v>
      </c>
      <c r="M3" s="345">
        <f>IF(J3&lt;&gt;0,L3/J3,"")</f>
        <v>0.7703481909700336</v>
      </c>
      <c r="N3" s="346">
        <f t="shared" si="0"/>
        <v>0</v>
      </c>
      <c r="O3" s="344">
        <f t="shared" si="0"/>
        <v>0</v>
      </c>
      <c r="P3" s="344">
        <f t="shared" si="0"/>
        <v>0</v>
      </c>
      <c r="Q3" s="344">
        <f t="shared" si="0"/>
        <v>0</v>
      </c>
      <c r="R3" s="344">
        <f t="shared" si="0"/>
        <v>0</v>
      </c>
      <c r="S3" s="345" t="str">
        <f>IF(P3&lt;&gt;0,R3/P3,"")</f>
        <v/>
      </c>
    </row>
    <row r="4" spans="1:19" ht="14.45" customHeight="1" x14ac:dyDescent="0.2">
      <c r="A4" s="627" t="s">
        <v>128</v>
      </c>
      <c r="B4" s="628" t="s">
        <v>122</v>
      </c>
      <c r="C4" s="629"/>
      <c r="D4" s="629"/>
      <c r="E4" s="629"/>
      <c r="F4" s="629"/>
      <c r="G4" s="631"/>
      <c r="H4" s="628" t="s">
        <v>123</v>
      </c>
      <c r="I4" s="629"/>
      <c r="J4" s="629"/>
      <c r="K4" s="629"/>
      <c r="L4" s="629"/>
      <c r="M4" s="631"/>
      <c r="N4" s="628" t="s">
        <v>124</v>
      </c>
      <c r="O4" s="629"/>
      <c r="P4" s="629"/>
      <c r="Q4" s="629"/>
      <c r="R4" s="629"/>
      <c r="S4" s="631"/>
    </row>
    <row r="5" spans="1:19" ht="14.45" customHeight="1" thickBot="1" x14ac:dyDescent="0.25">
      <c r="A5" s="842"/>
      <c r="B5" s="843">
        <v>2018</v>
      </c>
      <c r="C5" s="844"/>
      <c r="D5" s="844">
        <v>2019</v>
      </c>
      <c r="E5" s="844"/>
      <c r="F5" s="844">
        <v>2020</v>
      </c>
      <c r="G5" s="882" t="s">
        <v>2</v>
      </c>
      <c r="H5" s="843">
        <v>2018</v>
      </c>
      <c r="I5" s="844"/>
      <c r="J5" s="844">
        <v>2019</v>
      </c>
      <c r="K5" s="844"/>
      <c r="L5" s="844">
        <v>2020</v>
      </c>
      <c r="M5" s="882" t="s">
        <v>2</v>
      </c>
      <c r="N5" s="843">
        <v>2018</v>
      </c>
      <c r="O5" s="844"/>
      <c r="P5" s="844">
        <v>2019</v>
      </c>
      <c r="Q5" s="844"/>
      <c r="R5" s="844">
        <v>2020</v>
      </c>
      <c r="S5" s="882" t="s">
        <v>2</v>
      </c>
    </row>
    <row r="6" spans="1:19" ht="14.45" customHeight="1" x14ac:dyDescent="0.2">
      <c r="A6" s="836" t="s">
        <v>5435</v>
      </c>
      <c r="B6" s="864">
        <v>18925</v>
      </c>
      <c r="C6" s="808">
        <v>1.175173869846001</v>
      </c>
      <c r="D6" s="864">
        <v>16104</v>
      </c>
      <c r="E6" s="808">
        <v>1</v>
      </c>
      <c r="F6" s="864">
        <v>11148</v>
      </c>
      <c r="G6" s="813">
        <v>0.6922503725782414</v>
      </c>
      <c r="H6" s="864">
        <v>23884.48</v>
      </c>
      <c r="I6" s="808">
        <v>1.3408093196837452</v>
      </c>
      <c r="J6" s="864">
        <v>17813.48</v>
      </c>
      <c r="K6" s="808">
        <v>1</v>
      </c>
      <c r="L6" s="864">
        <v>9696.2799999999988</v>
      </c>
      <c r="M6" s="813">
        <v>0.5443226141102131</v>
      </c>
      <c r="N6" s="864"/>
      <c r="O6" s="808"/>
      <c r="P6" s="864"/>
      <c r="Q6" s="808"/>
      <c r="R6" s="864"/>
      <c r="S6" s="231"/>
    </row>
    <row r="7" spans="1:19" ht="14.45" customHeight="1" x14ac:dyDescent="0.2">
      <c r="A7" s="837" t="s">
        <v>5436</v>
      </c>
      <c r="B7" s="866">
        <v>6230</v>
      </c>
      <c r="C7" s="823">
        <v>0.34433206212347317</v>
      </c>
      <c r="D7" s="866">
        <v>18093</v>
      </c>
      <c r="E7" s="823">
        <v>1</v>
      </c>
      <c r="F7" s="866">
        <v>25960</v>
      </c>
      <c r="G7" s="828">
        <v>1.4348090421710054</v>
      </c>
      <c r="H7" s="866">
        <v>27410.15</v>
      </c>
      <c r="I7" s="823">
        <v>0.825338692635737</v>
      </c>
      <c r="J7" s="866">
        <v>33210.789999999994</v>
      </c>
      <c r="K7" s="823">
        <v>1</v>
      </c>
      <c r="L7" s="866">
        <v>22149.93</v>
      </c>
      <c r="M7" s="828">
        <v>0.6669498075775977</v>
      </c>
      <c r="N7" s="866"/>
      <c r="O7" s="823"/>
      <c r="P7" s="866"/>
      <c r="Q7" s="823"/>
      <c r="R7" s="866"/>
      <c r="S7" s="829"/>
    </row>
    <row r="8" spans="1:19" ht="14.45" customHeight="1" x14ac:dyDescent="0.2">
      <c r="A8" s="837" t="s">
        <v>5437</v>
      </c>
      <c r="B8" s="866">
        <v>4014</v>
      </c>
      <c r="C8" s="823">
        <v>0.46974839087185488</v>
      </c>
      <c r="D8" s="866">
        <v>8545</v>
      </c>
      <c r="E8" s="823">
        <v>1</v>
      </c>
      <c r="F8" s="866">
        <v>5736</v>
      </c>
      <c r="G8" s="828">
        <v>0.67126974839087183</v>
      </c>
      <c r="H8" s="866">
        <v>17723.39</v>
      </c>
      <c r="I8" s="823">
        <v>3.1830801005747125</v>
      </c>
      <c r="J8" s="866">
        <v>5568</v>
      </c>
      <c r="K8" s="823">
        <v>1</v>
      </c>
      <c r="L8" s="866">
        <v>10026.959999999999</v>
      </c>
      <c r="M8" s="828">
        <v>1.8008189655172413</v>
      </c>
      <c r="N8" s="866"/>
      <c r="O8" s="823"/>
      <c r="P8" s="866"/>
      <c r="Q8" s="823"/>
      <c r="R8" s="866"/>
      <c r="S8" s="829"/>
    </row>
    <row r="9" spans="1:19" ht="14.45" customHeight="1" x14ac:dyDescent="0.2">
      <c r="A9" s="837" t="s">
        <v>5438</v>
      </c>
      <c r="B9" s="866">
        <v>14626</v>
      </c>
      <c r="C9" s="823">
        <v>0.35672300675593277</v>
      </c>
      <c r="D9" s="866">
        <v>41001</v>
      </c>
      <c r="E9" s="823">
        <v>1</v>
      </c>
      <c r="F9" s="866">
        <v>29172</v>
      </c>
      <c r="G9" s="828">
        <v>0.71149484158922949</v>
      </c>
      <c r="H9" s="866">
        <v>107003.37</v>
      </c>
      <c r="I9" s="823">
        <v>1.6990611315644815</v>
      </c>
      <c r="J9" s="866">
        <v>62977.939999999988</v>
      </c>
      <c r="K9" s="823">
        <v>1</v>
      </c>
      <c r="L9" s="866">
        <v>68931.910000000018</v>
      </c>
      <c r="M9" s="828">
        <v>1.0945405645214821</v>
      </c>
      <c r="N9" s="866"/>
      <c r="O9" s="823"/>
      <c r="P9" s="866"/>
      <c r="Q9" s="823"/>
      <c r="R9" s="866"/>
      <c r="S9" s="829"/>
    </row>
    <row r="10" spans="1:19" ht="14.45" customHeight="1" x14ac:dyDescent="0.2">
      <c r="A10" s="837" t="s">
        <v>5439</v>
      </c>
      <c r="B10" s="866"/>
      <c r="C10" s="823"/>
      <c r="D10" s="866">
        <v>1763</v>
      </c>
      <c r="E10" s="823">
        <v>1</v>
      </c>
      <c r="F10" s="866">
        <v>3376</v>
      </c>
      <c r="G10" s="828">
        <v>1.914917753828701</v>
      </c>
      <c r="H10" s="866"/>
      <c r="I10" s="823"/>
      <c r="J10" s="866"/>
      <c r="K10" s="823"/>
      <c r="L10" s="866">
        <v>2377.65</v>
      </c>
      <c r="M10" s="828"/>
      <c r="N10" s="866"/>
      <c r="O10" s="823"/>
      <c r="P10" s="866"/>
      <c r="Q10" s="823"/>
      <c r="R10" s="866"/>
      <c r="S10" s="829"/>
    </row>
    <row r="11" spans="1:19" ht="14.45" customHeight="1" x14ac:dyDescent="0.2">
      <c r="A11" s="837" t="s">
        <v>5440</v>
      </c>
      <c r="B11" s="866">
        <v>127</v>
      </c>
      <c r="C11" s="823">
        <v>0.2170940170940171</v>
      </c>
      <c r="D11" s="866">
        <v>585</v>
      </c>
      <c r="E11" s="823">
        <v>1</v>
      </c>
      <c r="F11" s="866">
        <v>3540</v>
      </c>
      <c r="G11" s="828">
        <v>6.0512820512820511</v>
      </c>
      <c r="H11" s="866"/>
      <c r="I11" s="823"/>
      <c r="J11" s="866">
        <v>5884.89</v>
      </c>
      <c r="K11" s="823">
        <v>1</v>
      </c>
      <c r="L11" s="866">
        <v>9597.8299999999981</v>
      </c>
      <c r="M11" s="828">
        <v>1.6309276808912312</v>
      </c>
      <c r="N11" s="866"/>
      <c r="O11" s="823"/>
      <c r="P11" s="866"/>
      <c r="Q11" s="823"/>
      <c r="R11" s="866"/>
      <c r="S11" s="829"/>
    </row>
    <row r="12" spans="1:19" ht="14.45" customHeight="1" x14ac:dyDescent="0.2">
      <c r="A12" s="837" t="s">
        <v>5441</v>
      </c>
      <c r="B12" s="866">
        <v>14263</v>
      </c>
      <c r="C12" s="823">
        <v>0.95654215009053722</v>
      </c>
      <c r="D12" s="866">
        <v>14911</v>
      </c>
      <c r="E12" s="823">
        <v>1</v>
      </c>
      <c r="F12" s="866">
        <v>28671</v>
      </c>
      <c r="G12" s="828">
        <v>1.9228086647441487</v>
      </c>
      <c r="H12" s="866"/>
      <c r="I12" s="823"/>
      <c r="J12" s="866">
        <v>12748.48</v>
      </c>
      <c r="K12" s="823">
        <v>1</v>
      </c>
      <c r="L12" s="866">
        <v>46708.82</v>
      </c>
      <c r="M12" s="828">
        <v>3.6638736539571779</v>
      </c>
      <c r="N12" s="866"/>
      <c r="O12" s="823"/>
      <c r="P12" s="866"/>
      <c r="Q12" s="823"/>
      <c r="R12" s="866"/>
      <c r="S12" s="829"/>
    </row>
    <row r="13" spans="1:19" ht="14.45" customHeight="1" x14ac:dyDescent="0.2">
      <c r="A13" s="837" t="s">
        <v>5442</v>
      </c>
      <c r="B13" s="866">
        <v>972</v>
      </c>
      <c r="C13" s="823">
        <v>0.41256366723259763</v>
      </c>
      <c r="D13" s="866">
        <v>2356</v>
      </c>
      <c r="E13" s="823">
        <v>1</v>
      </c>
      <c r="F13" s="866">
        <v>2360</v>
      </c>
      <c r="G13" s="828">
        <v>1.0016977928692699</v>
      </c>
      <c r="H13" s="866"/>
      <c r="I13" s="823"/>
      <c r="J13" s="866"/>
      <c r="K13" s="823"/>
      <c r="L13" s="866">
        <v>4628.1000000000004</v>
      </c>
      <c r="M13" s="828"/>
      <c r="N13" s="866"/>
      <c r="O13" s="823"/>
      <c r="P13" s="866"/>
      <c r="Q13" s="823"/>
      <c r="R13" s="866"/>
      <c r="S13" s="829"/>
    </row>
    <row r="14" spans="1:19" ht="14.45" customHeight="1" x14ac:dyDescent="0.2">
      <c r="A14" s="837" t="s">
        <v>5443</v>
      </c>
      <c r="B14" s="866"/>
      <c r="C14" s="823"/>
      <c r="D14" s="866">
        <v>1178</v>
      </c>
      <c r="E14" s="823">
        <v>1</v>
      </c>
      <c r="F14" s="866">
        <v>2360</v>
      </c>
      <c r="G14" s="828">
        <v>2.0033955857385397</v>
      </c>
      <c r="H14" s="866"/>
      <c r="I14" s="823"/>
      <c r="J14" s="866"/>
      <c r="K14" s="823"/>
      <c r="L14" s="866">
        <v>9712.7199999999993</v>
      </c>
      <c r="M14" s="828"/>
      <c r="N14" s="866"/>
      <c r="O14" s="823"/>
      <c r="P14" s="866"/>
      <c r="Q14" s="823"/>
      <c r="R14" s="866"/>
      <c r="S14" s="829"/>
    </row>
    <row r="15" spans="1:19" ht="14.45" customHeight="1" x14ac:dyDescent="0.2">
      <c r="A15" s="837" t="s">
        <v>5444</v>
      </c>
      <c r="B15" s="866"/>
      <c r="C15" s="823"/>
      <c r="D15" s="866">
        <v>4704</v>
      </c>
      <c r="E15" s="823">
        <v>1</v>
      </c>
      <c r="F15" s="866">
        <v>20060</v>
      </c>
      <c r="G15" s="828">
        <v>4.2644557823129254</v>
      </c>
      <c r="H15" s="866"/>
      <c r="I15" s="823"/>
      <c r="J15" s="866"/>
      <c r="K15" s="823"/>
      <c r="L15" s="866">
        <v>28363.739999999998</v>
      </c>
      <c r="M15" s="828"/>
      <c r="N15" s="866"/>
      <c r="O15" s="823"/>
      <c r="P15" s="866"/>
      <c r="Q15" s="823"/>
      <c r="R15" s="866"/>
      <c r="S15" s="829"/>
    </row>
    <row r="16" spans="1:19" ht="14.45" customHeight="1" x14ac:dyDescent="0.2">
      <c r="A16" s="837" t="s">
        <v>5445</v>
      </c>
      <c r="B16" s="866"/>
      <c r="C16" s="823"/>
      <c r="D16" s="866"/>
      <c r="E16" s="823"/>
      <c r="F16" s="866">
        <v>3540</v>
      </c>
      <c r="G16" s="828"/>
      <c r="H16" s="866"/>
      <c r="I16" s="823"/>
      <c r="J16" s="866"/>
      <c r="K16" s="823"/>
      <c r="L16" s="866">
        <v>9484.4599999999991</v>
      </c>
      <c r="M16" s="828"/>
      <c r="N16" s="866"/>
      <c r="O16" s="823"/>
      <c r="P16" s="866"/>
      <c r="Q16" s="823"/>
      <c r="R16" s="866"/>
      <c r="S16" s="829"/>
    </row>
    <row r="17" spans="1:19" ht="14.45" customHeight="1" x14ac:dyDescent="0.2">
      <c r="A17" s="837" t="s">
        <v>5446</v>
      </c>
      <c r="B17" s="866"/>
      <c r="C17" s="823"/>
      <c r="D17" s="866">
        <v>1178</v>
      </c>
      <c r="E17" s="823">
        <v>1</v>
      </c>
      <c r="F17" s="866">
        <v>4720</v>
      </c>
      <c r="G17" s="828">
        <v>4.0067911714770794</v>
      </c>
      <c r="H17" s="866"/>
      <c r="I17" s="823"/>
      <c r="J17" s="866"/>
      <c r="K17" s="823"/>
      <c r="L17" s="866">
        <v>9383.4000000000015</v>
      </c>
      <c r="M17" s="828"/>
      <c r="N17" s="866"/>
      <c r="O17" s="823"/>
      <c r="P17" s="866"/>
      <c r="Q17" s="823"/>
      <c r="R17" s="866"/>
      <c r="S17" s="829"/>
    </row>
    <row r="18" spans="1:19" ht="14.45" customHeight="1" x14ac:dyDescent="0.2">
      <c r="A18" s="837" t="s">
        <v>5447</v>
      </c>
      <c r="B18" s="866">
        <v>3124</v>
      </c>
      <c r="C18" s="823">
        <v>0.33205782312925169</v>
      </c>
      <c r="D18" s="866">
        <v>9408</v>
      </c>
      <c r="E18" s="823">
        <v>1</v>
      </c>
      <c r="F18" s="866">
        <v>23600</v>
      </c>
      <c r="G18" s="828">
        <v>2.5085034013605441</v>
      </c>
      <c r="H18" s="866"/>
      <c r="I18" s="823"/>
      <c r="J18" s="866">
        <v>17285.240000000002</v>
      </c>
      <c r="K18" s="823">
        <v>1</v>
      </c>
      <c r="L18" s="866">
        <v>58164.65</v>
      </c>
      <c r="M18" s="828">
        <v>3.3649894360737829</v>
      </c>
      <c r="N18" s="866"/>
      <c r="O18" s="823"/>
      <c r="P18" s="866"/>
      <c r="Q18" s="823"/>
      <c r="R18" s="866"/>
      <c r="S18" s="829"/>
    </row>
    <row r="19" spans="1:19" ht="14.45" customHeight="1" x14ac:dyDescent="0.2">
      <c r="A19" s="837" t="s">
        <v>5448</v>
      </c>
      <c r="B19" s="866"/>
      <c r="C19" s="823"/>
      <c r="D19" s="866">
        <v>4630</v>
      </c>
      <c r="E19" s="823">
        <v>1</v>
      </c>
      <c r="F19" s="866">
        <v>4683</v>
      </c>
      <c r="G19" s="828">
        <v>1.0114470842332612</v>
      </c>
      <c r="H19" s="866"/>
      <c r="I19" s="823"/>
      <c r="J19" s="866"/>
      <c r="K19" s="823"/>
      <c r="L19" s="866">
        <v>9033.9500000000007</v>
      </c>
      <c r="M19" s="828"/>
      <c r="N19" s="866"/>
      <c r="O19" s="823"/>
      <c r="P19" s="866"/>
      <c r="Q19" s="823"/>
      <c r="R19" s="866"/>
      <c r="S19" s="829"/>
    </row>
    <row r="20" spans="1:19" ht="14.45" customHeight="1" x14ac:dyDescent="0.2">
      <c r="A20" s="837" t="s">
        <v>5449</v>
      </c>
      <c r="B20" s="866">
        <v>580</v>
      </c>
      <c r="C20" s="823"/>
      <c r="D20" s="866"/>
      <c r="E20" s="823"/>
      <c r="F20" s="866">
        <v>1180</v>
      </c>
      <c r="G20" s="828"/>
      <c r="H20" s="866">
        <v>6677.48</v>
      </c>
      <c r="I20" s="823"/>
      <c r="J20" s="866"/>
      <c r="K20" s="823"/>
      <c r="L20" s="866">
        <v>2250.4499999999998</v>
      </c>
      <c r="M20" s="828"/>
      <c r="N20" s="866"/>
      <c r="O20" s="823"/>
      <c r="P20" s="866"/>
      <c r="Q20" s="823"/>
      <c r="R20" s="866"/>
      <c r="S20" s="829"/>
    </row>
    <row r="21" spans="1:19" ht="14.45" customHeight="1" x14ac:dyDescent="0.2">
      <c r="A21" s="837" t="s">
        <v>5450</v>
      </c>
      <c r="B21" s="866">
        <v>3040</v>
      </c>
      <c r="C21" s="823">
        <v>0.1099576807610229</v>
      </c>
      <c r="D21" s="866">
        <v>27647</v>
      </c>
      <c r="E21" s="823">
        <v>1</v>
      </c>
      <c r="F21" s="866">
        <v>42480</v>
      </c>
      <c r="G21" s="828">
        <v>1.5365139074763989</v>
      </c>
      <c r="H21" s="866">
        <v>27749.91</v>
      </c>
      <c r="I21" s="823">
        <v>0.57637083757650964</v>
      </c>
      <c r="J21" s="866">
        <v>48145.929999999993</v>
      </c>
      <c r="K21" s="823">
        <v>1</v>
      </c>
      <c r="L21" s="866">
        <v>165706.20000000001</v>
      </c>
      <c r="M21" s="828">
        <v>3.441748866415085</v>
      </c>
      <c r="N21" s="866"/>
      <c r="O21" s="823"/>
      <c r="P21" s="866"/>
      <c r="Q21" s="823"/>
      <c r="R21" s="866"/>
      <c r="S21" s="829"/>
    </row>
    <row r="22" spans="1:19" ht="14.45" customHeight="1" x14ac:dyDescent="0.2">
      <c r="A22" s="837" t="s">
        <v>5451</v>
      </c>
      <c r="B22" s="866">
        <v>5220</v>
      </c>
      <c r="C22" s="823">
        <v>0.63488202383848213</v>
      </c>
      <c r="D22" s="866">
        <v>8222</v>
      </c>
      <c r="E22" s="823">
        <v>1</v>
      </c>
      <c r="F22" s="866">
        <v>9440</v>
      </c>
      <c r="G22" s="828">
        <v>1.1481391388956459</v>
      </c>
      <c r="H22" s="866">
        <v>58987.839999999997</v>
      </c>
      <c r="I22" s="823">
        <v>1.5020219090865341</v>
      </c>
      <c r="J22" s="866">
        <v>39272.289999999994</v>
      </c>
      <c r="K22" s="823">
        <v>1</v>
      </c>
      <c r="L22" s="866">
        <v>28693.64</v>
      </c>
      <c r="M22" s="828">
        <v>0.73063322765237282</v>
      </c>
      <c r="N22" s="866"/>
      <c r="O22" s="823"/>
      <c r="P22" s="866"/>
      <c r="Q22" s="823"/>
      <c r="R22" s="866"/>
      <c r="S22" s="829"/>
    </row>
    <row r="23" spans="1:19" ht="14.45" customHeight="1" x14ac:dyDescent="0.2">
      <c r="A23" s="837" t="s">
        <v>5452</v>
      </c>
      <c r="B23" s="866"/>
      <c r="C23" s="823"/>
      <c r="D23" s="866">
        <v>3032</v>
      </c>
      <c r="E23" s="823">
        <v>1</v>
      </c>
      <c r="F23" s="866"/>
      <c r="G23" s="828"/>
      <c r="H23" s="866"/>
      <c r="I23" s="823"/>
      <c r="J23" s="866"/>
      <c r="K23" s="823"/>
      <c r="L23" s="866"/>
      <c r="M23" s="828"/>
      <c r="N23" s="866"/>
      <c r="O23" s="823"/>
      <c r="P23" s="866"/>
      <c r="Q23" s="823"/>
      <c r="R23" s="866"/>
      <c r="S23" s="829"/>
    </row>
    <row r="24" spans="1:19" ht="14.45" customHeight="1" x14ac:dyDescent="0.2">
      <c r="A24" s="837" t="s">
        <v>5453</v>
      </c>
      <c r="B24" s="866">
        <v>8954</v>
      </c>
      <c r="C24" s="823">
        <v>2.5451961341671403</v>
      </c>
      <c r="D24" s="866">
        <v>3518</v>
      </c>
      <c r="E24" s="823">
        <v>1</v>
      </c>
      <c r="F24" s="866">
        <v>21240</v>
      </c>
      <c r="G24" s="828">
        <v>6.0375213189312111</v>
      </c>
      <c r="H24" s="866"/>
      <c r="I24" s="823"/>
      <c r="J24" s="866"/>
      <c r="K24" s="823"/>
      <c r="L24" s="866">
        <v>17557.550000000003</v>
      </c>
      <c r="M24" s="828"/>
      <c r="N24" s="866"/>
      <c r="O24" s="823"/>
      <c r="P24" s="866"/>
      <c r="Q24" s="823"/>
      <c r="R24" s="866"/>
      <c r="S24" s="829"/>
    </row>
    <row r="25" spans="1:19" ht="14.45" customHeight="1" x14ac:dyDescent="0.2">
      <c r="A25" s="837" t="s">
        <v>5454</v>
      </c>
      <c r="B25" s="866">
        <v>3180</v>
      </c>
      <c r="C25" s="823">
        <v>1.0463968410661402</v>
      </c>
      <c r="D25" s="866">
        <v>3039</v>
      </c>
      <c r="E25" s="823">
        <v>1</v>
      </c>
      <c r="F25" s="866">
        <v>2360</v>
      </c>
      <c r="G25" s="828">
        <v>0.77657124053965121</v>
      </c>
      <c r="H25" s="866">
        <v>13354.96</v>
      </c>
      <c r="I25" s="823"/>
      <c r="J25" s="866"/>
      <c r="K25" s="823"/>
      <c r="L25" s="866">
        <v>4755.3</v>
      </c>
      <c r="M25" s="828"/>
      <c r="N25" s="866"/>
      <c r="O25" s="823"/>
      <c r="P25" s="866"/>
      <c r="Q25" s="823"/>
      <c r="R25" s="866"/>
      <c r="S25" s="829"/>
    </row>
    <row r="26" spans="1:19" ht="14.45" customHeight="1" x14ac:dyDescent="0.2">
      <c r="A26" s="837" t="s">
        <v>5455</v>
      </c>
      <c r="B26" s="866"/>
      <c r="C26" s="823"/>
      <c r="D26" s="866">
        <v>4233</v>
      </c>
      <c r="E26" s="823">
        <v>1</v>
      </c>
      <c r="F26" s="866">
        <v>18716</v>
      </c>
      <c r="G26" s="828">
        <v>4.4214505079140087</v>
      </c>
      <c r="H26" s="866"/>
      <c r="I26" s="823"/>
      <c r="J26" s="866"/>
      <c r="K26" s="823"/>
      <c r="L26" s="866"/>
      <c r="M26" s="828"/>
      <c r="N26" s="866"/>
      <c r="O26" s="823"/>
      <c r="P26" s="866"/>
      <c r="Q26" s="823"/>
      <c r="R26" s="866"/>
      <c r="S26" s="829"/>
    </row>
    <row r="27" spans="1:19" ht="14.45" customHeight="1" x14ac:dyDescent="0.2">
      <c r="A27" s="837" t="s">
        <v>1885</v>
      </c>
      <c r="B27" s="866">
        <v>39095808</v>
      </c>
      <c r="C27" s="823">
        <v>0.82274109993297839</v>
      </c>
      <c r="D27" s="866">
        <v>47518968</v>
      </c>
      <c r="E27" s="823">
        <v>1</v>
      </c>
      <c r="F27" s="866">
        <v>35188755.329999998</v>
      </c>
      <c r="G27" s="828">
        <v>0.74052019248397816</v>
      </c>
      <c r="H27" s="866">
        <v>18223537.540000003</v>
      </c>
      <c r="I27" s="823">
        <v>0.93571522607811164</v>
      </c>
      <c r="J27" s="866">
        <v>19475516.730000008</v>
      </c>
      <c r="K27" s="823">
        <v>1</v>
      </c>
      <c r="L27" s="866">
        <v>14638127.140000015</v>
      </c>
      <c r="M27" s="828">
        <v>0.75161688097607715</v>
      </c>
      <c r="N27" s="866"/>
      <c r="O27" s="823"/>
      <c r="P27" s="866"/>
      <c r="Q27" s="823"/>
      <c r="R27" s="866"/>
      <c r="S27" s="829"/>
    </row>
    <row r="28" spans="1:19" ht="14.45" customHeight="1" thickBot="1" x14ac:dyDescent="0.25">
      <c r="A28" s="870" t="s">
        <v>5456</v>
      </c>
      <c r="B28" s="868">
        <v>4190</v>
      </c>
      <c r="C28" s="815">
        <v>0.95618439068918304</v>
      </c>
      <c r="D28" s="868">
        <v>4382</v>
      </c>
      <c r="E28" s="815">
        <v>1</v>
      </c>
      <c r="F28" s="868">
        <v>14160</v>
      </c>
      <c r="G28" s="820">
        <v>3.2314011866727523</v>
      </c>
      <c r="H28" s="868">
        <v>12142</v>
      </c>
      <c r="I28" s="815"/>
      <c r="J28" s="868"/>
      <c r="K28" s="815"/>
      <c r="L28" s="868">
        <v>34701.4</v>
      </c>
      <c r="M28" s="820"/>
      <c r="N28" s="868"/>
      <c r="O28" s="815"/>
      <c r="P28" s="868"/>
      <c r="Q28" s="815"/>
      <c r="R28" s="868"/>
      <c r="S28" s="821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 xr:uid="{72303C81-B20A-4017-8103-6A8460881229}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M3 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List21">
    <tabColor theme="0" tint="-0.249977111117893"/>
    <outlinePr summaryRight="0"/>
    <pageSetUpPr fitToPage="1"/>
  </sheetPr>
  <dimension ref="A1:Q685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ColWidth="8.85546875" defaultRowHeight="14.45" customHeight="1" outlineLevelCol="1" x14ac:dyDescent="0.2"/>
  <cols>
    <col min="1" max="1" width="3" style="247" bestFit="1" customWidth="1"/>
    <col min="2" max="2" width="8.7109375" style="247" bestFit="1" customWidth="1"/>
    <col min="3" max="3" width="2.140625" style="247" bestFit="1" customWidth="1"/>
    <col min="4" max="4" width="8" style="247" bestFit="1" customWidth="1"/>
    <col min="5" max="5" width="52.85546875" style="247" bestFit="1" customWidth="1" collapsed="1"/>
    <col min="6" max="7" width="11.140625" style="329" hidden="1" customWidth="1" outlineLevel="1"/>
    <col min="8" max="9" width="9.28515625" style="329" hidden="1" customWidth="1"/>
    <col min="10" max="11" width="11.140625" style="329" customWidth="1"/>
    <col min="12" max="13" width="9.28515625" style="329" hidden="1" customWidth="1"/>
    <col min="14" max="15" width="11.140625" style="329" customWidth="1"/>
    <col min="16" max="16" width="11.140625" style="332" customWidth="1"/>
    <col min="17" max="17" width="11.140625" style="329" customWidth="1"/>
    <col min="18" max="16384" width="8.85546875" style="247"/>
  </cols>
  <sheetData>
    <row r="1" spans="1:17" ht="18.600000000000001" customHeight="1" thickBot="1" x14ac:dyDescent="0.35">
      <c r="A1" s="516" t="s">
        <v>6145</v>
      </c>
      <c r="B1" s="516"/>
      <c r="C1" s="516"/>
      <c r="D1" s="516"/>
      <c r="E1" s="516"/>
      <c r="F1" s="516"/>
      <c r="G1" s="516"/>
      <c r="H1" s="516"/>
      <c r="I1" s="516"/>
      <c r="J1" s="516"/>
      <c r="K1" s="516"/>
      <c r="L1" s="516"/>
      <c r="M1" s="516"/>
      <c r="N1" s="516"/>
      <c r="O1" s="516"/>
      <c r="P1" s="516"/>
      <c r="Q1" s="516"/>
    </row>
    <row r="2" spans="1:17" ht="14.45" customHeight="1" thickBot="1" x14ac:dyDescent="0.25">
      <c r="A2" s="705" t="s">
        <v>328</v>
      </c>
      <c r="B2" s="248"/>
      <c r="C2" s="248"/>
      <c r="D2" s="248"/>
      <c r="E2" s="248"/>
      <c r="F2" s="350"/>
      <c r="G2" s="350"/>
      <c r="H2" s="350"/>
      <c r="I2" s="350"/>
      <c r="J2" s="350"/>
      <c r="K2" s="350"/>
      <c r="L2" s="350"/>
      <c r="M2" s="350"/>
      <c r="N2" s="350"/>
      <c r="O2" s="350"/>
      <c r="P2" s="351"/>
      <c r="Q2" s="350"/>
    </row>
    <row r="3" spans="1:17" ht="14.45" customHeight="1" thickBot="1" x14ac:dyDescent="0.25">
      <c r="E3" s="112" t="s">
        <v>158</v>
      </c>
      <c r="F3" s="207">
        <f t="shared" ref="F3:O3" si="0">SUBTOTAL(9,F6:F1048576)</f>
        <v>23151.5</v>
      </c>
      <c r="G3" s="208">
        <f t="shared" si="0"/>
        <v>57701724.12000002</v>
      </c>
      <c r="H3" s="208"/>
      <c r="I3" s="208"/>
      <c r="J3" s="208">
        <f t="shared" si="0"/>
        <v>26836.35</v>
      </c>
      <c r="K3" s="208">
        <f t="shared" si="0"/>
        <v>67415920.770000011</v>
      </c>
      <c r="L3" s="208"/>
      <c r="M3" s="208"/>
      <c r="N3" s="208">
        <f t="shared" si="0"/>
        <v>21709.25</v>
      </c>
      <c r="O3" s="208">
        <f t="shared" si="0"/>
        <v>50657309.410000026</v>
      </c>
      <c r="P3" s="79">
        <f>IF(K3=0,0,O3/K3)</f>
        <v>0.75141463368609007</v>
      </c>
      <c r="Q3" s="209">
        <f>IF(N3=0,0,O3/N3)</f>
        <v>2333.4435510208796</v>
      </c>
    </row>
    <row r="4" spans="1:17" ht="14.45" customHeight="1" x14ac:dyDescent="0.2">
      <c r="A4" s="636" t="s">
        <v>73</v>
      </c>
      <c r="B4" s="634" t="s">
        <v>118</v>
      </c>
      <c r="C4" s="636" t="s">
        <v>119</v>
      </c>
      <c r="D4" s="645" t="s">
        <v>120</v>
      </c>
      <c r="E4" s="637" t="s">
        <v>80</v>
      </c>
      <c r="F4" s="643">
        <v>2018</v>
      </c>
      <c r="G4" s="644"/>
      <c r="H4" s="210"/>
      <c r="I4" s="210"/>
      <c r="J4" s="643">
        <v>2019</v>
      </c>
      <c r="K4" s="644"/>
      <c r="L4" s="210"/>
      <c r="M4" s="210"/>
      <c r="N4" s="643">
        <v>2020</v>
      </c>
      <c r="O4" s="644"/>
      <c r="P4" s="646" t="s">
        <v>2</v>
      </c>
      <c r="Q4" s="635" t="s">
        <v>121</v>
      </c>
    </row>
    <row r="5" spans="1:17" ht="14.45" customHeight="1" thickBot="1" x14ac:dyDescent="0.25">
      <c r="A5" s="873"/>
      <c r="B5" s="871"/>
      <c r="C5" s="873"/>
      <c r="D5" s="883"/>
      <c r="E5" s="875"/>
      <c r="F5" s="884" t="s">
        <v>90</v>
      </c>
      <c r="G5" s="885" t="s">
        <v>14</v>
      </c>
      <c r="H5" s="886"/>
      <c r="I5" s="886"/>
      <c r="J5" s="884" t="s">
        <v>90</v>
      </c>
      <c r="K5" s="885" t="s">
        <v>14</v>
      </c>
      <c r="L5" s="886"/>
      <c r="M5" s="886"/>
      <c r="N5" s="884" t="s">
        <v>90</v>
      </c>
      <c r="O5" s="885" t="s">
        <v>14</v>
      </c>
      <c r="P5" s="887"/>
      <c r="Q5" s="880"/>
    </row>
    <row r="6" spans="1:17" ht="14.45" customHeight="1" x14ac:dyDescent="0.2">
      <c r="A6" s="807" t="s">
        <v>5457</v>
      </c>
      <c r="B6" s="808" t="s">
        <v>5354</v>
      </c>
      <c r="C6" s="808" t="s">
        <v>5396</v>
      </c>
      <c r="D6" s="808" t="s">
        <v>5458</v>
      </c>
      <c r="E6" s="808" t="s">
        <v>5459</v>
      </c>
      <c r="F6" s="225"/>
      <c r="G6" s="225"/>
      <c r="H6" s="225"/>
      <c r="I6" s="225"/>
      <c r="J6" s="225"/>
      <c r="K6" s="225"/>
      <c r="L6" s="225"/>
      <c r="M6" s="225"/>
      <c r="N6" s="225">
        <v>1</v>
      </c>
      <c r="O6" s="225">
        <v>4940.9799999999996</v>
      </c>
      <c r="P6" s="813"/>
      <c r="Q6" s="831">
        <v>4940.9799999999996</v>
      </c>
    </row>
    <row r="7" spans="1:17" ht="14.45" customHeight="1" x14ac:dyDescent="0.2">
      <c r="A7" s="822" t="s">
        <v>5457</v>
      </c>
      <c r="B7" s="823" t="s">
        <v>5354</v>
      </c>
      <c r="C7" s="823" t="s">
        <v>5396</v>
      </c>
      <c r="D7" s="823" t="s">
        <v>5402</v>
      </c>
      <c r="E7" s="823" t="s">
        <v>5403</v>
      </c>
      <c r="F7" s="832"/>
      <c r="G7" s="832"/>
      <c r="H7" s="832"/>
      <c r="I7" s="832"/>
      <c r="J7" s="832"/>
      <c r="K7" s="832"/>
      <c r="L7" s="832"/>
      <c r="M7" s="832"/>
      <c r="N7" s="832">
        <v>2</v>
      </c>
      <c r="O7" s="832">
        <v>4755.3</v>
      </c>
      <c r="P7" s="828"/>
      <c r="Q7" s="833">
        <v>2377.65</v>
      </c>
    </row>
    <row r="8" spans="1:17" ht="14.45" customHeight="1" x14ac:dyDescent="0.2">
      <c r="A8" s="822" t="s">
        <v>5457</v>
      </c>
      <c r="B8" s="823" t="s">
        <v>5354</v>
      </c>
      <c r="C8" s="823" t="s">
        <v>5355</v>
      </c>
      <c r="D8" s="823" t="s">
        <v>5368</v>
      </c>
      <c r="E8" s="823" t="s">
        <v>5369</v>
      </c>
      <c r="F8" s="832">
        <v>11</v>
      </c>
      <c r="G8" s="832">
        <v>11110</v>
      </c>
      <c r="H8" s="832">
        <v>1.3709279368213227</v>
      </c>
      <c r="I8" s="832">
        <v>1010</v>
      </c>
      <c r="J8" s="832">
        <v>8</v>
      </c>
      <c r="K8" s="832">
        <v>8104</v>
      </c>
      <c r="L8" s="832">
        <v>1</v>
      </c>
      <c r="M8" s="832">
        <v>1013</v>
      </c>
      <c r="N8" s="832">
        <v>4</v>
      </c>
      <c r="O8" s="832">
        <v>4064</v>
      </c>
      <c r="P8" s="828">
        <v>0.50148075024679173</v>
      </c>
      <c r="Q8" s="833">
        <v>1016</v>
      </c>
    </row>
    <row r="9" spans="1:17" ht="14.45" customHeight="1" x14ac:dyDescent="0.2">
      <c r="A9" s="822" t="s">
        <v>5457</v>
      </c>
      <c r="B9" s="823" t="s">
        <v>5354</v>
      </c>
      <c r="C9" s="823" t="s">
        <v>5355</v>
      </c>
      <c r="D9" s="823" t="s">
        <v>5384</v>
      </c>
      <c r="E9" s="823" t="s">
        <v>5385</v>
      </c>
      <c r="F9" s="832">
        <v>2</v>
      </c>
      <c r="G9" s="832">
        <v>4032</v>
      </c>
      <c r="H9" s="832">
        <v>1.9970282317979198</v>
      </c>
      <c r="I9" s="832">
        <v>2016</v>
      </c>
      <c r="J9" s="832">
        <v>1</v>
      </c>
      <c r="K9" s="832">
        <v>2019</v>
      </c>
      <c r="L9" s="832">
        <v>1</v>
      </c>
      <c r="M9" s="832">
        <v>2019</v>
      </c>
      <c r="N9" s="832">
        <v>1</v>
      </c>
      <c r="O9" s="832">
        <v>2022</v>
      </c>
      <c r="P9" s="828">
        <v>1.0014858841010401</v>
      </c>
      <c r="Q9" s="833">
        <v>2022</v>
      </c>
    </row>
    <row r="10" spans="1:17" ht="14.45" customHeight="1" x14ac:dyDescent="0.2">
      <c r="A10" s="822" t="s">
        <v>5457</v>
      </c>
      <c r="B10" s="823" t="s">
        <v>5354</v>
      </c>
      <c r="C10" s="823" t="s">
        <v>5355</v>
      </c>
      <c r="D10" s="823" t="s">
        <v>5386</v>
      </c>
      <c r="E10" s="823" t="s">
        <v>5387</v>
      </c>
      <c r="F10" s="832">
        <v>2</v>
      </c>
      <c r="G10" s="832">
        <v>710</v>
      </c>
      <c r="H10" s="832">
        <v>1.9832402234636872</v>
      </c>
      <c r="I10" s="832">
        <v>355</v>
      </c>
      <c r="J10" s="832">
        <v>1</v>
      </c>
      <c r="K10" s="832">
        <v>358</v>
      </c>
      <c r="L10" s="832">
        <v>1</v>
      </c>
      <c r="M10" s="832">
        <v>358</v>
      </c>
      <c r="N10" s="832"/>
      <c r="O10" s="832"/>
      <c r="P10" s="828"/>
      <c r="Q10" s="833"/>
    </row>
    <row r="11" spans="1:17" ht="14.45" customHeight="1" x14ac:dyDescent="0.2">
      <c r="A11" s="822" t="s">
        <v>5457</v>
      </c>
      <c r="B11" s="823" t="s">
        <v>5354</v>
      </c>
      <c r="C11" s="823" t="s">
        <v>5355</v>
      </c>
      <c r="D11" s="823" t="s">
        <v>5408</v>
      </c>
      <c r="E11" s="823" t="s">
        <v>5409</v>
      </c>
      <c r="F11" s="832"/>
      <c r="G11" s="832"/>
      <c r="H11" s="832"/>
      <c r="I11" s="832"/>
      <c r="J11" s="832">
        <v>2</v>
      </c>
      <c r="K11" s="832">
        <v>2356</v>
      </c>
      <c r="L11" s="832">
        <v>1</v>
      </c>
      <c r="M11" s="832">
        <v>1178</v>
      </c>
      <c r="N11" s="832">
        <v>3</v>
      </c>
      <c r="O11" s="832">
        <v>3540</v>
      </c>
      <c r="P11" s="828">
        <v>1.502546689303905</v>
      </c>
      <c r="Q11" s="833">
        <v>1180</v>
      </c>
    </row>
    <row r="12" spans="1:17" ht="14.45" customHeight="1" x14ac:dyDescent="0.2">
      <c r="A12" s="822" t="s">
        <v>5457</v>
      </c>
      <c r="B12" s="823" t="s">
        <v>5410</v>
      </c>
      <c r="C12" s="823" t="s">
        <v>5355</v>
      </c>
      <c r="D12" s="823" t="s">
        <v>5413</v>
      </c>
      <c r="E12" s="823" t="s">
        <v>5414</v>
      </c>
      <c r="F12" s="832">
        <v>1</v>
      </c>
      <c r="G12" s="832">
        <v>127</v>
      </c>
      <c r="H12" s="832">
        <v>0.50396825396825395</v>
      </c>
      <c r="I12" s="832">
        <v>127</v>
      </c>
      <c r="J12" s="832">
        <v>2</v>
      </c>
      <c r="K12" s="832">
        <v>252</v>
      </c>
      <c r="L12" s="832">
        <v>1</v>
      </c>
      <c r="M12" s="832">
        <v>126</v>
      </c>
      <c r="N12" s="832">
        <v>2</v>
      </c>
      <c r="O12" s="832">
        <v>254</v>
      </c>
      <c r="P12" s="828">
        <v>1.0079365079365079</v>
      </c>
      <c r="Q12" s="833">
        <v>127</v>
      </c>
    </row>
    <row r="13" spans="1:17" ht="14.45" customHeight="1" x14ac:dyDescent="0.2">
      <c r="A13" s="822" t="s">
        <v>5457</v>
      </c>
      <c r="B13" s="823" t="s">
        <v>5410</v>
      </c>
      <c r="C13" s="823" t="s">
        <v>5355</v>
      </c>
      <c r="D13" s="823" t="s">
        <v>5423</v>
      </c>
      <c r="E13" s="823" t="s">
        <v>5424</v>
      </c>
      <c r="F13" s="832">
        <v>1</v>
      </c>
      <c r="G13" s="832">
        <v>374</v>
      </c>
      <c r="H13" s="832">
        <v>0.49734042553191488</v>
      </c>
      <c r="I13" s="832">
        <v>374</v>
      </c>
      <c r="J13" s="832">
        <v>2</v>
      </c>
      <c r="K13" s="832">
        <v>752</v>
      </c>
      <c r="L13" s="832">
        <v>1</v>
      </c>
      <c r="M13" s="832">
        <v>376</v>
      </c>
      <c r="N13" s="832">
        <v>2</v>
      </c>
      <c r="O13" s="832">
        <v>758</v>
      </c>
      <c r="P13" s="828">
        <v>1.0079787234042554</v>
      </c>
      <c r="Q13" s="833">
        <v>379</v>
      </c>
    </row>
    <row r="14" spans="1:17" ht="14.45" customHeight="1" x14ac:dyDescent="0.2">
      <c r="A14" s="822" t="s">
        <v>5457</v>
      </c>
      <c r="B14" s="823" t="s">
        <v>5410</v>
      </c>
      <c r="C14" s="823" t="s">
        <v>5355</v>
      </c>
      <c r="D14" s="823" t="s">
        <v>5425</v>
      </c>
      <c r="E14" s="823" t="s">
        <v>5426</v>
      </c>
      <c r="F14" s="832">
        <v>1</v>
      </c>
      <c r="G14" s="832">
        <v>252</v>
      </c>
      <c r="H14" s="832">
        <v>0.49606299212598426</v>
      </c>
      <c r="I14" s="832">
        <v>252</v>
      </c>
      <c r="J14" s="832">
        <v>2</v>
      </c>
      <c r="K14" s="832">
        <v>508</v>
      </c>
      <c r="L14" s="832">
        <v>1</v>
      </c>
      <c r="M14" s="832">
        <v>254</v>
      </c>
      <c r="N14" s="832">
        <v>2</v>
      </c>
      <c r="O14" s="832">
        <v>510</v>
      </c>
      <c r="P14" s="828">
        <v>1.0039370078740157</v>
      </c>
      <c r="Q14" s="833">
        <v>255</v>
      </c>
    </row>
    <row r="15" spans="1:17" ht="14.45" customHeight="1" x14ac:dyDescent="0.2">
      <c r="A15" s="822" t="s">
        <v>5457</v>
      </c>
      <c r="B15" s="823" t="s">
        <v>5427</v>
      </c>
      <c r="C15" s="823" t="s">
        <v>5396</v>
      </c>
      <c r="D15" s="823" t="s">
        <v>5397</v>
      </c>
      <c r="E15" s="823" t="s">
        <v>5398</v>
      </c>
      <c r="F15" s="832">
        <v>1</v>
      </c>
      <c r="G15" s="832">
        <v>6677.48</v>
      </c>
      <c r="H15" s="832">
        <v>1</v>
      </c>
      <c r="I15" s="832">
        <v>6677.48</v>
      </c>
      <c r="J15" s="832">
        <v>1</v>
      </c>
      <c r="K15" s="832">
        <v>6677.48</v>
      </c>
      <c r="L15" s="832">
        <v>1</v>
      </c>
      <c r="M15" s="832">
        <v>6677.48</v>
      </c>
      <c r="N15" s="832"/>
      <c r="O15" s="832"/>
      <c r="P15" s="828"/>
      <c r="Q15" s="833"/>
    </row>
    <row r="16" spans="1:17" ht="14.45" customHeight="1" x14ac:dyDescent="0.2">
      <c r="A16" s="822" t="s">
        <v>5457</v>
      </c>
      <c r="B16" s="823" t="s">
        <v>5427</v>
      </c>
      <c r="C16" s="823" t="s">
        <v>5396</v>
      </c>
      <c r="D16" s="823" t="s">
        <v>5399</v>
      </c>
      <c r="E16" s="823" t="s">
        <v>5398</v>
      </c>
      <c r="F16" s="832">
        <v>2</v>
      </c>
      <c r="G16" s="832">
        <v>11136</v>
      </c>
      <c r="H16" s="832">
        <v>1</v>
      </c>
      <c r="I16" s="832">
        <v>5568</v>
      </c>
      <c r="J16" s="832">
        <v>2</v>
      </c>
      <c r="K16" s="832">
        <v>11136</v>
      </c>
      <c r="L16" s="832">
        <v>1</v>
      </c>
      <c r="M16" s="832">
        <v>5568</v>
      </c>
      <c r="N16" s="832"/>
      <c r="O16" s="832"/>
      <c r="P16" s="828"/>
      <c r="Q16" s="833"/>
    </row>
    <row r="17" spans="1:17" ht="14.45" customHeight="1" x14ac:dyDescent="0.2">
      <c r="A17" s="822" t="s">
        <v>5457</v>
      </c>
      <c r="B17" s="823" t="s">
        <v>5427</v>
      </c>
      <c r="C17" s="823" t="s">
        <v>5396</v>
      </c>
      <c r="D17" s="823" t="s">
        <v>5460</v>
      </c>
      <c r="E17" s="823" t="s">
        <v>5398</v>
      </c>
      <c r="F17" s="832">
        <v>1</v>
      </c>
      <c r="G17" s="832">
        <v>6071</v>
      </c>
      <c r="H17" s="832"/>
      <c r="I17" s="832">
        <v>6071</v>
      </c>
      <c r="J17" s="832"/>
      <c r="K17" s="832"/>
      <c r="L17" s="832"/>
      <c r="M17" s="832"/>
      <c r="N17" s="832"/>
      <c r="O17" s="832"/>
      <c r="P17" s="828"/>
      <c r="Q17" s="833"/>
    </row>
    <row r="18" spans="1:17" ht="14.45" customHeight="1" x14ac:dyDescent="0.2">
      <c r="A18" s="822" t="s">
        <v>5457</v>
      </c>
      <c r="B18" s="823" t="s">
        <v>5427</v>
      </c>
      <c r="C18" s="823" t="s">
        <v>5355</v>
      </c>
      <c r="D18" s="823" t="s">
        <v>5431</v>
      </c>
      <c r="E18" s="823" t="s">
        <v>5432</v>
      </c>
      <c r="F18" s="832">
        <v>4</v>
      </c>
      <c r="G18" s="832">
        <v>2320</v>
      </c>
      <c r="H18" s="832">
        <v>1.3219373219373218</v>
      </c>
      <c r="I18" s="832">
        <v>580</v>
      </c>
      <c r="J18" s="832">
        <v>3</v>
      </c>
      <c r="K18" s="832">
        <v>1755</v>
      </c>
      <c r="L18" s="832">
        <v>1</v>
      </c>
      <c r="M18" s="832">
        <v>585</v>
      </c>
      <c r="N18" s="832"/>
      <c r="O18" s="832"/>
      <c r="P18" s="828"/>
      <c r="Q18" s="833"/>
    </row>
    <row r="19" spans="1:17" ht="14.45" customHeight="1" x14ac:dyDescent="0.2">
      <c r="A19" s="822" t="s">
        <v>5461</v>
      </c>
      <c r="B19" s="823" t="s">
        <v>5354</v>
      </c>
      <c r="C19" s="823" t="s">
        <v>5396</v>
      </c>
      <c r="D19" s="823" t="s">
        <v>5428</v>
      </c>
      <c r="E19" s="823" t="s">
        <v>5429</v>
      </c>
      <c r="F19" s="832"/>
      <c r="G19" s="832"/>
      <c r="H19" s="832"/>
      <c r="I19" s="832"/>
      <c r="J19" s="832"/>
      <c r="K19" s="832"/>
      <c r="L19" s="832"/>
      <c r="M19" s="832"/>
      <c r="N19" s="832">
        <v>1</v>
      </c>
      <c r="O19" s="832">
        <v>4856.3599999999997</v>
      </c>
      <c r="P19" s="828"/>
      <c r="Q19" s="833">
        <v>4856.3599999999997</v>
      </c>
    </row>
    <row r="20" spans="1:17" ht="14.45" customHeight="1" x14ac:dyDescent="0.2">
      <c r="A20" s="822" t="s">
        <v>5461</v>
      </c>
      <c r="B20" s="823" t="s">
        <v>5354</v>
      </c>
      <c r="C20" s="823" t="s">
        <v>5396</v>
      </c>
      <c r="D20" s="823" t="s">
        <v>5397</v>
      </c>
      <c r="E20" s="823" t="s">
        <v>5398</v>
      </c>
      <c r="F20" s="832"/>
      <c r="G20" s="832"/>
      <c r="H20" s="832"/>
      <c r="I20" s="832"/>
      <c r="J20" s="832"/>
      <c r="K20" s="832"/>
      <c r="L20" s="832"/>
      <c r="M20" s="832"/>
      <c r="N20" s="832">
        <v>1</v>
      </c>
      <c r="O20" s="832">
        <v>6677.48</v>
      </c>
      <c r="P20" s="828"/>
      <c r="Q20" s="833">
        <v>6677.48</v>
      </c>
    </row>
    <row r="21" spans="1:17" ht="14.45" customHeight="1" x14ac:dyDescent="0.2">
      <c r="A21" s="822" t="s">
        <v>5461</v>
      </c>
      <c r="B21" s="823" t="s">
        <v>5354</v>
      </c>
      <c r="C21" s="823" t="s">
        <v>5396</v>
      </c>
      <c r="D21" s="823" t="s">
        <v>5399</v>
      </c>
      <c r="E21" s="823" t="s">
        <v>5398</v>
      </c>
      <c r="F21" s="832"/>
      <c r="G21" s="832"/>
      <c r="H21" s="832"/>
      <c r="I21" s="832"/>
      <c r="J21" s="832"/>
      <c r="K21" s="832"/>
      <c r="L21" s="832"/>
      <c r="M21" s="832"/>
      <c r="N21" s="832">
        <v>2</v>
      </c>
      <c r="O21" s="832">
        <v>9066.1</v>
      </c>
      <c r="P21" s="828"/>
      <c r="Q21" s="833">
        <v>4533.05</v>
      </c>
    </row>
    <row r="22" spans="1:17" ht="14.45" customHeight="1" x14ac:dyDescent="0.2">
      <c r="A22" s="822" t="s">
        <v>5461</v>
      </c>
      <c r="B22" s="823" t="s">
        <v>5354</v>
      </c>
      <c r="C22" s="823" t="s">
        <v>5396</v>
      </c>
      <c r="D22" s="823" t="s">
        <v>5400</v>
      </c>
      <c r="E22" s="823" t="s">
        <v>5401</v>
      </c>
      <c r="F22" s="832"/>
      <c r="G22" s="832"/>
      <c r="H22" s="832"/>
      <c r="I22" s="832"/>
      <c r="J22" s="832"/>
      <c r="K22" s="832"/>
      <c r="L22" s="832"/>
      <c r="M22" s="832"/>
      <c r="N22" s="832">
        <v>0</v>
      </c>
      <c r="O22" s="832">
        <v>0</v>
      </c>
      <c r="P22" s="828"/>
      <c r="Q22" s="833"/>
    </row>
    <row r="23" spans="1:17" ht="14.45" customHeight="1" x14ac:dyDescent="0.2">
      <c r="A23" s="822" t="s">
        <v>5461</v>
      </c>
      <c r="B23" s="823" t="s">
        <v>5354</v>
      </c>
      <c r="C23" s="823" t="s">
        <v>5396</v>
      </c>
      <c r="D23" s="823" t="s">
        <v>5404</v>
      </c>
      <c r="E23" s="823" t="s">
        <v>5405</v>
      </c>
      <c r="F23" s="832"/>
      <c r="G23" s="832"/>
      <c r="H23" s="832"/>
      <c r="I23" s="832"/>
      <c r="J23" s="832"/>
      <c r="K23" s="832"/>
      <c r="L23" s="832"/>
      <c r="M23" s="832"/>
      <c r="N23" s="832">
        <v>1</v>
      </c>
      <c r="O23" s="832">
        <v>1549.99</v>
      </c>
      <c r="P23" s="828"/>
      <c r="Q23" s="833">
        <v>1549.99</v>
      </c>
    </row>
    <row r="24" spans="1:17" ht="14.45" customHeight="1" x14ac:dyDescent="0.2">
      <c r="A24" s="822" t="s">
        <v>5461</v>
      </c>
      <c r="B24" s="823" t="s">
        <v>5354</v>
      </c>
      <c r="C24" s="823" t="s">
        <v>5355</v>
      </c>
      <c r="D24" s="823" t="s">
        <v>5368</v>
      </c>
      <c r="E24" s="823" t="s">
        <v>5369</v>
      </c>
      <c r="F24" s="832">
        <v>1</v>
      </c>
      <c r="G24" s="832">
        <v>1010</v>
      </c>
      <c r="H24" s="832">
        <v>0.99703849950641654</v>
      </c>
      <c r="I24" s="832">
        <v>1010</v>
      </c>
      <c r="J24" s="832">
        <v>1</v>
      </c>
      <c r="K24" s="832">
        <v>1013</v>
      </c>
      <c r="L24" s="832">
        <v>1</v>
      </c>
      <c r="M24" s="832">
        <v>1013</v>
      </c>
      <c r="N24" s="832"/>
      <c r="O24" s="832"/>
      <c r="P24" s="828"/>
      <c r="Q24" s="833"/>
    </row>
    <row r="25" spans="1:17" ht="14.45" customHeight="1" x14ac:dyDescent="0.2">
      <c r="A25" s="822" t="s">
        <v>5461</v>
      </c>
      <c r="B25" s="823" t="s">
        <v>5354</v>
      </c>
      <c r="C25" s="823" t="s">
        <v>5355</v>
      </c>
      <c r="D25" s="823" t="s">
        <v>5408</v>
      </c>
      <c r="E25" s="823" t="s">
        <v>5409</v>
      </c>
      <c r="F25" s="832"/>
      <c r="G25" s="832"/>
      <c r="H25" s="832"/>
      <c r="I25" s="832"/>
      <c r="J25" s="832">
        <v>9</v>
      </c>
      <c r="K25" s="832">
        <v>10602</v>
      </c>
      <c r="L25" s="832">
        <v>1</v>
      </c>
      <c r="M25" s="832">
        <v>1178</v>
      </c>
      <c r="N25" s="832">
        <v>22</v>
      </c>
      <c r="O25" s="832">
        <v>25960</v>
      </c>
      <c r="P25" s="828">
        <v>2.4485946047915488</v>
      </c>
      <c r="Q25" s="833">
        <v>1180</v>
      </c>
    </row>
    <row r="26" spans="1:17" ht="14.45" customHeight="1" x14ac:dyDescent="0.2">
      <c r="A26" s="822" t="s">
        <v>5461</v>
      </c>
      <c r="B26" s="823" t="s">
        <v>5410</v>
      </c>
      <c r="C26" s="823" t="s">
        <v>5355</v>
      </c>
      <c r="D26" s="823" t="s">
        <v>5413</v>
      </c>
      <c r="E26" s="823" t="s">
        <v>5414</v>
      </c>
      <c r="F26" s="832"/>
      <c r="G26" s="832"/>
      <c r="H26" s="832"/>
      <c r="I26" s="832"/>
      <c r="J26" s="832">
        <v>2</v>
      </c>
      <c r="K26" s="832">
        <v>252</v>
      </c>
      <c r="L26" s="832">
        <v>1</v>
      </c>
      <c r="M26" s="832">
        <v>126</v>
      </c>
      <c r="N26" s="832"/>
      <c r="O26" s="832"/>
      <c r="P26" s="828"/>
      <c r="Q26" s="833"/>
    </row>
    <row r="27" spans="1:17" ht="14.45" customHeight="1" x14ac:dyDescent="0.2">
      <c r="A27" s="822" t="s">
        <v>5461</v>
      </c>
      <c r="B27" s="823" t="s">
        <v>5410</v>
      </c>
      <c r="C27" s="823" t="s">
        <v>5355</v>
      </c>
      <c r="D27" s="823" t="s">
        <v>5423</v>
      </c>
      <c r="E27" s="823" t="s">
        <v>5424</v>
      </c>
      <c r="F27" s="832"/>
      <c r="G27" s="832"/>
      <c r="H27" s="832"/>
      <c r="I27" s="832"/>
      <c r="J27" s="832">
        <v>1</v>
      </c>
      <c r="K27" s="832">
        <v>376</v>
      </c>
      <c r="L27" s="832">
        <v>1</v>
      </c>
      <c r="M27" s="832">
        <v>376</v>
      </c>
      <c r="N27" s="832"/>
      <c r="O27" s="832"/>
      <c r="P27" s="828"/>
      <c r="Q27" s="833"/>
    </row>
    <row r="28" spans="1:17" ht="14.45" customHeight="1" x14ac:dyDescent="0.2">
      <c r="A28" s="822" t="s">
        <v>5461</v>
      </c>
      <c r="B28" s="823" t="s">
        <v>5427</v>
      </c>
      <c r="C28" s="823" t="s">
        <v>5396</v>
      </c>
      <c r="D28" s="823" t="s">
        <v>5397</v>
      </c>
      <c r="E28" s="823" t="s">
        <v>5398</v>
      </c>
      <c r="F28" s="832"/>
      <c r="G28" s="832"/>
      <c r="H28" s="832"/>
      <c r="I28" s="832"/>
      <c r="J28" s="832">
        <v>2</v>
      </c>
      <c r="K28" s="832">
        <v>13354.96</v>
      </c>
      <c r="L28" s="832">
        <v>1</v>
      </c>
      <c r="M28" s="832">
        <v>6677.48</v>
      </c>
      <c r="N28" s="832"/>
      <c r="O28" s="832"/>
      <c r="P28" s="828"/>
      <c r="Q28" s="833"/>
    </row>
    <row r="29" spans="1:17" ht="14.45" customHeight="1" x14ac:dyDescent="0.2">
      <c r="A29" s="822" t="s">
        <v>5461</v>
      </c>
      <c r="B29" s="823" t="s">
        <v>5427</v>
      </c>
      <c r="C29" s="823" t="s">
        <v>5396</v>
      </c>
      <c r="D29" s="823" t="s">
        <v>5399</v>
      </c>
      <c r="E29" s="823" t="s">
        <v>5398</v>
      </c>
      <c r="F29" s="832">
        <v>1</v>
      </c>
      <c r="G29" s="832">
        <v>5568</v>
      </c>
      <c r="H29" s="832"/>
      <c r="I29" s="832">
        <v>5568</v>
      </c>
      <c r="J29" s="832"/>
      <c r="K29" s="832"/>
      <c r="L29" s="832"/>
      <c r="M29" s="832"/>
      <c r="N29" s="832"/>
      <c r="O29" s="832"/>
      <c r="P29" s="828"/>
      <c r="Q29" s="833"/>
    </row>
    <row r="30" spans="1:17" ht="14.45" customHeight="1" x14ac:dyDescent="0.2">
      <c r="A30" s="822" t="s">
        <v>5461</v>
      </c>
      <c r="B30" s="823" t="s">
        <v>5427</v>
      </c>
      <c r="C30" s="823" t="s">
        <v>5396</v>
      </c>
      <c r="D30" s="823" t="s">
        <v>5430</v>
      </c>
      <c r="E30" s="823" t="s">
        <v>5401</v>
      </c>
      <c r="F30" s="832">
        <v>5</v>
      </c>
      <c r="G30" s="832">
        <v>21842.15</v>
      </c>
      <c r="H30" s="832">
        <v>5</v>
      </c>
      <c r="I30" s="832">
        <v>4368.43</v>
      </c>
      <c r="J30" s="832">
        <v>1</v>
      </c>
      <c r="K30" s="832">
        <v>4368.43</v>
      </c>
      <c r="L30" s="832">
        <v>1</v>
      </c>
      <c r="M30" s="832">
        <v>4368.43</v>
      </c>
      <c r="N30" s="832"/>
      <c r="O30" s="832"/>
      <c r="P30" s="828"/>
      <c r="Q30" s="833"/>
    </row>
    <row r="31" spans="1:17" ht="14.45" customHeight="1" x14ac:dyDescent="0.2">
      <c r="A31" s="822" t="s">
        <v>5461</v>
      </c>
      <c r="B31" s="823" t="s">
        <v>5427</v>
      </c>
      <c r="C31" s="823" t="s">
        <v>5396</v>
      </c>
      <c r="D31" s="823" t="s">
        <v>5462</v>
      </c>
      <c r="E31" s="823" t="s">
        <v>5403</v>
      </c>
      <c r="F31" s="832"/>
      <c r="G31" s="832"/>
      <c r="H31" s="832"/>
      <c r="I31" s="832"/>
      <c r="J31" s="832">
        <v>1</v>
      </c>
      <c r="K31" s="832">
        <v>3278</v>
      </c>
      <c r="L31" s="832">
        <v>1</v>
      </c>
      <c r="M31" s="832">
        <v>3278</v>
      </c>
      <c r="N31" s="832"/>
      <c r="O31" s="832"/>
      <c r="P31" s="828"/>
      <c r="Q31" s="833"/>
    </row>
    <row r="32" spans="1:17" ht="14.45" customHeight="1" x14ac:dyDescent="0.2">
      <c r="A32" s="822" t="s">
        <v>5461</v>
      </c>
      <c r="B32" s="823" t="s">
        <v>5427</v>
      </c>
      <c r="C32" s="823" t="s">
        <v>5396</v>
      </c>
      <c r="D32" s="823" t="s">
        <v>5463</v>
      </c>
      <c r="E32" s="823" t="s">
        <v>5464</v>
      </c>
      <c r="F32" s="832"/>
      <c r="G32" s="832"/>
      <c r="H32" s="832"/>
      <c r="I32" s="832"/>
      <c r="J32" s="832">
        <v>1</v>
      </c>
      <c r="K32" s="832">
        <v>12209.4</v>
      </c>
      <c r="L32" s="832">
        <v>1</v>
      </c>
      <c r="M32" s="832">
        <v>12209.4</v>
      </c>
      <c r="N32" s="832"/>
      <c r="O32" s="832"/>
      <c r="P32" s="828"/>
      <c r="Q32" s="833"/>
    </row>
    <row r="33" spans="1:17" ht="14.45" customHeight="1" x14ac:dyDescent="0.2">
      <c r="A33" s="822" t="s">
        <v>5461</v>
      </c>
      <c r="B33" s="823" t="s">
        <v>5427</v>
      </c>
      <c r="C33" s="823" t="s">
        <v>5355</v>
      </c>
      <c r="D33" s="823" t="s">
        <v>5431</v>
      </c>
      <c r="E33" s="823" t="s">
        <v>5432</v>
      </c>
      <c r="F33" s="832">
        <v>9</v>
      </c>
      <c r="G33" s="832">
        <v>5220</v>
      </c>
      <c r="H33" s="832">
        <v>0.89230769230769236</v>
      </c>
      <c r="I33" s="832">
        <v>580</v>
      </c>
      <c r="J33" s="832">
        <v>10</v>
      </c>
      <c r="K33" s="832">
        <v>5850</v>
      </c>
      <c r="L33" s="832">
        <v>1</v>
      </c>
      <c r="M33" s="832">
        <v>585</v>
      </c>
      <c r="N33" s="832"/>
      <c r="O33" s="832"/>
      <c r="P33" s="828"/>
      <c r="Q33" s="833"/>
    </row>
    <row r="34" spans="1:17" ht="14.45" customHeight="1" x14ac:dyDescent="0.2">
      <c r="A34" s="822" t="s">
        <v>5465</v>
      </c>
      <c r="B34" s="823" t="s">
        <v>5354</v>
      </c>
      <c r="C34" s="823" t="s">
        <v>5396</v>
      </c>
      <c r="D34" s="823" t="s">
        <v>5397</v>
      </c>
      <c r="E34" s="823" t="s">
        <v>5398</v>
      </c>
      <c r="F34" s="832"/>
      <c r="G34" s="832"/>
      <c r="H34" s="832"/>
      <c r="I34" s="832"/>
      <c r="J34" s="832"/>
      <c r="K34" s="832"/>
      <c r="L34" s="832"/>
      <c r="M34" s="832"/>
      <c r="N34" s="832">
        <v>1</v>
      </c>
      <c r="O34" s="832">
        <v>5526.05</v>
      </c>
      <c r="P34" s="828"/>
      <c r="Q34" s="833">
        <v>5526.05</v>
      </c>
    </row>
    <row r="35" spans="1:17" ht="14.45" customHeight="1" x14ac:dyDescent="0.2">
      <c r="A35" s="822" t="s">
        <v>5465</v>
      </c>
      <c r="B35" s="823" t="s">
        <v>5354</v>
      </c>
      <c r="C35" s="823" t="s">
        <v>5396</v>
      </c>
      <c r="D35" s="823" t="s">
        <v>5400</v>
      </c>
      <c r="E35" s="823" t="s">
        <v>5401</v>
      </c>
      <c r="F35" s="832"/>
      <c r="G35" s="832"/>
      <c r="H35" s="832"/>
      <c r="I35" s="832"/>
      <c r="J35" s="832"/>
      <c r="K35" s="832"/>
      <c r="L35" s="832"/>
      <c r="M35" s="832"/>
      <c r="N35" s="832">
        <v>2</v>
      </c>
      <c r="O35" s="832">
        <v>4500.91</v>
      </c>
      <c r="P35" s="828"/>
      <c r="Q35" s="833">
        <v>2250.4549999999999</v>
      </c>
    </row>
    <row r="36" spans="1:17" ht="14.45" customHeight="1" x14ac:dyDescent="0.2">
      <c r="A36" s="822" t="s">
        <v>5465</v>
      </c>
      <c r="B36" s="823" t="s">
        <v>5354</v>
      </c>
      <c r="C36" s="823" t="s">
        <v>5355</v>
      </c>
      <c r="D36" s="823" t="s">
        <v>5368</v>
      </c>
      <c r="E36" s="823" t="s">
        <v>5369</v>
      </c>
      <c r="F36" s="832">
        <v>2</v>
      </c>
      <c r="G36" s="832">
        <v>2020</v>
      </c>
      <c r="H36" s="832">
        <v>0.49851924975320827</v>
      </c>
      <c r="I36" s="832">
        <v>1010</v>
      </c>
      <c r="J36" s="832">
        <v>4</v>
      </c>
      <c r="K36" s="832">
        <v>4052</v>
      </c>
      <c r="L36" s="832">
        <v>1</v>
      </c>
      <c r="M36" s="832">
        <v>1013</v>
      </c>
      <c r="N36" s="832">
        <v>1</v>
      </c>
      <c r="O36" s="832">
        <v>1016</v>
      </c>
      <c r="P36" s="828">
        <v>0.25074037512339586</v>
      </c>
      <c r="Q36" s="833">
        <v>1016</v>
      </c>
    </row>
    <row r="37" spans="1:17" ht="14.45" customHeight="1" x14ac:dyDescent="0.2">
      <c r="A37" s="822" t="s">
        <v>5465</v>
      </c>
      <c r="B37" s="823" t="s">
        <v>5354</v>
      </c>
      <c r="C37" s="823" t="s">
        <v>5355</v>
      </c>
      <c r="D37" s="823" t="s">
        <v>5384</v>
      </c>
      <c r="E37" s="823" t="s">
        <v>5385</v>
      </c>
      <c r="F37" s="832"/>
      <c r="G37" s="832"/>
      <c r="H37" s="832"/>
      <c r="I37" s="832"/>
      <c r="J37" s="832">
        <v>1</v>
      </c>
      <c r="K37" s="832">
        <v>2019</v>
      </c>
      <c r="L37" s="832">
        <v>1</v>
      </c>
      <c r="M37" s="832">
        <v>2019</v>
      </c>
      <c r="N37" s="832"/>
      <c r="O37" s="832"/>
      <c r="P37" s="828"/>
      <c r="Q37" s="833"/>
    </row>
    <row r="38" spans="1:17" ht="14.45" customHeight="1" x14ac:dyDescent="0.2">
      <c r="A38" s="822" t="s">
        <v>5465</v>
      </c>
      <c r="B38" s="823" t="s">
        <v>5354</v>
      </c>
      <c r="C38" s="823" t="s">
        <v>5355</v>
      </c>
      <c r="D38" s="823" t="s">
        <v>5408</v>
      </c>
      <c r="E38" s="823" t="s">
        <v>5409</v>
      </c>
      <c r="F38" s="832"/>
      <c r="G38" s="832"/>
      <c r="H38" s="832"/>
      <c r="I38" s="832"/>
      <c r="J38" s="832">
        <v>1</v>
      </c>
      <c r="K38" s="832">
        <v>1178</v>
      </c>
      <c r="L38" s="832">
        <v>1</v>
      </c>
      <c r="M38" s="832">
        <v>1178</v>
      </c>
      <c r="N38" s="832">
        <v>4</v>
      </c>
      <c r="O38" s="832">
        <v>4720</v>
      </c>
      <c r="P38" s="828">
        <v>4.0067911714770794</v>
      </c>
      <c r="Q38" s="833">
        <v>1180</v>
      </c>
    </row>
    <row r="39" spans="1:17" ht="14.45" customHeight="1" x14ac:dyDescent="0.2">
      <c r="A39" s="822" t="s">
        <v>5465</v>
      </c>
      <c r="B39" s="823" t="s">
        <v>5410</v>
      </c>
      <c r="C39" s="823" t="s">
        <v>5355</v>
      </c>
      <c r="D39" s="823" t="s">
        <v>5413</v>
      </c>
      <c r="E39" s="823" t="s">
        <v>5414</v>
      </c>
      <c r="F39" s="832">
        <v>2</v>
      </c>
      <c r="G39" s="832">
        <v>254</v>
      </c>
      <c r="H39" s="832">
        <v>2.0158730158730158</v>
      </c>
      <c r="I39" s="832">
        <v>127</v>
      </c>
      <c r="J39" s="832">
        <v>1</v>
      </c>
      <c r="K39" s="832">
        <v>126</v>
      </c>
      <c r="L39" s="832">
        <v>1</v>
      </c>
      <c r="M39" s="832">
        <v>126</v>
      </c>
      <c r="N39" s="832"/>
      <c r="O39" s="832"/>
      <c r="P39" s="828"/>
      <c r="Q39" s="833"/>
    </row>
    <row r="40" spans="1:17" ht="14.45" customHeight="1" x14ac:dyDescent="0.2">
      <c r="A40" s="822" t="s">
        <v>5465</v>
      </c>
      <c r="B40" s="823" t="s">
        <v>5427</v>
      </c>
      <c r="C40" s="823" t="s">
        <v>5396</v>
      </c>
      <c r="D40" s="823" t="s">
        <v>5397</v>
      </c>
      <c r="E40" s="823" t="s">
        <v>5398</v>
      </c>
      <c r="F40" s="832">
        <v>2</v>
      </c>
      <c r="G40" s="832">
        <v>13354.96</v>
      </c>
      <c r="H40" s="832"/>
      <c r="I40" s="832">
        <v>6677.48</v>
      </c>
      <c r="J40" s="832"/>
      <c r="K40" s="832"/>
      <c r="L40" s="832"/>
      <c r="M40" s="832"/>
      <c r="N40" s="832"/>
      <c r="O40" s="832"/>
      <c r="P40" s="828"/>
      <c r="Q40" s="833"/>
    </row>
    <row r="41" spans="1:17" ht="14.45" customHeight="1" x14ac:dyDescent="0.2">
      <c r="A41" s="822" t="s">
        <v>5465</v>
      </c>
      <c r="B41" s="823" t="s">
        <v>5427</v>
      </c>
      <c r="C41" s="823" t="s">
        <v>5396</v>
      </c>
      <c r="D41" s="823" t="s">
        <v>5399</v>
      </c>
      <c r="E41" s="823" t="s">
        <v>5398</v>
      </c>
      <c r="F41" s="832"/>
      <c r="G41" s="832"/>
      <c r="H41" s="832"/>
      <c r="I41" s="832"/>
      <c r="J41" s="832">
        <v>1</v>
      </c>
      <c r="K41" s="832">
        <v>5568</v>
      </c>
      <c r="L41" s="832">
        <v>1</v>
      </c>
      <c r="M41" s="832">
        <v>5568</v>
      </c>
      <c r="N41" s="832"/>
      <c r="O41" s="832"/>
      <c r="P41" s="828"/>
      <c r="Q41" s="833"/>
    </row>
    <row r="42" spans="1:17" ht="14.45" customHeight="1" x14ac:dyDescent="0.2">
      <c r="A42" s="822" t="s">
        <v>5465</v>
      </c>
      <c r="B42" s="823" t="s">
        <v>5427</v>
      </c>
      <c r="C42" s="823" t="s">
        <v>5396</v>
      </c>
      <c r="D42" s="823" t="s">
        <v>5430</v>
      </c>
      <c r="E42" s="823" t="s">
        <v>5401</v>
      </c>
      <c r="F42" s="832">
        <v>1</v>
      </c>
      <c r="G42" s="832">
        <v>4368.43</v>
      </c>
      <c r="H42" s="832"/>
      <c r="I42" s="832">
        <v>4368.43</v>
      </c>
      <c r="J42" s="832"/>
      <c r="K42" s="832"/>
      <c r="L42" s="832"/>
      <c r="M42" s="832"/>
      <c r="N42" s="832"/>
      <c r="O42" s="832"/>
      <c r="P42" s="828"/>
      <c r="Q42" s="833"/>
    </row>
    <row r="43" spans="1:17" ht="14.45" customHeight="1" x14ac:dyDescent="0.2">
      <c r="A43" s="822" t="s">
        <v>5465</v>
      </c>
      <c r="B43" s="823" t="s">
        <v>5427</v>
      </c>
      <c r="C43" s="823" t="s">
        <v>5355</v>
      </c>
      <c r="D43" s="823" t="s">
        <v>5431</v>
      </c>
      <c r="E43" s="823" t="s">
        <v>5432</v>
      </c>
      <c r="F43" s="832">
        <v>3</v>
      </c>
      <c r="G43" s="832">
        <v>1740</v>
      </c>
      <c r="H43" s="832">
        <v>1.4871794871794872</v>
      </c>
      <c r="I43" s="832">
        <v>580</v>
      </c>
      <c r="J43" s="832">
        <v>2</v>
      </c>
      <c r="K43" s="832">
        <v>1170</v>
      </c>
      <c r="L43" s="832">
        <v>1</v>
      </c>
      <c r="M43" s="832">
        <v>585</v>
      </c>
      <c r="N43" s="832"/>
      <c r="O43" s="832"/>
      <c r="P43" s="828"/>
      <c r="Q43" s="833"/>
    </row>
    <row r="44" spans="1:17" ht="14.45" customHeight="1" x14ac:dyDescent="0.2">
      <c r="A44" s="822" t="s">
        <v>5466</v>
      </c>
      <c r="B44" s="823" t="s">
        <v>5354</v>
      </c>
      <c r="C44" s="823" t="s">
        <v>5396</v>
      </c>
      <c r="D44" s="823" t="s">
        <v>5458</v>
      </c>
      <c r="E44" s="823" t="s">
        <v>5459</v>
      </c>
      <c r="F44" s="832"/>
      <c r="G44" s="832"/>
      <c r="H44" s="832"/>
      <c r="I44" s="832"/>
      <c r="J44" s="832"/>
      <c r="K44" s="832"/>
      <c r="L44" s="832"/>
      <c r="M44" s="832"/>
      <c r="N44" s="832">
        <v>5</v>
      </c>
      <c r="O44" s="832">
        <v>24296.069999999996</v>
      </c>
      <c r="P44" s="828"/>
      <c r="Q44" s="833">
        <v>4859.213999999999</v>
      </c>
    </row>
    <row r="45" spans="1:17" ht="14.45" customHeight="1" x14ac:dyDescent="0.2">
      <c r="A45" s="822" t="s">
        <v>5466</v>
      </c>
      <c r="B45" s="823" t="s">
        <v>5354</v>
      </c>
      <c r="C45" s="823" t="s">
        <v>5396</v>
      </c>
      <c r="D45" s="823" t="s">
        <v>5397</v>
      </c>
      <c r="E45" s="823" t="s">
        <v>5398</v>
      </c>
      <c r="F45" s="832"/>
      <c r="G45" s="832"/>
      <c r="H45" s="832"/>
      <c r="I45" s="832"/>
      <c r="J45" s="832"/>
      <c r="K45" s="832"/>
      <c r="L45" s="832"/>
      <c r="M45" s="832"/>
      <c r="N45" s="832">
        <v>1</v>
      </c>
      <c r="O45" s="832">
        <v>6677.48</v>
      </c>
      <c r="P45" s="828"/>
      <c r="Q45" s="833">
        <v>6677.48</v>
      </c>
    </row>
    <row r="46" spans="1:17" ht="14.45" customHeight="1" x14ac:dyDescent="0.2">
      <c r="A46" s="822" t="s">
        <v>5466</v>
      </c>
      <c r="B46" s="823" t="s">
        <v>5354</v>
      </c>
      <c r="C46" s="823" t="s">
        <v>5396</v>
      </c>
      <c r="D46" s="823" t="s">
        <v>5399</v>
      </c>
      <c r="E46" s="823" t="s">
        <v>5398</v>
      </c>
      <c r="F46" s="832"/>
      <c r="G46" s="832"/>
      <c r="H46" s="832"/>
      <c r="I46" s="832"/>
      <c r="J46" s="832"/>
      <c r="K46" s="832"/>
      <c r="L46" s="832"/>
      <c r="M46" s="832"/>
      <c r="N46" s="832">
        <v>1</v>
      </c>
      <c r="O46" s="832">
        <v>5158.18</v>
      </c>
      <c r="P46" s="828"/>
      <c r="Q46" s="833">
        <v>5158.18</v>
      </c>
    </row>
    <row r="47" spans="1:17" ht="14.45" customHeight="1" x14ac:dyDescent="0.2">
      <c r="A47" s="822" t="s">
        <v>5466</v>
      </c>
      <c r="B47" s="823" t="s">
        <v>5354</v>
      </c>
      <c r="C47" s="823" t="s">
        <v>5396</v>
      </c>
      <c r="D47" s="823" t="s">
        <v>5400</v>
      </c>
      <c r="E47" s="823" t="s">
        <v>5401</v>
      </c>
      <c r="F47" s="832"/>
      <c r="G47" s="832"/>
      <c r="H47" s="832"/>
      <c r="I47" s="832"/>
      <c r="J47" s="832"/>
      <c r="K47" s="832"/>
      <c r="L47" s="832"/>
      <c r="M47" s="832"/>
      <c r="N47" s="832">
        <v>3</v>
      </c>
      <c r="O47" s="832">
        <v>6751.36</v>
      </c>
      <c r="P47" s="828"/>
      <c r="Q47" s="833">
        <v>2250.4533333333334</v>
      </c>
    </row>
    <row r="48" spans="1:17" ht="14.45" customHeight="1" x14ac:dyDescent="0.2">
      <c r="A48" s="822" t="s">
        <v>5466</v>
      </c>
      <c r="B48" s="823" t="s">
        <v>5354</v>
      </c>
      <c r="C48" s="823" t="s">
        <v>5396</v>
      </c>
      <c r="D48" s="823" t="s">
        <v>5462</v>
      </c>
      <c r="E48" s="823" t="s">
        <v>5403</v>
      </c>
      <c r="F48" s="832"/>
      <c r="G48" s="832"/>
      <c r="H48" s="832"/>
      <c r="I48" s="832"/>
      <c r="J48" s="832"/>
      <c r="K48" s="832"/>
      <c r="L48" s="832"/>
      <c r="M48" s="832"/>
      <c r="N48" s="832">
        <v>1</v>
      </c>
      <c r="O48" s="832">
        <v>2377.65</v>
      </c>
      <c r="P48" s="828"/>
      <c r="Q48" s="833">
        <v>2377.65</v>
      </c>
    </row>
    <row r="49" spans="1:17" ht="14.45" customHeight="1" x14ac:dyDescent="0.2">
      <c r="A49" s="822" t="s">
        <v>5466</v>
      </c>
      <c r="B49" s="823" t="s">
        <v>5354</v>
      </c>
      <c r="C49" s="823" t="s">
        <v>5396</v>
      </c>
      <c r="D49" s="823" t="s">
        <v>5402</v>
      </c>
      <c r="E49" s="823" t="s">
        <v>5403</v>
      </c>
      <c r="F49" s="832"/>
      <c r="G49" s="832"/>
      <c r="H49" s="832"/>
      <c r="I49" s="832"/>
      <c r="J49" s="832"/>
      <c r="K49" s="832"/>
      <c r="L49" s="832"/>
      <c r="M49" s="832"/>
      <c r="N49" s="832">
        <v>8</v>
      </c>
      <c r="O49" s="832">
        <v>19021.200000000004</v>
      </c>
      <c r="P49" s="828"/>
      <c r="Q49" s="833">
        <v>2377.6500000000005</v>
      </c>
    </row>
    <row r="50" spans="1:17" ht="14.45" customHeight="1" x14ac:dyDescent="0.2">
      <c r="A50" s="822" t="s">
        <v>5466</v>
      </c>
      <c r="B50" s="823" t="s">
        <v>5354</v>
      </c>
      <c r="C50" s="823" t="s">
        <v>5396</v>
      </c>
      <c r="D50" s="823" t="s">
        <v>5404</v>
      </c>
      <c r="E50" s="823" t="s">
        <v>5405</v>
      </c>
      <c r="F50" s="832"/>
      <c r="G50" s="832"/>
      <c r="H50" s="832"/>
      <c r="I50" s="832"/>
      <c r="J50" s="832"/>
      <c r="K50" s="832"/>
      <c r="L50" s="832"/>
      <c r="M50" s="832"/>
      <c r="N50" s="832">
        <v>3</v>
      </c>
      <c r="O50" s="832">
        <v>4649.97</v>
      </c>
      <c r="P50" s="828"/>
      <c r="Q50" s="833">
        <v>1549.99</v>
      </c>
    </row>
    <row r="51" spans="1:17" ht="14.45" customHeight="1" x14ac:dyDescent="0.2">
      <c r="A51" s="822" t="s">
        <v>5466</v>
      </c>
      <c r="B51" s="823" t="s">
        <v>5354</v>
      </c>
      <c r="C51" s="823" t="s">
        <v>5355</v>
      </c>
      <c r="D51" s="823" t="s">
        <v>5368</v>
      </c>
      <c r="E51" s="823" t="s">
        <v>5369</v>
      </c>
      <c r="F51" s="832">
        <v>1</v>
      </c>
      <c r="G51" s="832">
        <v>1010</v>
      </c>
      <c r="H51" s="832">
        <v>0.99703849950641654</v>
      </c>
      <c r="I51" s="832">
        <v>1010</v>
      </c>
      <c r="J51" s="832">
        <v>1</v>
      </c>
      <c r="K51" s="832">
        <v>1013</v>
      </c>
      <c r="L51" s="832">
        <v>1</v>
      </c>
      <c r="M51" s="832">
        <v>1013</v>
      </c>
      <c r="N51" s="832">
        <v>2</v>
      </c>
      <c r="O51" s="832">
        <v>2032</v>
      </c>
      <c r="P51" s="828">
        <v>2.0059230009871669</v>
      </c>
      <c r="Q51" s="833">
        <v>1016</v>
      </c>
    </row>
    <row r="52" spans="1:17" ht="14.45" customHeight="1" x14ac:dyDescent="0.2">
      <c r="A52" s="822" t="s">
        <v>5466</v>
      </c>
      <c r="B52" s="823" t="s">
        <v>5354</v>
      </c>
      <c r="C52" s="823" t="s">
        <v>5355</v>
      </c>
      <c r="D52" s="823" t="s">
        <v>5384</v>
      </c>
      <c r="E52" s="823" t="s">
        <v>5385</v>
      </c>
      <c r="F52" s="832">
        <v>1</v>
      </c>
      <c r="G52" s="832">
        <v>2016</v>
      </c>
      <c r="H52" s="832"/>
      <c r="I52" s="832">
        <v>2016</v>
      </c>
      <c r="J52" s="832"/>
      <c r="K52" s="832"/>
      <c r="L52" s="832"/>
      <c r="M52" s="832"/>
      <c r="N52" s="832"/>
      <c r="O52" s="832"/>
      <c r="P52" s="828"/>
      <c r="Q52" s="833"/>
    </row>
    <row r="53" spans="1:17" ht="14.45" customHeight="1" x14ac:dyDescent="0.2">
      <c r="A53" s="822" t="s">
        <v>5466</v>
      </c>
      <c r="B53" s="823" t="s">
        <v>5354</v>
      </c>
      <c r="C53" s="823" t="s">
        <v>5355</v>
      </c>
      <c r="D53" s="823" t="s">
        <v>5408</v>
      </c>
      <c r="E53" s="823" t="s">
        <v>5409</v>
      </c>
      <c r="F53" s="832"/>
      <c r="G53" s="832"/>
      <c r="H53" s="832"/>
      <c r="I53" s="832"/>
      <c r="J53" s="832">
        <v>26</v>
      </c>
      <c r="K53" s="832">
        <v>30628</v>
      </c>
      <c r="L53" s="832">
        <v>1</v>
      </c>
      <c r="M53" s="832">
        <v>1178</v>
      </c>
      <c r="N53" s="832">
        <v>23</v>
      </c>
      <c r="O53" s="832">
        <v>27140</v>
      </c>
      <c r="P53" s="828">
        <v>0.88611727830743114</v>
      </c>
      <c r="Q53" s="833">
        <v>1180</v>
      </c>
    </row>
    <row r="54" spans="1:17" ht="14.45" customHeight="1" x14ac:dyDescent="0.2">
      <c r="A54" s="822" t="s">
        <v>5466</v>
      </c>
      <c r="B54" s="823" t="s">
        <v>5427</v>
      </c>
      <c r="C54" s="823" t="s">
        <v>5396</v>
      </c>
      <c r="D54" s="823" t="s">
        <v>5428</v>
      </c>
      <c r="E54" s="823" t="s">
        <v>5429</v>
      </c>
      <c r="F54" s="832">
        <v>2</v>
      </c>
      <c r="G54" s="832">
        <v>9712.7199999999993</v>
      </c>
      <c r="H54" s="832"/>
      <c r="I54" s="832">
        <v>4856.3599999999997</v>
      </c>
      <c r="J54" s="832"/>
      <c r="K54" s="832"/>
      <c r="L54" s="832"/>
      <c r="M54" s="832"/>
      <c r="N54" s="832"/>
      <c r="O54" s="832"/>
      <c r="P54" s="828"/>
      <c r="Q54" s="833"/>
    </row>
    <row r="55" spans="1:17" ht="14.45" customHeight="1" x14ac:dyDescent="0.2">
      <c r="A55" s="822" t="s">
        <v>5466</v>
      </c>
      <c r="B55" s="823" t="s">
        <v>5427</v>
      </c>
      <c r="C55" s="823" t="s">
        <v>5396</v>
      </c>
      <c r="D55" s="823" t="s">
        <v>5458</v>
      </c>
      <c r="E55" s="823" t="s">
        <v>5459</v>
      </c>
      <c r="F55" s="832"/>
      <c r="G55" s="832"/>
      <c r="H55" s="832"/>
      <c r="I55" s="832"/>
      <c r="J55" s="832">
        <v>3</v>
      </c>
      <c r="K55" s="832">
        <v>17654.670000000002</v>
      </c>
      <c r="L55" s="832">
        <v>1</v>
      </c>
      <c r="M55" s="832">
        <v>5884.89</v>
      </c>
      <c r="N55" s="832"/>
      <c r="O55" s="832"/>
      <c r="P55" s="828"/>
      <c r="Q55" s="833"/>
    </row>
    <row r="56" spans="1:17" ht="14.45" customHeight="1" x14ac:dyDescent="0.2">
      <c r="A56" s="822" t="s">
        <v>5466</v>
      </c>
      <c r="B56" s="823" t="s">
        <v>5427</v>
      </c>
      <c r="C56" s="823" t="s">
        <v>5396</v>
      </c>
      <c r="D56" s="823" t="s">
        <v>5397</v>
      </c>
      <c r="E56" s="823" t="s">
        <v>5398</v>
      </c>
      <c r="F56" s="832">
        <v>9</v>
      </c>
      <c r="G56" s="832">
        <v>60097.319999999992</v>
      </c>
      <c r="H56" s="832">
        <v>2.25</v>
      </c>
      <c r="I56" s="832">
        <v>6677.48</v>
      </c>
      <c r="J56" s="832">
        <v>4</v>
      </c>
      <c r="K56" s="832">
        <v>26709.919999999998</v>
      </c>
      <c r="L56" s="832">
        <v>1</v>
      </c>
      <c r="M56" s="832">
        <v>6677.48</v>
      </c>
      <c r="N56" s="832"/>
      <c r="O56" s="832"/>
      <c r="P56" s="828"/>
      <c r="Q56" s="833"/>
    </row>
    <row r="57" spans="1:17" ht="14.45" customHeight="1" x14ac:dyDescent="0.2">
      <c r="A57" s="822" t="s">
        <v>5466</v>
      </c>
      <c r="B57" s="823" t="s">
        <v>5427</v>
      </c>
      <c r="C57" s="823" t="s">
        <v>5396</v>
      </c>
      <c r="D57" s="823" t="s">
        <v>5399</v>
      </c>
      <c r="E57" s="823" t="s">
        <v>5398</v>
      </c>
      <c r="F57" s="832">
        <v>5</v>
      </c>
      <c r="G57" s="832">
        <v>27840</v>
      </c>
      <c r="H57" s="832">
        <v>2.5</v>
      </c>
      <c r="I57" s="832">
        <v>5568</v>
      </c>
      <c r="J57" s="832">
        <v>2</v>
      </c>
      <c r="K57" s="832">
        <v>11136</v>
      </c>
      <c r="L57" s="832">
        <v>1</v>
      </c>
      <c r="M57" s="832">
        <v>5568</v>
      </c>
      <c r="N57" s="832"/>
      <c r="O57" s="832"/>
      <c r="P57" s="828"/>
      <c r="Q57" s="833"/>
    </row>
    <row r="58" spans="1:17" ht="14.45" customHeight="1" x14ac:dyDescent="0.2">
      <c r="A58" s="822" t="s">
        <v>5466</v>
      </c>
      <c r="B58" s="823" t="s">
        <v>5427</v>
      </c>
      <c r="C58" s="823" t="s">
        <v>5396</v>
      </c>
      <c r="D58" s="823" t="s">
        <v>5430</v>
      </c>
      <c r="E58" s="823" t="s">
        <v>5401</v>
      </c>
      <c r="F58" s="832">
        <v>1</v>
      </c>
      <c r="G58" s="832">
        <v>4368.43</v>
      </c>
      <c r="H58" s="832"/>
      <c r="I58" s="832">
        <v>4368.43</v>
      </c>
      <c r="J58" s="832"/>
      <c r="K58" s="832"/>
      <c r="L58" s="832"/>
      <c r="M58" s="832"/>
      <c r="N58" s="832"/>
      <c r="O58" s="832"/>
      <c r="P58" s="828"/>
      <c r="Q58" s="833"/>
    </row>
    <row r="59" spans="1:17" ht="14.45" customHeight="1" x14ac:dyDescent="0.2">
      <c r="A59" s="822" t="s">
        <v>5466</v>
      </c>
      <c r="B59" s="823" t="s">
        <v>5427</v>
      </c>
      <c r="C59" s="823" t="s">
        <v>5396</v>
      </c>
      <c r="D59" s="823" t="s">
        <v>5400</v>
      </c>
      <c r="E59" s="823" t="s">
        <v>5401</v>
      </c>
      <c r="F59" s="832">
        <v>2</v>
      </c>
      <c r="G59" s="832">
        <v>4984.8999999999996</v>
      </c>
      <c r="H59" s="832">
        <v>0.66666666666666663</v>
      </c>
      <c r="I59" s="832">
        <v>2492.4499999999998</v>
      </c>
      <c r="J59" s="832">
        <v>3</v>
      </c>
      <c r="K59" s="832">
        <v>7477.3499999999995</v>
      </c>
      <c r="L59" s="832">
        <v>1</v>
      </c>
      <c r="M59" s="832">
        <v>2492.4499999999998</v>
      </c>
      <c r="N59" s="832"/>
      <c r="O59" s="832"/>
      <c r="P59" s="828"/>
      <c r="Q59" s="833"/>
    </row>
    <row r="60" spans="1:17" ht="14.45" customHeight="1" x14ac:dyDescent="0.2">
      <c r="A60" s="822" t="s">
        <v>5466</v>
      </c>
      <c r="B60" s="823" t="s">
        <v>5427</v>
      </c>
      <c r="C60" s="823" t="s">
        <v>5355</v>
      </c>
      <c r="D60" s="823" t="s">
        <v>5431</v>
      </c>
      <c r="E60" s="823" t="s">
        <v>5432</v>
      </c>
      <c r="F60" s="832">
        <v>20</v>
      </c>
      <c r="G60" s="832">
        <v>11600</v>
      </c>
      <c r="H60" s="832">
        <v>1.2393162393162394</v>
      </c>
      <c r="I60" s="832">
        <v>580</v>
      </c>
      <c r="J60" s="832">
        <v>16</v>
      </c>
      <c r="K60" s="832">
        <v>9360</v>
      </c>
      <c r="L60" s="832">
        <v>1</v>
      </c>
      <c r="M60" s="832">
        <v>585</v>
      </c>
      <c r="N60" s="832"/>
      <c r="O60" s="832"/>
      <c r="P60" s="828"/>
      <c r="Q60" s="833"/>
    </row>
    <row r="61" spans="1:17" ht="14.45" customHeight="1" x14ac:dyDescent="0.2">
      <c r="A61" s="822" t="s">
        <v>5467</v>
      </c>
      <c r="B61" s="823" t="s">
        <v>5354</v>
      </c>
      <c r="C61" s="823" t="s">
        <v>5396</v>
      </c>
      <c r="D61" s="823" t="s">
        <v>5402</v>
      </c>
      <c r="E61" s="823" t="s">
        <v>5403</v>
      </c>
      <c r="F61" s="832"/>
      <c r="G61" s="832"/>
      <c r="H61" s="832"/>
      <c r="I61" s="832"/>
      <c r="J61" s="832"/>
      <c r="K61" s="832"/>
      <c r="L61" s="832"/>
      <c r="M61" s="832"/>
      <c r="N61" s="832">
        <v>1</v>
      </c>
      <c r="O61" s="832">
        <v>2377.65</v>
      </c>
      <c r="P61" s="828"/>
      <c r="Q61" s="833">
        <v>2377.65</v>
      </c>
    </row>
    <row r="62" spans="1:17" ht="14.45" customHeight="1" x14ac:dyDescent="0.2">
      <c r="A62" s="822" t="s">
        <v>5467</v>
      </c>
      <c r="B62" s="823" t="s">
        <v>5354</v>
      </c>
      <c r="C62" s="823" t="s">
        <v>5355</v>
      </c>
      <c r="D62" s="823" t="s">
        <v>5368</v>
      </c>
      <c r="E62" s="823" t="s">
        <v>5369</v>
      </c>
      <c r="F62" s="832"/>
      <c r="G62" s="832"/>
      <c r="H62" s="832"/>
      <c r="I62" s="832"/>
      <c r="J62" s="832"/>
      <c r="K62" s="832"/>
      <c r="L62" s="832"/>
      <c r="M62" s="832"/>
      <c r="N62" s="832">
        <v>1</v>
      </c>
      <c r="O62" s="832">
        <v>1016</v>
      </c>
      <c r="P62" s="828"/>
      <c r="Q62" s="833">
        <v>1016</v>
      </c>
    </row>
    <row r="63" spans="1:17" ht="14.45" customHeight="1" x14ac:dyDescent="0.2">
      <c r="A63" s="822" t="s">
        <v>5467</v>
      </c>
      <c r="B63" s="823" t="s">
        <v>5354</v>
      </c>
      <c r="C63" s="823" t="s">
        <v>5355</v>
      </c>
      <c r="D63" s="823" t="s">
        <v>5408</v>
      </c>
      <c r="E63" s="823" t="s">
        <v>5409</v>
      </c>
      <c r="F63" s="832"/>
      <c r="G63" s="832"/>
      <c r="H63" s="832"/>
      <c r="I63" s="832"/>
      <c r="J63" s="832">
        <v>1</v>
      </c>
      <c r="K63" s="832">
        <v>1178</v>
      </c>
      <c r="L63" s="832">
        <v>1</v>
      </c>
      <c r="M63" s="832">
        <v>1178</v>
      </c>
      <c r="N63" s="832">
        <v>2</v>
      </c>
      <c r="O63" s="832">
        <v>2360</v>
      </c>
      <c r="P63" s="828">
        <v>2.0033955857385397</v>
      </c>
      <c r="Q63" s="833">
        <v>1180</v>
      </c>
    </row>
    <row r="64" spans="1:17" ht="14.45" customHeight="1" x14ac:dyDescent="0.2">
      <c r="A64" s="822" t="s">
        <v>5467</v>
      </c>
      <c r="B64" s="823" t="s">
        <v>5468</v>
      </c>
      <c r="C64" s="823" t="s">
        <v>5355</v>
      </c>
      <c r="D64" s="823" t="s">
        <v>5469</v>
      </c>
      <c r="E64" s="823" t="s">
        <v>5470</v>
      </c>
      <c r="F64" s="832"/>
      <c r="G64" s="832"/>
      <c r="H64" s="832"/>
      <c r="I64" s="832"/>
      <c r="J64" s="832"/>
      <c r="K64" s="832"/>
      <c r="L64" s="832"/>
      <c r="M64" s="832"/>
      <c r="N64" s="832">
        <v>1</v>
      </c>
      <c r="O64" s="832">
        <v>0</v>
      </c>
      <c r="P64" s="828"/>
      <c r="Q64" s="833">
        <v>0</v>
      </c>
    </row>
    <row r="65" spans="1:17" ht="14.45" customHeight="1" x14ac:dyDescent="0.2">
      <c r="A65" s="822" t="s">
        <v>5467</v>
      </c>
      <c r="B65" s="823" t="s">
        <v>5427</v>
      </c>
      <c r="C65" s="823" t="s">
        <v>5355</v>
      </c>
      <c r="D65" s="823" t="s">
        <v>5431</v>
      </c>
      <c r="E65" s="823" t="s">
        <v>5432</v>
      </c>
      <c r="F65" s="832"/>
      <c r="G65" s="832"/>
      <c r="H65" s="832"/>
      <c r="I65" s="832"/>
      <c r="J65" s="832">
        <v>1</v>
      </c>
      <c r="K65" s="832">
        <v>585</v>
      </c>
      <c r="L65" s="832">
        <v>1</v>
      </c>
      <c r="M65" s="832">
        <v>585</v>
      </c>
      <c r="N65" s="832"/>
      <c r="O65" s="832"/>
      <c r="P65" s="828"/>
      <c r="Q65" s="833"/>
    </row>
    <row r="66" spans="1:17" ht="14.45" customHeight="1" x14ac:dyDescent="0.2">
      <c r="A66" s="822" t="s">
        <v>5353</v>
      </c>
      <c r="B66" s="823" t="s">
        <v>5354</v>
      </c>
      <c r="C66" s="823" t="s">
        <v>5396</v>
      </c>
      <c r="D66" s="823" t="s">
        <v>5458</v>
      </c>
      <c r="E66" s="823" t="s">
        <v>5459</v>
      </c>
      <c r="F66" s="832"/>
      <c r="G66" s="832"/>
      <c r="H66" s="832"/>
      <c r="I66" s="832"/>
      <c r="J66" s="832"/>
      <c r="K66" s="832"/>
      <c r="L66" s="832"/>
      <c r="M66" s="832"/>
      <c r="N66" s="832">
        <v>1</v>
      </c>
      <c r="O66" s="832">
        <v>4969.7299999999996</v>
      </c>
      <c r="P66" s="828"/>
      <c r="Q66" s="833">
        <v>4969.7299999999996</v>
      </c>
    </row>
    <row r="67" spans="1:17" ht="14.45" customHeight="1" x14ac:dyDescent="0.2">
      <c r="A67" s="822" t="s">
        <v>5353</v>
      </c>
      <c r="B67" s="823" t="s">
        <v>5354</v>
      </c>
      <c r="C67" s="823" t="s">
        <v>5396</v>
      </c>
      <c r="D67" s="823" t="s">
        <v>5400</v>
      </c>
      <c r="E67" s="823" t="s">
        <v>5401</v>
      </c>
      <c r="F67" s="832"/>
      <c r="G67" s="832"/>
      <c r="H67" s="832"/>
      <c r="I67" s="832"/>
      <c r="J67" s="832"/>
      <c r="K67" s="832"/>
      <c r="L67" s="832"/>
      <c r="M67" s="832"/>
      <c r="N67" s="832">
        <v>1</v>
      </c>
      <c r="O67" s="832">
        <v>2250.4499999999998</v>
      </c>
      <c r="P67" s="828"/>
      <c r="Q67" s="833">
        <v>2250.4499999999998</v>
      </c>
    </row>
    <row r="68" spans="1:17" ht="14.45" customHeight="1" x14ac:dyDescent="0.2">
      <c r="A68" s="822" t="s">
        <v>5353</v>
      </c>
      <c r="B68" s="823" t="s">
        <v>5354</v>
      </c>
      <c r="C68" s="823" t="s">
        <v>5396</v>
      </c>
      <c r="D68" s="823" t="s">
        <v>5462</v>
      </c>
      <c r="E68" s="823" t="s">
        <v>5403</v>
      </c>
      <c r="F68" s="832"/>
      <c r="G68" s="832"/>
      <c r="H68" s="832"/>
      <c r="I68" s="832"/>
      <c r="J68" s="832"/>
      <c r="K68" s="832"/>
      <c r="L68" s="832"/>
      <c r="M68" s="832"/>
      <c r="N68" s="832">
        <v>1</v>
      </c>
      <c r="O68" s="832">
        <v>2377.65</v>
      </c>
      <c r="P68" s="828"/>
      <c r="Q68" s="833">
        <v>2377.65</v>
      </c>
    </row>
    <row r="69" spans="1:17" ht="14.45" customHeight="1" x14ac:dyDescent="0.2">
      <c r="A69" s="822" t="s">
        <v>5353</v>
      </c>
      <c r="B69" s="823" t="s">
        <v>5354</v>
      </c>
      <c r="C69" s="823" t="s">
        <v>5355</v>
      </c>
      <c r="D69" s="823" t="s">
        <v>5408</v>
      </c>
      <c r="E69" s="823" t="s">
        <v>5409</v>
      </c>
      <c r="F69" s="832"/>
      <c r="G69" s="832"/>
      <c r="H69" s="832"/>
      <c r="I69" s="832"/>
      <c r="J69" s="832"/>
      <c r="K69" s="832"/>
      <c r="L69" s="832"/>
      <c r="M69" s="832"/>
      <c r="N69" s="832">
        <v>3</v>
      </c>
      <c r="O69" s="832">
        <v>3540</v>
      </c>
      <c r="P69" s="828"/>
      <c r="Q69" s="833">
        <v>1180</v>
      </c>
    </row>
    <row r="70" spans="1:17" ht="14.45" customHeight="1" x14ac:dyDescent="0.2">
      <c r="A70" s="822" t="s">
        <v>5353</v>
      </c>
      <c r="B70" s="823" t="s">
        <v>5410</v>
      </c>
      <c r="C70" s="823" t="s">
        <v>5355</v>
      </c>
      <c r="D70" s="823" t="s">
        <v>5413</v>
      </c>
      <c r="E70" s="823" t="s">
        <v>5414</v>
      </c>
      <c r="F70" s="832">
        <v>1</v>
      </c>
      <c r="G70" s="832">
        <v>127</v>
      </c>
      <c r="H70" s="832"/>
      <c r="I70" s="832">
        <v>127</v>
      </c>
      <c r="J70" s="832"/>
      <c r="K70" s="832"/>
      <c r="L70" s="832"/>
      <c r="M70" s="832"/>
      <c r="N70" s="832"/>
      <c r="O70" s="832"/>
      <c r="P70" s="828"/>
      <c r="Q70" s="833"/>
    </row>
    <row r="71" spans="1:17" ht="14.45" customHeight="1" x14ac:dyDescent="0.2">
      <c r="A71" s="822" t="s">
        <v>5353</v>
      </c>
      <c r="B71" s="823" t="s">
        <v>5427</v>
      </c>
      <c r="C71" s="823" t="s">
        <v>5396</v>
      </c>
      <c r="D71" s="823" t="s">
        <v>5458</v>
      </c>
      <c r="E71" s="823" t="s">
        <v>5459</v>
      </c>
      <c r="F71" s="832"/>
      <c r="G71" s="832"/>
      <c r="H71" s="832"/>
      <c r="I71" s="832"/>
      <c r="J71" s="832">
        <v>1</v>
      </c>
      <c r="K71" s="832">
        <v>5884.89</v>
      </c>
      <c r="L71" s="832">
        <v>1</v>
      </c>
      <c r="M71" s="832">
        <v>5884.89</v>
      </c>
      <c r="N71" s="832"/>
      <c r="O71" s="832"/>
      <c r="P71" s="828"/>
      <c r="Q71" s="833"/>
    </row>
    <row r="72" spans="1:17" ht="14.45" customHeight="1" x14ac:dyDescent="0.2">
      <c r="A72" s="822" t="s">
        <v>5353</v>
      </c>
      <c r="B72" s="823" t="s">
        <v>5427</v>
      </c>
      <c r="C72" s="823" t="s">
        <v>5355</v>
      </c>
      <c r="D72" s="823" t="s">
        <v>5431</v>
      </c>
      <c r="E72" s="823" t="s">
        <v>5432</v>
      </c>
      <c r="F72" s="832"/>
      <c r="G72" s="832"/>
      <c r="H72" s="832"/>
      <c r="I72" s="832"/>
      <c r="J72" s="832">
        <v>1</v>
      </c>
      <c r="K72" s="832">
        <v>585</v>
      </c>
      <c r="L72" s="832">
        <v>1</v>
      </c>
      <c r="M72" s="832">
        <v>585</v>
      </c>
      <c r="N72" s="832"/>
      <c r="O72" s="832"/>
      <c r="P72" s="828"/>
      <c r="Q72" s="833"/>
    </row>
    <row r="73" spans="1:17" ht="14.45" customHeight="1" x14ac:dyDescent="0.2">
      <c r="A73" s="822" t="s">
        <v>5471</v>
      </c>
      <c r="B73" s="823" t="s">
        <v>5354</v>
      </c>
      <c r="C73" s="823" t="s">
        <v>5396</v>
      </c>
      <c r="D73" s="823" t="s">
        <v>5458</v>
      </c>
      <c r="E73" s="823" t="s">
        <v>5459</v>
      </c>
      <c r="F73" s="832"/>
      <c r="G73" s="832"/>
      <c r="H73" s="832"/>
      <c r="I73" s="832"/>
      <c r="J73" s="832"/>
      <c r="K73" s="832"/>
      <c r="L73" s="832"/>
      <c r="M73" s="832"/>
      <c r="N73" s="832">
        <v>2</v>
      </c>
      <c r="O73" s="832">
        <v>9939.4599999999991</v>
      </c>
      <c r="P73" s="828"/>
      <c r="Q73" s="833">
        <v>4969.7299999999996</v>
      </c>
    </row>
    <row r="74" spans="1:17" ht="14.45" customHeight="1" x14ac:dyDescent="0.2">
      <c r="A74" s="822" t="s">
        <v>5471</v>
      </c>
      <c r="B74" s="823" t="s">
        <v>5354</v>
      </c>
      <c r="C74" s="823" t="s">
        <v>5396</v>
      </c>
      <c r="D74" s="823" t="s">
        <v>5397</v>
      </c>
      <c r="E74" s="823" t="s">
        <v>5398</v>
      </c>
      <c r="F74" s="832"/>
      <c r="G74" s="832"/>
      <c r="H74" s="832"/>
      <c r="I74" s="832"/>
      <c r="J74" s="832"/>
      <c r="K74" s="832"/>
      <c r="L74" s="832"/>
      <c r="M74" s="832"/>
      <c r="N74" s="832">
        <v>1</v>
      </c>
      <c r="O74" s="832">
        <v>5526.05</v>
      </c>
      <c r="P74" s="828"/>
      <c r="Q74" s="833">
        <v>5526.05</v>
      </c>
    </row>
    <row r="75" spans="1:17" ht="14.45" customHeight="1" x14ac:dyDescent="0.2">
      <c r="A75" s="822" t="s">
        <v>5471</v>
      </c>
      <c r="B75" s="823" t="s">
        <v>5354</v>
      </c>
      <c r="C75" s="823" t="s">
        <v>5396</v>
      </c>
      <c r="D75" s="823" t="s">
        <v>5399</v>
      </c>
      <c r="E75" s="823" t="s">
        <v>5398</v>
      </c>
      <c r="F75" s="832"/>
      <c r="G75" s="832"/>
      <c r="H75" s="832"/>
      <c r="I75" s="832"/>
      <c r="J75" s="832"/>
      <c r="K75" s="832"/>
      <c r="L75" s="832"/>
      <c r="M75" s="832"/>
      <c r="N75" s="832">
        <v>3</v>
      </c>
      <c r="O75" s="832">
        <v>15788.9</v>
      </c>
      <c r="P75" s="828"/>
      <c r="Q75" s="833">
        <v>5262.9666666666662</v>
      </c>
    </row>
    <row r="76" spans="1:17" ht="14.45" customHeight="1" x14ac:dyDescent="0.2">
      <c r="A76" s="822" t="s">
        <v>5471</v>
      </c>
      <c r="B76" s="823" t="s">
        <v>5354</v>
      </c>
      <c r="C76" s="823" t="s">
        <v>5396</v>
      </c>
      <c r="D76" s="823" t="s">
        <v>5460</v>
      </c>
      <c r="E76" s="823" t="s">
        <v>5398</v>
      </c>
      <c r="F76" s="832"/>
      <c r="G76" s="832"/>
      <c r="H76" s="832"/>
      <c r="I76" s="832"/>
      <c r="J76" s="832"/>
      <c r="K76" s="832"/>
      <c r="L76" s="832"/>
      <c r="M76" s="832"/>
      <c r="N76" s="832">
        <v>1</v>
      </c>
      <c r="O76" s="832">
        <v>6071</v>
      </c>
      <c r="P76" s="828"/>
      <c r="Q76" s="833">
        <v>6071</v>
      </c>
    </row>
    <row r="77" spans="1:17" ht="14.45" customHeight="1" x14ac:dyDescent="0.2">
      <c r="A77" s="822" t="s">
        <v>5471</v>
      </c>
      <c r="B77" s="823" t="s">
        <v>5354</v>
      </c>
      <c r="C77" s="823" t="s">
        <v>5396</v>
      </c>
      <c r="D77" s="823" t="s">
        <v>5400</v>
      </c>
      <c r="E77" s="823" t="s">
        <v>5401</v>
      </c>
      <c r="F77" s="832"/>
      <c r="G77" s="832"/>
      <c r="H77" s="832"/>
      <c r="I77" s="832"/>
      <c r="J77" s="832"/>
      <c r="K77" s="832"/>
      <c r="L77" s="832"/>
      <c r="M77" s="832"/>
      <c r="N77" s="832">
        <v>1</v>
      </c>
      <c r="O77" s="832">
        <v>2250.46</v>
      </c>
      <c r="P77" s="828"/>
      <c r="Q77" s="833">
        <v>2250.46</v>
      </c>
    </row>
    <row r="78" spans="1:17" ht="14.45" customHeight="1" x14ac:dyDescent="0.2">
      <c r="A78" s="822" t="s">
        <v>5471</v>
      </c>
      <c r="B78" s="823" t="s">
        <v>5354</v>
      </c>
      <c r="C78" s="823" t="s">
        <v>5396</v>
      </c>
      <c r="D78" s="823" t="s">
        <v>5462</v>
      </c>
      <c r="E78" s="823" t="s">
        <v>5403</v>
      </c>
      <c r="F78" s="832"/>
      <c r="G78" s="832"/>
      <c r="H78" s="832"/>
      <c r="I78" s="832"/>
      <c r="J78" s="832"/>
      <c r="K78" s="832"/>
      <c r="L78" s="832"/>
      <c r="M78" s="832"/>
      <c r="N78" s="832">
        <v>1</v>
      </c>
      <c r="O78" s="832">
        <v>2377.65</v>
      </c>
      <c r="P78" s="828"/>
      <c r="Q78" s="833">
        <v>2377.65</v>
      </c>
    </row>
    <row r="79" spans="1:17" ht="14.45" customHeight="1" x14ac:dyDescent="0.2">
      <c r="A79" s="822" t="s">
        <v>5471</v>
      </c>
      <c r="B79" s="823" t="s">
        <v>5354</v>
      </c>
      <c r="C79" s="823" t="s">
        <v>5396</v>
      </c>
      <c r="D79" s="823" t="s">
        <v>5402</v>
      </c>
      <c r="E79" s="823" t="s">
        <v>5403</v>
      </c>
      <c r="F79" s="832"/>
      <c r="G79" s="832"/>
      <c r="H79" s="832"/>
      <c r="I79" s="832"/>
      <c r="J79" s="832"/>
      <c r="K79" s="832"/>
      <c r="L79" s="832"/>
      <c r="M79" s="832"/>
      <c r="N79" s="832">
        <v>2</v>
      </c>
      <c r="O79" s="832">
        <v>4755.3</v>
      </c>
      <c r="P79" s="828"/>
      <c r="Q79" s="833">
        <v>2377.65</v>
      </c>
    </row>
    <row r="80" spans="1:17" ht="14.45" customHeight="1" x14ac:dyDescent="0.2">
      <c r="A80" s="822" t="s">
        <v>5471</v>
      </c>
      <c r="B80" s="823" t="s">
        <v>5354</v>
      </c>
      <c r="C80" s="823" t="s">
        <v>5355</v>
      </c>
      <c r="D80" s="823" t="s">
        <v>5366</v>
      </c>
      <c r="E80" s="823" t="s">
        <v>5367</v>
      </c>
      <c r="F80" s="832"/>
      <c r="G80" s="832"/>
      <c r="H80" s="832"/>
      <c r="I80" s="832"/>
      <c r="J80" s="832"/>
      <c r="K80" s="832"/>
      <c r="L80" s="832"/>
      <c r="M80" s="832"/>
      <c r="N80" s="832">
        <v>2</v>
      </c>
      <c r="O80" s="832">
        <v>874</v>
      </c>
      <c r="P80" s="828"/>
      <c r="Q80" s="833">
        <v>437</v>
      </c>
    </row>
    <row r="81" spans="1:17" ht="14.45" customHeight="1" x14ac:dyDescent="0.2">
      <c r="A81" s="822" t="s">
        <v>5471</v>
      </c>
      <c r="B81" s="823" t="s">
        <v>5354</v>
      </c>
      <c r="C81" s="823" t="s">
        <v>5355</v>
      </c>
      <c r="D81" s="823" t="s">
        <v>5368</v>
      </c>
      <c r="E81" s="823" t="s">
        <v>5369</v>
      </c>
      <c r="F81" s="832">
        <v>12</v>
      </c>
      <c r="G81" s="832">
        <v>12120</v>
      </c>
      <c r="H81" s="832">
        <v>1.4955577492596248</v>
      </c>
      <c r="I81" s="832">
        <v>1010</v>
      </c>
      <c r="J81" s="832">
        <v>8</v>
      </c>
      <c r="K81" s="832">
        <v>8104</v>
      </c>
      <c r="L81" s="832">
        <v>1</v>
      </c>
      <c r="M81" s="832">
        <v>1013</v>
      </c>
      <c r="N81" s="832">
        <v>6</v>
      </c>
      <c r="O81" s="832">
        <v>6096</v>
      </c>
      <c r="P81" s="828">
        <v>0.75222112537018759</v>
      </c>
      <c r="Q81" s="833">
        <v>1016</v>
      </c>
    </row>
    <row r="82" spans="1:17" ht="14.45" customHeight="1" x14ac:dyDescent="0.2">
      <c r="A82" s="822" t="s">
        <v>5471</v>
      </c>
      <c r="B82" s="823" t="s">
        <v>5354</v>
      </c>
      <c r="C82" s="823" t="s">
        <v>5355</v>
      </c>
      <c r="D82" s="823" t="s">
        <v>5384</v>
      </c>
      <c r="E82" s="823" t="s">
        <v>5385</v>
      </c>
      <c r="F82" s="832">
        <v>1</v>
      </c>
      <c r="G82" s="832">
        <v>2016</v>
      </c>
      <c r="H82" s="832">
        <v>0.99851411589895989</v>
      </c>
      <c r="I82" s="832">
        <v>2016</v>
      </c>
      <c r="J82" s="832">
        <v>1</v>
      </c>
      <c r="K82" s="832">
        <v>2019</v>
      </c>
      <c r="L82" s="832">
        <v>1</v>
      </c>
      <c r="M82" s="832">
        <v>2019</v>
      </c>
      <c r="N82" s="832">
        <v>4</v>
      </c>
      <c r="O82" s="832">
        <v>8088</v>
      </c>
      <c r="P82" s="828">
        <v>4.0059435364041605</v>
      </c>
      <c r="Q82" s="833">
        <v>2022</v>
      </c>
    </row>
    <row r="83" spans="1:17" ht="14.45" customHeight="1" x14ac:dyDescent="0.2">
      <c r="A83" s="822" t="s">
        <v>5471</v>
      </c>
      <c r="B83" s="823" t="s">
        <v>5354</v>
      </c>
      <c r="C83" s="823" t="s">
        <v>5355</v>
      </c>
      <c r="D83" s="823" t="s">
        <v>5408</v>
      </c>
      <c r="E83" s="823" t="s">
        <v>5409</v>
      </c>
      <c r="F83" s="832"/>
      <c r="G83" s="832"/>
      <c r="H83" s="832"/>
      <c r="I83" s="832"/>
      <c r="J83" s="832">
        <v>2</v>
      </c>
      <c r="K83" s="832">
        <v>2356</v>
      </c>
      <c r="L83" s="832">
        <v>1</v>
      </c>
      <c r="M83" s="832">
        <v>1178</v>
      </c>
      <c r="N83" s="832">
        <v>11</v>
      </c>
      <c r="O83" s="832">
        <v>12980</v>
      </c>
      <c r="P83" s="828">
        <v>5.5093378607809846</v>
      </c>
      <c r="Q83" s="833">
        <v>1180</v>
      </c>
    </row>
    <row r="84" spans="1:17" ht="14.45" customHeight="1" x14ac:dyDescent="0.2">
      <c r="A84" s="822" t="s">
        <v>5471</v>
      </c>
      <c r="B84" s="823" t="s">
        <v>5410</v>
      </c>
      <c r="C84" s="823" t="s">
        <v>5355</v>
      </c>
      <c r="D84" s="823" t="s">
        <v>5413</v>
      </c>
      <c r="E84" s="823" t="s">
        <v>5414</v>
      </c>
      <c r="F84" s="832">
        <v>1</v>
      </c>
      <c r="G84" s="832">
        <v>127</v>
      </c>
      <c r="H84" s="832">
        <v>0.33597883597883599</v>
      </c>
      <c r="I84" s="832">
        <v>127</v>
      </c>
      <c r="J84" s="832">
        <v>3</v>
      </c>
      <c r="K84" s="832">
        <v>378</v>
      </c>
      <c r="L84" s="832">
        <v>1</v>
      </c>
      <c r="M84" s="832">
        <v>126</v>
      </c>
      <c r="N84" s="832">
        <v>2</v>
      </c>
      <c r="O84" s="832">
        <v>254</v>
      </c>
      <c r="P84" s="828">
        <v>0.67195767195767198</v>
      </c>
      <c r="Q84" s="833">
        <v>127</v>
      </c>
    </row>
    <row r="85" spans="1:17" ht="14.45" customHeight="1" x14ac:dyDescent="0.2">
      <c r="A85" s="822" t="s">
        <v>5471</v>
      </c>
      <c r="B85" s="823" t="s">
        <v>5410</v>
      </c>
      <c r="C85" s="823" t="s">
        <v>5355</v>
      </c>
      <c r="D85" s="823" t="s">
        <v>5423</v>
      </c>
      <c r="E85" s="823" t="s">
        <v>5424</v>
      </c>
      <c r="F85" s="832"/>
      <c r="G85" s="832"/>
      <c r="H85" s="832"/>
      <c r="I85" s="832"/>
      <c r="J85" s="832">
        <v>1</v>
      </c>
      <c r="K85" s="832">
        <v>376</v>
      </c>
      <c r="L85" s="832">
        <v>1</v>
      </c>
      <c r="M85" s="832">
        <v>376</v>
      </c>
      <c r="N85" s="832">
        <v>1</v>
      </c>
      <c r="O85" s="832">
        <v>379</v>
      </c>
      <c r="P85" s="828">
        <v>1.0079787234042554</v>
      </c>
      <c r="Q85" s="833">
        <v>379</v>
      </c>
    </row>
    <row r="86" spans="1:17" ht="14.45" customHeight="1" x14ac:dyDescent="0.2">
      <c r="A86" s="822" t="s">
        <v>5471</v>
      </c>
      <c r="B86" s="823" t="s">
        <v>5410</v>
      </c>
      <c r="C86" s="823" t="s">
        <v>5355</v>
      </c>
      <c r="D86" s="823" t="s">
        <v>5425</v>
      </c>
      <c r="E86" s="823" t="s">
        <v>5426</v>
      </c>
      <c r="F86" s="832"/>
      <c r="G86" s="832"/>
      <c r="H86" s="832"/>
      <c r="I86" s="832"/>
      <c r="J86" s="832">
        <v>2</v>
      </c>
      <c r="K86" s="832">
        <v>508</v>
      </c>
      <c r="L86" s="832">
        <v>1</v>
      </c>
      <c r="M86" s="832">
        <v>254</v>
      </c>
      <c r="N86" s="832"/>
      <c r="O86" s="832"/>
      <c r="P86" s="828"/>
      <c r="Q86" s="833"/>
    </row>
    <row r="87" spans="1:17" ht="14.45" customHeight="1" x14ac:dyDescent="0.2">
      <c r="A87" s="822" t="s">
        <v>5471</v>
      </c>
      <c r="B87" s="823" t="s">
        <v>5427</v>
      </c>
      <c r="C87" s="823" t="s">
        <v>5396</v>
      </c>
      <c r="D87" s="823" t="s">
        <v>5397</v>
      </c>
      <c r="E87" s="823" t="s">
        <v>5398</v>
      </c>
      <c r="F87" s="832"/>
      <c r="G87" s="832"/>
      <c r="H87" s="832"/>
      <c r="I87" s="832"/>
      <c r="J87" s="832">
        <v>1</v>
      </c>
      <c r="K87" s="832">
        <v>6677.48</v>
      </c>
      <c r="L87" s="832">
        <v>1</v>
      </c>
      <c r="M87" s="832">
        <v>6677.48</v>
      </c>
      <c r="N87" s="832"/>
      <c r="O87" s="832"/>
      <c r="P87" s="828"/>
      <c r="Q87" s="833"/>
    </row>
    <row r="88" spans="1:17" ht="14.45" customHeight="1" x14ac:dyDescent="0.2">
      <c r="A88" s="822" t="s">
        <v>5471</v>
      </c>
      <c r="B88" s="823" t="s">
        <v>5427</v>
      </c>
      <c r="C88" s="823" t="s">
        <v>5396</v>
      </c>
      <c r="D88" s="823" t="s">
        <v>5460</v>
      </c>
      <c r="E88" s="823" t="s">
        <v>5398</v>
      </c>
      <c r="F88" s="832"/>
      <c r="G88" s="832"/>
      <c r="H88" s="832"/>
      <c r="I88" s="832"/>
      <c r="J88" s="832">
        <v>1</v>
      </c>
      <c r="K88" s="832">
        <v>6071</v>
      </c>
      <c r="L88" s="832">
        <v>1</v>
      </c>
      <c r="M88" s="832">
        <v>6071</v>
      </c>
      <c r="N88" s="832"/>
      <c r="O88" s="832"/>
      <c r="P88" s="828"/>
      <c r="Q88" s="833"/>
    </row>
    <row r="89" spans="1:17" ht="14.45" customHeight="1" x14ac:dyDescent="0.2">
      <c r="A89" s="822" t="s">
        <v>5471</v>
      </c>
      <c r="B89" s="823" t="s">
        <v>5427</v>
      </c>
      <c r="C89" s="823" t="s">
        <v>5355</v>
      </c>
      <c r="D89" s="823" t="s">
        <v>5431</v>
      </c>
      <c r="E89" s="823" t="s">
        <v>5432</v>
      </c>
      <c r="F89" s="832"/>
      <c r="G89" s="832"/>
      <c r="H89" s="832"/>
      <c r="I89" s="832"/>
      <c r="J89" s="832">
        <v>2</v>
      </c>
      <c r="K89" s="832">
        <v>1170</v>
      </c>
      <c r="L89" s="832">
        <v>1</v>
      </c>
      <c r="M89" s="832">
        <v>585</v>
      </c>
      <c r="N89" s="832"/>
      <c r="O89" s="832"/>
      <c r="P89" s="828"/>
      <c r="Q89" s="833"/>
    </row>
    <row r="90" spans="1:17" ht="14.45" customHeight="1" x14ac:dyDescent="0.2">
      <c r="A90" s="822" t="s">
        <v>5472</v>
      </c>
      <c r="B90" s="823" t="s">
        <v>5354</v>
      </c>
      <c r="C90" s="823" t="s">
        <v>5396</v>
      </c>
      <c r="D90" s="823" t="s">
        <v>5400</v>
      </c>
      <c r="E90" s="823" t="s">
        <v>5401</v>
      </c>
      <c r="F90" s="832"/>
      <c r="G90" s="832"/>
      <c r="H90" s="832"/>
      <c r="I90" s="832"/>
      <c r="J90" s="832"/>
      <c r="K90" s="832"/>
      <c r="L90" s="832"/>
      <c r="M90" s="832"/>
      <c r="N90" s="832">
        <v>1</v>
      </c>
      <c r="O90" s="832">
        <v>2250.4499999999998</v>
      </c>
      <c r="P90" s="828"/>
      <c r="Q90" s="833">
        <v>2250.4499999999998</v>
      </c>
    </row>
    <row r="91" spans="1:17" ht="14.45" customHeight="1" x14ac:dyDescent="0.2">
      <c r="A91" s="822" t="s">
        <v>5472</v>
      </c>
      <c r="B91" s="823" t="s">
        <v>5354</v>
      </c>
      <c r="C91" s="823" t="s">
        <v>5396</v>
      </c>
      <c r="D91" s="823" t="s">
        <v>5402</v>
      </c>
      <c r="E91" s="823" t="s">
        <v>5403</v>
      </c>
      <c r="F91" s="832"/>
      <c r="G91" s="832"/>
      <c r="H91" s="832"/>
      <c r="I91" s="832"/>
      <c r="J91" s="832"/>
      <c r="K91" s="832"/>
      <c r="L91" s="832"/>
      <c r="M91" s="832"/>
      <c r="N91" s="832">
        <v>1</v>
      </c>
      <c r="O91" s="832">
        <v>2377.65</v>
      </c>
      <c r="P91" s="828"/>
      <c r="Q91" s="833">
        <v>2377.65</v>
      </c>
    </row>
    <row r="92" spans="1:17" ht="14.45" customHeight="1" x14ac:dyDescent="0.2">
      <c r="A92" s="822" t="s">
        <v>5472</v>
      </c>
      <c r="B92" s="823" t="s">
        <v>5354</v>
      </c>
      <c r="C92" s="823" t="s">
        <v>5355</v>
      </c>
      <c r="D92" s="823" t="s">
        <v>5358</v>
      </c>
      <c r="E92" s="823" t="s">
        <v>5359</v>
      </c>
      <c r="F92" s="832">
        <v>1</v>
      </c>
      <c r="G92" s="832">
        <v>37</v>
      </c>
      <c r="H92" s="832"/>
      <c r="I92" s="832">
        <v>37</v>
      </c>
      <c r="J92" s="832"/>
      <c r="K92" s="832"/>
      <c r="L92" s="832"/>
      <c r="M92" s="832"/>
      <c r="N92" s="832"/>
      <c r="O92" s="832"/>
      <c r="P92" s="828"/>
      <c r="Q92" s="833"/>
    </row>
    <row r="93" spans="1:17" ht="14.45" customHeight="1" x14ac:dyDescent="0.2">
      <c r="A93" s="822" t="s">
        <v>5472</v>
      </c>
      <c r="B93" s="823" t="s">
        <v>5354</v>
      </c>
      <c r="C93" s="823" t="s">
        <v>5355</v>
      </c>
      <c r="D93" s="823" t="s">
        <v>5386</v>
      </c>
      <c r="E93" s="823" t="s">
        <v>5387</v>
      </c>
      <c r="F93" s="832">
        <v>1</v>
      </c>
      <c r="G93" s="832">
        <v>355</v>
      </c>
      <c r="H93" s="832"/>
      <c r="I93" s="832">
        <v>355</v>
      </c>
      <c r="J93" s="832"/>
      <c r="K93" s="832"/>
      <c r="L93" s="832"/>
      <c r="M93" s="832"/>
      <c r="N93" s="832"/>
      <c r="O93" s="832"/>
      <c r="P93" s="828"/>
      <c r="Q93" s="833"/>
    </row>
    <row r="94" spans="1:17" ht="14.45" customHeight="1" x14ac:dyDescent="0.2">
      <c r="A94" s="822" t="s">
        <v>5472</v>
      </c>
      <c r="B94" s="823" t="s">
        <v>5354</v>
      </c>
      <c r="C94" s="823" t="s">
        <v>5355</v>
      </c>
      <c r="D94" s="823" t="s">
        <v>5408</v>
      </c>
      <c r="E94" s="823" t="s">
        <v>5409</v>
      </c>
      <c r="F94" s="832"/>
      <c r="G94" s="832"/>
      <c r="H94" s="832"/>
      <c r="I94" s="832"/>
      <c r="J94" s="832">
        <v>2</v>
      </c>
      <c r="K94" s="832">
        <v>2356</v>
      </c>
      <c r="L94" s="832">
        <v>1</v>
      </c>
      <c r="M94" s="832">
        <v>1178</v>
      </c>
      <c r="N94" s="832">
        <v>2</v>
      </c>
      <c r="O94" s="832">
        <v>2360</v>
      </c>
      <c r="P94" s="828">
        <v>1.0016977928692699</v>
      </c>
      <c r="Q94" s="833">
        <v>1180</v>
      </c>
    </row>
    <row r="95" spans="1:17" ht="14.45" customHeight="1" x14ac:dyDescent="0.2">
      <c r="A95" s="822" t="s">
        <v>5472</v>
      </c>
      <c r="B95" s="823" t="s">
        <v>5427</v>
      </c>
      <c r="C95" s="823" t="s">
        <v>5355</v>
      </c>
      <c r="D95" s="823" t="s">
        <v>5431</v>
      </c>
      <c r="E95" s="823" t="s">
        <v>5432</v>
      </c>
      <c r="F95" s="832">
        <v>1</v>
      </c>
      <c r="G95" s="832">
        <v>580</v>
      </c>
      <c r="H95" s="832"/>
      <c r="I95" s="832">
        <v>580</v>
      </c>
      <c r="J95" s="832"/>
      <c r="K95" s="832"/>
      <c r="L95" s="832"/>
      <c r="M95" s="832"/>
      <c r="N95" s="832"/>
      <c r="O95" s="832"/>
      <c r="P95" s="828"/>
      <c r="Q95" s="833"/>
    </row>
    <row r="96" spans="1:17" ht="14.45" customHeight="1" x14ac:dyDescent="0.2">
      <c r="A96" s="822" t="s">
        <v>5473</v>
      </c>
      <c r="B96" s="823" t="s">
        <v>5354</v>
      </c>
      <c r="C96" s="823" t="s">
        <v>5396</v>
      </c>
      <c r="D96" s="823" t="s">
        <v>5428</v>
      </c>
      <c r="E96" s="823" t="s">
        <v>5429</v>
      </c>
      <c r="F96" s="832"/>
      <c r="G96" s="832"/>
      <c r="H96" s="832"/>
      <c r="I96" s="832"/>
      <c r="J96" s="832"/>
      <c r="K96" s="832"/>
      <c r="L96" s="832"/>
      <c r="M96" s="832"/>
      <c r="N96" s="832">
        <v>2</v>
      </c>
      <c r="O96" s="832">
        <v>9712.7199999999993</v>
      </c>
      <c r="P96" s="828"/>
      <c r="Q96" s="833">
        <v>4856.3599999999997</v>
      </c>
    </row>
    <row r="97" spans="1:17" ht="14.45" customHeight="1" x14ac:dyDescent="0.2">
      <c r="A97" s="822" t="s">
        <v>5473</v>
      </c>
      <c r="B97" s="823" t="s">
        <v>5354</v>
      </c>
      <c r="C97" s="823" t="s">
        <v>5355</v>
      </c>
      <c r="D97" s="823" t="s">
        <v>5408</v>
      </c>
      <c r="E97" s="823" t="s">
        <v>5409</v>
      </c>
      <c r="F97" s="832"/>
      <c r="G97" s="832"/>
      <c r="H97" s="832"/>
      <c r="I97" s="832"/>
      <c r="J97" s="832">
        <v>1</v>
      </c>
      <c r="K97" s="832">
        <v>1178</v>
      </c>
      <c r="L97" s="832">
        <v>1</v>
      </c>
      <c r="M97" s="832">
        <v>1178</v>
      </c>
      <c r="N97" s="832">
        <v>2</v>
      </c>
      <c r="O97" s="832">
        <v>2360</v>
      </c>
      <c r="P97" s="828">
        <v>2.0033955857385397</v>
      </c>
      <c r="Q97" s="833">
        <v>1180</v>
      </c>
    </row>
    <row r="98" spans="1:17" ht="14.45" customHeight="1" x14ac:dyDescent="0.2">
      <c r="A98" s="822" t="s">
        <v>5474</v>
      </c>
      <c r="B98" s="823" t="s">
        <v>5354</v>
      </c>
      <c r="C98" s="823" t="s">
        <v>5396</v>
      </c>
      <c r="D98" s="823" t="s">
        <v>5400</v>
      </c>
      <c r="E98" s="823" t="s">
        <v>5401</v>
      </c>
      <c r="F98" s="832"/>
      <c r="G98" s="832"/>
      <c r="H98" s="832"/>
      <c r="I98" s="832"/>
      <c r="J98" s="832"/>
      <c r="K98" s="832"/>
      <c r="L98" s="832"/>
      <c r="M98" s="832"/>
      <c r="N98" s="832">
        <v>7</v>
      </c>
      <c r="O98" s="832">
        <v>15753.16</v>
      </c>
      <c r="P98" s="828"/>
      <c r="Q98" s="833">
        <v>2250.4514285714286</v>
      </c>
    </row>
    <row r="99" spans="1:17" ht="14.45" customHeight="1" x14ac:dyDescent="0.2">
      <c r="A99" s="822" t="s">
        <v>5474</v>
      </c>
      <c r="B99" s="823" t="s">
        <v>5354</v>
      </c>
      <c r="C99" s="823" t="s">
        <v>5396</v>
      </c>
      <c r="D99" s="823" t="s">
        <v>5402</v>
      </c>
      <c r="E99" s="823" t="s">
        <v>5403</v>
      </c>
      <c r="F99" s="832"/>
      <c r="G99" s="832"/>
      <c r="H99" s="832"/>
      <c r="I99" s="832"/>
      <c r="J99" s="832"/>
      <c r="K99" s="832"/>
      <c r="L99" s="832"/>
      <c r="M99" s="832"/>
      <c r="N99" s="832">
        <v>4</v>
      </c>
      <c r="O99" s="832">
        <v>9510.6</v>
      </c>
      <c r="P99" s="828"/>
      <c r="Q99" s="833">
        <v>2377.65</v>
      </c>
    </row>
    <row r="100" spans="1:17" ht="14.45" customHeight="1" x14ac:dyDescent="0.2">
      <c r="A100" s="822" t="s">
        <v>5474</v>
      </c>
      <c r="B100" s="823" t="s">
        <v>5354</v>
      </c>
      <c r="C100" s="823" t="s">
        <v>5396</v>
      </c>
      <c r="D100" s="823" t="s">
        <v>5404</v>
      </c>
      <c r="E100" s="823" t="s">
        <v>5405</v>
      </c>
      <c r="F100" s="832"/>
      <c r="G100" s="832"/>
      <c r="H100" s="832"/>
      <c r="I100" s="832"/>
      <c r="J100" s="832"/>
      <c r="K100" s="832"/>
      <c r="L100" s="832"/>
      <c r="M100" s="832"/>
      <c r="N100" s="832">
        <v>2</v>
      </c>
      <c r="O100" s="832">
        <v>3099.98</v>
      </c>
      <c r="P100" s="828"/>
      <c r="Q100" s="833">
        <v>1549.99</v>
      </c>
    </row>
    <row r="101" spans="1:17" ht="14.45" customHeight="1" x14ac:dyDescent="0.2">
      <c r="A101" s="822" t="s">
        <v>5474</v>
      </c>
      <c r="B101" s="823" t="s">
        <v>5354</v>
      </c>
      <c r="C101" s="823" t="s">
        <v>5355</v>
      </c>
      <c r="D101" s="823" t="s">
        <v>5408</v>
      </c>
      <c r="E101" s="823" t="s">
        <v>5409</v>
      </c>
      <c r="F101" s="832"/>
      <c r="G101" s="832"/>
      <c r="H101" s="832"/>
      <c r="I101" s="832"/>
      <c r="J101" s="832">
        <v>3</v>
      </c>
      <c r="K101" s="832">
        <v>3534</v>
      </c>
      <c r="L101" s="832">
        <v>1</v>
      </c>
      <c r="M101" s="832">
        <v>1178</v>
      </c>
      <c r="N101" s="832">
        <v>17</v>
      </c>
      <c r="O101" s="832">
        <v>20060</v>
      </c>
      <c r="P101" s="828">
        <v>5.6762874929258631</v>
      </c>
      <c r="Q101" s="833">
        <v>1180</v>
      </c>
    </row>
    <row r="102" spans="1:17" ht="14.45" customHeight="1" x14ac:dyDescent="0.2">
      <c r="A102" s="822" t="s">
        <v>5474</v>
      </c>
      <c r="B102" s="823" t="s">
        <v>5427</v>
      </c>
      <c r="C102" s="823" t="s">
        <v>5355</v>
      </c>
      <c r="D102" s="823" t="s">
        <v>5431</v>
      </c>
      <c r="E102" s="823" t="s">
        <v>5432</v>
      </c>
      <c r="F102" s="832"/>
      <c r="G102" s="832"/>
      <c r="H102" s="832"/>
      <c r="I102" s="832"/>
      <c r="J102" s="832">
        <v>2</v>
      </c>
      <c r="K102" s="832">
        <v>1170</v>
      </c>
      <c r="L102" s="832">
        <v>1</v>
      </c>
      <c r="M102" s="832">
        <v>585</v>
      </c>
      <c r="N102" s="832"/>
      <c r="O102" s="832"/>
      <c r="P102" s="828"/>
      <c r="Q102" s="833"/>
    </row>
    <row r="103" spans="1:17" ht="14.45" customHeight="1" x14ac:dyDescent="0.2">
      <c r="A103" s="822" t="s">
        <v>5475</v>
      </c>
      <c r="B103" s="823" t="s">
        <v>5354</v>
      </c>
      <c r="C103" s="823" t="s">
        <v>5396</v>
      </c>
      <c r="D103" s="823" t="s">
        <v>5428</v>
      </c>
      <c r="E103" s="823" t="s">
        <v>5429</v>
      </c>
      <c r="F103" s="832"/>
      <c r="G103" s="832"/>
      <c r="H103" s="832"/>
      <c r="I103" s="832"/>
      <c r="J103" s="832"/>
      <c r="K103" s="832"/>
      <c r="L103" s="832"/>
      <c r="M103" s="832"/>
      <c r="N103" s="832">
        <v>1</v>
      </c>
      <c r="O103" s="832">
        <v>4856.3599999999997</v>
      </c>
      <c r="P103" s="828"/>
      <c r="Q103" s="833">
        <v>4856.3599999999997</v>
      </c>
    </row>
    <row r="104" spans="1:17" ht="14.45" customHeight="1" x14ac:dyDescent="0.2">
      <c r="A104" s="822" t="s">
        <v>5475</v>
      </c>
      <c r="B104" s="823" t="s">
        <v>5354</v>
      </c>
      <c r="C104" s="823" t="s">
        <v>5396</v>
      </c>
      <c r="D104" s="823" t="s">
        <v>5400</v>
      </c>
      <c r="E104" s="823" t="s">
        <v>5401</v>
      </c>
      <c r="F104" s="832"/>
      <c r="G104" s="832"/>
      <c r="H104" s="832"/>
      <c r="I104" s="832"/>
      <c r="J104" s="832"/>
      <c r="K104" s="832"/>
      <c r="L104" s="832"/>
      <c r="M104" s="832"/>
      <c r="N104" s="832">
        <v>1</v>
      </c>
      <c r="O104" s="832">
        <v>2250.4499999999998</v>
      </c>
      <c r="P104" s="828"/>
      <c r="Q104" s="833">
        <v>2250.4499999999998</v>
      </c>
    </row>
    <row r="105" spans="1:17" ht="14.45" customHeight="1" x14ac:dyDescent="0.2">
      <c r="A105" s="822" t="s">
        <v>5475</v>
      </c>
      <c r="B105" s="823" t="s">
        <v>5354</v>
      </c>
      <c r="C105" s="823" t="s">
        <v>5396</v>
      </c>
      <c r="D105" s="823" t="s">
        <v>5402</v>
      </c>
      <c r="E105" s="823" t="s">
        <v>5403</v>
      </c>
      <c r="F105" s="832"/>
      <c r="G105" s="832"/>
      <c r="H105" s="832"/>
      <c r="I105" s="832"/>
      <c r="J105" s="832"/>
      <c r="K105" s="832"/>
      <c r="L105" s="832"/>
      <c r="M105" s="832"/>
      <c r="N105" s="832">
        <v>1</v>
      </c>
      <c r="O105" s="832">
        <v>2377.65</v>
      </c>
      <c r="P105" s="828"/>
      <c r="Q105" s="833">
        <v>2377.65</v>
      </c>
    </row>
    <row r="106" spans="1:17" ht="14.45" customHeight="1" x14ac:dyDescent="0.2">
      <c r="A106" s="822" t="s">
        <v>5475</v>
      </c>
      <c r="B106" s="823" t="s">
        <v>5354</v>
      </c>
      <c r="C106" s="823" t="s">
        <v>5355</v>
      </c>
      <c r="D106" s="823" t="s">
        <v>5408</v>
      </c>
      <c r="E106" s="823" t="s">
        <v>5409</v>
      </c>
      <c r="F106" s="832"/>
      <c r="G106" s="832"/>
      <c r="H106" s="832"/>
      <c r="I106" s="832"/>
      <c r="J106" s="832"/>
      <c r="K106" s="832"/>
      <c r="L106" s="832"/>
      <c r="M106" s="832"/>
      <c r="N106" s="832">
        <v>3</v>
      </c>
      <c r="O106" s="832">
        <v>3540</v>
      </c>
      <c r="P106" s="828"/>
      <c r="Q106" s="833">
        <v>1180</v>
      </c>
    </row>
    <row r="107" spans="1:17" ht="14.45" customHeight="1" x14ac:dyDescent="0.2">
      <c r="A107" s="822" t="s">
        <v>5476</v>
      </c>
      <c r="B107" s="823" t="s">
        <v>5354</v>
      </c>
      <c r="C107" s="823" t="s">
        <v>5396</v>
      </c>
      <c r="D107" s="823" t="s">
        <v>5400</v>
      </c>
      <c r="E107" s="823" t="s">
        <v>5401</v>
      </c>
      <c r="F107" s="832"/>
      <c r="G107" s="832"/>
      <c r="H107" s="832"/>
      <c r="I107" s="832"/>
      <c r="J107" s="832"/>
      <c r="K107" s="832"/>
      <c r="L107" s="832"/>
      <c r="M107" s="832"/>
      <c r="N107" s="832">
        <v>1</v>
      </c>
      <c r="O107" s="832">
        <v>2250.4499999999998</v>
      </c>
      <c r="P107" s="828"/>
      <c r="Q107" s="833">
        <v>2250.4499999999998</v>
      </c>
    </row>
    <row r="108" spans="1:17" ht="14.45" customHeight="1" x14ac:dyDescent="0.2">
      <c r="A108" s="822" t="s">
        <v>5476</v>
      </c>
      <c r="B108" s="823" t="s">
        <v>5354</v>
      </c>
      <c r="C108" s="823" t="s">
        <v>5396</v>
      </c>
      <c r="D108" s="823" t="s">
        <v>5402</v>
      </c>
      <c r="E108" s="823" t="s">
        <v>5403</v>
      </c>
      <c r="F108" s="832"/>
      <c r="G108" s="832"/>
      <c r="H108" s="832"/>
      <c r="I108" s="832"/>
      <c r="J108" s="832"/>
      <c r="K108" s="832"/>
      <c r="L108" s="832"/>
      <c r="M108" s="832"/>
      <c r="N108" s="832">
        <v>3</v>
      </c>
      <c r="O108" s="832">
        <v>7132.9500000000007</v>
      </c>
      <c r="P108" s="828"/>
      <c r="Q108" s="833">
        <v>2377.65</v>
      </c>
    </row>
    <row r="109" spans="1:17" ht="14.45" customHeight="1" x14ac:dyDescent="0.2">
      <c r="A109" s="822" t="s">
        <v>5476</v>
      </c>
      <c r="B109" s="823" t="s">
        <v>5354</v>
      </c>
      <c r="C109" s="823" t="s">
        <v>5355</v>
      </c>
      <c r="D109" s="823" t="s">
        <v>5408</v>
      </c>
      <c r="E109" s="823" t="s">
        <v>5409</v>
      </c>
      <c r="F109" s="832"/>
      <c r="G109" s="832"/>
      <c r="H109" s="832"/>
      <c r="I109" s="832"/>
      <c r="J109" s="832">
        <v>1</v>
      </c>
      <c r="K109" s="832">
        <v>1178</v>
      </c>
      <c r="L109" s="832">
        <v>1</v>
      </c>
      <c r="M109" s="832">
        <v>1178</v>
      </c>
      <c r="N109" s="832">
        <v>4</v>
      </c>
      <c r="O109" s="832">
        <v>4720</v>
      </c>
      <c r="P109" s="828">
        <v>4.0067911714770794</v>
      </c>
      <c r="Q109" s="833">
        <v>1180</v>
      </c>
    </row>
    <row r="110" spans="1:17" ht="14.45" customHeight="1" x14ac:dyDescent="0.2">
      <c r="A110" s="822" t="s">
        <v>5477</v>
      </c>
      <c r="B110" s="823" t="s">
        <v>5354</v>
      </c>
      <c r="C110" s="823" t="s">
        <v>5396</v>
      </c>
      <c r="D110" s="823" t="s">
        <v>5399</v>
      </c>
      <c r="E110" s="823" t="s">
        <v>5398</v>
      </c>
      <c r="F110" s="832"/>
      <c r="G110" s="832"/>
      <c r="H110" s="832"/>
      <c r="I110" s="832"/>
      <c r="J110" s="832"/>
      <c r="K110" s="832"/>
      <c r="L110" s="832"/>
      <c r="M110" s="832"/>
      <c r="N110" s="832">
        <v>6</v>
      </c>
      <c r="O110" s="832">
        <v>28527.160000000003</v>
      </c>
      <c r="P110" s="828"/>
      <c r="Q110" s="833">
        <v>4754.5266666666676</v>
      </c>
    </row>
    <row r="111" spans="1:17" ht="14.45" customHeight="1" x14ac:dyDescent="0.2">
      <c r="A111" s="822" t="s">
        <v>5477</v>
      </c>
      <c r="B111" s="823" t="s">
        <v>5354</v>
      </c>
      <c r="C111" s="823" t="s">
        <v>5396</v>
      </c>
      <c r="D111" s="823" t="s">
        <v>5400</v>
      </c>
      <c r="E111" s="823" t="s">
        <v>5401</v>
      </c>
      <c r="F111" s="832"/>
      <c r="G111" s="832"/>
      <c r="H111" s="832"/>
      <c r="I111" s="832"/>
      <c r="J111" s="832"/>
      <c r="K111" s="832"/>
      <c r="L111" s="832"/>
      <c r="M111" s="832"/>
      <c r="N111" s="832">
        <v>10</v>
      </c>
      <c r="O111" s="832">
        <v>22504.54</v>
      </c>
      <c r="P111" s="828"/>
      <c r="Q111" s="833">
        <v>2250.4540000000002</v>
      </c>
    </row>
    <row r="112" spans="1:17" ht="14.45" customHeight="1" x14ac:dyDescent="0.2">
      <c r="A112" s="822" t="s">
        <v>5477</v>
      </c>
      <c r="B112" s="823" t="s">
        <v>5354</v>
      </c>
      <c r="C112" s="823" t="s">
        <v>5396</v>
      </c>
      <c r="D112" s="823" t="s">
        <v>5462</v>
      </c>
      <c r="E112" s="823" t="s">
        <v>5403</v>
      </c>
      <c r="F112" s="832"/>
      <c r="G112" s="832"/>
      <c r="H112" s="832"/>
      <c r="I112" s="832"/>
      <c r="J112" s="832"/>
      <c r="K112" s="832"/>
      <c r="L112" s="832"/>
      <c r="M112" s="832"/>
      <c r="N112" s="832">
        <v>1</v>
      </c>
      <c r="O112" s="832">
        <v>2377.65</v>
      </c>
      <c r="P112" s="828"/>
      <c r="Q112" s="833">
        <v>2377.65</v>
      </c>
    </row>
    <row r="113" spans="1:17" ht="14.45" customHeight="1" x14ac:dyDescent="0.2">
      <c r="A113" s="822" t="s">
        <v>5477</v>
      </c>
      <c r="B113" s="823" t="s">
        <v>5354</v>
      </c>
      <c r="C113" s="823" t="s">
        <v>5396</v>
      </c>
      <c r="D113" s="823" t="s">
        <v>5402</v>
      </c>
      <c r="E113" s="823" t="s">
        <v>5403</v>
      </c>
      <c r="F113" s="832"/>
      <c r="G113" s="832"/>
      <c r="H113" s="832"/>
      <c r="I113" s="832"/>
      <c r="J113" s="832"/>
      <c r="K113" s="832"/>
      <c r="L113" s="832"/>
      <c r="M113" s="832"/>
      <c r="N113" s="832">
        <v>2</v>
      </c>
      <c r="O113" s="832">
        <v>4755.3</v>
      </c>
      <c r="P113" s="828"/>
      <c r="Q113" s="833">
        <v>2377.65</v>
      </c>
    </row>
    <row r="114" spans="1:17" ht="14.45" customHeight="1" x14ac:dyDescent="0.2">
      <c r="A114" s="822" t="s">
        <v>5477</v>
      </c>
      <c r="B114" s="823" t="s">
        <v>5354</v>
      </c>
      <c r="C114" s="823" t="s">
        <v>5355</v>
      </c>
      <c r="D114" s="823" t="s">
        <v>5368</v>
      </c>
      <c r="E114" s="823" t="s">
        <v>5369</v>
      </c>
      <c r="F114" s="832">
        <v>1</v>
      </c>
      <c r="G114" s="832">
        <v>1010</v>
      </c>
      <c r="H114" s="832"/>
      <c r="I114" s="832">
        <v>1010</v>
      </c>
      <c r="J114" s="832"/>
      <c r="K114" s="832"/>
      <c r="L114" s="832"/>
      <c r="M114" s="832"/>
      <c r="N114" s="832"/>
      <c r="O114" s="832"/>
      <c r="P114" s="828"/>
      <c r="Q114" s="833"/>
    </row>
    <row r="115" spans="1:17" ht="14.45" customHeight="1" x14ac:dyDescent="0.2">
      <c r="A115" s="822" t="s">
        <v>5477</v>
      </c>
      <c r="B115" s="823" t="s">
        <v>5354</v>
      </c>
      <c r="C115" s="823" t="s">
        <v>5355</v>
      </c>
      <c r="D115" s="823" t="s">
        <v>5408</v>
      </c>
      <c r="E115" s="823" t="s">
        <v>5409</v>
      </c>
      <c r="F115" s="832"/>
      <c r="G115" s="832"/>
      <c r="H115" s="832"/>
      <c r="I115" s="832"/>
      <c r="J115" s="832">
        <v>6</v>
      </c>
      <c r="K115" s="832">
        <v>7068</v>
      </c>
      <c r="L115" s="832">
        <v>1</v>
      </c>
      <c r="M115" s="832">
        <v>1178</v>
      </c>
      <c r="N115" s="832">
        <v>20</v>
      </c>
      <c r="O115" s="832">
        <v>23600</v>
      </c>
      <c r="P115" s="828">
        <v>3.3389926428975665</v>
      </c>
      <c r="Q115" s="833">
        <v>1180</v>
      </c>
    </row>
    <row r="116" spans="1:17" ht="14.45" customHeight="1" x14ac:dyDescent="0.2">
      <c r="A116" s="822" t="s">
        <v>5477</v>
      </c>
      <c r="B116" s="823" t="s">
        <v>5410</v>
      </c>
      <c r="C116" s="823" t="s">
        <v>5355</v>
      </c>
      <c r="D116" s="823" t="s">
        <v>5423</v>
      </c>
      <c r="E116" s="823" t="s">
        <v>5424</v>
      </c>
      <c r="F116" s="832">
        <v>1</v>
      </c>
      <c r="G116" s="832">
        <v>374</v>
      </c>
      <c r="H116" s="832"/>
      <c r="I116" s="832">
        <v>374</v>
      </c>
      <c r="J116" s="832"/>
      <c r="K116" s="832"/>
      <c r="L116" s="832"/>
      <c r="M116" s="832"/>
      <c r="N116" s="832"/>
      <c r="O116" s="832"/>
      <c r="P116" s="828"/>
      <c r="Q116" s="833"/>
    </row>
    <row r="117" spans="1:17" ht="14.45" customHeight="1" x14ac:dyDescent="0.2">
      <c r="A117" s="822" t="s">
        <v>5477</v>
      </c>
      <c r="B117" s="823" t="s">
        <v>5427</v>
      </c>
      <c r="C117" s="823" t="s">
        <v>5396</v>
      </c>
      <c r="D117" s="823" t="s">
        <v>5428</v>
      </c>
      <c r="E117" s="823" t="s">
        <v>5429</v>
      </c>
      <c r="F117" s="832"/>
      <c r="G117" s="832"/>
      <c r="H117" s="832"/>
      <c r="I117" s="832"/>
      <c r="J117" s="832">
        <v>1</v>
      </c>
      <c r="K117" s="832">
        <v>4856.3599999999997</v>
      </c>
      <c r="L117" s="832">
        <v>1</v>
      </c>
      <c r="M117" s="832">
        <v>4856.3599999999997</v>
      </c>
      <c r="N117" s="832"/>
      <c r="O117" s="832"/>
      <c r="P117" s="828"/>
      <c r="Q117" s="833"/>
    </row>
    <row r="118" spans="1:17" ht="14.45" customHeight="1" x14ac:dyDescent="0.2">
      <c r="A118" s="822" t="s">
        <v>5477</v>
      </c>
      <c r="B118" s="823" t="s">
        <v>5427</v>
      </c>
      <c r="C118" s="823" t="s">
        <v>5396</v>
      </c>
      <c r="D118" s="823" t="s">
        <v>5399</v>
      </c>
      <c r="E118" s="823" t="s">
        <v>5398</v>
      </c>
      <c r="F118" s="832"/>
      <c r="G118" s="832"/>
      <c r="H118" s="832"/>
      <c r="I118" s="832"/>
      <c r="J118" s="832">
        <v>1</v>
      </c>
      <c r="K118" s="832">
        <v>5568</v>
      </c>
      <c r="L118" s="832">
        <v>1</v>
      </c>
      <c r="M118" s="832">
        <v>5568</v>
      </c>
      <c r="N118" s="832"/>
      <c r="O118" s="832"/>
      <c r="P118" s="828"/>
      <c r="Q118" s="833"/>
    </row>
    <row r="119" spans="1:17" ht="14.45" customHeight="1" x14ac:dyDescent="0.2">
      <c r="A119" s="822" t="s">
        <v>5477</v>
      </c>
      <c r="B119" s="823" t="s">
        <v>5427</v>
      </c>
      <c r="C119" s="823" t="s">
        <v>5396</v>
      </c>
      <c r="D119" s="823" t="s">
        <v>5430</v>
      </c>
      <c r="E119" s="823" t="s">
        <v>5401</v>
      </c>
      <c r="F119" s="832"/>
      <c r="G119" s="832"/>
      <c r="H119" s="832"/>
      <c r="I119" s="832"/>
      <c r="J119" s="832">
        <v>1</v>
      </c>
      <c r="K119" s="832">
        <v>4368.43</v>
      </c>
      <c r="L119" s="832">
        <v>1</v>
      </c>
      <c r="M119" s="832">
        <v>4368.43</v>
      </c>
      <c r="N119" s="832"/>
      <c r="O119" s="832"/>
      <c r="P119" s="828"/>
      <c r="Q119" s="833"/>
    </row>
    <row r="120" spans="1:17" ht="14.45" customHeight="1" x14ac:dyDescent="0.2">
      <c r="A120" s="822" t="s">
        <v>5477</v>
      </c>
      <c r="B120" s="823" t="s">
        <v>5427</v>
      </c>
      <c r="C120" s="823" t="s">
        <v>5396</v>
      </c>
      <c r="D120" s="823" t="s">
        <v>5400</v>
      </c>
      <c r="E120" s="823" t="s">
        <v>5401</v>
      </c>
      <c r="F120" s="832"/>
      <c r="G120" s="832"/>
      <c r="H120" s="832"/>
      <c r="I120" s="832"/>
      <c r="J120" s="832">
        <v>1</v>
      </c>
      <c r="K120" s="832">
        <v>2492.4499999999998</v>
      </c>
      <c r="L120" s="832">
        <v>1</v>
      </c>
      <c r="M120" s="832">
        <v>2492.4499999999998</v>
      </c>
      <c r="N120" s="832"/>
      <c r="O120" s="832"/>
      <c r="P120" s="828"/>
      <c r="Q120" s="833"/>
    </row>
    <row r="121" spans="1:17" ht="14.45" customHeight="1" x14ac:dyDescent="0.2">
      <c r="A121" s="822" t="s">
        <v>5477</v>
      </c>
      <c r="B121" s="823" t="s">
        <v>5427</v>
      </c>
      <c r="C121" s="823" t="s">
        <v>5355</v>
      </c>
      <c r="D121" s="823" t="s">
        <v>5431</v>
      </c>
      <c r="E121" s="823" t="s">
        <v>5432</v>
      </c>
      <c r="F121" s="832">
        <v>3</v>
      </c>
      <c r="G121" s="832">
        <v>1740</v>
      </c>
      <c r="H121" s="832">
        <v>0.74358974358974361</v>
      </c>
      <c r="I121" s="832">
        <v>580</v>
      </c>
      <c r="J121" s="832">
        <v>4</v>
      </c>
      <c r="K121" s="832">
        <v>2340</v>
      </c>
      <c r="L121" s="832">
        <v>1</v>
      </c>
      <c r="M121" s="832">
        <v>585</v>
      </c>
      <c r="N121" s="832"/>
      <c r="O121" s="832"/>
      <c r="P121" s="828"/>
      <c r="Q121" s="833"/>
    </row>
    <row r="122" spans="1:17" ht="14.45" customHeight="1" x14ac:dyDescent="0.2">
      <c r="A122" s="822" t="s">
        <v>5478</v>
      </c>
      <c r="B122" s="823" t="s">
        <v>5354</v>
      </c>
      <c r="C122" s="823" t="s">
        <v>5396</v>
      </c>
      <c r="D122" s="823" t="s">
        <v>5399</v>
      </c>
      <c r="E122" s="823" t="s">
        <v>5398</v>
      </c>
      <c r="F122" s="832"/>
      <c r="G122" s="832"/>
      <c r="H122" s="832"/>
      <c r="I122" s="832"/>
      <c r="J122" s="832"/>
      <c r="K122" s="832"/>
      <c r="L122" s="832"/>
      <c r="M122" s="832"/>
      <c r="N122" s="832">
        <v>1</v>
      </c>
      <c r="O122" s="832">
        <v>4533.05</v>
      </c>
      <c r="P122" s="828"/>
      <c r="Q122" s="833">
        <v>4533.05</v>
      </c>
    </row>
    <row r="123" spans="1:17" ht="14.45" customHeight="1" x14ac:dyDescent="0.2">
      <c r="A123" s="822" t="s">
        <v>5478</v>
      </c>
      <c r="B123" s="823" t="s">
        <v>5354</v>
      </c>
      <c r="C123" s="823" t="s">
        <v>5396</v>
      </c>
      <c r="D123" s="823" t="s">
        <v>5400</v>
      </c>
      <c r="E123" s="823" t="s">
        <v>5401</v>
      </c>
      <c r="F123" s="832"/>
      <c r="G123" s="832"/>
      <c r="H123" s="832"/>
      <c r="I123" s="832"/>
      <c r="J123" s="832"/>
      <c r="K123" s="832"/>
      <c r="L123" s="832"/>
      <c r="M123" s="832"/>
      <c r="N123" s="832">
        <v>2</v>
      </c>
      <c r="O123" s="832">
        <v>4500.8999999999996</v>
      </c>
      <c r="P123" s="828"/>
      <c r="Q123" s="833">
        <v>2250.4499999999998</v>
      </c>
    </row>
    <row r="124" spans="1:17" ht="14.45" customHeight="1" x14ac:dyDescent="0.2">
      <c r="A124" s="822" t="s">
        <v>5478</v>
      </c>
      <c r="B124" s="823" t="s">
        <v>5354</v>
      </c>
      <c r="C124" s="823" t="s">
        <v>5355</v>
      </c>
      <c r="D124" s="823" t="s">
        <v>5368</v>
      </c>
      <c r="E124" s="823" t="s">
        <v>5369</v>
      </c>
      <c r="F124" s="832"/>
      <c r="G124" s="832"/>
      <c r="H124" s="832"/>
      <c r="I124" s="832"/>
      <c r="J124" s="832">
        <v>2</v>
      </c>
      <c r="K124" s="832">
        <v>2026</v>
      </c>
      <c r="L124" s="832">
        <v>1</v>
      </c>
      <c r="M124" s="832">
        <v>1013</v>
      </c>
      <c r="N124" s="832">
        <v>1</v>
      </c>
      <c r="O124" s="832">
        <v>1016</v>
      </c>
      <c r="P124" s="828">
        <v>0.50148075024679173</v>
      </c>
      <c r="Q124" s="833">
        <v>1016</v>
      </c>
    </row>
    <row r="125" spans="1:17" ht="14.45" customHeight="1" x14ac:dyDescent="0.2">
      <c r="A125" s="822" t="s">
        <v>5478</v>
      </c>
      <c r="B125" s="823" t="s">
        <v>5354</v>
      </c>
      <c r="C125" s="823" t="s">
        <v>5355</v>
      </c>
      <c r="D125" s="823" t="s">
        <v>5384</v>
      </c>
      <c r="E125" s="823" t="s">
        <v>5385</v>
      </c>
      <c r="F125" s="832"/>
      <c r="G125" s="832"/>
      <c r="H125" s="832"/>
      <c r="I125" s="832"/>
      <c r="J125" s="832">
        <v>1</v>
      </c>
      <c r="K125" s="832">
        <v>2019</v>
      </c>
      <c r="L125" s="832">
        <v>1</v>
      </c>
      <c r="M125" s="832">
        <v>2019</v>
      </c>
      <c r="N125" s="832"/>
      <c r="O125" s="832"/>
      <c r="P125" s="828"/>
      <c r="Q125" s="833"/>
    </row>
    <row r="126" spans="1:17" ht="14.45" customHeight="1" x14ac:dyDescent="0.2">
      <c r="A126" s="822" t="s">
        <v>5478</v>
      </c>
      <c r="B126" s="823" t="s">
        <v>5354</v>
      </c>
      <c r="C126" s="823" t="s">
        <v>5355</v>
      </c>
      <c r="D126" s="823" t="s">
        <v>5408</v>
      </c>
      <c r="E126" s="823" t="s">
        <v>5409</v>
      </c>
      <c r="F126" s="832"/>
      <c r="G126" s="832"/>
      <c r="H126" s="832"/>
      <c r="I126" s="832"/>
      <c r="J126" s="832"/>
      <c r="K126" s="832"/>
      <c r="L126" s="832"/>
      <c r="M126" s="832"/>
      <c r="N126" s="832">
        <v>3</v>
      </c>
      <c r="O126" s="832">
        <v>3540</v>
      </c>
      <c r="P126" s="828"/>
      <c r="Q126" s="833">
        <v>1180</v>
      </c>
    </row>
    <row r="127" spans="1:17" ht="14.45" customHeight="1" x14ac:dyDescent="0.2">
      <c r="A127" s="822" t="s">
        <v>5478</v>
      </c>
      <c r="B127" s="823" t="s">
        <v>5410</v>
      </c>
      <c r="C127" s="823" t="s">
        <v>5355</v>
      </c>
      <c r="D127" s="823" t="s">
        <v>5413</v>
      </c>
      <c r="E127" s="823" t="s">
        <v>5414</v>
      </c>
      <c r="F127" s="832"/>
      <c r="G127" s="832"/>
      <c r="H127" s="832"/>
      <c r="I127" s="832"/>
      <c r="J127" s="832"/>
      <c r="K127" s="832"/>
      <c r="L127" s="832"/>
      <c r="M127" s="832"/>
      <c r="N127" s="832">
        <v>1</v>
      </c>
      <c r="O127" s="832">
        <v>127</v>
      </c>
      <c r="P127" s="828"/>
      <c r="Q127" s="833">
        <v>127</v>
      </c>
    </row>
    <row r="128" spans="1:17" ht="14.45" customHeight="1" x14ac:dyDescent="0.2">
      <c r="A128" s="822" t="s">
        <v>5478</v>
      </c>
      <c r="B128" s="823" t="s">
        <v>5427</v>
      </c>
      <c r="C128" s="823" t="s">
        <v>5355</v>
      </c>
      <c r="D128" s="823" t="s">
        <v>5431</v>
      </c>
      <c r="E128" s="823" t="s">
        <v>5432</v>
      </c>
      <c r="F128" s="832"/>
      <c r="G128" s="832"/>
      <c r="H128" s="832"/>
      <c r="I128" s="832"/>
      <c r="J128" s="832">
        <v>1</v>
      </c>
      <c r="K128" s="832">
        <v>585</v>
      </c>
      <c r="L128" s="832">
        <v>1</v>
      </c>
      <c r="M128" s="832">
        <v>585</v>
      </c>
      <c r="N128" s="832"/>
      <c r="O128" s="832"/>
      <c r="P128" s="828"/>
      <c r="Q128" s="833"/>
    </row>
    <row r="129" spans="1:17" ht="14.45" customHeight="1" x14ac:dyDescent="0.2">
      <c r="A129" s="822" t="s">
        <v>5479</v>
      </c>
      <c r="B129" s="823" t="s">
        <v>5354</v>
      </c>
      <c r="C129" s="823" t="s">
        <v>5396</v>
      </c>
      <c r="D129" s="823" t="s">
        <v>5400</v>
      </c>
      <c r="E129" s="823" t="s">
        <v>5401</v>
      </c>
      <c r="F129" s="832"/>
      <c r="G129" s="832"/>
      <c r="H129" s="832"/>
      <c r="I129" s="832"/>
      <c r="J129" s="832"/>
      <c r="K129" s="832"/>
      <c r="L129" s="832"/>
      <c r="M129" s="832"/>
      <c r="N129" s="832">
        <v>1</v>
      </c>
      <c r="O129" s="832">
        <v>2250.4499999999998</v>
      </c>
      <c r="P129" s="828"/>
      <c r="Q129" s="833">
        <v>2250.4499999999998</v>
      </c>
    </row>
    <row r="130" spans="1:17" ht="14.45" customHeight="1" x14ac:dyDescent="0.2">
      <c r="A130" s="822" t="s">
        <v>5479</v>
      </c>
      <c r="B130" s="823" t="s">
        <v>5354</v>
      </c>
      <c r="C130" s="823" t="s">
        <v>5355</v>
      </c>
      <c r="D130" s="823" t="s">
        <v>5408</v>
      </c>
      <c r="E130" s="823" t="s">
        <v>5409</v>
      </c>
      <c r="F130" s="832"/>
      <c r="G130" s="832"/>
      <c r="H130" s="832"/>
      <c r="I130" s="832"/>
      <c r="J130" s="832"/>
      <c r="K130" s="832"/>
      <c r="L130" s="832"/>
      <c r="M130" s="832"/>
      <c r="N130" s="832">
        <v>1</v>
      </c>
      <c r="O130" s="832">
        <v>1180</v>
      </c>
      <c r="P130" s="828"/>
      <c r="Q130" s="833">
        <v>1180</v>
      </c>
    </row>
    <row r="131" spans="1:17" ht="14.45" customHeight="1" x14ac:dyDescent="0.2">
      <c r="A131" s="822" t="s">
        <v>5479</v>
      </c>
      <c r="B131" s="823" t="s">
        <v>5427</v>
      </c>
      <c r="C131" s="823" t="s">
        <v>5396</v>
      </c>
      <c r="D131" s="823" t="s">
        <v>5397</v>
      </c>
      <c r="E131" s="823" t="s">
        <v>5398</v>
      </c>
      <c r="F131" s="832">
        <v>1</v>
      </c>
      <c r="G131" s="832">
        <v>6677.48</v>
      </c>
      <c r="H131" s="832"/>
      <c r="I131" s="832">
        <v>6677.48</v>
      </c>
      <c r="J131" s="832"/>
      <c r="K131" s="832"/>
      <c r="L131" s="832"/>
      <c r="M131" s="832"/>
      <c r="N131" s="832"/>
      <c r="O131" s="832"/>
      <c r="P131" s="828"/>
      <c r="Q131" s="833"/>
    </row>
    <row r="132" spans="1:17" ht="14.45" customHeight="1" x14ac:dyDescent="0.2">
      <c r="A132" s="822" t="s">
        <v>5479</v>
      </c>
      <c r="B132" s="823" t="s">
        <v>5427</v>
      </c>
      <c r="C132" s="823" t="s">
        <v>5355</v>
      </c>
      <c r="D132" s="823" t="s">
        <v>5431</v>
      </c>
      <c r="E132" s="823" t="s">
        <v>5432</v>
      </c>
      <c r="F132" s="832">
        <v>1</v>
      </c>
      <c r="G132" s="832">
        <v>580</v>
      </c>
      <c r="H132" s="832"/>
      <c r="I132" s="832">
        <v>580</v>
      </c>
      <c r="J132" s="832"/>
      <c r="K132" s="832"/>
      <c r="L132" s="832"/>
      <c r="M132" s="832"/>
      <c r="N132" s="832"/>
      <c r="O132" s="832"/>
      <c r="P132" s="828"/>
      <c r="Q132" s="833"/>
    </row>
    <row r="133" spans="1:17" ht="14.45" customHeight="1" x14ac:dyDescent="0.2">
      <c r="A133" s="822" t="s">
        <v>5480</v>
      </c>
      <c r="B133" s="823" t="s">
        <v>5354</v>
      </c>
      <c r="C133" s="823" t="s">
        <v>5396</v>
      </c>
      <c r="D133" s="823" t="s">
        <v>5428</v>
      </c>
      <c r="E133" s="823" t="s">
        <v>5429</v>
      </c>
      <c r="F133" s="832"/>
      <c r="G133" s="832"/>
      <c r="H133" s="832"/>
      <c r="I133" s="832"/>
      <c r="J133" s="832"/>
      <c r="K133" s="832"/>
      <c r="L133" s="832"/>
      <c r="M133" s="832"/>
      <c r="N133" s="832">
        <v>1</v>
      </c>
      <c r="O133" s="832">
        <v>4856.3599999999997</v>
      </c>
      <c r="P133" s="828"/>
      <c r="Q133" s="833">
        <v>4856.3599999999997</v>
      </c>
    </row>
    <row r="134" spans="1:17" ht="14.45" customHeight="1" x14ac:dyDescent="0.2">
      <c r="A134" s="822" t="s">
        <v>5480</v>
      </c>
      <c r="B134" s="823" t="s">
        <v>5354</v>
      </c>
      <c r="C134" s="823" t="s">
        <v>5396</v>
      </c>
      <c r="D134" s="823" t="s">
        <v>5458</v>
      </c>
      <c r="E134" s="823" t="s">
        <v>5459</v>
      </c>
      <c r="F134" s="832"/>
      <c r="G134" s="832"/>
      <c r="H134" s="832"/>
      <c r="I134" s="832"/>
      <c r="J134" s="832"/>
      <c r="K134" s="832"/>
      <c r="L134" s="832"/>
      <c r="M134" s="832"/>
      <c r="N134" s="832">
        <v>1</v>
      </c>
      <c r="O134" s="832">
        <v>4693.4399999999996</v>
      </c>
      <c r="P134" s="828"/>
      <c r="Q134" s="833">
        <v>4693.4399999999996</v>
      </c>
    </row>
    <row r="135" spans="1:17" ht="14.45" customHeight="1" x14ac:dyDescent="0.2">
      <c r="A135" s="822" t="s">
        <v>5480</v>
      </c>
      <c r="B135" s="823" t="s">
        <v>5354</v>
      </c>
      <c r="C135" s="823" t="s">
        <v>5396</v>
      </c>
      <c r="D135" s="823" t="s">
        <v>5399</v>
      </c>
      <c r="E135" s="823" t="s">
        <v>5398</v>
      </c>
      <c r="F135" s="832"/>
      <c r="G135" s="832"/>
      <c r="H135" s="832"/>
      <c r="I135" s="832"/>
      <c r="J135" s="832"/>
      <c r="K135" s="832"/>
      <c r="L135" s="832"/>
      <c r="M135" s="832"/>
      <c r="N135" s="832">
        <v>31</v>
      </c>
      <c r="O135" s="832">
        <v>153905.94999999998</v>
      </c>
      <c r="P135" s="828"/>
      <c r="Q135" s="833">
        <v>4964.7080645161286</v>
      </c>
    </row>
    <row r="136" spans="1:17" ht="14.45" customHeight="1" x14ac:dyDescent="0.2">
      <c r="A136" s="822" t="s">
        <v>5480</v>
      </c>
      <c r="B136" s="823" t="s">
        <v>5354</v>
      </c>
      <c r="C136" s="823" t="s">
        <v>5396</v>
      </c>
      <c r="D136" s="823" t="s">
        <v>5400</v>
      </c>
      <c r="E136" s="823" t="s">
        <v>5401</v>
      </c>
      <c r="F136" s="832"/>
      <c r="G136" s="832"/>
      <c r="H136" s="832"/>
      <c r="I136" s="832"/>
      <c r="J136" s="832"/>
      <c r="K136" s="832"/>
      <c r="L136" s="832"/>
      <c r="M136" s="832"/>
      <c r="N136" s="832">
        <v>1</v>
      </c>
      <c r="O136" s="832">
        <v>2250.4499999999998</v>
      </c>
      <c r="P136" s="828"/>
      <c r="Q136" s="833">
        <v>2250.4499999999998</v>
      </c>
    </row>
    <row r="137" spans="1:17" ht="14.45" customHeight="1" x14ac:dyDescent="0.2">
      <c r="A137" s="822" t="s">
        <v>5480</v>
      </c>
      <c r="B137" s="823" t="s">
        <v>5354</v>
      </c>
      <c r="C137" s="823" t="s">
        <v>5355</v>
      </c>
      <c r="D137" s="823" t="s">
        <v>5408</v>
      </c>
      <c r="E137" s="823" t="s">
        <v>5409</v>
      </c>
      <c r="F137" s="832"/>
      <c r="G137" s="832"/>
      <c r="H137" s="832"/>
      <c r="I137" s="832"/>
      <c r="J137" s="832">
        <v>19</v>
      </c>
      <c r="K137" s="832">
        <v>22382</v>
      </c>
      <c r="L137" s="832">
        <v>1</v>
      </c>
      <c r="M137" s="832">
        <v>1178</v>
      </c>
      <c r="N137" s="832">
        <v>36</v>
      </c>
      <c r="O137" s="832">
        <v>42480</v>
      </c>
      <c r="P137" s="828">
        <v>1.8979537128049326</v>
      </c>
      <c r="Q137" s="833">
        <v>1180</v>
      </c>
    </row>
    <row r="138" spans="1:17" ht="14.45" customHeight="1" x14ac:dyDescent="0.2">
      <c r="A138" s="822" t="s">
        <v>5480</v>
      </c>
      <c r="B138" s="823" t="s">
        <v>5427</v>
      </c>
      <c r="C138" s="823" t="s">
        <v>5396</v>
      </c>
      <c r="D138" s="823" t="s">
        <v>5397</v>
      </c>
      <c r="E138" s="823" t="s">
        <v>5398</v>
      </c>
      <c r="F138" s="832">
        <v>1</v>
      </c>
      <c r="G138" s="832">
        <v>6677.48</v>
      </c>
      <c r="H138" s="832">
        <v>1</v>
      </c>
      <c r="I138" s="832">
        <v>6677.48</v>
      </c>
      <c r="J138" s="832">
        <v>1</v>
      </c>
      <c r="K138" s="832">
        <v>6677.48</v>
      </c>
      <c r="L138" s="832">
        <v>1</v>
      </c>
      <c r="M138" s="832">
        <v>6677.48</v>
      </c>
      <c r="N138" s="832"/>
      <c r="O138" s="832"/>
      <c r="P138" s="828"/>
      <c r="Q138" s="833"/>
    </row>
    <row r="139" spans="1:17" ht="14.45" customHeight="1" x14ac:dyDescent="0.2">
      <c r="A139" s="822" t="s">
        <v>5480</v>
      </c>
      <c r="B139" s="823" t="s">
        <v>5427</v>
      </c>
      <c r="C139" s="823" t="s">
        <v>5396</v>
      </c>
      <c r="D139" s="823" t="s">
        <v>5399</v>
      </c>
      <c r="E139" s="823" t="s">
        <v>5398</v>
      </c>
      <c r="F139" s="832">
        <v>3</v>
      </c>
      <c r="G139" s="832">
        <v>16704</v>
      </c>
      <c r="H139" s="832">
        <v>0.42857142857142855</v>
      </c>
      <c r="I139" s="832">
        <v>5568</v>
      </c>
      <c r="J139" s="832">
        <v>7</v>
      </c>
      <c r="K139" s="832">
        <v>38976</v>
      </c>
      <c r="L139" s="832">
        <v>1</v>
      </c>
      <c r="M139" s="832">
        <v>5568</v>
      </c>
      <c r="N139" s="832"/>
      <c r="O139" s="832"/>
      <c r="P139" s="828"/>
      <c r="Q139" s="833"/>
    </row>
    <row r="140" spans="1:17" ht="14.45" customHeight="1" x14ac:dyDescent="0.2">
      <c r="A140" s="822" t="s">
        <v>5480</v>
      </c>
      <c r="B140" s="823" t="s">
        <v>5427</v>
      </c>
      <c r="C140" s="823" t="s">
        <v>5396</v>
      </c>
      <c r="D140" s="823" t="s">
        <v>5430</v>
      </c>
      <c r="E140" s="823" t="s">
        <v>5401</v>
      </c>
      <c r="F140" s="832">
        <v>1</v>
      </c>
      <c r="G140" s="832">
        <v>4368.43</v>
      </c>
      <c r="H140" s="832"/>
      <c r="I140" s="832">
        <v>4368.43</v>
      </c>
      <c r="J140" s="832"/>
      <c r="K140" s="832"/>
      <c r="L140" s="832"/>
      <c r="M140" s="832"/>
      <c r="N140" s="832"/>
      <c r="O140" s="832"/>
      <c r="P140" s="828"/>
      <c r="Q140" s="833"/>
    </row>
    <row r="141" spans="1:17" ht="14.45" customHeight="1" x14ac:dyDescent="0.2">
      <c r="A141" s="822" t="s">
        <v>5480</v>
      </c>
      <c r="B141" s="823" t="s">
        <v>5427</v>
      </c>
      <c r="C141" s="823" t="s">
        <v>5396</v>
      </c>
      <c r="D141" s="823" t="s">
        <v>5400</v>
      </c>
      <c r="E141" s="823" t="s">
        <v>5401</v>
      </c>
      <c r="F141" s="832"/>
      <c r="G141" s="832"/>
      <c r="H141" s="832"/>
      <c r="I141" s="832"/>
      <c r="J141" s="832">
        <v>1</v>
      </c>
      <c r="K141" s="832">
        <v>2492.4499999999998</v>
      </c>
      <c r="L141" s="832">
        <v>1</v>
      </c>
      <c r="M141" s="832">
        <v>2492.4499999999998</v>
      </c>
      <c r="N141" s="832"/>
      <c r="O141" s="832"/>
      <c r="P141" s="828"/>
      <c r="Q141" s="833"/>
    </row>
    <row r="142" spans="1:17" ht="14.45" customHeight="1" x14ac:dyDescent="0.2">
      <c r="A142" s="822" t="s">
        <v>5480</v>
      </c>
      <c r="B142" s="823" t="s">
        <v>5427</v>
      </c>
      <c r="C142" s="823" t="s">
        <v>5355</v>
      </c>
      <c r="D142" s="823" t="s">
        <v>5481</v>
      </c>
      <c r="E142" s="823" t="s">
        <v>5482</v>
      </c>
      <c r="F142" s="832">
        <v>1</v>
      </c>
      <c r="G142" s="832">
        <v>720</v>
      </c>
      <c r="H142" s="832"/>
      <c r="I142" s="832">
        <v>720</v>
      </c>
      <c r="J142" s="832"/>
      <c r="K142" s="832"/>
      <c r="L142" s="832"/>
      <c r="M142" s="832"/>
      <c r="N142" s="832"/>
      <c r="O142" s="832"/>
      <c r="P142" s="828"/>
      <c r="Q142" s="833"/>
    </row>
    <row r="143" spans="1:17" ht="14.45" customHeight="1" x14ac:dyDescent="0.2">
      <c r="A143" s="822" t="s">
        <v>5480</v>
      </c>
      <c r="B143" s="823" t="s">
        <v>5427</v>
      </c>
      <c r="C143" s="823" t="s">
        <v>5355</v>
      </c>
      <c r="D143" s="823" t="s">
        <v>5431</v>
      </c>
      <c r="E143" s="823" t="s">
        <v>5432</v>
      </c>
      <c r="F143" s="832">
        <v>4</v>
      </c>
      <c r="G143" s="832">
        <v>2320</v>
      </c>
      <c r="H143" s="832">
        <v>0.44064577397910731</v>
      </c>
      <c r="I143" s="832">
        <v>580</v>
      </c>
      <c r="J143" s="832">
        <v>9</v>
      </c>
      <c r="K143" s="832">
        <v>5265</v>
      </c>
      <c r="L143" s="832">
        <v>1</v>
      </c>
      <c r="M143" s="832">
        <v>585</v>
      </c>
      <c r="N143" s="832"/>
      <c r="O143" s="832"/>
      <c r="P143" s="828"/>
      <c r="Q143" s="833"/>
    </row>
    <row r="144" spans="1:17" ht="14.45" customHeight="1" x14ac:dyDescent="0.2">
      <c r="A144" s="822" t="s">
        <v>5483</v>
      </c>
      <c r="B144" s="823" t="s">
        <v>5354</v>
      </c>
      <c r="C144" s="823" t="s">
        <v>5396</v>
      </c>
      <c r="D144" s="823" t="s">
        <v>5458</v>
      </c>
      <c r="E144" s="823" t="s">
        <v>5459</v>
      </c>
      <c r="F144" s="832"/>
      <c r="G144" s="832"/>
      <c r="H144" s="832"/>
      <c r="I144" s="832"/>
      <c r="J144" s="832"/>
      <c r="K144" s="832"/>
      <c r="L144" s="832"/>
      <c r="M144" s="832"/>
      <c r="N144" s="832">
        <v>1</v>
      </c>
      <c r="O144" s="832">
        <v>4969.7299999999996</v>
      </c>
      <c r="P144" s="828"/>
      <c r="Q144" s="833">
        <v>4969.7299999999996</v>
      </c>
    </row>
    <row r="145" spans="1:17" ht="14.45" customHeight="1" x14ac:dyDescent="0.2">
      <c r="A145" s="822" t="s">
        <v>5483</v>
      </c>
      <c r="B145" s="823" t="s">
        <v>5354</v>
      </c>
      <c r="C145" s="823" t="s">
        <v>5396</v>
      </c>
      <c r="D145" s="823" t="s">
        <v>5397</v>
      </c>
      <c r="E145" s="823" t="s">
        <v>5398</v>
      </c>
      <c r="F145" s="832"/>
      <c r="G145" s="832"/>
      <c r="H145" s="832"/>
      <c r="I145" s="832"/>
      <c r="J145" s="832"/>
      <c r="K145" s="832"/>
      <c r="L145" s="832"/>
      <c r="M145" s="832"/>
      <c r="N145" s="832">
        <v>1</v>
      </c>
      <c r="O145" s="832">
        <v>6677.48</v>
      </c>
      <c r="P145" s="828"/>
      <c r="Q145" s="833">
        <v>6677.48</v>
      </c>
    </row>
    <row r="146" spans="1:17" ht="14.45" customHeight="1" x14ac:dyDescent="0.2">
      <c r="A146" s="822" t="s">
        <v>5483</v>
      </c>
      <c r="B146" s="823" t="s">
        <v>5354</v>
      </c>
      <c r="C146" s="823" t="s">
        <v>5396</v>
      </c>
      <c r="D146" s="823" t="s">
        <v>5399</v>
      </c>
      <c r="E146" s="823" t="s">
        <v>5398</v>
      </c>
      <c r="F146" s="832"/>
      <c r="G146" s="832"/>
      <c r="H146" s="832"/>
      <c r="I146" s="832"/>
      <c r="J146" s="832"/>
      <c r="K146" s="832"/>
      <c r="L146" s="832"/>
      <c r="M146" s="832"/>
      <c r="N146" s="832">
        <v>1</v>
      </c>
      <c r="O146" s="832">
        <v>5158.18</v>
      </c>
      <c r="P146" s="828"/>
      <c r="Q146" s="833">
        <v>5158.18</v>
      </c>
    </row>
    <row r="147" spans="1:17" ht="14.45" customHeight="1" x14ac:dyDescent="0.2">
      <c r="A147" s="822" t="s">
        <v>5483</v>
      </c>
      <c r="B147" s="823" t="s">
        <v>5354</v>
      </c>
      <c r="C147" s="823" t="s">
        <v>5396</v>
      </c>
      <c r="D147" s="823" t="s">
        <v>5462</v>
      </c>
      <c r="E147" s="823" t="s">
        <v>5403</v>
      </c>
      <c r="F147" s="832"/>
      <c r="G147" s="832"/>
      <c r="H147" s="832"/>
      <c r="I147" s="832"/>
      <c r="J147" s="832"/>
      <c r="K147" s="832"/>
      <c r="L147" s="832"/>
      <c r="M147" s="832"/>
      <c r="N147" s="832">
        <v>4</v>
      </c>
      <c r="O147" s="832">
        <v>9510.6</v>
      </c>
      <c r="P147" s="828"/>
      <c r="Q147" s="833">
        <v>2377.65</v>
      </c>
    </row>
    <row r="148" spans="1:17" ht="14.45" customHeight="1" x14ac:dyDescent="0.2">
      <c r="A148" s="822" t="s">
        <v>5483</v>
      </c>
      <c r="B148" s="823" t="s">
        <v>5354</v>
      </c>
      <c r="C148" s="823" t="s">
        <v>5396</v>
      </c>
      <c r="D148" s="823" t="s">
        <v>5402</v>
      </c>
      <c r="E148" s="823" t="s">
        <v>5403</v>
      </c>
      <c r="F148" s="832"/>
      <c r="G148" s="832"/>
      <c r="H148" s="832"/>
      <c r="I148" s="832"/>
      <c r="J148" s="832"/>
      <c r="K148" s="832"/>
      <c r="L148" s="832"/>
      <c r="M148" s="832"/>
      <c r="N148" s="832">
        <v>1</v>
      </c>
      <c r="O148" s="832">
        <v>2377.65</v>
      </c>
      <c r="P148" s="828"/>
      <c r="Q148" s="833">
        <v>2377.65</v>
      </c>
    </row>
    <row r="149" spans="1:17" ht="14.45" customHeight="1" x14ac:dyDescent="0.2">
      <c r="A149" s="822" t="s">
        <v>5483</v>
      </c>
      <c r="B149" s="823" t="s">
        <v>5354</v>
      </c>
      <c r="C149" s="823" t="s">
        <v>5355</v>
      </c>
      <c r="D149" s="823" t="s">
        <v>5408</v>
      </c>
      <c r="E149" s="823" t="s">
        <v>5409</v>
      </c>
      <c r="F149" s="832"/>
      <c r="G149" s="832"/>
      <c r="H149" s="832"/>
      <c r="I149" s="832"/>
      <c r="J149" s="832">
        <v>4</v>
      </c>
      <c r="K149" s="832">
        <v>4712</v>
      </c>
      <c r="L149" s="832">
        <v>1</v>
      </c>
      <c r="M149" s="832">
        <v>1178</v>
      </c>
      <c r="N149" s="832">
        <v>8</v>
      </c>
      <c r="O149" s="832">
        <v>9440</v>
      </c>
      <c r="P149" s="828">
        <v>2.0033955857385397</v>
      </c>
      <c r="Q149" s="833">
        <v>1180</v>
      </c>
    </row>
    <row r="150" spans="1:17" ht="14.45" customHeight="1" x14ac:dyDescent="0.2">
      <c r="A150" s="822" t="s">
        <v>5483</v>
      </c>
      <c r="B150" s="823" t="s">
        <v>5427</v>
      </c>
      <c r="C150" s="823" t="s">
        <v>5396</v>
      </c>
      <c r="D150" s="823" t="s">
        <v>5458</v>
      </c>
      <c r="E150" s="823" t="s">
        <v>5459</v>
      </c>
      <c r="F150" s="832"/>
      <c r="G150" s="832"/>
      <c r="H150" s="832"/>
      <c r="I150" s="832"/>
      <c r="J150" s="832">
        <v>1</v>
      </c>
      <c r="K150" s="832">
        <v>5884.89</v>
      </c>
      <c r="L150" s="832">
        <v>1</v>
      </c>
      <c r="M150" s="832">
        <v>5884.89</v>
      </c>
      <c r="N150" s="832"/>
      <c r="O150" s="832"/>
      <c r="P150" s="828"/>
      <c r="Q150" s="833"/>
    </row>
    <row r="151" spans="1:17" ht="14.45" customHeight="1" x14ac:dyDescent="0.2">
      <c r="A151" s="822" t="s">
        <v>5483</v>
      </c>
      <c r="B151" s="823" t="s">
        <v>5427</v>
      </c>
      <c r="C151" s="823" t="s">
        <v>5396</v>
      </c>
      <c r="D151" s="823" t="s">
        <v>5397</v>
      </c>
      <c r="E151" s="823" t="s">
        <v>5398</v>
      </c>
      <c r="F151" s="832">
        <v>8</v>
      </c>
      <c r="G151" s="832">
        <v>53419.839999999997</v>
      </c>
      <c r="H151" s="832">
        <v>1.6</v>
      </c>
      <c r="I151" s="832">
        <v>6677.48</v>
      </c>
      <c r="J151" s="832">
        <v>5</v>
      </c>
      <c r="K151" s="832">
        <v>33387.399999999994</v>
      </c>
      <c r="L151" s="832">
        <v>1</v>
      </c>
      <c r="M151" s="832">
        <v>6677.4799999999987</v>
      </c>
      <c r="N151" s="832"/>
      <c r="O151" s="832"/>
      <c r="P151" s="828"/>
      <c r="Q151" s="833"/>
    </row>
    <row r="152" spans="1:17" ht="14.45" customHeight="1" x14ac:dyDescent="0.2">
      <c r="A152" s="822" t="s">
        <v>5483</v>
      </c>
      <c r="B152" s="823" t="s">
        <v>5427</v>
      </c>
      <c r="C152" s="823" t="s">
        <v>5396</v>
      </c>
      <c r="D152" s="823" t="s">
        <v>5399</v>
      </c>
      <c r="E152" s="823" t="s">
        <v>5398</v>
      </c>
      <c r="F152" s="832">
        <v>1</v>
      </c>
      <c r="G152" s="832">
        <v>5568</v>
      </c>
      <c r="H152" s="832"/>
      <c r="I152" s="832">
        <v>5568</v>
      </c>
      <c r="J152" s="832"/>
      <c r="K152" s="832"/>
      <c r="L152" s="832"/>
      <c r="M152" s="832"/>
      <c r="N152" s="832"/>
      <c r="O152" s="832"/>
      <c r="P152" s="828"/>
      <c r="Q152" s="833"/>
    </row>
    <row r="153" spans="1:17" ht="14.45" customHeight="1" x14ac:dyDescent="0.2">
      <c r="A153" s="822" t="s">
        <v>5483</v>
      </c>
      <c r="B153" s="823" t="s">
        <v>5427</v>
      </c>
      <c r="C153" s="823" t="s">
        <v>5355</v>
      </c>
      <c r="D153" s="823" t="s">
        <v>5431</v>
      </c>
      <c r="E153" s="823" t="s">
        <v>5432</v>
      </c>
      <c r="F153" s="832">
        <v>9</v>
      </c>
      <c r="G153" s="832">
        <v>5220</v>
      </c>
      <c r="H153" s="832">
        <v>1.4871794871794872</v>
      </c>
      <c r="I153" s="832">
        <v>580</v>
      </c>
      <c r="J153" s="832">
        <v>6</v>
      </c>
      <c r="K153" s="832">
        <v>3510</v>
      </c>
      <c r="L153" s="832">
        <v>1</v>
      </c>
      <c r="M153" s="832">
        <v>585</v>
      </c>
      <c r="N153" s="832"/>
      <c r="O153" s="832"/>
      <c r="P153" s="828"/>
      <c r="Q153" s="833"/>
    </row>
    <row r="154" spans="1:17" ht="14.45" customHeight="1" x14ac:dyDescent="0.2">
      <c r="A154" s="822" t="s">
        <v>5484</v>
      </c>
      <c r="B154" s="823" t="s">
        <v>5354</v>
      </c>
      <c r="C154" s="823" t="s">
        <v>5355</v>
      </c>
      <c r="D154" s="823" t="s">
        <v>5368</v>
      </c>
      <c r="E154" s="823" t="s">
        <v>5369</v>
      </c>
      <c r="F154" s="832"/>
      <c r="G154" s="832"/>
      <c r="H154" s="832"/>
      <c r="I154" s="832"/>
      <c r="J154" s="832">
        <v>1</v>
      </c>
      <c r="K154" s="832">
        <v>1013</v>
      </c>
      <c r="L154" s="832">
        <v>1</v>
      </c>
      <c r="M154" s="832">
        <v>1013</v>
      </c>
      <c r="N154" s="832"/>
      <c r="O154" s="832"/>
      <c r="P154" s="828"/>
      <c r="Q154" s="833"/>
    </row>
    <row r="155" spans="1:17" ht="14.45" customHeight="1" x14ac:dyDescent="0.2">
      <c r="A155" s="822" t="s">
        <v>5484</v>
      </c>
      <c r="B155" s="823" t="s">
        <v>5354</v>
      </c>
      <c r="C155" s="823" t="s">
        <v>5355</v>
      </c>
      <c r="D155" s="823" t="s">
        <v>5384</v>
      </c>
      <c r="E155" s="823" t="s">
        <v>5385</v>
      </c>
      <c r="F155" s="832"/>
      <c r="G155" s="832"/>
      <c r="H155" s="832"/>
      <c r="I155" s="832"/>
      <c r="J155" s="832">
        <v>1</v>
      </c>
      <c r="K155" s="832">
        <v>2019</v>
      </c>
      <c r="L155" s="832">
        <v>1</v>
      </c>
      <c r="M155" s="832">
        <v>2019</v>
      </c>
      <c r="N155" s="832"/>
      <c r="O155" s="832"/>
      <c r="P155" s="828"/>
      <c r="Q155" s="833"/>
    </row>
    <row r="156" spans="1:17" ht="14.45" customHeight="1" x14ac:dyDescent="0.2">
      <c r="A156" s="822" t="s">
        <v>5485</v>
      </c>
      <c r="B156" s="823" t="s">
        <v>5354</v>
      </c>
      <c r="C156" s="823" t="s">
        <v>5396</v>
      </c>
      <c r="D156" s="823" t="s">
        <v>5400</v>
      </c>
      <c r="E156" s="823" t="s">
        <v>5401</v>
      </c>
      <c r="F156" s="832"/>
      <c r="G156" s="832"/>
      <c r="H156" s="832"/>
      <c r="I156" s="832"/>
      <c r="J156" s="832"/>
      <c r="K156" s="832"/>
      <c r="L156" s="832"/>
      <c r="M156" s="832"/>
      <c r="N156" s="832">
        <v>5</v>
      </c>
      <c r="O156" s="832">
        <v>11252.259999999998</v>
      </c>
      <c r="P156" s="828"/>
      <c r="Q156" s="833">
        <v>2250.4519999999998</v>
      </c>
    </row>
    <row r="157" spans="1:17" ht="14.45" customHeight="1" x14ac:dyDescent="0.2">
      <c r="A157" s="822" t="s">
        <v>5485</v>
      </c>
      <c r="B157" s="823" t="s">
        <v>5354</v>
      </c>
      <c r="C157" s="823" t="s">
        <v>5396</v>
      </c>
      <c r="D157" s="823" t="s">
        <v>5402</v>
      </c>
      <c r="E157" s="823" t="s">
        <v>5403</v>
      </c>
      <c r="F157" s="832"/>
      <c r="G157" s="832"/>
      <c r="H157" s="832"/>
      <c r="I157" s="832"/>
      <c r="J157" s="832"/>
      <c r="K157" s="832"/>
      <c r="L157" s="832"/>
      <c r="M157" s="832"/>
      <c r="N157" s="832">
        <v>2</v>
      </c>
      <c r="O157" s="832">
        <v>4755.3</v>
      </c>
      <c r="P157" s="828"/>
      <c r="Q157" s="833">
        <v>2377.65</v>
      </c>
    </row>
    <row r="158" spans="1:17" ht="14.45" customHeight="1" x14ac:dyDescent="0.2">
      <c r="A158" s="822" t="s">
        <v>5485</v>
      </c>
      <c r="B158" s="823" t="s">
        <v>5354</v>
      </c>
      <c r="C158" s="823" t="s">
        <v>5396</v>
      </c>
      <c r="D158" s="823" t="s">
        <v>5404</v>
      </c>
      <c r="E158" s="823" t="s">
        <v>5405</v>
      </c>
      <c r="F158" s="832"/>
      <c r="G158" s="832"/>
      <c r="H158" s="832"/>
      <c r="I158" s="832"/>
      <c r="J158" s="832"/>
      <c r="K158" s="832"/>
      <c r="L158" s="832"/>
      <c r="M158" s="832"/>
      <c r="N158" s="832">
        <v>1</v>
      </c>
      <c r="O158" s="832">
        <v>1549.99</v>
      </c>
      <c r="P158" s="828"/>
      <c r="Q158" s="833">
        <v>1549.99</v>
      </c>
    </row>
    <row r="159" spans="1:17" ht="14.45" customHeight="1" x14ac:dyDescent="0.2">
      <c r="A159" s="822" t="s">
        <v>5485</v>
      </c>
      <c r="B159" s="823" t="s">
        <v>5354</v>
      </c>
      <c r="C159" s="823" t="s">
        <v>5355</v>
      </c>
      <c r="D159" s="823" t="s">
        <v>5408</v>
      </c>
      <c r="E159" s="823" t="s">
        <v>5409</v>
      </c>
      <c r="F159" s="832"/>
      <c r="G159" s="832"/>
      <c r="H159" s="832"/>
      <c r="I159" s="832"/>
      <c r="J159" s="832">
        <v>1</v>
      </c>
      <c r="K159" s="832">
        <v>1178</v>
      </c>
      <c r="L159" s="832">
        <v>1</v>
      </c>
      <c r="M159" s="832">
        <v>1178</v>
      </c>
      <c r="N159" s="832">
        <v>18</v>
      </c>
      <c r="O159" s="832">
        <v>21240</v>
      </c>
      <c r="P159" s="828">
        <v>18.030560271646859</v>
      </c>
      <c r="Q159" s="833">
        <v>1180</v>
      </c>
    </row>
    <row r="160" spans="1:17" ht="14.45" customHeight="1" x14ac:dyDescent="0.2">
      <c r="A160" s="822" t="s">
        <v>5485</v>
      </c>
      <c r="B160" s="823" t="s">
        <v>5410</v>
      </c>
      <c r="C160" s="823" t="s">
        <v>5355</v>
      </c>
      <c r="D160" s="823" t="s">
        <v>5413</v>
      </c>
      <c r="E160" s="823" t="s">
        <v>5414</v>
      </c>
      <c r="F160" s="832">
        <v>2</v>
      </c>
      <c r="G160" s="832">
        <v>254</v>
      </c>
      <c r="H160" s="832"/>
      <c r="I160" s="832">
        <v>127</v>
      </c>
      <c r="J160" s="832"/>
      <c r="K160" s="832"/>
      <c r="L160" s="832"/>
      <c r="M160" s="832"/>
      <c r="N160" s="832"/>
      <c r="O160" s="832"/>
      <c r="P160" s="828"/>
      <c r="Q160" s="833"/>
    </row>
    <row r="161" spans="1:17" ht="14.45" customHeight="1" x14ac:dyDescent="0.2">
      <c r="A161" s="822" t="s">
        <v>5485</v>
      </c>
      <c r="B161" s="823" t="s">
        <v>5427</v>
      </c>
      <c r="C161" s="823" t="s">
        <v>5355</v>
      </c>
      <c r="D161" s="823" t="s">
        <v>5431</v>
      </c>
      <c r="E161" s="823" t="s">
        <v>5432</v>
      </c>
      <c r="F161" s="832">
        <v>15</v>
      </c>
      <c r="G161" s="832">
        <v>8700</v>
      </c>
      <c r="H161" s="832">
        <v>3.7179487179487181</v>
      </c>
      <c r="I161" s="832">
        <v>580</v>
      </c>
      <c r="J161" s="832">
        <v>4</v>
      </c>
      <c r="K161" s="832">
        <v>2340</v>
      </c>
      <c r="L161" s="832">
        <v>1</v>
      </c>
      <c r="M161" s="832">
        <v>585</v>
      </c>
      <c r="N161" s="832"/>
      <c r="O161" s="832"/>
      <c r="P161" s="828"/>
      <c r="Q161" s="833"/>
    </row>
    <row r="162" spans="1:17" ht="14.45" customHeight="1" x14ac:dyDescent="0.2">
      <c r="A162" s="822" t="s">
        <v>5486</v>
      </c>
      <c r="B162" s="823" t="s">
        <v>5354</v>
      </c>
      <c r="C162" s="823" t="s">
        <v>5396</v>
      </c>
      <c r="D162" s="823" t="s">
        <v>5402</v>
      </c>
      <c r="E162" s="823" t="s">
        <v>5403</v>
      </c>
      <c r="F162" s="832"/>
      <c r="G162" s="832"/>
      <c r="H162" s="832"/>
      <c r="I162" s="832"/>
      <c r="J162" s="832"/>
      <c r="K162" s="832"/>
      <c r="L162" s="832"/>
      <c r="M162" s="832"/>
      <c r="N162" s="832">
        <v>2</v>
      </c>
      <c r="O162" s="832">
        <v>4755.3</v>
      </c>
      <c r="P162" s="828"/>
      <c r="Q162" s="833">
        <v>2377.65</v>
      </c>
    </row>
    <row r="163" spans="1:17" ht="14.45" customHeight="1" x14ac:dyDescent="0.2">
      <c r="A163" s="822" t="s">
        <v>5486</v>
      </c>
      <c r="B163" s="823" t="s">
        <v>5354</v>
      </c>
      <c r="C163" s="823" t="s">
        <v>5355</v>
      </c>
      <c r="D163" s="823" t="s">
        <v>5368</v>
      </c>
      <c r="E163" s="823" t="s">
        <v>5369</v>
      </c>
      <c r="F163" s="832">
        <v>2</v>
      </c>
      <c r="G163" s="832">
        <v>2020</v>
      </c>
      <c r="H163" s="832">
        <v>0.66469233300427777</v>
      </c>
      <c r="I163" s="832">
        <v>1010</v>
      </c>
      <c r="J163" s="832">
        <v>3</v>
      </c>
      <c r="K163" s="832">
        <v>3039</v>
      </c>
      <c r="L163" s="832">
        <v>1</v>
      </c>
      <c r="M163" s="832">
        <v>1013</v>
      </c>
      <c r="N163" s="832"/>
      <c r="O163" s="832"/>
      <c r="P163" s="828"/>
      <c r="Q163" s="833"/>
    </row>
    <row r="164" spans="1:17" ht="14.45" customHeight="1" x14ac:dyDescent="0.2">
      <c r="A164" s="822" t="s">
        <v>5486</v>
      </c>
      <c r="B164" s="823" t="s">
        <v>5354</v>
      </c>
      <c r="C164" s="823" t="s">
        <v>5355</v>
      </c>
      <c r="D164" s="823" t="s">
        <v>5408</v>
      </c>
      <c r="E164" s="823" t="s">
        <v>5409</v>
      </c>
      <c r="F164" s="832"/>
      <c r="G164" s="832"/>
      <c r="H164" s="832"/>
      <c r="I164" s="832"/>
      <c r="J164" s="832"/>
      <c r="K164" s="832"/>
      <c r="L164" s="832"/>
      <c r="M164" s="832"/>
      <c r="N164" s="832">
        <v>2</v>
      </c>
      <c r="O164" s="832">
        <v>2360</v>
      </c>
      <c r="P164" s="828"/>
      <c r="Q164" s="833">
        <v>1180</v>
      </c>
    </row>
    <row r="165" spans="1:17" ht="14.45" customHeight="1" x14ac:dyDescent="0.2">
      <c r="A165" s="822" t="s">
        <v>5486</v>
      </c>
      <c r="B165" s="823" t="s">
        <v>5427</v>
      </c>
      <c r="C165" s="823" t="s">
        <v>5396</v>
      </c>
      <c r="D165" s="823" t="s">
        <v>5397</v>
      </c>
      <c r="E165" s="823" t="s">
        <v>5398</v>
      </c>
      <c r="F165" s="832">
        <v>2</v>
      </c>
      <c r="G165" s="832">
        <v>13354.96</v>
      </c>
      <c r="H165" s="832"/>
      <c r="I165" s="832">
        <v>6677.48</v>
      </c>
      <c r="J165" s="832"/>
      <c r="K165" s="832"/>
      <c r="L165" s="832"/>
      <c r="M165" s="832"/>
      <c r="N165" s="832"/>
      <c r="O165" s="832"/>
      <c r="P165" s="828"/>
      <c r="Q165" s="833"/>
    </row>
    <row r="166" spans="1:17" ht="14.45" customHeight="1" x14ac:dyDescent="0.2">
      <c r="A166" s="822" t="s">
        <v>5486</v>
      </c>
      <c r="B166" s="823" t="s">
        <v>5427</v>
      </c>
      <c r="C166" s="823" t="s">
        <v>5355</v>
      </c>
      <c r="D166" s="823" t="s">
        <v>5431</v>
      </c>
      <c r="E166" s="823" t="s">
        <v>5432</v>
      </c>
      <c r="F166" s="832">
        <v>2</v>
      </c>
      <c r="G166" s="832">
        <v>1160</v>
      </c>
      <c r="H166" s="832"/>
      <c r="I166" s="832">
        <v>580</v>
      </c>
      <c r="J166" s="832"/>
      <c r="K166" s="832"/>
      <c r="L166" s="832"/>
      <c r="M166" s="832"/>
      <c r="N166" s="832"/>
      <c r="O166" s="832"/>
      <c r="P166" s="828"/>
      <c r="Q166" s="833"/>
    </row>
    <row r="167" spans="1:17" ht="14.45" customHeight="1" x14ac:dyDescent="0.2">
      <c r="A167" s="822" t="s">
        <v>5487</v>
      </c>
      <c r="B167" s="823" t="s">
        <v>5354</v>
      </c>
      <c r="C167" s="823" t="s">
        <v>5355</v>
      </c>
      <c r="D167" s="823" t="s">
        <v>5368</v>
      </c>
      <c r="E167" s="823" t="s">
        <v>5369</v>
      </c>
      <c r="F167" s="832"/>
      <c r="G167" s="832"/>
      <c r="H167" s="832"/>
      <c r="I167" s="832"/>
      <c r="J167" s="832"/>
      <c r="K167" s="832"/>
      <c r="L167" s="832"/>
      <c r="M167" s="832"/>
      <c r="N167" s="832">
        <v>1</v>
      </c>
      <c r="O167" s="832">
        <v>1016</v>
      </c>
      <c r="P167" s="828"/>
      <c r="Q167" s="833">
        <v>1016</v>
      </c>
    </row>
    <row r="168" spans="1:17" ht="14.45" customHeight="1" x14ac:dyDescent="0.2">
      <c r="A168" s="822" t="s">
        <v>5487</v>
      </c>
      <c r="B168" s="823" t="s">
        <v>5354</v>
      </c>
      <c r="C168" s="823" t="s">
        <v>5355</v>
      </c>
      <c r="D168" s="823" t="s">
        <v>5408</v>
      </c>
      <c r="E168" s="823" t="s">
        <v>5409</v>
      </c>
      <c r="F168" s="832"/>
      <c r="G168" s="832"/>
      <c r="H168" s="832"/>
      <c r="I168" s="832"/>
      <c r="J168" s="832"/>
      <c r="K168" s="832"/>
      <c r="L168" s="832"/>
      <c r="M168" s="832"/>
      <c r="N168" s="832">
        <v>15</v>
      </c>
      <c r="O168" s="832">
        <v>17700</v>
      </c>
      <c r="P168" s="828"/>
      <c r="Q168" s="833">
        <v>1180</v>
      </c>
    </row>
    <row r="169" spans="1:17" ht="14.45" customHeight="1" x14ac:dyDescent="0.2">
      <c r="A169" s="822" t="s">
        <v>5487</v>
      </c>
      <c r="B169" s="823" t="s">
        <v>5427</v>
      </c>
      <c r="C169" s="823" t="s">
        <v>5355</v>
      </c>
      <c r="D169" s="823" t="s">
        <v>5481</v>
      </c>
      <c r="E169" s="823" t="s">
        <v>5482</v>
      </c>
      <c r="F169" s="832"/>
      <c r="G169" s="832"/>
      <c r="H169" s="832"/>
      <c r="I169" s="832"/>
      <c r="J169" s="832">
        <v>1</v>
      </c>
      <c r="K169" s="832">
        <v>723</v>
      </c>
      <c r="L169" s="832">
        <v>1</v>
      </c>
      <c r="M169" s="832">
        <v>723</v>
      </c>
      <c r="N169" s="832"/>
      <c r="O169" s="832"/>
      <c r="P169" s="828"/>
      <c r="Q169" s="833"/>
    </row>
    <row r="170" spans="1:17" ht="14.45" customHeight="1" x14ac:dyDescent="0.2">
      <c r="A170" s="822" t="s">
        <v>5487</v>
      </c>
      <c r="B170" s="823" t="s">
        <v>5427</v>
      </c>
      <c r="C170" s="823" t="s">
        <v>5355</v>
      </c>
      <c r="D170" s="823" t="s">
        <v>5431</v>
      </c>
      <c r="E170" s="823" t="s">
        <v>5432</v>
      </c>
      <c r="F170" s="832"/>
      <c r="G170" s="832"/>
      <c r="H170" s="832"/>
      <c r="I170" s="832"/>
      <c r="J170" s="832">
        <v>6</v>
      </c>
      <c r="K170" s="832">
        <v>3510</v>
      </c>
      <c r="L170" s="832">
        <v>1</v>
      </c>
      <c r="M170" s="832">
        <v>585</v>
      </c>
      <c r="N170" s="832"/>
      <c r="O170" s="832"/>
      <c r="P170" s="828"/>
      <c r="Q170" s="833"/>
    </row>
    <row r="171" spans="1:17" ht="14.45" customHeight="1" x14ac:dyDescent="0.2">
      <c r="A171" s="822" t="s">
        <v>575</v>
      </c>
      <c r="B171" s="823" t="s">
        <v>5354</v>
      </c>
      <c r="C171" s="823" t="s">
        <v>5396</v>
      </c>
      <c r="D171" s="823" t="s">
        <v>5400</v>
      </c>
      <c r="E171" s="823" t="s">
        <v>5401</v>
      </c>
      <c r="F171" s="832"/>
      <c r="G171" s="832"/>
      <c r="H171" s="832"/>
      <c r="I171" s="832"/>
      <c r="J171" s="832"/>
      <c r="K171" s="832"/>
      <c r="L171" s="832"/>
      <c r="M171" s="832"/>
      <c r="N171" s="832">
        <v>4</v>
      </c>
      <c r="O171" s="832">
        <v>9001.81</v>
      </c>
      <c r="P171" s="828"/>
      <c r="Q171" s="833">
        <v>2250.4524999999999</v>
      </c>
    </row>
    <row r="172" spans="1:17" ht="14.45" customHeight="1" x14ac:dyDescent="0.2">
      <c r="A172" s="822" t="s">
        <v>575</v>
      </c>
      <c r="B172" s="823" t="s">
        <v>5354</v>
      </c>
      <c r="C172" s="823" t="s">
        <v>5396</v>
      </c>
      <c r="D172" s="823" t="s">
        <v>5462</v>
      </c>
      <c r="E172" s="823" t="s">
        <v>5403</v>
      </c>
      <c r="F172" s="832"/>
      <c r="G172" s="832"/>
      <c r="H172" s="832"/>
      <c r="I172" s="832"/>
      <c r="J172" s="832"/>
      <c r="K172" s="832"/>
      <c r="L172" s="832"/>
      <c r="M172" s="832"/>
      <c r="N172" s="832">
        <v>2</v>
      </c>
      <c r="O172" s="832">
        <v>4755.3</v>
      </c>
      <c r="P172" s="828"/>
      <c r="Q172" s="833">
        <v>2377.65</v>
      </c>
    </row>
    <row r="173" spans="1:17" ht="14.45" customHeight="1" x14ac:dyDescent="0.2">
      <c r="A173" s="822" t="s">
        <v>575</v>
      </c>
      <c r="B173" s="823" t="s">
        <v>5354</v>
      </c>
      <c r="C173" s="823" t="s">
        <v>5396</v>
      </c>
      <c r="D173" s="823" t="s">
        <v>5402</v>
      </c>
      <c r="E173" s="823" t="s">
        <v>5403</v>
      </c>
      <c r="F173" s="832"/>
      <c r="G173" s="832"/>
      <c r="H173" s="832"/>
      <c r="I173" s="832"/>
      <c r="J173" s="832"/>
      <c r="K173" s="832"/>
      <c r="L173" s="832"/>
      <c r="M173" s="832"/>
      <c r="N173" s="832">
        <v>2</v>
      </c>
      <c r="O173" s="832">
        <v>4755.3</v>
      </c>
      <c r="P173" s="828"/>
      <c r="Q173" s="833">
        <v>2377.65</v>
      </c>
    </row>
    <row r="174" spans="1:17" ht="14.45" customHeight="1" x14ac:dyDescent="0.2">
      <c r="A174" s="822" t="s">
        <v>575</v>
      </c>
      <c r="B174" s="823" t="s">
        <v>5354</v>
      </c>
      <c r="C174" s="823" t="s">
        <v>5355</v>
      </c>
      <c r="D174" s="823" t="s">
        <v>5360</v>
      </c>
      <c r="E174" s="823" t="s">
        <v>5361</v>
      </c>
      <c r="F174" s="832"/>
      <c r="G174" s="832"/>
      <c r="H174" s="832"/>
      <c r="I174" s="832"/>
      <c r="J174" s="832"/>
      <c r="K174" s="832"/>
      <c r="L174" s="832"/>
      <c r="M174" s="832"/>
      <c r="N174" s="832">
        <v>1</v>
      </c>
      <c r="O174" s="832">
        <v>711</v>
      </c>
      <c r="P174" s="828"/>
      <c r="Q174" s="833">
        <v>711</v>
      </c>
    </row>
    <row r="175" spans="1:17" ht="14.45" customHeight="1" x14ac:dyDescent="0.2">
      <c r="A175" s="822" t="s">
        <v>575</v>
      </c>
      <c r="B175" s="823" t="s">
        <v>5354</v>
      </c>
      <c r="C175" s="823" t="s">
        <v>5355</v>
      </c>
      <c r="D175" s="823" t="s">
        <v>5366</v>
      </c>
      <c r="E175" s="823" t="s">
        <v>5367</v>
      </c>
      <c r="F175" s="832">
        <v>20</v>
      </c>
      <c r="G175" s="832">
        <v>8640</v>
      </c>
      <c r="H175" s="832">
        <v>0.62068965517241381</v>
      </c>
      <c r="I175" s="832">
        <v>432</v>
      </c>
      <c r="J175" s="832">
        <v>32</v>
      </c>
      <c r="K175" s="832">
        <v>13920</v>
      </c>
      <c r="L175" s="832">
        <v>1</v>
      </c>
      <c r="M175" s="832">
        <v>435</v>
      </c>
      <c r="N175" s="832">
        <v>28</v>
      </c>
      <c r="O175" s="832">
        <v>12236</v>
      </c>
      <c r="P175" s="828">
        <v>0.87902298850574712</v>
      </c>
      <c r="Q175" s="833">
        <v>437</v>
      </c>
    </row>
    <row r="176" spans="1:17" ht="14.45" customHeight="1" x14ac:dyDescent="0.2">
      <c r="A176" s="822" t="s">
        <v>575</v>
      </c>
      <c r="B176" s="823" t="s">
        <v>5354</v>
      </c>
      <c r="C176" s="823" t="s">
        <v>5355</v>
      </c>
      <c r="D176" s="823" t="s">
        <v>5368</v>
      </c>
      <c r="E176" s="823" t="s">
        <v>5369</v>
      </c>
      <c r="F176" s="832">
        <v>397</v>
      </c>
      <c r="G176" s="832">
        <v>400970</v>
      </c>
      <c r="H176" s="832">
        <v>0.99703849950641654</v>
      </c>
      <c r="I176" s="832">
        <v>1010</v>
      </c>
      <c r="J176" s="832">
        <v>397</v>
      </c>
      <c r="K176" s="832">
        <v>402161</v>
      </c>
      <c r="L176" s="832">
        <v>1</v>
      </c>
      <c r="M176" s="832">
        <v>1013</v>
      </c>
      <c r="N176" s="832">
        <v>323</v>
      </c>
      <c r="O176" s="832">
        <v>328168</v>
      </c>
      <c r="P176" s="828">
        <v>0.81601149788268879</v>
      </c>
      <c r="Q176" s="833">
        <v>1016</v>
      </c>
    </row>
    <row r="177" spans="1:17" ht="14.45" customHeight="1" x14ac:dyDescent="0.2">
      <c r="A177" s="822" t="s">
        <v>575</v>
      </c>
      <c r="B177" s="823" t="s">
        <v>5354</v>
      </c>
      <c r="C177" s="823" t="s">
        <v>5355</v>
      </c>
      <c r="D177" s="823" t="s">
        <v>5372</v>
      </c>
      <c r="E177" s="823" t="s">
        <v>5373</v>
      </c>
      <c r="F177" s="832">
        <v>1</v>
      </c>
      <c r="G177" s="832">
        <v>1066</v>
      </c>
      <c r="H177" s="832"/>
      <c r="I177" s="832">
        <v>1066</v>
      </c>
      <c r="J177" s="832"/>
      <c r="K177" s="832"/>
      <c r="L177" s="832"/>
      <c r="M177" s="832"/>
      <c r="N177" s="832"/>
      <c r="O177" s="832"/>
      <c r="P177" s="828"/>
      <c r="Q177" s="833"/>
    </row>
    <row r="178" spans="1:17" ht="14.45" customHeight="1" x14ac:dyDescent="0.2">
      <c r="A178" s="822" t="s">
        <v>575</v>
      </c>
      <c r="B178" s="823" t="s">
        <v>5354</v>
      </c>
      <c r="C178" s="823" t="s">
        <v>5355</v>
      </c>
      <c r="D178" s="823" t="s">
        <v>5374</v>
      </c>
      <c r="E178" s="823" t="s">
        <v>5375</v>
      </c>
      <c r="F178" s="832">
        <v>5</v>
      </c>
      <c r="G178" s="832">
        <v>1595</v>
      </c>
      <c r="H178" s="832">
        <v>0.82556935817805388</v>
      </c>
      <c r="I178" s="832">
        <v>319</v>
      </c>
      <c r="J178" s="832">
        <v>6</v>
      </c>
      <c r="K178" s="832">
        <v>1932</v>
      </c>
      <c r="L178" s="832">
        <v>1</v>
      </c>
      <c r="M178" s="832">
        <v>322</v>
      </c>
      <c r="N178" s="832">
        <v>4</v>
      </c>
      <c r="O178" s="832">
        <v>1296</v>
      </c>
      <c r="P178" s="828">
        <v>0.67080745341614911</v>
      </c>
      <c r="Q178" s="833">
        <v>324</v>
      </c>
    </row>
    <row r="179" spans="1:17" ht="14.45" customHeight="1" x14ac:dyDescent="0.2">
      <c r="A179" s="822" t="s">
        <v>575</v>
      </c>
      <c r="B179" s="823" t="s">
        <v>5354</v>
      </c>
      <c r="C179" s="823" t="s">
        <v>5355</v>
      </c>
      <c r="D179" s="823" t="s">
        <v>5378</v>
      </c>
      <c r="E179" s="823" t="s">
        <v>5379</v>
      </c>
      <c r="F179" s="832"/>
      <c r="G179" s="832"/>
      <c r="H179" s="832"/>
      <c r="I179" s="832"/>
      <c r="J179" s="832"/>
      <c r="K179" s="832"/>
      <c r="L179" s="832"/>
      <c r="M179" s="832"/>
      <c r="N179" s="832">
        <v>1</v>
      </c>
      <c r="O179" s="832">
        <v>33.33</v>
      </c>
      <c r="P179" s="828"/>
      <c r="Q179" s="833">
        <v>33.33</v>
      </c>
    </row>
    <row r="180" spans="1:17" ht="14.45" customHeight="1" x14ac:dyDescent="0.2">
      <c r="A180" s="822" t="s">
        <v>575</v>
      </c>
      <c r="B180" s="823" t="s">
        <v>5354</v>
      </c>
      <c r="C180" s="823" t="s">
        <v>5355</v>
      </c>
      <c r="D180" s="823" t="s">
        <v>5384</v>
      </c>
      <c r="E180" s="823" t="s">
        <v>5385</v>
      </c>
      <c r="F180" s="832">
        <v>25</v>
      </c>
      <c r="G180" s="832">
        <v>50400</v>
      </c>
      <c r="H180" s="832">
        <v>0.75645008780224232</v>
      </c>
      <c r="I180" s="832">
        <v>2016</v>
      </c>
      <c r="J180" s="832">
        <v>33</v>
      </c>
      <c r="K180" s="832">
        <v>66627</v>
      </c>
      <c r="L180" s="832">
        <v>1</v>
      </c>
      <c r="M180" s="832">
        <v>2019</v>
      </c>
      <c r="N180" s="832">
        <v>31</v>
      </c>
      <c r="O180" s="832">
        <v>62682</v>
      </c>
      <c r="P180" s="828">
        <v>0.94078976991309826</v>
      </c>
      <c r="Q180" s="833">
        <v>2022</v>
      </c>
    </row>
    <row r="181" spans="1:17" ht="14.45" customHeight="1" x14ac:dyDescent="0.2">
      <c r="A181" s="822" t="s">
        <v>575</v>
      </c>
      <c r="B181" s="823" t="s">
        <v>5354</v>
      </c>
      <c r="C181" s="823" t="s">
        <v>5355</v>
      </c>
      <c r="D181" s="823" t="s">
        <v>5488</v>
      </c>
      <c r="E181" s="823" t="s">
        <v>5489</v>
      </c>
      <c r="F181" s="832">
        <v>36</v>
      </c>
      <c r="G181" s="832">
        <v>362195</v>
      </c>
      <c r="H181" s="832">
        <v>0.97258361192787424</v>
      </c>
      <c r="I181" s="832">
        <v>10060.972222222223</v>
      </c>
      <c r="J181" s="832">
        <v>37</v>
      </c>
      <c r="K181" s="832">
        <v>372405</v>
      </c>
      <c r="L181" s="832">
        <v>1</v>
      </c>
      <c r="M181" s="832">
        <v>10065</v>
      </c>
      <c r="N181" s="832">
        <v>30</v>
      </c>
      <c r="O181" s="832">
        <v>302070</v>
      </c>
      <c r="P181" s="828">
        <v>0.81113304064123737</v>
      </c>
      <c r="Q181" s="833">
        <v>10069</v>
      </c>
    </row>
    <row r="182" spans="1:17" ht="14.45" customHeight="1" x14ac:dyDescent="0.2">
      <c r="A182" s="822" t="s">
        <v>575</v>
      </c>
      <c r="B182" s="823" t="s">
        <v>5354</v>
      </c>
      <c r="C182" s="823" t="s">
        <v>5355</v>
      </c>
      <c r="D182" s="823" t="s">
        <v>5386</v>
      </c>
      <c r="E182" s="823" t="s">
        <v>5387</v>
      </c>
      <c r="F182" s="832">
        <v>1</v>
      </c>
      <c r="G182" s="832">
        <v>355</v>
      </c>
      <c r="H182" s="832"/>
      <c r="I182" s="832">
        <v>355</v>
      </c>
      <c r="J182" s="832"/>
      <c r="K182" s="832"/>
      <c r="L182" s="832"/>
      <c r="M182" s="832"/>
      <c r="N182" s="832"/>
      <c r="O182" s="832"/>
      <c r="P182" s="828"/>
      <c r="Q182" s="833"/>
    </row>
    <row r="183" spans="1:17" ht="14.45" customHeight="1" x14ac:dyDescent="0.2">
      <c r="A183" s="822" t="s">
        <v>575</v>
      </c>
      <c r="B183" s="823" t="s">
        <v>5354</v>
      </c>
      <c r="C183" s="823" t="s">
        <v>5355</v>
      </c>
      <c r="D183" s="823" t="s">
        <v>5390</v>
      </c>
      <c r="E183" s="823" t="s">
        <v>5391</v>
      </c>
      <c r="F183" s="832"/>
      <c r="G183" s="832"/>
      <c r="H183" s="832"/>
      <c r="I183" s="832"/>
      <c r="J183" s="832"/>
      <c r="K183" s="832"/>
      <c r="L183" s="832"/>
      <c r="M183" s="832"/>
      <c r="N183" s="832">
        <v>1</v>
      </c>
      <c r="O183" s="832">
        <v>180</v>
      </c>
      <c r="P183" s="828"/>
      <c r="Q183" s="833">
        <v>180</v>
      </c>
    </row>
    <row r="184" spans="1:17" ht="14.45" customHeight="1" x14ac:dyDescent="0.2">
      <c r="A184" s="822" t="s">
        <v>575</v>
      </c>
      <c r="B184" s="823" t="s">
        <v>5354</v>
      </c>
      <c r="C184" s="823" t="s">
        <v>5355</v>
      </c>
      <c r="D184" s="823" t="s">
        <v>5490</v>
      </c>
      <c r="E184" s="823" t="s">
        <v>5491</v>
      </c>
      <c r="F184" s="832">
        <v>833</v>
      </c>
      <c r="G184" s="832">
        <v>625576</v>
      </c>
      <c r="H184" s="832">
        <v>0.86375937524162993</v>
      </c>
      <c r="I184" s="832">
        <v>750.99159663865544</v>
      </c>
      <c r="J184" s="832">
        <v>958</v>
      </c>
      <c r="K184" s="832">
        <v>724248</v>
      </c>
      <c r="L184" s="832">
        <v>1</v>
      </c>
      <c r="M184" s="832">
        <v>756</v>
      </c>
      <c r="N184" s="832">
        <v>767</v>
      </c>
      <c r="O184" s="832">
        <v>582920</v>
      </c>
      <c r="P184" s="828">
        <v>0.80486242281649378</v>
      </c>
      <c r="Q184" s="833">
        <v>760</v>
      </c>
    </row>
    <row r="185" spans="1:17" ht="14.45" customHeight="1" x14ac:dyDescent="0.2">
      <c r="A185" s="822" t="s">
        <v>575</v>
      </c>
      <c r="B185" s="823" t="s">
        <v>5354</v>
      </c>
      <c r="C185" s="823" t="s">
        <v>5355</v>
      </c>
      <c r="D185" s="823" t="s">
        <v>5492</v>
      </c>
      <c r="E185" s="823" t="s">
        <v>5493</v>
      </c>
      <c r="F185" s="832">
        <v>0</v>
      </c>
      <c r="G185" s="832">
        <v>0</v>
      </c>
      <c r="H185" s="832"/>
      <c r="I185" s="832"/>
      <c r="J185" s="832"/>
      <c r="K185" s="832"/>
      <c r="L185" s="832"/>
      <c r="M185" s="832"/>
      <c r="N185" s="832"/>
      <c r="O185" s="832"/>
      <c r="P185" s="828"/>
      <c r="Q185" s="833"/>
    </row>
    <row r="186" spans="1:17" ht="14.45" customHeight="1" x14ac:dyDescent="0.2">
      <c r="A186" s="822" t="s">
        <v>575</v>
      </c>
      <c r="B186" s="823" t="s">
        <v>5354</v>
      </c>
      <c r="C186" s="823" t="s">
        <v>5355</v>
      </c>
      <c r="D186" s="823" t="s">
        <v>5494</v>
      </c>
      <c r="E186" s="823" t="s">
        <v>5495</v>
      </c>
      <c r="F186" s="832">
        <v>2</v>
      </c>
      <c r="G186" s="832">
        <v>2508</v>
      </c>
      <c r="H186" s="832"/>
      <c r="I186" s="832">
        <v>1254</v>
      </c>
      <c r="J186" s="832"/>
      <c r="K186" s="832"/>
      <c r="L186" s="832"/>
      <c r="M186" s="832"/>
      <c r="N186" s="832"/>
      <c r="O186" s="832"/>
      <c r="P186" s="828"/>
      <c r="Q186" s="833"/>
    </row>
    <row r="187" spans="1:17" ht="14.45" customHeight="1" x14ac:dyDescent="0.2">
      <c r="A187" s="822" t="s">
        <v>575</v>
      </c>
      <c r="B187" s="823" t="s">
        <v>5354</v>
      </c>
      <c r="C187" s="823" t="s">
        <v>5355</v>
      </c>
      <c r="D187" s="823" t="s">
        <v>5408</v>
      </c>
      <c r="E187" s="823" t="s">
        <v>5409</v>
      </c>
      <c r="F187" s="832"/>
      <c r="G187" s="832"/>
      <c r="H187" s="832"/>
      <c r="I187" s="832"/>
      <c r="J187" s="832">
        <v>8</v>
      </c>
      <c r="K187" s="832">
        <v>9424</v>
      </c>
      <c r="L187" s="832">
        <v>1</v>
      </c>
      <c r="M187" s="832">
        <v>1178</v>
      </c>
      <c r="N187" s="832">
        <v>12</v>
      </c>
      <c r="O187" s="832">
        <v>14160</v>
      </c>
      <c r="P187" s="828">
        <v>1.502546689303905</v>
      </c>
      <c r="Q187" s="833">
        <v>1180</v>
      </c>
    </row>
    <row r="188" spans="1:17" ht="14.45" customHeight="1" x14ac:dyDescent="0.2">
      <c r="A188" s="822" t="s">
        <v>575</v>
      </c>
      <c r="B188" s="823" t="s">
        <v>5410</v>
      </c>
      <c r="C188" s="823" t="s">
        <v>5355</v>
      </c>
      <c r="D188" s="823" t="s">
        <v>5413</v>
      </c>
      <c r="E188" s="823" t="s">
        <v>5414</v>
      </c>
      <c r="F188" s="832"/>
      <c r="G188" s="832"/>
      <c r="H188" s="832"/>
      <c r="I188" s="832"/>
      <c r="J188" s="832"/>
      <c r="K188" s="832"/>
      <c r="L188" s="832"/>
      <c r="M188" s="832"/>
      <c r="N188" s="832">
        <v>1</v>
      </c>
      <c r="O188" s="832">
        <v>127</v>
      </c>
      <c r="P188" s="828"/>
      <c r="Q188" s="833">
        <v>127</v>
      </c>
    </row>
    <row r="189" spans="1:17" ht="14.45" customHeight="1" x14ac:dyDescent="0.2">
      <c r="A189" s="822" t="s">
        <v>575</v>
      </c>
      <c r="B189" s="823" t="s">
        <v>5410</v>
      </c>
      <c r="C189" s="823" t="s">
        <v>5355</v>
      </c>
      <c r="D189" s="823" t="s">
        <v>5423</v>
      </c>
      <c r="E189" s="823" t="s">
        <v>5424</v>
      </c>
      <c r="F189" s="832"/>
      <c r="G189" s="832"/>
      <c r="H189" s="832"/>
      <c r="I189" s="832"/>
      <c r="J189" s="832">
        <v>1</v>
      </c>
      <c r="K189" s="832">
        <v>376</v>
      </c>
      <c r="L189" s="832">
        <v>1</v>
      </c>
      <c r="M189" s="832">
        <v>376</v>
      </c>
      <c r="N189" s="832"/>
      <c r="O189" s="832"/>
      <c r="P189" s="828"/>
      <c r="Q189" s="833"/>
    </row>
    <row r="190" spans="1:17" ht="14.45" customHeight="1" x14ac:dyDescent="0.2">
      <c r="A190" s="822" t="s">
        <v>575</v>
      </c>
      <c r="B190" s="823" t="s">
        <v>5410</v>
      </c>
      <c r="C190" s="823" t="s">
        <v>5355</v>
      </c>
      <c r="D190" s="823" t="s">
        <v>5425</v>
      </c>
      <c r="E190" s="823" t="s">
        <v>5426</v>
      </c>
      <c r="F190" s="832">
        <v>2</v>
      </c>
      <c r="G190" s="832">
        <v>504</v>
      </c>
      <c r="H190" s="832"/>
      <c r="I190" s="832">
        <v>252</v>
      </c>
      <c r="J190" s="832"/>
      <c r="K190" s="832"/>
      <c r="L190" s="832"/>
      <c r="M190" s="832"/>
      <c r="N190" s="832"/>
      <c r="O190" s="832"/>
      <c r="P190" s="828"/>
      <c r="Q190" s="833"/>
    </row>
    <row r="191" spans="1:17" ht="14.45" customHeight="1" x14ac:dyDescent="0.2">
      <c r="A191" s="822" t="s">
        <v>575</v>
      </c>
      <c r="B191" s="823" t="s">
        <v>5496</v>
      </c>
      <c r="C191" s="823" t="s">
        <v>5355</v>
      </c>
      <c r="D191" s="823" t="s">
        <v>5497</v>
      </c>
      <c r="E191" s="823" t="s">
        <v>5498</v>
      </c>
      <c r="F191" s="832"/>
      <c r="G191" s="832"/>
      <c r="H191" s="832"/>
      <c r="I191" s="832"/>
      <c r="J191" s="832">
        <v>2</v>
      </c>
      <c r="K191" s="832">
        <v>5074</v>
      </c>
      <c r="L191" s="832">
        <v>1</v>
      </c>
      <c r="M191" s="832">
        <v>2537</v>
      </c>
      <c r="N191" s="832"/>
      <c r="O191" s="832"/>
      <c r="P191" s="828"/>
      <c r="Q191" s="833"/>
    </row>
    <row r="192" spans="1:17" ht="14.45" customHeight="1" x14ac:dyDescent="0.2">
      <c r="A192" s="822" t="s">
        <v>575</v>
      </c>
      <c r="B192" s="823" t="s">
        <v>5496</v>
      </c>
      <c r="C192" s="823" t="s">
        <v>5355</v>
      </c>
      <c r="D192" s="823" t="s">
        <v>5499</v>
      </c>
      <c r="E192" s="823" t="s">
        <v>5500</v>
      </c>
      <c r="F192" s="832"/>
      <c r="G192" s="832"/>
      <c r="H192" s="832"/>
      <c r="I192" s="832"/>
      <c r="J192" s="832">
        <v>1</v>
      </c>
      <c r="K192" s="832">
        <v>2161</v>
      </c>
      <c r="L192" s="832">
        <v>1</v>
      </c>
      <c r="M192" s="832">
        <v>2161</v>
      </c>
      <c r="N192" s="832"/>
      <c r="O192" s="832"/>
      <c r="P192" s="828"/>
      <c r="Q192" s="833"/>
    </row>
    <row r="193" spans="1:17" ht="14.45" customHeight="1" x14ac:dyDescent="0.2">
      <c r="A193" s="822" t="s">
        <v>575</v>
      </c>
      <c r="B193" s="823" t="s">
        <v>5496</v>
      </c>
      <c r="C193" s="823" t="s">
        <v>5355</v>
      </c>
      <c r="D193" s="823" t="s">
        <v>5501</v>
      </c>
      <c r="E193" s="823" t="s">
        <v>5502</v>
      </c>
      <c r="F193" s="832">
        <v>1</v>
      </c>
      <c r="G193" s="832">
        <v>5148</v>
      </c>
      <c r="H193" s="832"/>
      <c r="I193" s="832">
        <v>5148</v>
      </c>
      <c r="J193" s="832"/>
      <c r="K193" s="832"/>
      <c r="L193" s="832"/>
      <c r="M193" s="832"/>
      <c r="N193" s="832"/>
      <c r="O193" s="832"/>
      <c r="P193" s="828"/>
      <c r="Q193" s="833"/>
    </row>
    <row r="194" spans="1:17" ht="14.45" customHeight="1" x14ac:dyDescent="0.2">
      <c r="A194" s="822" t="s">
        <v>575</v>
      </c>
      <c r="B194" s="823" t="s">
        <v>5496</v>
      </c>
      <c r="C194" s="823" t="s">
        <v>5355</v>
      </c>
      <c r="D194" s="823" t="s">
        <v>5503</v>
      </c>
      <c r="E194" s="823" t="s">
        <v>5504</v>
      </c>
      <c r="F194" s="832">
        <v>4</v>
      </c>
      <c r="G194" s="832">
        <v>0</v>
      </c>
      <c r="H194" s="832"/>
      <c r="I194" s="832">
        <v>0</v>
      </c>
      <c r="J194" s="832"/>
      <c r="K194" s="832"/>
      <c r="L194" s="832"/>
      <c r="M194" s="832"/>
      <c r="N194" s="832">
        <v>2</v>
      </c>
      <c r="O194" s="832">
        <v>0</v>
      </c>
      <c r="P194" s="828"/>
      <c r="Q194" s="833">
        <v>0</v>
      </c>
    </row>
    <row r="195" spans="1:17" ht="14.45" customHeight="1" x14ac:dyDescent="0.2">
      <c r="A195" s="822" t="s">
        <v>575</v>
      </c>
      <c r="B195" s="823" t="s">
        <v>5496</v>
      </c>
      <c r="C195" s="823" t="s">
        <v>5355</v>
      </c>
      <c r="D195" s="823" t="s">
        <v>5505</v>
      </c>
      <c r="E195" s="823" t="s">
        <v>5506</v>
      </c>
      <c r="F195" s="832">
        <v>1</v>
      </c>
      <c r="G195" s="832">
        <v>0</v>
      </c>
      <c r="H195" s="832"/>
      <c r="I195" s="832">
        <v>0</v>
      </c>
      <c r="J195" s="832"/>
      <c r="K195" s="832"/>
      <c r="L195" s="832"/>
      <c r="M195" s="832"/>
      <c r="N195" s="832">
        <v>1</v>
      </c>
      <c r="O195" s="832">
        <v>0</v>
      </c>
      <c r="P195" s="828"/>
      <c r="Q195" s="833">
        <v>0</v>
      </c>
    </row>
    <row r="196" spans="1:17" ht="14.45" customHeight="1" x14ac:dyDescent="0.2">
      <c r="A196" s="822" t="s">
        <v>575</v>
      </c>
      <c r="B196" s="823" t="s">
        <v>5496</v>
      </c>
      <c r="C196" s="823" t="s">
        <v>5355</v>
      </c>
      <c r="D196" s="823" t="s">
        <v>5507</v>
      </c>
      <c r="E196" s="823" t="s">
        <v>5508</v>
      </c>
      <c r="F196" s="832"/>
      <c r="G196" s="832"/>
      <c r="H196" s="832"/>
      <c r="I196" s="832"/>
      <c r="J196" s="832"/>
      <c r="K196" s="832"/>
      <c r="L196" s="832"/>
      <c r="M196" s="832"/>
      <c r="N196" s="832">
        <v>51</v>
      </c>
      <c r="O196" s="832">
        <v>0</v>
      </c>
      <c r="P196" s="828"/>
      <c r="Q196" s="833">
        <v>0</v>
      </c>
    </row>
    <row r="197" spans="1:17" ht="14.45" customHeight="1" x14ac:dyDescent="0.2">
      <c r="A197" s="822" t="s">
        <v>575</v>
      </c>
      <c r="B197" s="823" t="s">
        <v>5496</v>
      </c>
      <c r="C197" s="823" t="s">
        <v>5355</v>
      </c>
      <c r="D197" s="823" t="s">
        <v>5509</v>
      </c>
      <c r="E197" s="823" t="s">
        <v>5510</v>
      </c>
      <c r="F197" s="832">
        <v>3</v>
      </c>
      <c r="G197" s="832">
        <v>0</v>
      </c>
      <c r="H197" s="832"/>
      <c r="I197" s="832">
        <v>0</v>
      </c>
      <c r="J197" s="832"/>
      <c r="K197" s="832"/>
      <c r="L197" s="832"/>
      <c r="M197" s="832"/>
      <c r="N197" s="832"/>
      <c r="O197" s="832"/>
      <c r="P197" s="828"/>
      <c r="Q197" s="833"/>
    </row>
    <row r="198" spans="1:17" ht="14.45" customHeight="1" x14ac:dyDescent="0.2">
      <c r="A198" s="822" t="s">
        <v>575</v>
      </c>
      <c r="B198" s="823" t="s">
        <v>5496</v>
      </c>
      <c r="C198" s="823" t="s">
        <v>5355</v>
      </c>
      <c r="D198" s="823" t="s">
        <v>5511</v>
      </c>
      <c r="E198" s="823" t="s">
        <v>5512</v>
      </c>
      <c r="F198" s="832">
        <v>1</v>
      </c>
      <c r="G198" s="832">
        <v>0</v>
      </c>
      <c r="H198" s="832"/>
      <c r="I198" s="832">
        <v>0</v>
      </c>
      <c r="J198" s="832"/>
      <c r="K198" s="832"/>
      <c r="L198" s="832"/>
      <c r="M198" s="832"/>
      <c r="N198" s="832"/>
      <c r="O198" s="832"/>
      <c r="P198" s="828"/>
      <c r="Q198" s="833"/>
    </row>
    <row r="199" spans="1:17" ht="14.45" customHeight="1" x14ac:dyDescent="0.2">
      <c r="A199" s="822" t="s">
        <v>575</v>
      </c>
      <c r="B199" s="823" t="s">
        <v>5496</v>
      </c>
      <c r="C199" s="823" t="s">
        <v>5355</v>
      </c>
      <c r="D199" s="823" t="s">
        <v>5513</v>
      </c>
      <c r="E199" s="823" t="s">
        <v>5514</v>
      </c>
      <c r="F199" s="832">
        <v>2</v>
      </c>
      <c r="G199" s="832">
        <v>0</v>
      </c>
      <c r="H199" s="832"/>
      <c r="I199" s="832">
        <v>0</v>
      </c>
      <c r="J199" s="832"/>
      <c r="K199" s="832"/>
      <c r="L199" s="832"/>
      <c r="M199" s="832"/>
      <c r="N199" s="832"/>
      <c r="O199" s="832"/>
      <c r="P199" s="828"/>
      <c r="Q199" s="833"/>
    </row>
    <row r="200" spans="1:17" ht="14.45" customHeight="1" x14ac:dyDescent="0.2">
      <c r="A200" s="822" t="s">
        <v>575</v>
      </c>
      <c r="B200" s="823" t="s">
        <v>5496</v>
      </c>
      <c r="C200" s="823" t="s">
        <v>5355</v>
      </c>
      <c r="D200" s="823" t="s">
        <v>5515</v>
      </c>
      <c r="E200" s="823" t="s">
        <v>5516</v>
      </c>
      <c r="F200" s="832"/>
      <c r="G200" s="832"/>
      <c r="H200" s="832"/>
      <c r="I200" s="832"/>
      <c r="J200" s="832"/>
      <c r="K200" s="832"/>
      <c r="L200" s="832"/>
      <c r="M200" s="832"/>
      <c r="N200" s="832">
        <v>1</v>
      </c>
      <c r="O200" s="832">
        <v>0</v>
      </c>
      <c r="P200" s="828"/>
      <c r="Q200" s="833">
        <v>0</v>
      </c>
    </row>
    <row r="201" spans="1:17" ht="14.45" customHeight="1" x14ac:dyDescent="0.2">
      <c r="A201" s="822" t="s">
        <v>575</v>
      </c>
      <c r="B201" s="823" t="s">
        <v>5496</v>
      </c>
      <c r="C201" s="823" t="s">
        <v>5355</v>
      </c>
      <c r="D201" s="823" t="s">
        <v>5517</v>
      </c>
      <c r="E201" s="823" t="s">
        <v>5518</v>
      </c>
      <c r="F201" s="832"/>
      <c r="G201" s="832"/>
      <c r="H201" s="832"/>
      <c r="I201" s="832"/>
      <c r="J201" s="832"/>
      <c r="K201" s="832"/>
      <c r="L201" s="832"/>
      <c r="M201" s="832"/>
      <c r="N201" s="832">
        <v>1</v>
      </c>
      <c r="O201" s="832">
        <v>0</v>
      </c>
      <c r="P201" s="828"/>
      <c r="Q201" s="833">
        <v>0</v>
      </c>
    </row>
    <row r="202" spans="1:17" ht="14.45" customHeight="1" x14ac:dyDescent="0.2">
      <c r="A202" s="822" t="s">
        <v>575</v>
      </c>
      <c r="B202" s="823" t="s">
        <v>5496</v>
      </c>
      <c r="C202" s="823" t="s">
        <v>5355</v>
      </c>
      <c r="D202" s="823" t="s">
        <v>5519</v>
      </c>
      <c r="E202" s="823" t="s">
        <v>5520</v>
      </c>
      <c r="F202" s="832">
        <v>4</v>
      </c>
      <c r="G202" s="832">
        <v>0</v>
      </c>
      <c r="H202" s="832"/>
      <c r="I202" s="832">
        <v>0</v>
      </c>
      <c r="J202" s="832"/>
      <c r="K202" s="832"/>
      <c r="L202" s="832"/>
      <c r="M202" s="832"/>
      <c r="N202" s="832">
        <v>3</v>
      </c>
      <c r="O202" s="832">
        <v>0</v>
      </c>
      <c r="P202" s="828"/>
      <c r="Q202" s="833">
        <v>0</v>
      </c>
    </row>
    <row r="203" spans="1:17" ht="14.45" customHeight="1" x14ac:dyDescent="0.2">
      <c r="A203" s="822" t="s">
        <v>575</v>
      </c>
      <c r="B203" s="823" t="s">
        <v>5496</v>
      </c>
      <c r="C203" s="823" t="s">
        <v>5355</v>
      </c>
      <c r="D203" s="823" t="s">
        <v>5521</v>
      </c>
      <c r="E203" s="823" t="s">
        <v>5522</v>
      </c>
      <c r="F203" s="832">
        <v>1</v>
      </c>
      <c r="G203" s="832">
        <v>842</v>
      </c>
      <c r="H203" s="832"/>
      <c r="I203" s="832">
        <v>842</v>
      </c>
      <c r="J203" s="832"/>
      <c r="K203" s="832"/>
      <c r="L203" s="832"/>
      <c r="M203" s="832"/>
      <c r="N203" s="832">
        <v>2</v>
      </c>
      <c r="O203" s="832">
        <v>1714</v>
      </c>
      <c r="P203" s="828"/>
      <c r="Q203" s="833">
        <v>857</v>
      </c>
    </row>
    <row r="204" spans="1:17" ht="14.45" customHeight="1" x14ac:dyDescent="0.2">
      <c r="A204" s="822" t="s">
        <v>575</v>
      </c>
      <c r="B204" s="823" t="s">
        <v>5496</v>
      </c>
      <c r="C204" s="823" t="s">
        <v>5355</v>
      </c>
      <c r="D204" s="823" t="s">
        <v>5523</v>
      </c>
      <c r="E204" s="823" t="s">
        <v>5524</v>
      </c>
      <c r="F204" s="832">
        <v>2</v>
      </c>
      <c r="G204" s="832">
        <v>18722</v>
      </c>
      <c r="H204" s="832"/>
      <c r="I204" s="832">
        <v>9361</v>
      </c>
      <c r="J204" s="832"/>
      <c r="K204" s="832"/>
      <c r="L204" s="832"/>
      <c r="M204" s="832"/>
      <c r="N204" s="832">
        <v>1</v>
      </c>
      <c r="O204" s="832">
        <v>9452</v>
      </c>
      <c r="P204" s="828"/>
      <c r="Q204" s="833">
        <v>9452</v>
      </c>
    </row>
    <row r="205" spans="1:17" ht="14.45" customHeight="1" x14ac:dyDescent="0.2">
      <c r="A205" s="822" t="s">
        <v>575</v>
      </c>
      <c r="B205" s="823" t="s">
        <v>5496</v>
      </c>
      <c r="C205" s="823" t="s">
        <v>5355</v>
      </c>
      <c r="D205" s="823" t="s">
        <v>5525</v>
      </c>
      <c r="E205" s="823" t="s">
        <v>5526</v>
      </c>
      <c r="F205" s="832">
        <v>2</v>
      </c>
      <c r="G205" s="832">
        <v>0</v>
      </c>
      <c r="H205" s="832"/>
      <c r="I205" s="832">
        <v>0</v>
      </c>
      <c r="J205" s="832"/>
      <c r="K205" s="832"/>
      <c r="L205" s="832"/>
      <c r="M205" s="832"/>
      <c r="N205" s="832">
        <v>1</v>
      </c>
      <c r="O205" s="832">
        <v>0</v>
      </c>
      <c r="P205" s="828"/>
      <c r="Q205" s="833">
        <v>0</v>
      </c>
    </row>
    <row r="206" spans="1:17" ht="14.45" customHeight="1" x14ac:dyDescent="0.2">
      <c r="A206" s="822" t="s">
        <v>575</v>
      </c>
      <c r="B206" s="823" t="s">
        <v>5496</v>
      </c>
      <c r="C206" s="823" t="s">
        <v>5355</v>
      </c>
      <c r="D206" s="823" t="s">
        <v>5527</v>
      </c>
      <c r="E206" s="823" t="s">
        <v>5528</v>
      </c>
      <c r="F206" s="832">
        <v>1</v>
      </c>
      <c r="G206" s="832">
        <v>3181</v>
      </c>
      <c r="H206" s="832"/>
      <c r="I206" s="832">
        <v>3181</v>
      </c>
      <c r="J206" s="832"/>
      <c r="K206" s="832"/>
      <c r="L206" s="832"/>
      <c r="M206" s="832"/>
      <c r="N206" s="832"/>
      <c r="O206" s="832"/>
      <c r="P206" s="828"/>
      <c r="Q206" s="833"/>
    </row>
    <row r="207" spans="1:17" ht="14.45" customHeight="1" x14ac:dyDescent="0.2">
      <c r="A207" s="822" t="s">
        <v>575</v>
      </c>
      <c r="B207" s="823" t="s">
        <v>5496</v>
      </c>
      <c r="C207" s="823" t="s">
        <v>5355</v>
      </c>
      <c r="D207" s="823" t="s">
        <v>5529</v>
      </c>
      <c r="E207" s="823" t="s">
        <v>5530</v>
      </c>
      <c r="F207" s="832">
        <v>2</v>
      </c>
      <c r="G207" s="832">
        <v>14022</v>
      </c>
      <c r="H207" s="832"/>
      <c r="I207" s="832">
        <v>7011</v>
      </c>
      <c r="J207" s="832"/>
      <c r="K207" s="832"/>
      <c r="L207" s="832"/>
      <c r="M207" s="832"/>
      <c r="N207" s="832"/>
      <c r="O207" s="832"/>
      <c r="P207" s="828"/>
      <c r="Q207" s="833"/>
    </row>
    <row r="208" spans="1:17" ht="14.45" customHeight="1" x14ac:dyDescent="0.2">
      <c r="A208" s="822" t="s">
        <v>575</v>
      </c>
      <c r="B208" s="823" t="s">
        <v>5496</v>
      </c>
      <c r="C208" s="823" t="s">
        <v>5355</v>
      </c>
      <c r="D208" s="823" t="s">
        <v>5531</v>
      </c>
      <c r="E208" s="823" t="s">
        <v>5532</v>
      </c>
      <c r="F208" s="832">
        <v>4</v>
      </c>
      <c r="G208" s="832">
        <v>0</v>
      </c>
      <c r="H208" s="832"/>
      <c r="I208" s="832">
        <v>0</v>
      </c>
      <c r="J208" s="832"/>
      <c r="K208" s="832"/>
      <c r="L208" s="832"/>
      <c r="M208" s="832"/>
      <c r="N208" s="832">
        <v>4</v>
      </c>
      <c r="O208" s="832">
        <v>0</v>
      </c>
      <c r="P208" s="828"/>
      <c r="Q208" s="833">
        <v>0</v>
      </c>
    </row>
    <row r="209" spans="1:17" ht="14.45" customHeight="1" x14ac:dyDescent="0.2">
      <c r="A209" s="822" t="s">
        <v>575</v>
      </c>
      <c r="B209" s="823" t="s">
        <v>5496</v>
      </c>
      <c r="C209" s="823" t="s">
        <v>5355</v>
      </c>
      <c r="D209" s="823" t="s">
        <v>5533</v>
      </c>
      <c r="E209" s="823" t="s">
        <v>5534</v>
      </c>
      <c r="F209" s="832">
        <v>2</v>
      </c>
      <c r="G209" s="832">
        <v>0</v>
      </c>
      <c r="H209" s="832"/>
      <c r="I209" s="832">
        <v>0</v>
      </c>
      <c r="J209" s="832"/>
      <c r="K209" s="832"/>
      <c r="L209" s="832"/>
      <c r="M209" s="832"/>
      <c r="N209" s="832">
        <v>3</v>
      </c>
      <c r="O209" s="832">
        <v>0</v>
      </c>
      <c r="P209" s="828"/>
      <c r="Q209" s="833">
        <v>0</v>
      </c>
    </row>
    <row r="210" spans="1:17" ht="14.45" customHeight="1" x14ac:dyDescent="0.2">
      <c r="A210" s="822" t="s">
        <v>575</v>
      </c>
      <c r="B210" s="823" t="s">
        <v>5496</v>
      </c>
      <c r="C210" s="823" t="s">
        <v>5355</v>
      </c>
      <c r="D210" s="823" t="s">
        <v>5535</v>
      </c>
      <c r="E210" s="823" t="s">
        <v>5536</v>
      </c>
      <c r="F210" s="832"/>
      <c r="G210" s="832"/>
      <c r="H210" s="832"/>
      <c r="I210" s="832"/>
      <c r="J210" s="832"/>
      <c r="K210" s="832"/>
      <c r="L210" s="832"/>
      <c r="M210" s="832"/>
      <c r="N210" s="832">
        <v>0</v>
      </c>
      <c r="O210" s="832">
        <v>0</v>
      </c>
      <c r="P210" s="828"/>
      <c r="Q210" s="833"/>
    </row>
    <row r="211" spans="1:17" ht="14.45" customHeight="1" x14ac:dyDescent="0.2">
      <c r="A211" s="822" t="s">
        <v>575</v>
      </c>
      <c r="B211" s="823" t="s">
        <v>5496</v>
      </c>
      <c r="C211" s="823" t="s">
        <v>5355</v>
      </c>
      <c r="D211" s="823" t="s">
        <v>5537</v>
      </c>
      <c r="E211" s="823" t="s">
        <v>5538</v>
      </c>
      <c r="F211" s="832">
        <v>1</v>
      </c>
      <c r="G211" s="832">
        <v>3643</v>
      </c>
      <c r="H211" s="832"/>
      <c r="I211" s="832">
        <v>3643</v>
      </c>
      <c r="J211" s="832"/>
      <c r="K211" s="832"/>
      <c r="L211" s="832"/>
      <c r="M211" s="832"/>
      <c r="N211" s="832"/>
      <c r="O211" s="832"/>
      <c r="P211" s="828"/>
      <c r="Q211" s="833"/>
    </row>
    <row r="212" spans="1:17" ht="14.45" customHeight="1" x14ac:dyDescent="0.2">
      <c r="A212" s="822" t="s">
        <v>575</v>
      </c>
      <c r="B212" s="823" t="s">
        <v>5496</v>
      </c>
      <c r="C212" s="823" t="s">
        <v>5355</v>
      </c>
      <c r="D212" s="823" t="s">
        <v>5539</v>
      </c>
      <c r="E212" s="823" t="s">
        <v>5540</v>
      </c>
      <c r="F212" s="832"/>
      <c r="G212" s="832"/>
      <c r="H212" s="832"/>
      <c r="I212" s="832"/>
      <c r="J212" s="832"/>
      <c r="K212" s="832"/>
      <c r="L212" s="832"/>
      <c r="M212" s="832"/>
      <c r="N212" s="832">
        <v>1</v>
      </c>
      <c r="O212" s="832">
        <v>3734</v>
      </c>
      <c r="P212" s="828"/>
      <c r="Q212" s="833">
        <v>3734</v>
      </c>
    </row>
    <row r="213" spans="1:17" ht="14.45" customHeight="1" x14ac:dyDescent="0.2">
      <c r="A213" s="822" t="s">
        <v>575</v>
      </c>
      <c r="B213" s="823" t="s">
        <v>5496</v>
      </c>
      <c r="C213" s="823" t="s">
        <v>5355</v>
      </c>
      <c r="D213" s="823" t="s">
        <v>5541</v>
      </c>
      <c r="E213" s="823" t="s">
        <v>5542</v>
      </c>
      <c r="F213" s="832">
        <v>2</v>
      </c>
      <c r="G213" s="832">
        <v>9482</v>
      </c>
      <c r="H213" s="832"/>
      <c r="I213" s="832">
        <v>4741</v>
      </c>
      <c r="J213" s="832"/>
      <c r="K213" s="832"/>
      <c r="L213" s="832"/>
      <c r="M213" s="832"/>
      <c r="N213" s="832"/>
      <c r="O213" s="832"/>
      <c r="P213" s="828"/>
      <c r="Q213" s="833"/>
    </row>
    <row r="214" spans="1:17" ht="14.45" customHeight="1" x14ac:dyDescent="0.2">
      <c r="A214" s="822" t="s">
        <v>575</v>
      </c>
      <c r="B214" s="823" t="s">
        <v>5496</v>
      </c>
      <c r="C214" s="823" t="s">
        <v>5355</v>
      </c>
      <c r="D214" s="823" t="s">
        <v>5543</v>
      </c>
      <c r="E214" s="823" t="s">
        <v>5544</v>
      </c>
      <c r="F214" s="832">
        <v>1</v>
      </c>
      <c r="G214" s="832">
        <v>4672</v>
      </c>
      <c r="H214" s="832"/>
      <c r="I214" s="832">
        <v>4672</v>
      </c>
      <c r="J214" s="832"/>
      <c r="K214" s="832"/>
      <c r="L214" s="832"/>
      <c r="M214" s="832"/>
      <c r="N214" s="832"/>
      <c r="O214" s="832"/>
      <c r="P214" s="828"/>
      <c r="Q214" s="833"/>
    </row>
    <row r="215" spans="1:17" ht="14.45" customHeight="1" x14ac:dyDescent="0.2">
      <c r="A215" s="822" t="s">
        <v>575</v>
      </c>
      <c r="B215" s="823" t="s">
        <v>5496</v>
      </c>
      <c r="C215" s="823" t="s">
        <v>5355</v>
      </c>
      <c r="D215" s="823" t="s">
        <v>5545</v>
      </c>
      <c r="E215" s="823" t="s">
        <v>5546</v>
      </c>
      <c r="F215" s="832">
        <v>2</v>
      </c>
      <c r="G215" s="832">
        <v>0</v>
      </c>
      <c r="H215" s="832"/>
      <c r="I215" s="832">
        <v>0</v>
      </c>
      <c r="J215" s="832"/>
      <c r="K215" s="832"/>
      <c r="L215" s="832"/>
      <c r="M215" s="832"/>
      <c r="N215" s="832"/>
      <c r="O215" s="832"/>
      <c r="P215" s="828"/>
      <c r="Q215" s="833"/>
    </row>
    <row r="216" spans="1:17" ht="14.45" customHeight="1" x14ac:dyDescent="0.2">
      <c r="A216" s="822" t="s">
        <v>575</v>
      </c>
      <c r="B216" s="823" t="s">
        <v>5496</v>
      </c>
      <c r="C216" s="823" t="s">
        <v>5355</v>
      </c>
      <c r="D216" s="823" t="s">
        <v>5547</v>
      </c>
      <c r="E216" s="823" t="s">
        <v>5548</v>
      </c>
      <c r="F216" s="832"/>
      <c r="G216" s="832"/>
      <c r="H216" s="832"/>
      <c r="I216" s="832"/>
      <c r="J216" s="832"/>
      <c r="K216" s="832"/>
      <c r="L216" s="832"/>
      <c r="M216" s="832"/>
      <c r="N216" s="832">
        <v>2</v>
      </c>
      <c r="O216" s="832">
        <v>27762</v>
      </c>
      <c r="P216" s="828"/>
      <c r="Q216" s="833">
        <v>13881</v>
      </c>
    </row>
    <row r="217" spans="1:17" ht="14.45" customHeight="1" x14ac:dyDescent="0.2">
      <c r="A217" s="822" t="s">
        <v>575</v>
      </c>
      <c r="B217" s="823" t="s">
        <v>5496</v>
      </c>
      <c r="C217" s="823" t="s">
        <v>5355</v>
      </c>
      <c r="D217" s="823" t="s">
        <v>5549</v>
      </c>
      <c r="E217" s="823" t="s">
        <v>5550</v>
      </c>
      <c r="F217" s="832"/>
      <c r="G217" s="832"/>
      <c r="H217" s="832"/>
      <c r="I217" s="832"/>
      <c r="J217" s="832"/>
      <c r="K217" s="832"/>
      <c r="L217" s="832"/>
      <c r="M217" s="832"/>
      <c r="N217" s="832">
        <v>1</v>
      </c>
      <c r="O217" s="832">
        <v>0</v>
      </c>
      <c r="P217" s="828"/>
      <c r="Q217" s="833">
        <v>0</v>
      </c>
    </row>
    <row r="218" spans="1:17" ht="14.45" customHeight="1" x14ac:dyDescent="0.2">
      <c r="A218" s="822" t="s">
        <v>575</v>
      </c>
      <c r="B218" s="823" t="s">
        <v>5496</v>
      </c>
      <c r="C218" s="823" t="s">
        <v>5355</v>
      </c>
      <c r="D218" s="823" t="s">
        <v>5551</v>
      </c>
      <c r="E218" s="823" t="s">
        <v>5552</v>
      </c>
      <c r="F218" s="832"/>
      <c r="G218" s="832"/>
      <c r="H218" s="832"/>
      <c r="I218" s="832"/>
      <c r="J218" s="832"/>
      <c r="K218" s="832"/>
      <c r="L218" s="832"/>
      <c r="M218" s="832"/>
      <c r="N218" s="832">
        <v>1</v>
      </c>
      <c r="O218" s="832">
        <v>0</v>
      </c>
      <c r="P218" s="828"/>
      <c r="Q218" s="833">
        <v>0</v>
      </c>
    </row>
    <row r="219" spans="1:17" ht="14.45" customHeight="1" x14ac:dyDescent="0.2">
      <c r="A219" s="822" t="s">
        <v>575</v>
      </c>
      <c r="B219" s="823" t="s">
        <v>5496</v>
      </c>
      <c r="C219" s="823" t="s">
        <v>5355</v>
      </c>
      <c r="D219" s="823" t="s">
        <v>5553</v>
      </c>
      <c r="E219" s="823" t="s">
        <v>5554</v>
      </c>
      <c r="F219" s="832"/>
      <c r="G219" s="832"/>
      <c r="H219" s="832"/>
      <c r="I219" s="832"/>
      <c r="J219" s="832"/>
      <c r="K219" s="832"/>
      <c r="L219" s="832"/>
      <c r="M219" s="832"/>
      <c r="N219" s="832">
        <v>1</v>
      </c>
      <c r="O219" s="832">
        <v>0</v>
      </c>
      <c r="P219" s="828"/>
      <c r="Q219" s="833">
        <v>0</v>
      </c>
    </row>
    <row r="220" spans="1:17" ht="14.45" customHeight="1" x14ac:dyDescent="0.2">
      <c r="A220" s="822" t="s">
        <v>575</v>
      </c>
      <c r="B220" s="823" t="s">
        <v>5555</v>
      </c>
      <c r="C220" s="823" t="s">
        <v>5355</v>
      </c>
      <c r="D220" s="823" t="s">
        <v>5556</v>
      </c>
      <c r="E220" s="823" t="s">
        <v>5557</v>
      </c>
      <c r="F220" s="832"/>
      <c r="G220" s="832"/>
      <c r="H220" s="832"/>
      <c r="I220" s="832"/>
      <c r="J220" s="832"/>
      <c r="K220" s="832"/>
      <c r="L220" s="832"/>
      <c r="M220" s="832"/>
      <c r="N220" s="832">
        <v>1</v>
      </c>
      <c r="O220" s="832">
        <v>852</v>
      </c>
      <c r="P220" s="828"/>
      <c r="Q220" s="833">
        <v>852</v>
      </c>
    </row>
    <row r="221" spans="1:17" ht="14.45" customHeight="1" x14ac:dyDescent="0.2">
      <c r="A221" s="822" t="s">
        <v>575</v>
      </c>
      <c r="B221" s="823" t="s">
        <v>5555</v>
      </c>
      <c r="C221" s="823" t="s">
        <v>5355</v>
      </c>
      <c r="D221" s="823" t="s">
        <v>5558</v>
      </c>
      <c r="E221" s="823" t="s">
        <v>5559</v>
      </c>
      <c r="F221" s="832"/>
      <c r="G221" s="832"/>
      <c r="H221" s="832"/>
      <c r="I221" s="832"/>
      <c r="J221" s="832"/>
      <c r="K221" s="832"/>
      <c r="L221" s="832"/>
      <c r="M221" s="832"/>
      <c r="N221" s="832">
        <v>2</v>
      </c>
      <c r="O221" s="832">
        <v>0</v>
      </c>
      <c r="P221" s="828"/>
      <c r="Q221" s="833">
        <v>0</v>
      </c>
    </row>
    <row r="222" spans="1:17" ht="14.45" customHeight="1" x14ac:dyDescent="0.2">
      <c r="A222" s="822" t="s">
        <v>575</v>
      </c>
      <c r="B222" s="823" t="s">
        <v>5555</v>
      </c>
      <c r="C222" s="823" t="s">
        <v>5355</v>
      </c>
      <c r="D222" s="823" t="s">
        <v>5560</v>
      </c>
      <c r="E222" s="823" t="s">
        <v>5561</v>
      </c>
      <c r="F222" s="832"/>
      <c r="G222" s="832"/>
      <c r="H222" s="832"/>
      <c r="I222" s="832"/>
      <c r="J222" s="832"/>
      <c r="K222" s="832"/>
      <c r="L222" s="832"/>
      <c r="M222" s="832"/>
      <c r="N222" s="832">
        <v>2</v>
      </c>
      <c r="O222" s="832">
        <v>1684</v>
      </c>
      <c r="P222" s="828"/>
      <c r="Q222" s="833">
        <v>842</v>
      </c>
    </row>
    <row r="223" spans="1:17" ht="14.45" customHeight="1" x14ac:dyDescent="0.2">
      <c r="A223" s="822" t="s">
        <v>575</v>
      </c>
      <c r="B223" s="823" t="s">
        <v>5562</v>
      </c>
      <c r="C223" s="823" t="s">
        <v>5563</v>
      </c>
      <c r="D223" s="823" t="s">
        <v>5564</v>
      </c>
      <c r="E223" s="823" t="s">
        <v>1401</v>
      </c>
      <c r="F223" s="832">
        <v>1.4</v>
      </c>
      <c r="G223" s="832">
        <v>9984.94</v>
      </c>
      <c r="H223" s="832"/>
      <c r="I223" s="832">
        <v>7132.1</v>
      </c>
      <c r="J223" s="832"/>
      <c r="K223" s="832"/>
      <c r="L223" s="832"/>
      <c r="M223" s="832"/>
      <c r="N223" s="832"/>
      <c r="O223" s="832"/>
      <c r="P223" s="828"/>
      <c r="Q223" s="833"/>
    </row>
    <row r="224" spans="1:17" ht="14.45" customHeight="1" x14ac:dyDescent="0.2">
      <c r="A224" s="822" t="s">
        <v>575</v>
      </c>
      <c r="B224" s="823" t="s">
        <v>5562</v>
      </c>
      <c r="C224" s="823" t="s">
        <v>5563</v>
      </c>
      <c r="D224" s="823" t="s">
        <v>5565</v>
      </c>
      <c r="E224" s="823" t="s">
        <v>1377</v>
      </c>
      <c r="F224" s="832">
        <v>3</v>
      </c>
      <c r="G224" s="832">
        <v>14964.35</v>
      </c>
      <c r="H224" s="832">
        <v>3.0000160382029994</v>
      </c>
      <c r="I224" s="832">
        <v>4988.1166666666668</v>
      </c>
      <c r="J224" s="832">
        <v>1</v>
      </c>
      <c r="K224" s="832">
        <v>4988.09</v>
      </c>
      <c r="L224" s="832">
        <v>1</v>
      </c>
      <c r="M224" s="832">
        <v>4988.09</v>
      </c>
      <c r="N224" s="832">
        <v>6</v>
      </c>
      <c r="O224" s="832">
        <v>29228.720000000001</v>
      </c>
      <c r="P224" s="828">
        <v>5.8597018097107307</v>
      </c>
      <c r="Q224" s="833">
        <v>4871.4533333333338</v>
      </c>
    </row>
    <row r="225" spans="1:17" ht="14.45" customHeight="1" x14ac:dyDescent="0.2">
      <c r="A225" s="822" t="s">
        <v>575</v>
      </c>
      <c r="B225" s="823" t="s">
        <v>5562</v>
      </c>
      <c r="C225" s="823" t="s">
        <v>5563</v>
      </c>
      <c r="D225" s="823" t="s">
        <v>5566</v>
      </c>
      <c r="E225" s="823" t="s">
        <v>5567</v>
      </c>
      <c r="F225" s="832"/>
      <c r="G225" s="832"/>
      <c r="H225" s="832"/>
      <c r="I225" s="832"/>
      <c r="J225" s="832">
        <v>1.4</v>
      </c>
      <c r="K225" s="832">
        <v>520.45000000000005</v>
      </c>
      <c r="L225" s="832">
        <v>1</v>
      </c>
      <c r="M225" s="832">
        <v>371.75000000000006</v>
      </c>
      <c r="N225" s="832"/>
      <c r="O225" s="832"/>
      <c r="P225" s="828"/>
      <c r="Q225" s="833"/>
    </row>
    <row r="226" spans="1:17" ht="14.45" customHeight="1" x14ac:dyDescent="0.2">
      <c r="A226" s="822" t="s">
        <v>575</v>
      </c>
      <c r="B226" s="823" t="s">
        <v>5562</v>
      </c>
      <c r="C226" s="823" t="s">
        <v>5563</v>
      </c>
      <c r="D226" s="823" t="s">
        <v>5568</v>
      </c>
      <c r="E226" s="823" t="s">
        <v>669</v>
      </c>
      <c r="F226" s="832">
        <v>5.8</v>
      </c>
      <c r="G226" s="832">
        <v>1805.68</v>
      </c>
      <c r="H226" s="832"/>
      <c r="I226" s="832">
        <v>311.3241379310345</v>
      </c>
      <c r="J226" s="832"/>
      <c r="K226" s="832"/>
      <c r="L226" s="832"/>
      <c r="M226" s="832"/>
      <c r="N226" s="832">
        <v>1.9999999999999998</v>
      </c>
      <c r="O226" s="832">
        <v>622.63</v>
      </c>
      <c r="P226" s="828"/>
      <c r="Q226" s="833">
        <v>311.31500000000005</v>
      </c>
    </row>
    <row r="227" spans="1:17" ht="14.45" customHeight="1" x14ac:dyDescent="0.2">
      <c r="A227" s="822" t="s">
        <v>575</v>
      </c>
      <c r="B227" s="823" t="s">
        <v>5562</v>
      </c>
      <c r="C227" s="823" t="s">
        <v>5563</v>
      </c>
      <c r="D227" s="823" t="s">
        <v>5569</v>
      </c>
      <c r="E227" s="823" t="s">
        <v>1147</v>
      </c>
      <c r="F227" s="832">
        <v>385</v>
      </c>
      <c r="G227" s="832">
        <v>22484</v>
      </c>
      <c r="H227" s="832">
        <v>1.0384523900246867</v>
      </c>
      <c r="I227" s="832">
        <v>58.4</v>
      </c>
      <c r="J227" s="832">
        <v>530</v>
      </c>
      <c r="K227" s="832">
        <v>21651.449999999997</v>
      </c>
      <c r="L227" s="832">
        <v>1</v>
      </c>
      <c r="M227" s="832">
        <v>40.851792452830182</v>
      </c>
      <c r="N227" s="832">
        <v>346.2</v>
      </c>
      <c r="O227" s="832">
        <v>20218.080000000005</v>
      </c>
      <c r="P227" s="828">
        <v>0.93379796734167952</v>
      </c>
      <c r="Q227" s="833">
        <v>58.40000000000002</v>
      </c>
    </row>
    <row r="228" spans="1:17" ht="14.45" customHeight="1" x14ac:dyDescent="0.2">
      <c r="A228" s="822" t="s">
        <v>575</v>
      </c>
      <c r="B228" s="823" t="s">
        <v>5562</v>
      </c>
      <c r="C228" s="823" t="s">
        <v>5563</v>
      </c>
      <c r="D228" s="823" t="s">
        <v>5570</v>
      </c>
      <c r="E228" s="823" t="s">
        <v>5571</v>
      </c>
      <c r="F228" s="832"/>
      <c r="G228" s="832"/>
      <c r="H228" s="832"/>
      <c r="I228" s="832"/>
      <c r="J228" s="832"/>
      <c r="K228" s="832"/>
      <c r="L228" s="832"/>
      <c r="M228" s="832"/>
      <c r="N228" s="832">
        <v>0.1</v>
      </c>
      <c r="O228" s="832">
        <v>486.31</v>
      </c>
      <c r="P228" s="828"/>
      <c r="Q228" s="833">
        <v>4863.0999999999995</v>
      </c>
    </row>
    <row r="229" spans="1:17" ht="14.45" customHeight="1" x14ac:dyDescent="0.2">
      <c r="A229" s="822" t="s">
        <v>575</v>
      </c>
      <c r="B229" s="823" t="s">
        <v>5562</v>
      </c>
      <c r="C229" s="823" t="s">
        <v>5563</v>
      </c>
      <c r="D229" s="823" t="s">
        <v>5572</v>
      </c>
      <c r="E229" s="823" t="s">
        <v>1662</v>
      </c>
      <c r="F229" s="832"/>
      <c r="G229" s="832"/>
      <c r="H229" s="832"/>
      <c r="I229" s="832"/>
      <c r="J229" s="832"/>
      <c r="K229" s="832"/>
      <c r="L229" s="832"/>
      <c r="M229" s="832"/>
      <c r="N229" s="832">
        <v>4.2</v>
      </c>
      <c r="O229" s="832">
        <v>9398.4600000000009</v>
      </c>
      <c r="P229" s="828"/>
      <c r="Q229" s="833">
        <v>2237.7285714285717</v>
      </c>
    </row>
    <row r="230" spans="1:17" ht="14.45" customHeight="1" x14ac:dyDescent="0.2">
      <c r="A230" s="822" t="s">
        <v>575</v>
      </c>
      <c r="B230" s="823" t="s">
        <v>5562</v>
      </c>
      <c r="C230" s="823" t="s">
        <v>5563</v>
      </c>
      <c r="D230" s="823" t="s">
        <v>5573</v>
      </c>
      <c r="E230" s="823"/>
      <c r="F230" s="832">
        <v>1.3</v>
      </c>
      <c r="G230" s="832">
        <v>502.6</v>
      </c>
      <c r="H230" s="832"/>
      <c r="I230" s="832">
        <v>386.61538461538464</v>
      </c>
      <c r="J230" s="832"/>
      <c r="K230" s="832"/>
      <c r="L230" s="832"/>
      <c r="M230" s="832"/>
      <c r="N230" s="832"/>
      <c r="O230" s="832"/>
      <c r="P230" s="828"/>
      <c r="Q230" s="833"/>
    </row>
    <row r="231" spans="1:17" ht="14.45" customHeight="1" x14ac:dyDescent="0.2">
      <c r="A231" s="822" t="s">
        <v>575</v>
      </c>
      <c r="B231" s="823" t="s">
        <v>5562</v>
      </c>
      <c r="C231" s="823" t="s">
        <v>5563</v>
      </c>
      <c r="D231" s="823" t="s">
        <v>5574</v>
      </c>
      <c r="E231" s="823" t="s">
        <v>1373</v>
      </c>
      <c r="F231" s="832">
        <v>2</v>
      </c>
      <c r="G231" s="832">
        <v>18316.54</v>
      </c>
      <c r="H231" s="832">
        <v>0.28616723134960526</v>
      </c>
      <c r="I231" s="832">
        <v>9158.27</v>
      </c>
      <c r="J231" s="832">
        <v>7</v>
      </c>
      <c r="K231" s="832">
        <v>64006.42</v>
      </c>
      <c r="L231" s="832">
        <v>1</v>
      </c>
      <c r="M231" s="832">
        <v>9143.7742857142857</v>
      </c>
      <c r="N231" s="832">
        <v>5</v>
      </c>
      <c r="O231" s="832">
        <v>45791.350000000006</v>
      </c>
      <c r="P231" s="828">
        <v>0.71541807837401317</v>
      </c>
      <c r="Q231" s="833">
        <v>9158.27</v>
      </c>
    </row>
    <row r="232" spans="1:17" ht="14.45" customHeight="1" x14ac:dyDescent="0.2">
      <c r="A232" s="822" t="s">
        <v>575</v>
      </c>
      <c r="B232" s="823" t="s">
        <v>5562</v>
      </c>
      <c r="C232" s="823" t="s">
        <v>5563</v>
      </c>
      <c r="D232" s="823" t="s">
        <v>5575</v>
      </c>
      <c r="E232" s="823" t="s">
        <v>1373</v>
      </c>
      <c r="F232" s="832">
        <v>1</v>
      </c>
      <c r="G232" s="832">
        <v>17457.349999999999</v>
      </c>
      <c r="H232" s="832">
        <v>1.0121570043953763</v>
      </c>
      <c r="I232" s="832">
        <v>17457.349999999999</v>
      </c>
      <c r="J232" s="832">
        <v>1</v>
      </c>
      <c r="K232" s="832">
        <v>17247.669999999998</v>
      </c>
      <c r="L232" s="832">
        <v>1</v>
      </c>
      <c r="M232" s="832">
        <v>17247.669999999998</v>
      </c>
      <c r="N232" s="832"/>
      <c r="O232" s="832"/>
      <c r="P232" s="828"/>
      <c r="Q232" s="833"/>
    </row>
    <row r="233" spans="1:17" ht="14.45" customHeight="1" x14ac:dyDescent="0.2">
      <c r="A233" s="822" t="s">
        <v>575</v>
      </c>
      <c r="B233" s="823" t="s">
        <v>5562</v>
      </c>
      <c r="C233" s="823" t="s">
        <v>5563</v>
      </c>
      <c r="D233" s="823" t="s">
        <v>5576</v>
      </c>
      <c r="E233" s="823" t="s">
        <v>1670</v>
      </c>
      <c r="F233" s="832"/>
      <c r="G233" s="832"/>
      <c r="H233" s="832"/>
      <c r="I233" s="832"/>
      <c r="J233" s="832"/>
      <c r="K233" s="832"/>
      <c r="L233" s="832"/>
      <c r="M233" s="832"/>
      <c r="N233" s="832">
        <v>2.9</v>
      </c>
      <c r="O233" s="832">
        <v>595.15</v>
      </c>
      <c r="P233" s="828"/>
      <c r="Q233" s="833">
        <v>205.22413793103448</v>
      </c>
    </row>
    <row r="234" spans="1:17" ht="14.45" customHeight="1" x14ac:dyDescent="0.2">
      <c r="A234" s="822" t="s">
        <v>575</v>
      </c>
      <c r="B234" s="823" t="s">
        <v>5562</v>
      </c>
      <c r="C234" s="823" t="s">
        <v>5563</v>
      </c>
      <c r="D234" s="823" t="s">
        <v>5577</v>
      </c>
      <c r="E234" s="823"/>
      <c r="F234" s="832">
        <v>3.4</v>
      </c>
      <c r="G234" s="832">
        <v>1847.77</v>
      </c>
      <c r="H234" s="832">
        <v>3.0908984459945472</v>
      </c>
      <c r="I234" s="832">
        <v>543.46176470588239</v>
      </c>
      <c r="J234" s="832">
        <v>1.1000000000000001</v>
      </c>
      <c r="K234" s="832">
        <v>597.80999999999995</v>
      </c>
      <c r="L234" s="832">
        <v>1</v>
      </c>
      <c r="M234" s="832">
        <v>543.46363636363628</v>
      </c>
      <c r="N234" s="832"/>
      <c r="O234" s="832"/>
      <c r="P234" s="828"/>
      <c r="Q234" s="833"/>
    </row>
    <row r="235" spans="1:17" ht="14.45" customHeight="1" x14ac:dyDescent="0.2">
      <c r="A235" s="822" t="s">
        <v>575</v>
      </c>
      <c r="B235" s="823" t="s">
        <v>5562</v>
      </c>
      <c r="C235" s="823" t="s">
        <v>5563</v>
      </c>
      <c r="D235" s="823" t="s">
        <v>5578</v>
      </c>
      <c r="E235" s="823" t="s">
        <v>2345</v>
      </c>
      <c r="F235" s="832">
        <v>34</v>
      </c>
      <c r="G235" s="832">
        <v>2625.48</v>
      </c>
      <c r="H235" s="832"/>
      <c r="I235" s="832">
        <v>77.22</v>
      </c>
      <c r="J235" s="832"/>
      <c r="K235" s="832"/>
      <c r="L235" s="832"/>
      <c r="M235" s="832"/>
      <c r="N235" s="832"/>
      <c r="O235" s="832"/>
      <c r="P235" s="828"/>
      <c r="Q235" s="833"/>
    </row>
    <row r="236" spans="1:17" ht="14.45" customHeight="1" x14ac:dyDescent="0.2">
      <c r="A236" s="822" t="s">
        <v>575</v>
      </c>
      <c r="B236" s="823" t="s">
        <v>5562</v>
      </c>
      <c r="C236" s="823" t="s">
        <v>5563</v>
      </c>
      <c r="D236" s="823" t="s">
        <v>5579</v>
      </c>
      <c r="E236" s="823" t="s">
        <v>5580</v>
      </c>
      <c r="F236" s="832">
        <v>34.799999999999997</v>
      </c>
      <c r="G236" s="832">
        <v>9455.73</v>
      </c>
      <c r="H236" s="832">
        <v>1.0757323061100974</v>
      </c>
      <c r="I236" s="832">
        <v>271.71637931034485</v>
      </c>
      <c r="J236" s="832">
        <v>48.400000000000006</v>
      </c>
      <c r="K236" s="832">
        <v>8790.0399999999991</v>
      </c>
      <c r="L236" s="832">
        <v>1</v>
      </c>
      <c r="M236" s="832">
        <v>181.61239669421482</v>
      </c>
      <c r="N236" s="832">
        <v>18.600000000000001</v>
      </c>
      <c r="O236" s="832">
        <v>3789.1399999999994</v>
      </c>
      <c r="P236" s="828">
        <v>0.43107198602054142</v>
      </c>
      <c r="Q236" s="833">
        <v>203.71720430107521</v>
      </c>
    </row>
    <row r="237" spans="1:17" ht="14.45" customHeight="1" x14ac:dyDescent="0.2">
      <c r="A237" s="822" t="s">
        <v>575</v>
      </c>
      <c r="B237" s="823" t="s">
        <v>5562</v>
      </c>
      <c r="C237" s="823" t="s">
        <v>5563</v>
      </c>
      <c r="D237" s="823" t="s">
        <v>5581</v>
      </c>
      <c r="E237" s="823" t="s">
        <v>5582</v>
      </c>
      <c r="F237" s="832"/>
      <c r="G237" s="832"/>
      <c r="H237" s="832"/>
      <c r="I237" s="832"/>
      <c r="J237" s="832">
        <v>1.5</v>
      </c>
      <c r="K237" s="832">
        <v>4895.6000000000004</v>
      </c>
      <c r="L237" s="832">
        <v>1</v>
      </c>
      <c r="M237" s="832">
        <v>3263.7333333333336</v>
      </c>
      <c r="N237" s="832"/>
      <c r="O237" s="832"/>
      <c r="P237" s="828"/>
      <c r="Q237" s="833"/>
    </row>
    <row r="238" spans="1:17" ht="14.45" customHeight="1" x14ac:dyDescent="0.2">
      <c r="A238" s="822" t="s">
        <v>575</v>
      </c>
      <c r="B238" s="823" t="s">
        <v>5562</v>
      </c>
      <c r="C238" s="823" t="s">
        <v>5563</v>
      </c>
      <c r="D238" s="823" t="s">
        <v>5583</v>
      </c>
      <c r="E238" s="823" t="s">
        <v>5584</v>
      </c>
      <c r="F238" s="832">
        <v>1</v>
      </c>
      <c r="G238" s="832">
        <v>1819.05</v>
      </c>
      <c r="H238" s="832"/>
      <c r="I238" s="832">
        <v>1819.05</v>
      </c>
      <c r="J238" s="832"/>
      <c r="K238" s="832"/>
      <c r="L238" s="832"/>
      <c r="M238" s="832"/>
      <c r="N238" s="832"/>
      <c r="O238" s="832"/>
      <c r="P238" s="828"/>
      <c r="Q238" s="833"/>
    </row>
    <row r="239" spans="1:17" ht="14.45" customHeight="1" x14ac:dyDescent="0.2">
      <c r="A239" s="822" t="s">
        <v>575</v>
      </c>
      <c r="B239" s="823" t="s">
        <v>5562</v>
      </c>
      <c r="C239" s="823" t="s">
        <v>5563</v>
      </c>
      <c r="D239" s="823" t="s">
        <v>5585</v>
      </c>
      <c r="E239" s="823" t="s">
        <v>5586</v>
      </c>
      <c r="F239" s="832"/>
      <c r="G239" s="832"/>
      <c r="H239" s="832"/>
      <c r="I239" s="832"/>
      <c r="J239" s="832">
        <v>1.9</v>
      </c>
      <c r="K239" s="832">
        <v>608.57000000000005</v>
      </c>
      <c r="L239" s="832">
        <v>1</v>
      </c>
      <c r="M239" s="832">
        <v>320.30000000000007</v>
      </c>
      <c r="N239" s="832"/>
      <c r="O239" s="832"/>
      <c r="P239" s="828"/>
      <c r="Q239" s="833"/>
    </row>
    <row r="240" spans="1:17" ht="14.45" customHeight="1" x14ac:dyDescent="0.2">
      <c r="A240" s="822" t="s">
        <v>575</v>
      </c>
      <c r="B240" s="823" t="s">
        <v>5562</v>
      </c>
      <c r="C240" s="823" t="s">
        <v>5563</v>
      </c>
      <c r="D240" s="823" t="s">
        <v>5587</v>
      </c>
      <c r="E240" s="823" t="s">
        <v>5588</v>
      </c>
      <c r="F240" s="832">
        <v>7.5</v>
      </c>
      <c r="G240" s="832">
        <v>591</v>
      </c>
      <c r="H240" s="832">
        <v>0.55549811544209571</v>
      </c>
      <c r="I240" s="832">
        <v>78.8</v>
      </c>
      <c r="J240" s="832">
        <v>18.100000000000005</v>
      </c>
      <c r="K240" s="832">
        <v>1063.9099999999999</v>
      </c>
      <c r="L240" s="832">
        <v>1</v>
      </c>
      <c r="M240" s="832">
        <v>58.779558011049701</v>
      </c>
      <c r="N240" s="832">
        <v>8.85</v>
      </c>
      <c r="O240" s="832">
        <v>520.75</v>
      </c>
      <c r="P240" s="828">
        <v>0.48946809410570452</v>
      </c>
      <c r="Q240" s="833">
        <v>58.841807909604519</v>
      </c>
    </row>
    <row r="241" spans="1:17" ht="14.45" customHeight="1" x14ac:dyDescent="0.2">
      <c r="A241" s="822" t="s">
        <v>575</v>
      </c>
      <c r="B241" s="823" t="s">
        <v>5562</v>
      </c>
      <c r="C241" s="823" t="s">
        <v>5563</v>
      </c>
      <c r="D241" s="823" t="s">
        <v>5589</v>
      </c>
      <c r="E241" s="823" t="s">
        <v>1678</v>
      </c>
      <c r="F241" s="832"/>
      <c r="G241" s="832"/>
      <c r="H241" s="832"/>
      <c r="I241" s="832"/>
      <c r="J241" s="832"/>
      <c r="K241" s="832"/>
      <c r="L241" s="832"/>
      <c r="M241" s="832"/>
      <c r="N241" s="832">
        <v>11.5</v>
      </c>
      <c r="O241" s="832">
        <v>4301</v>
      </c>
      <c r="P241" s="828"/>
      <c r="Q241" s="833">
        <v>374</v>
      </c>
    </row>
    <row r="242" spans="1:17" ht="14.45" customHeight="1" x14ac:dyDescent="0.2">
      <c r="A242" s="822" t="s">
        <v>575</v>
      </c>
      <c r="B242" s="823" t="s">
        <v>5562</v>
      </c>
      <c r="C242" s="823" t="s">
        <v>5563</v>
      </c>
      <c r="D242" s="823" t="s">
        <v>5590</v>
      </c>
      <c r="E242" s="823"/>
      <c r="F242" s="832">
        <v>10</v>
      </c>
      <c r="G242" s="832">
        <v>924.9</v>
      </c>
      <c r="H242" s="832"/>
      <c r="I242" s="832">
        <v>92.49</v>
      </c>
      <c r="J242" s="832"/>
      <c r="K242" s="832"/>
      <c r="L242" s="832"/>
      <c r="M242" s="832"/>
      <c r="N242" s="832"/>
      <c r="O242" s="832"/>
      <c r="P242" s="828"/>
      <c r="Q242" s="833"/>
    </row>
    <row r="243" spans="1:17" ht="14.45" customHeight="1" x14ac:dyDescent="0.2">
      <c r="A243" s="822" t="s">
        <v>575</v>
      </c>
      <c r="B243" s="823" t="s">
        <v>5562</v>
      </c>
      <c r="C243" s="823" t="s">
        <v>5563</v>
      </c>
      <c r="D243" s="823" t="s">
        <v>5591</v>
      </c>
      <c r="E243" s="823" t="s">
        <v>5592</v>
      </c>
      <c r="F243" s="832">
        <v>6</v>
      </c>
      <c r="G243" s="832">
        <v>7724.16</v>
      </c>
      <c r="H243" s="832">
        <v>1.5</v>
      </c>
      <c r="I243" s="832">
        <v>1287.3599999999999</v>
      </c>
      <c r="J243" s="832">
        <v>4</v>
      </c>
      <c r="K243" s="832">
        <v>5149.4399999999996</v>
      </c>
      <c r="L243" s="832">
        <v>1</v>
      </c>
      <c r="M243" s="832">
        <v>1287.3599999999999</v>
      </c>
      <c r="N243" s="832"/>
      <c r="O243" s="832"/>
      <c r="P243" s="828"/>
      <c r="Q243" s="833"/>
    </row>
    <row r="244" spans="1:17" ht="14.45" customHeight="1" x14ac:dyDescent="0.2">
      <c r="A244" s="822" t="s">
        <v>575</v>
      </c>
      <c r="B244" s="823" t="s">
        <v>5562</v>
      </c>
      <c r="C244" s="823" t="s">
        <v>5563</v>
      </c>
      <c r="D244" s="823" t="s">
        <v>5593</v>
      </c>
      <c r="E244" s="823" t="s">
        <v>5594</v>
      </c>
      <c r="F244" s="832">
        <v>2.1</v>
      </c>
      <c r="G244" s="832">
        <v>822.78</v>
      </c>
      <c r="H244" s="832"/>
      <c r="I244" s="832">
        <v>391.79999999999995</v>
      </c>
      <c r="J244" s="832"/>
      <c r="K244" s="832"/>
      <c r="L244" s="832"/>
      <c r="M244" s="832"/>
      <c r="N244" s="832"/>
      <c r="O244" s="832"/>
      <c r="P244" s="828"/>
      <c r="Q244" s="833"/>
    </row>
    <row r="245" spans="1:17" ht="14.45" customHeight="1" x14ac:dyDescent="0.2">
      <c r="A245" s="822" t="s">
        <v>575</v>
      </c>
      <c r="B245" s="823" t="s">
        <v>5562</v>
      </c>
      <c r="C245" s="823" t="s">
        <v>5563</v>
      </c>
      <c r="D245" s="823" t="s">
        <v>5595</v>
      </c>
      <c r="E245" s="823" t="s">
        <v>5596</v>
      </c>
      <c r="F245" s="832">
        <v>49.5</v>
      </c>
      <c r="G245" s="832">
        <v>10850.4</v>
      </c>
      <c r="H245" s="832"/>
      <c r="I245" s="832">
        <v>219.2</v>
      </c>
      <c r="J245" s="832"/>
      <c r="K245" s="832"/>
      <c r="L245" s="832"/>
      <c r="M245" s="832"/>
      <c r="N245" s="832"/>
      <c r="O245" s="832"/>
      <c r="P245" s="828"/>
      <c r="Q245" s="833"/>
    </row>
    <row r="246" spans="1:17" ht="14.45" customHeight="1" x14ac:dyDescent="0.2">
      <c r="A246" s="822" t="s">
        <v>575</v>
      </c>
      <c r="B246" s="823" t="s">
        <v>5562</v>
      </c>
      <c r="C246" s="823" t="s">
        <v>5563</v>
      </c>
      <c r="D246" s="823" t="s">
        <v>5597</v>
      </c>
      <c r="E246" s="823" t="s">
        <v>5598</v>
      </c>
      <c r="F246" s="832">
        <v>8.3999999999999986</v>
      </c>
      <c r="G246" s="832">
        <v>3242.99</v>
      </c>
      <c r="H246" s="832">
        <v>13.265933076986009</v>
      </c>
      <c r="I246" s="832">
        <v>386.07023809523815</v>
      </c>
      <c r="J246" s="832">
        <v>1.3</v>
      </c>
      <c r="K246" s="832">
        <v>244.46</v>
      </c>
      <c r="L246" s="832">
        <v>1</v>
      </c>
      <c r="M246" s="832">
        <v>188.04615384615386</v>
      </c>
      <c r="N246" s="832">
        <v>0.3</v>
      </c>
      <c r="O246" s="832">
        <v>102.3</v>
      </c>
      <c r="P246" s="828">
        <v>0.41847336987646239</v>
      </c>
      <c r="Q246" s="833">
        <v>341</v>
      </c>
    </row>
    <row r="247" spans="1:17" ht="14.45" customHeight="1" x14ac:dyDescent="0.2">
      <c r="A247" s="822" t="s">
        <v>575</v>
      </c>
      <c r="B247" s="823" t="s">
        <v>5562</v>
      </c>
      <c r="C247" s="823" t="s">
        <v>5563</v>
      </c>
      <c r="D247" s="823" t="s">
        <v>5599</v>
      </c>
      <c r="E247" s="823" t="s">
        <v>5598</v>
      </c>
      <c r="F247" s="832"/>
      <c r="G247" s="832"/>
      <c r="H247" s="832"/>
      <c r="I247" s="832"/>
      <c r="J247" s="832">
        <v>4.3000000000000007</v>
      </c>
      <c r="K247" s="832">
        <v>1265.3800000000001</v>
      </c>
      <c r="L247" s="832">
        <v>1</v>
      </c>
      <c r="M247" s="832">
        <v>294.27441860465115</v>
      </c>
      <c r="N247" s="832">
        <v>7.9</v>
      </c>
      <c r="O247" s="832">
        <v>5316.29</v>
      </c>
      <c r="P247" s="828">
        <v>4.2013387282871548</v>
      </c>
      <c r="Q247" s="833">
        <v>672.94810126582274</v>
      </c>
    </row>
    <row r="248" spans="1:17" ht="14.45" customHeight="1" x14ac:dyDescent="0.2">
      <c r="A248" s="822" t="s">
        <v>575</v>
      </c>
      <c r="B248" s="823" t="s">
        <v>5562</v>
      </c>
      <c r="C248" s="823" t="s">
        <v>5563</v>
      </c>
      <c r="D248" s="823" t="s">
        <v>5600</v>
      </c>
      <c r="E248" s="823" t="s">
        <v>1701</v>
      </c>
      <c r="F248" s="832">
        <v>2</v>
      </c>
      <c r="G248" s="832">
        <v>765.22</v>
      </c>
      <c r="H248" s="832">
        <v>5.1529966329966328</v>
      </c>
      <c r="I248" s="832">
        <v>382.61</v>
      </c>
      <c r="J248" s="832">
        <v>1</v>
      </c>
      <c r="K248" s="832">
        <v>148.5</v>
      </c>
      <c r="L248" s="832">
        <v>1</v>
      </c>
      <c r="M248" s="832">
        <v>148.5</v>
      </c>
      <c r="N248" s="832"/>
      <c r="O248" s="832"/>
      <c r="P248" s="828"/>
      <c r="Q248" s="833"/>
    </row>
    <row r="249" spans="1:17" ht="14.45" customHeight="1" x14ac:dyDescent="0.2">
      <c r="A249" s="822" t="s">
        <v>575</v>
      </c>
      <c r="B249" s="823" t="s">
        <v>5562</v>
      </c>
      <c r="C249" s="823" t="s">
        <v>5563</v>
      </c>
      <c r="D249" s="823" t="s">
        <v>5601</v>
      </c>
      <c r="E249" s="823" t="s">
        <v>1692</v>
      </c>
      <c r="F249" s="832"/>
      <c r="G249" s="832"/>
      <c r="H249" s="832"/>
      <c r="I249" s="832"/>
      <c r="J249" s="832">
        <v>23</v>
      </c>
      <c r="K249" s="832">
        <v>1216.24</v>
      </c>
      <c r="L249" s="832">
        <v>1</v>
      </c>
      <c r="M249" s="832">
        <v>52.88</v>
      </c>
      <c r="N249" s="832">
        <v>25</v>
      </c>
      <c r="O249" s="832">
        <v>1322</v>
      </c>
      <c r="P249" s="828">
        <v>1.0869565217391304</v>
      </c>
      <c r="Q249" s="833">
        <v>52.88</v>
      </c>
    </row>
    <row r="250" spans="1:17" ht="14.45" customHeight="1" x14ac:dyDescent="0.2">
      <c r="A250" s="822" t="s">
        <v>575</v>
      </c>
      <c r="B250" s="823" t="s">
        <v>5562</v>
      </c>
      <c r="C250" s="823" t="s">
        <v>5563</v>
      </c>
      <c r="D250" s="823" t="s">
        <v>5602</v>
      </c>
      <c r="E250" s="823" t="s">
        <v>1371</v>
      </c>
      <c r="F250" s="832">
        <v>6</v>
      </c>
      <c r="G250" s="832">
        <v>19036.68</v>
      </c>
      <c r="H250" s="832">
        <v>1.3046757205752542</v>
      </c>
      <c r="I250" s="832">
        <v>3172.78</v>
      </c>
      <c r="J250" s="832">
        <v>5</v>
      </c>
      <c r="K250" s="832">
        <v>14591.119999999999</v>
      </c>
      <c r="L250" s="832">
        <v>1</v>
      </c>
      <c r="M250" s="832">
        <v>2918.2239999999997</v>
      </c>
      <c r="N250" s="832">
        <v>12</v>
      </c>
      <c r="O250" s="832">
        <v>38073.360000000001</v>
      </c>
      <c r="P250" s="828">
        <v>2.6093514411505083</v>
      </c>
      <c r="Q250" s="833">
        <v>3172.78</v>
      </c>
    </row>
    <row r="251" spans="1:17" ht="14.45" customHeight="1" x14ac:dyDescent="0.2">
      <c r="A251" s="822" t="s">
        <v>575</v>
      </c>
      <c r="B251" s="823" t="s">
        <v>5562</v>
      </c>
      <c r="C251" s="823" t="s">
        <v>5563</v>
      </c>
      <c r="D251" s="823" t="s">
        <v>5603</v>
      </c>
      <c r="E251" s="823" t="s">
        <v>1701</v>
      </c>
      <c r="F251" s="832"/>
      <c r="G251" s="832"/>
      <c r="H251" s="832"/>
      <c r="I251" s="832"/>
      <c r="J251" s="832"/>
      <c r="K251" s="832"/>
      <c r="L251" s="832"/>
      <c r="M251" s="832"/>
      <c r="N251" s="832">
        <v>1.2000000000000002</v>
      </c>
      <c r="O251" s="832">
        <v>766.38</v>
      </c>
      <c r="P251" s="828"/>
      <c r="Q251" s="833">
        <v>638.64999999999986</v>
      </c>
    </row>
    <row r="252" spans="1:17" ht="14.45" customHeight="1" x14ac:dyDescent="0.2">
      <c r="A252" s="822" t="s">
        <v>575</v>
      </c>
      <c r="B252" s="823" t="s">
        <v>5562</v>
      </c>
      <c r="C252" s="823" t="s">
        <v>5563</v>
      </c>
      <c r="D252" s="823" t="s">
        <v>5604</v>
      </c>
      <c r="E252" s="823" t="s">
        <v>1371</v>
      </c>
      <c r="F252" s="832"/>
      <c r="G252" s="832"/>
      <c r="H252" s="832"/>
      <c r="I252" s="832"/>
      <c r="J252" s="832"/>
      <c r="K252" s="832"/>
      <c r="L252" s="832"/>
      <c r="M252" s="832"/>
      <c r="N252" s="832">
        <v>1</v>
      </c>
      <c r="O252" s="832">
        <v>6345.57</v>
      </c>
      <c r="P252" s="828"/>
      <c r="Q252" s="833">
        <v>6345.57</v>
      </c>
    </row>
    <row r="253" spans="1:17" ht="14.45" customHeight="1" x14ac:dyDescent="0.2">
      <c r="A253" s="822" t="s">
        <v>575</v>
      </c>
      <c r="B253" s="823" t="s">
        <v>5562</v>
      </c>
      <c r="C253" s="823" t="s">
        <v>5563</v>
      </c>
      <c r="D253" s="823" t="s">
        <v>5605</v>
      </c>
      <c r="E253" s="823" t="s">
        <v>5606</v>
      </c>
      <c r="F253" s="832"/>
      <c r="G253" s="832"/>
      <c r="H253" s="832"/>
      <c r="I253" s="832"/>
      <c r="J253" s="832"/>
      <c r="K253" s="832"/>
      <c r="L253" s="832"/>
      <c r="M253" s="832"/>
      <c r="N253" s="832">
        <v>4.7</v>
      </c>
      <c r="O253" s="832">
        <v>2082.2400000000002</v>
      </c>
      <c r="P253" s="828"/>
      <c r="Q253" s="833">
        <v>443.0297872340426</v>
      </c>
    </row>
    <row r="254" spans="1:17" ht="14.45" customHeight="1" x14ac:dyDescent="0.2">
      <c r="A254" s="822" t="s">
        <v>575</v>
      </c>
      <c r="B254" s="823" t="s">
        <v>5562</v>
      </c>
      <c r="C254" s="823" t="s">
        <v>5563</v>
      </c>
      <c r="D254" s="823" t="s">
        <v>5607</v>
      </c>
      <c r="E254" s="823" t="s">
        <v>1674</v>
      </c>
      <c r="F254" s="832">
        <v>22</v>
      </c>
      <c r="G254" s="832">
        <v>1446.5</v>
      </c>
      <c r="H254" s="832">
        <v>4.138059274516535</v>
      </c>
      <c r="I254" s="832">
        <v>65.75</v>
      </c>
      <c r="J254" s="832">
        <v>12.6</v>
      </c>
      <c r="K254" s="832">
        <v>349.56</v>
      </c>
      <c r="L254" s="832">
        <v>1</v>
      </c>
      <c r="M254" s="832">
        <v>27.742857142857144</v>
      </c>
      <c r="N254" s="832">
        <v>193</v>
      </c>
      <c r="O254" s="832">
        <v>5687.7099999999991</v>
      </c>
      <c r="P254" s="828">
        <v>16.271055040622493</v>
      </c>
      <c r="Q254" s="833">
        <v>29.469999999999995</v>
      </c>
    </row>
    <row r="255" spans="1:17" ht="14.45" customHeight="1" x14ac:dyDescent="0.2">
      <c r="A255" s="822" t="s">
        <v>575</v>
      </c>
      <c r="B255" s="823" t="s">
        <v>5562</v>
      </c>
      <c r="C255" s="823" t="s">
        <v>5563</v>
      </c>
      <c r="D255" s="823" t="s">
        <v>5608</v>
      </c>
      <c r="E255" s="823" t="s">
        <v>5609</v>
      </c>
      <c r="F255" s="832"/>
      <c r="G255" s="832"/>
      <c r="H255" s="832"/>
      <c r="I255" s="832"/>
      <c r="J255" s="832">
        <v>74</v>
      </c>
      <c r="K255" s="832">
        <v>3233.06</v>
      </c>
      <c r="L255" s="832">
        <v>1</v>
      </c>
      <c r="M255" s="832">
        <v>43.69</v>
      </c>
      <c r="N255" s="832">
        <v>112</v>
      </c>
      <c r="O255" s="832">
        <v>4887.68</v>
      </c>
      <c r="P255" s="828">
        <v>1.5117814083252399</v>
      </c>
      <c r="Q255" s="833">
        <v>43.64</v>
      </c>
    </row>
    <row r="256" spans="1:17" ht="14.45" customHeight="1" x14ac:dyDescent="0.2">
      <c r="A256" s="822" t="s">
        <v>575</v>
      </c>
      <c r="B256" s="823" t="s">
        <v>5562</v>
      </c>
      <c r="C256" s="823" t="s">
        <v>5563</v>
      </c>
      <c r="D256" s="823" t="s">
        <v>5610</v>
      </c>
      <c r="E256" s="823" t="s">
        <v>5611</v>
      </c>
      <c r="F256" s="832">
        <v>0.4</v>
      </c>
      <c r="G256" s="832">
        <v>850.24</v>
      </c>
      <c r="H256" s="832">
        <v>0.57909577583740857</v>
      </c>
      <c r="I256" s="832">
        <v>2125.6</v>
      </c>
      <c r="J256" s="832">
        <v>3.2</v>
      </c>
      <c r="K256" s="832">
        <v>1468.22</v>
      </c>
      <c r="L256" s="832">
        <v>1</v>
      </c>
      <c r="M256" s="832">
        <v>458.81874999999997</v>
      </c>
      <c r="N256" s="832">
        <v>0.7</v>
      </c>
      <c r="O256" s="832">
        <v>323.39999999999998</v>
      </c>
      <c r="P256" s="828">
        <v>0.22026671752189725</v>
      </c>
      <c r="Q256" s="833">
        <v>462</v>
      </c>
    </row>
    <row r="257" spans="1:17" ht="14.45" customHeight="1" x14ac:dyDescent="0.2">
      <c r="A257" s="822" t="s">
        <v>575</v>
      </c>
      <c r="B257" s="823" t="s">
        <v>5562</v>
      </c>
      <c r="C257" s="823" t="s">
        <v>5563</v>
      </c>
      <c r="D257" s="823" t="s">
        <v>5612</v>
      </c>
      <c r="E257" s="823" t="s">
        <v>1686</v>
      </c>
      <c r="F257" s="832"/>
      <c r="G257" s="832"/>
      <c r="H257" s="832"/>
      <c r="I257" s="832"/>
      <c r="J257" s="832"/>
      <c r="K257" s="832"/>
      <c r="L257" s="832"/>
      <c r="M257" s="832"/>
      <c r="N257" s="832">
        <v>1.8</v>
      </c>
      <c r="O257" s="832">
        <v>271.36</v>
      </c>
      <c r="P257" s="828"/>
      <c r="Q257" s="833">
        <v>150.75555555555556</v>
      </c>
    </row>
    <row r="258" spans="1:17" ht="14.45" customHeight="1" x14ac:dyDescent="0.2">
      <c r="A258" s="822" t="s">
        <v>575</v>
      </c>
      <c r="B258" s="823" t="s">
        <v>5562</v>
      </c>
      <c r="C258" s="823" t="s">
        <v>5563</v>
      </c>
      <c r="D258" s="823" t="s">
        <v>5613</v>
      </c>
      <c r="E258" s="823" t="s">
        <v>1686</v>
      </c>
      <c r="F258" s="832">
        <v>5</v>
      </c>
      <c r="G258" s="832">
        <v>4004</v>
      </c>
      <c r="H258" s="832"/>
      <c r="I258" s="832">
        <v>800.8</v>
      </c>
      <c r="J258" s="832"/>
      <c r="K258" s="832"/>
      <c r="L258" s="832"/>
      <c r="M258" s="832"/>
      <c r="N258" s="832">
        <v>6.75</v>
      </c>
      <c r="O258" s="832">
        <v>1782</v>
      </c>
      <c r="P258" s="828"/>
      <c r="Q258" s="833">
        <v>264</v>
      </c>
    </row>
    <row r="259" spans="1:17" ht="14.45" customHeight="1" x14ac:dyDescent="0.2">
      <c r="A259" s="822" t="s">
        <v>575</v>
      </c>
      <c r="B259" s="823" t="s">
        <v>5562</v>
      </c>
      <c r="C259" s="823" t="s">
        <v>5563</v>
      </c>
      <c r="D259" s="823" t="s">
        <v>5614</v>
      </c>
      <c r="E259" s="823" t="s">
        <v>5615</v>
      </c>
      <c r="F259" s="832"/>
      <c r="G259" s="832"/>
      <c r="H259" s="832"/>
      <c r="I259" s="832"/>
      <c r="J259" s="832">
        <v>4.2</v>
      </c>
      <c r="K259" s="832">
        <v>613.03</v>
      </c>
      <c r="L259" s="832">
        <v>1</v>
      </c>
      <c r="M259" s="832">
        <v>145.9595238095238</v>
      </c>
      <c r="N259" s="832"/>
      <c r="O259" s="832"/>
      <c r="P259" s="828"/>
      <c r="Q259" s="833"/>
    </row>
    <row r="260" spans="1:17" ht="14.45" customHeight="1" x14ac:dyDescent="0.2">
      <c r="A260" s="822" t="s">
        <v>575</v>
      </c>
      <c r="B260" s="823" t="s">
        <v>5562</v>
      </c>
      <c r="C260" s="823" t="s">
        <v>5563</v>
      </c>
      <c r="D260" s="823" t="s">
        <v>5616</v>
      </c>
      <c r="E260" s="823" t="s">
        <v>1692</v>
      </c>
      <c r="F260" s="832"/>
      <c r="G260" s="832"/>
      <c r="H260" s="832"/>
      <c r="I260" s="832"/>
      <c r="J260" s="832">
        <v>23</v>
      </c>
      <c r="K260" s="832">
        <v>767.97</v>
      </c>
      <c r="L260" s="832">
        <v>1</v>
      </c>
      <c r="M260" s="832">
        <v>33.39</v>
      </c>
      <c r="N260" s="832">
        <v>19</v>
      </c>
      <c r="O260" s="832">
        <v>634.41</v>
      </c>
      <c r="P260" s="828">
        <v>0.82608695652173902</v>
      </c>
      <c r="Q260" s="833">
        <v>33.39</v>
      </c>
    </row>
    <row r="261" spans="1:17" ht="14.45" customHeight="1" x14ac:dyDescent="0.2">
      <c r="A261" s="822" t="s">
        <v>575</v>
      </c>
      <c r="B261" s="823" t="s">
        <v>5562</v>
      </c>
      <c r="C261" s="823" t="s">
        <v>5563</v>
      </c>
      <c r="D261" s="823" t="s">
        <v>5617</v>
      </c>
      <c r="E261" s="823" t="s">
        <v>5618</v>
      </c>
      <c r="F261" s="832">
        <v>44.4</v>
      </c>
      <c r="G261" s="832">
        <v>14715.26</v>
      </c>
      <c r="H261" s="832">
        <v>2.0457380862016947</v>
      </c>
      <c r="I261" s="832">
        <v>331.42477477477479</v>
      </c>
      <c r="J261" s="832">
        <v>53.999999999999993</v>
      </c>
      <c r="K261" s="832">
        <v>7193.1300000000019</v>
      </c>
      <c r="L261" s="832">
        <v>1</v>
      </c>
      <c r="M261" s="832">
        <v>133.20611111111117</v>
      </c>
      <c r="N261" s="832">
        <v>42.79999999999999</v>
      </c>
      <c r="O261" s="832">
        <v>5652.6599999999989</v>
      </c>
      <c r="P261" s="828">
        <v>0.78584149042211071</v>
      </c>
      <c r="Q261" s="833">
        <v>132.07149532710281</v>
      </c>
    </row>
    <row r="262" spans="1:17" ht="14.45" customHeight="1" x14ac:dyDescent="0.2">
      <c r="A262" s="822" t="s">
        <v>575</v>
      </c>
      <c r="B262" s="823" t="s">
        <v>5562</v>
      </c>
      <c r="C262" s="823" t="s">
        <v>5563</v>
      </c>
      <c r="D262" s="823" t="s">
        <v>5619</v>
      </c>
      <c r="E262" s="823" t="s">
        <v>5620</v>
      </c>
      <c r="F262" s="832">
        <v>6.9</v>
      </c>
      <c r="G262" s="832">
        <v>14666.64</v>
      </c>
      <c r="H262" s="832"/>
      <c r="I262" s="832">
        <v>2125.6</v>
      </c>
      <c r="J262" s="832"/>
      <c r="K262" s="832"/>
      <c r="L262" s="832"/>
      <c r="M262" s="832"/>
      <c r="N262" s="832"/>
      <c r="O262" s="832"/>
      <c r="P262" s="828"/>
      <c r="Q262" s="833"/>
    </row>
    <row r="263" spans="1:17" ht="14.45" customHeight="1" x14ac:dyDescent="0.2">
      <c r="A263" s="822" t="s">
        <v>575</v>
      </c>
      <c r="B263" s="823" t="s">
        <v>5562</v>
      </c>
      <c r="C263" s="823" t="s">
        <v>5563</v>
      </c>
      <c r="D263" s="823" t="s">
        <v>5621</v>
      </c>
      <c r="E263" s="823" t="s">
        <v>5622</v>
      </c>
      <c r="F263" s="832">
        <v>5</v>
      </c>
      <c r="G263" s="832">
        <v>1062.8</v>
      </c>
      <c r="H263" s="832"/>
      <c r="I263" s="832">
        <v>212.56</v>
      </c>
      <c r="J263" s="832"/>
      <c r="K263" s="832"/>
      <c r="L263" s="832"/>
      <c r="M263" s="832"/>
      <c r="N263" s="832"/>
      <c r="O263" s="832"/>
      <c r="P263" s="828"/>
      <c r="Q263" s="833"/>
    </row>
    <row r="264" spans="1:17" ht="14.45" customHeight="1" x14ac:dyDescent="0.2">
      <c r="A264" s="822" t="s">
        <v>575</v>
      </c>
      <c r="B264" s="823" t="s">
        <v>5562</v>
      </c>
      <c r="C264" s="823" t="s">
        <v>5563</v>
      </c>
      <c r="D264" s="823" t="s">
        <v>5623</v>
      </c>
      <c r="E264" s="823" t="s">
        <v>5624</v>
      </c>
      <c r="F264" s="832">
        <v>2.4</v>
      </c>
      <c r="G264" s="832">
        <v>7832.96</v>
      </c>
      <c r="H264" s="832"/>
      <c r="I264" s="832">
        <v>3263.7333333333336</v>
      </c>
      <c r="J264" s="832"/>
      <c r="K264" s="832"/>
      <c r="L264" s="832"/>
      <c r="M264" s="832"/>
      <c r="N264" s="832"/>
      <c r="O264" s="832"/>
      <c r="P264" s="828"/>
      <c r="Q264" s="833"/>
    </row>
    <row r="265" spans="1:17" ht="14.45" customHeight="1" x14ac:dyDescent="0.2">
      <c r="A265" s="822" t="s">
        <v>575</v>
      </c>
      <c r="B265" s="823" t="s">
        <v>5562</v>
      </c>
      <c r="C265" s="823" t="s">
        <v>5563</v>
      </c>
      <c r="D265" s="823" t="s">
        <v>5625</v>
      </c>
      <c r="E265" s="823" t="s">
        <v>1092</v>
      </c>
      <c r="F265" s="832">
        <v>33.799999999999997</v>
      </c>
      <c r="G265" s="832">
        <v>9132.32</v>
      </c>
      <c r="H265" s="832">
        <v>1.0562491976049013</v>
      </c>
      <c r="I265" s="832">
        <v>270.18698224852074</v>
      </c>
      <c r="J265" s="832">
        <v>32</v>
      </c>
      <c r="K265" s="832">
        <v>8645.99</v>
      </c>
      <c r="L265" s="832">
        <v>1</v>
      </c>
      <c r="M265" s="832">
        <v>270.18718749999999</v>
      </c>
      <c r="N265" s="832">
        <v>8.1</v>
      </c>
      <c r="O265" s="832">
        <v>2188.4700000000003</v>
      </c>
      <c r="P265" s="828">
        <v>0.2531196543137339</v>
      </c>
      <c r="Q265" s="833">
        <v>270.18148148148151</v>
      </c>
    </row>
    <row r="266" spans="1:17" ht="14.45" customHeight="1" x14ac:dyDescent="0.2">
      <c r="A266" s="822" t="s">
        <v>575</v>
      </c>
      <c r="B266" s="823" t="s">
        <v>5562</v>
      </c>
      <c r="C266" s="823" t="s">
        <v>5563</v>
      </c>
      <c r="D266" s="823" t="s">
        <v>5626</v>
      </c>
      <c r="E266" s="823" t="s">
        <v>5627</v>
      </c>
      <c r="F266" s="832">
        <v>4.5999999999999996</v>
      </c>
      <c r="G266" s="832">
        <v>1778.47</v>
      </c>
      <c r="H266" s="832"/>
      <c r="I266" s="832">
        <v>386.6239130434783</v>
      </c>
      <c r="J266" s="832"/>
      <c r="K266" s="832"/>
      <c r="L266" s="832"/>
      <c r="M266" s="832"/>
      <c r="N266" s="832"/>
      <c r="O266" s="832"/>
      <c r="P266" s="828"/>
      <c r="Q266" s="833"/>
    </row>
    <row r="267" spans="1:17" ht="14.45" customHeight="1" x14ac:dyDescent="0.2">
      <c r="A267" s="822" t="s">
        <v>575</v>
      </c>
      <c r="B267" s="823" t="s">
        <v>5562</v>
      </c>
      <c r="C267" s="823" t="s">
        <v>5563</v>
      </c>
      <c r="D267" s="823" t="s">
        <v>5628</v>
      </c>
      <c r="E267" s="823" t="s">
        <v>5629</v>
      </c>
      <c r="F267" s="832"/>
      <c r="G267" s="832"/>
      <c r="H267" s="832"/>
      <c r="I267" s="832"/>
      <c r="J267" s="832"/>
      <c r="K267" s="832"/>
      <c r="L267" s="832"/>
      <c r="M267" s="832"/>
      <c r="N267" s="832">
        <v>2</v>
      </c>
      <c r="O267" s="832">
        <v>62296.6</v>
      </c>
      <c r="P267" s="828"/>
      <c r="Q267" s="833">
        <v>31148.3</v>
      </c>
    </row>
    <row r="268" spans="1:17" ht="14.45" customHeight="1" x14ac:dyDescent="0.2">
      <c r="A268" s="822" t="s">
        <v>575</v>
      </c>
      <c r="B268" s="823" t="s">
        <v>5562</v>
      </c>
      <c r="C268" s="823" t="s">
        <v>5563</v>
      </c>
      <c r="D268" s="823" t="s">
        <v>5630</v>
      </c>
      <c r="E268" s="823" t="s">
        <v>5631</v>
      </c>
      <c r="F268" s="832">
        <v>2</v>
      </c>
      <c r="G268" s="832">
        <v>6345.56</v>
      </c>
      <c r="H268" s="832"/>
      <c r="I268" s="832">
        <v>3172.78</v>
      </c>
      <c r="J268" s="832"/>
      <c r="K268" s="832"/>
      <c r="L268" s="832"/>
      <c r="M268" s="832"/>
      <c r="N268" s="832"/>
      <c r="O268" s="832"/>
      <c r="P268" s="828"/>
      <c r="Q268" s="833"/>
    </row>
    <row r="269" spans="1:17" ht="14.45" customHeight="1" x14ac:dyDescent="0.2">
      <c r="A269" s="822" t="s">
        <v>575</v>
      </c>
      <c r="B269" s="823" t="s">
        <v>5562</v>
      </c>
      <c r="C269" s="823" t="s">
        <v>5563</v>
      </c>
      <c r="D269" s="823" t="s">
        <v>5632</v>
      </c>
      <c r="E269" s="823" t="s">
        <v>5633</v>
      </c>
      <c r="F269" s="832"/>
      <c r="G269" s="832"/>
      <c r="H269" s="832"/>
      <c r="I269" s="832"/>
      <c r="J269" s="832">
        <v>12</v>
      </c>
      <c r="K269" s="832">
        <v>1138.53</v>
      </c>
      <c r="L269" s="832">
        <v>1</v>
      </c>
      <c r="M269" s="832">
        <v>94.877499999999998</v>
      </c>
      <c r="N269" s="832"/>
      <c r="O269" s="832"/>
      <c r="P269" s="828"/>
      <c r="Q269" s="833"/>
    </row>
    <row r="270" spans="1:17" ht="14.45" customHeight="1" x14ac:dyDescent="0.2">
      <c r="A270" s="822" t="s">
        <v>575</v>
      </c>
      <c r="B270" s="823" t="s">
        <v>5562</v>
      </c>
      <c r="C270" s="823" t="s">
        <v>5563</v>
      </c>
      <c r="D270" s="823" t="s">
        <v>5634</v>
      </c>
      <c r="E270" s="823" t="s">
        <v>1377</v>
      </c>
      <c r="F270" s="832"/>
      <c r="G270" s="832"/>
      <c r="H270" s="832"/>
      <c r="I270" s="832"/>
      <c r="J270" s="832"/>
      <c r="K270" s="832"/>
      <c r="L270" s="832"/>
      <c r="M270" s="832"/>
      <c r="N270" s="832">
        <v>1</v>
      </c>
      <c r="O270" s="832">
        <v>9276.36</v>
      </c>
      <c r="P270" s="828"/>
      <c r="Q270" s="833">
        <v>9276.36</v>
      </c>
    </row>
    <row r="271" spans="1:17" ht="14.45" customHeight="1" x14ac:dyDescent="0.2">
      <c r="A271" s="822" t="s">
        <v>575</v>
      </c>
      <c r="B271" s="823" t="s">
        <v>5562</v>
      </c>
      <c r="C271" s="823" t="s">
        <v>5563</v>
      </c>
      <c r="D271" s="823" t="s">
        <v>5635</v>
      </c>
      <c r="E271" s="823" t="s">
        <v>1085</v>
      </c>
      <c r="F271" s="832"/>
      <c r="G271" s="832"/>
      <c r="H271" s="832"/>
      <c r="I271" s="832"/>
      <c r="J271" s="832">
        <v>9</v>
      </c>
      <c r="K271" s="832">
        <v>11586.24</v>
      </c>
      <c r="L271" s="832">
        <v>1</v>
      </c>
      <c r="M271" s="832">
        <v>1287.3599999999999</v>
      </c>
      <c r="N271" s="832">
        <v>7</v>
      </c>
      <c r="O271" s="832">
        <v>9011.5199999999986</v>
      </c>
      <c r="P271" s="828">
        <v>0.77777777777777768</v>
      </c>
      <c r="Q271" s="833">
        <v>1287.3599999999999</v>
      </c>
    </row>
    <row r="272" spans="1:17" ht="14.45" customHeight="1" x14ac:dyDescent="0.2">
      <c r="A272" s="822" t="s">
        <v>575</v>
      </c>
      <c r="B272" s="823" t="s">
        <v>5562</v>
      </c>
      <c r="C272" s="823" t="s">
        <v>5563</v>
      </c>
      <c r="D272" s="823" t="s">
        <v>5636</v>
      </c>
      <c r="E272" s="823" t="s">
        <v>1129</v>
      </c>
      <c r="F272" s="832"/>
      <c r="G272" s="832"/>
      <c r="H272" s="832"/>
      <c r="I272" s="832"/>
      <c r="J272" s="832"/>
      <c r="K272" s="832"/>
      <c r="L272" s="832"/>
      <c r="M272" s="832"/>
      <c r="N272" s="832">
        <v>5.9999999999999991</v>
      </c>
      <c r="O272" s="832">
        <v>4951</v>
      </c>
      <c r="P272" s="828"/>
      <c r="Q272" s="833">
        <v>825.16666666666674</v>
      </c>
    </row>
    <row r="273" spans="1:17" ht="14.45" customHeight="1" x14ac:dyDescent="0.2">
      <c r="A273" s="822" t="s">
        <v>575</v>
      </c>
      <c r="B273" s="823" t="s">
        <v>5562</v>
      </c>
      <c r="C273" s="823" t="s">
        <v>5563</v>
      </c>
      <c r="D273" s="823" t="s">
        <v>5637</v>
      </c>
      <c r="E273" s="823" t="s">
        <v>5638</v>
      </c>
      <c r="F273" s="832">
        <v>1</v>
      </c>
      <c r="G273" s="832">
        <v>3498.62</v>
      </c>
      <c r="H273" s="832"/>
      <c r="I273" s="832">
        <v>3498.62</v>
      </c>
      <c r="J273" s="832"/>
      <c r="K273" s="832"/>
      <c r="L273" s="832"/>
      <c r="M273" s="832"/>
      <c r="N273" s="832"/>
      <c r="O273" s="832"/>
      <c r="P273" s="828"/>
      <c r="Q273" s="833"/>
    </row>
    <row r="274" spans="1:17" ht="14.45" customHeight="1" x14ac:dyDescent="0.2">
      <c r="A274" s="822" t="s">
        <v>575</v>
      </c>
      <c r="B274" s="823" t="s">
        <v>5562</v>
      </c>
      <c r="C274" s="823" t="s">
        <v>5639</v>
      </c>
      <c r="D274" s="823" t="s">
        <v>5640</v>
      </c>
      <c r="E274" s="823" t="s">
        <v>5641</v>
      </c>
      <c r="F274" s="832">
        <v>149</v>
      </c>
      <c r="G274" s="832">
        <v>393531.35</v>
      </c>
      <c r="H274" s="832">
        <v>0.87468554947880894</v>
      </c>
      <c r="I274" s="832">
        <v>2641.1499999999996</v>
      </c>
      <c r="J274" s="832">
        <v>169</v>
      </c>
      <c r="K274" s="832">
        <v>449911.8</v>
      </c>
      <c r="L274" s="832">
        <v>1</v>
      </c>
      <c r="M274" s="832">
        <v>2662.2</v>
      </c>
      <c r="N274" s="832">
        <v>180</v>
      </c>
      <c r="O274" s="832">
        <v>485384.94000000012</v>
      </c>
      <c r="P274" s="828">
        <v>1.0788446535520966</v>
      </c>
      <c r="Q274" s="833">
        <v>2696.5830000000005</v>
      </c>
    </row>
    <row r="275" spans="1:17" ht="14.45" customHeight="1" x14ac:dyDescent="0.2">
      <c r="A275" s="822" t="s">
        <v>575</v>
      </c>
      <c r="B275" s="823" t="s">
        <v>5562</v>
      </c>
      <c r="C275" s="823" t="s">
        <v>5639</v>
      </c>
      <c r="D275" s="823" t="s">
        <v>5642</v>
      </c>
      <c r="E275" s="823" t="s">
        <v>5643</v>
      </c>
      <c r="F275" s="832">
        <v>1</v>
      </c>
      <c r="G275" s="832">
        <v>10309.15</v>
      </c>
      <c r="H275" s="832">
        <v>0.33218942480734809</v>
      </c>
      <c r="I275" s="832">
        <v>10309.15</v>
      </c>
      <c r="J275" s="832">
        <v>3</v>
      </c>
      <c r="K275" s="832">
        <v>31033.949999999997</v>
      </c>
      <c r="L275" s="832">
        <v>1</v>
      </c>
      <c r="M275" s="832">
        <v>10344.65</v>
      </c>
      <c r="N275" s="832">
        <v>4</v>
      </c>
      <c r="O275" s="832">
        <v>41506.379999999997</v>
      </c>
      <c r="P275" s="828">
        <v>1.3374507595713727</v>
      </c>
      <c r="Q275" s="833">
        <v>10376.594999999999</v>
      </c>
    </row>
    <row r="276" spans="1:17" ht="14.45" customHeight="1" x14ac:dyDescent="0.2">
      <c r="A276" s="822" t="s">
        <v>575</v>
      </c>
      <c r="B276" s="823" t="s">
        <v>5562</v>
      </c>
      <c r="C276" s="823" t="s">
        <v>5639</v>
      </c>
      <c r="D276" s="823" t="s">
        <v>5644</v>
      </c>
      <c r="E276" s="823" t="s">
        <v>5645</v>
      </c>
      <c r="F276" s="832">
        <v>40</v>
      </c>
      <c r="G276" s="832">
        <v>48464.400000000009</v>
      </c>
      <c r="H276" s="832">
        <v>1.319459304937314</v>
      </c>
      <c r="I276" s="832">
        <v>1211.6100000000001</v>
      </c>
      <c r="J276" s="832">
        <v>30</v>
      </c>
      <c r="K276" s="832">
        <v>36730.5</v>
      </c>
      <c r="L276" s="832">
        <v>1</v>
      </c>
      <c r="M276" s="832">
        <v>1224.3499999999999</v>
      </c>
      <c r="N276" s="832">
        <v>40</v>
      </c>
      <c r="O276" s="832">
        <v>49719.700000000012</v>
      </c>
      <c r="P276" s="828">
        <v>1.3536352622479959</v>
      </c>
      <c r="Q276" s="833">
        <v>1242.9925000000003</v>
      </c>
    </row>
    <row r="277" spans="1:17" ht="14.45" customHeight="1" x14ac:dyDescent="0.2">
      <c r="A277" s="822" t="s">
        <v>575</v>
      </c>
      <c r="B277" s="823" t="s">
        <v>5562</v>
      </c>
      <c r="C277" s="823" t="s">
        <v>5396</v>
      </c>
      <c r="D277" s="823" t="s">
        <v>5646</v>
      </c>
      <c r="E277" s="823" t="s">
        <v>5647</v>
      </c>
      <c r="F277" s="832">
        <v>2</v>
      </c>
      <c r="G277" s="832">
        <v>4620</v>
      </c>
      <c r="H277" s="832">
        <v>1</v>
      </c>
      <c r="I277" s="832">
        <v>2310</v>
      </c>
      <c r="J277" s="832">
        <v>2</v>
      </c>
      <c r="K277" s="832">
        <v>4620</v>
      </c>
      <c r="L277" s="832">
        <v>1</v>
      </c>
      <c r="M277" s="832">
        <v>2310</v>
      </c>
      <c r="N277" s="832">
        <v>2</v>
      </c>
      <c r="O277" s="832">
        <v>3000.8</v>
      </c>
      <c r="P277" s="828">
        <v>0.64952380952380961</v>
      </c>
      <c r="Q277" s="833">
        <v>1500.4</v>
      </c>
    </row>
    <row r="278" spans="1:17" ht="14.45" customHeight="1" x14ac:dyDescent="0.2">
      <c r="A278" s="822" t="s">
        <v>575</v>
      </c>
      <c r="B278" s="823" t="s">
        <v>5562</v>
      </c>
      <c r="C278" s="823" t="s">
        <v>5396</v>
      </c>
      <c r="D278" s="823" t="s">
        <v>5648</v>
      </c>
      <c r="E278" s="823" t="s">
        <v>5649</v>
      </c>
      <c r="F278" s="832">
        <v>1</v>
      </c>
      <c r="G278" s="832">
        <v>1854.11</v>
      </c>
      <c r="H278" s="832"/>
      <c r="I278" s="832">
        <v>1854.11</v>
      </c>
      <c r="J278" s="832"/>
      <c r="K278" s="832"/>
      <c r="L278" s="832"/>
      <c r="M278" s="832"/>
      <c r="N278" s="832"/>
      <c r="O278" s="832"/>
      <c r="P278" s="828"/>
      <c r="Q278" s="833"/>
    </row>
    <row r="279" spans="1:17" ht="14.45" customHeight="1" x14ac:dyDescent="0.2">
      <c r="A279" s="822" t="s">
        <v>575</v>
      </c>
      <c r="B279" s="823" t="s">
        <v>5562</v>
      </c>
      <c r="C279" s="823" t="s">
        <v>5396</v>
      </c>
      <c r="D279" s="823" t="s">
        <v>5650</v>
      </c>
      <c r="E279" s="823" t="s">
        <v>5651</v>
      </c>
      <c r="F279" s="832">
        <v>5</v>
      </c>
      <c r="G279" s="832">
        <v>225107.35</v>
      </c>
      <c r="H279" s="832">
        <v>0.48118368175794113</v>
      </c>
      <c r="I279" s="832">
        <v>45021.47</v>
      </c>
      <c r="J279" s="832">
        <v>12</v>
      </c>
      <c r="K279" s="832">
        <v>467820</v>
      </c>
      <c r="L279" s="832">
        <v>1</v>
      </c>
      <c r="M279" s="832">
        <v>38985</v>
      </c>
      <c r="N279" s="832">
        <v>4</v>
      </c>
      <c r="O279" s="832">
        <v>155940</v>
      </c>
      <c r="P279" s="828">
        <v>0.33333333333333331</v>
      </c>
      <c r="Q279" s="833">
        <v>38985</v>
      </c>
    </row>
    <row r="280" spans="1:17" ht="14.45" customHeight="1" x14ac:dyDescent="0.2">
      <c r="A280" s="822" t="s">
        <v>575</v>
      </c>
      <c r="B280" s="823" t="s">
        <v>5562</v>
      </c>
      <c r="C280" s="823" t="s">
        <v>5396</v>
      </c>
      <c r="D280" s="823" t="s">
        <v>5652</v>
      </c>
      <c r="E280" s="823" t="s">
        <v>5653</v>
      </c>
      <c r="F280" s="832">
        <v>9</v>
      </c>
      <c r="G280" s="832">
        <v>359459.91</v>
      </c>
      <c r="H280" s="832">
        <v>1.2857142857142856</v>
      </c>
      <c r="I280" s="832">
        <v>39939.99</v>
      </c>
      <c r="J280" s="832">
        <v>7</v>
      </c>
      <c r="K280" s="832">
        <v>279579.93</v>
      </c>
      <c r="L280" s="832">
        <v>1</v>
      </c>
      <c r="M280" s="832">
        <v>39939.99</v>
      </c>
      <c r="N280" s="832">
        <v>5</v>
      </c>
      <c r="O280" s="832">
        <v>161142.79999999999</v>
      </c>
      <c r="P280" s="828">
        <v>0.57637470615290587</v>
      </c>
      <c r="Q280" s="833">
        <v>32228.559999999998</v>
      </c>
    </row>
    <row r="281" spans="1:17" ht="14.45" customHeight="1" x14ac:dyDescent="0.2">
      <c r="A281" s="822" t="s">
        <v>575</v>
      </c>
      <c r="B281" s="823" t="s">
        <v>5562</v>
      </c>
      <c r="C281" s="823" t="s">
        <v>5396</v>
      </c>
      <c r="D281" s="823" t="s">
        <v>5654</v>
      </c>
      <c r="E281" s="823" t="s">
        <v>5655</v>
      </c>
      <c r="F281" s="832">
        <v>1</v>
      </c>
      <c r="G281" s="832">
        <v>10414.42</v>
      </c>
      <c r="H281" s="832">
        <v>1</v>
      </c>
      <c r="I281" s="832">
        <v>10414.42</v>
      </c>
      <c r="J281" s="832">
        <v>1</v>
      </c>
      <c r="K281" s="832">
        <v>10414.42</v>
      </c>
      <c r="L281" s="832">
        <v>1</v>
      </c>
      <c r="M281" s="832">
        <v>10414.42</v>
      </c>
      <c r="N281" s="832">
        <v>1</v>
      </c>
      <c r="O281" s="832">
        <v>10414.42</v>
      </c>
      <c r="P281" s="828">
        <v>1</v>
      </c>
      <c r="Q281" s="833">
        <v>10414.42</v>
      </c>
    </row>
    <row r="282" spans="1:17" ht="14.45" customHeight="1" x14ac:dyDescent="0.2">
      <c r="A282" s="822" t="s">
        <v>575</v>
      </c>
      <c r="B282" s="823" t="s">
        <v>5562</v>
      </c>
      <c r="C282" s="823" t="s">
        <v>5396</v>
      </c>
      <c r="D282" s="823" t="s">
        <v>5656</v>
      </c>
      <c r="E282" s="823" t="s">
        <v>5657</v>
      </c>
      <c r="F282" s="832">
        <v>64</v>
      </c>
      <c r="G282" s="832">
        <v>1018729.6</v>
      </c>
      <c r="H282" s="832">
        <v>64</v>
      </c>
      <c r="I282" s="832">
        <v>15917.65</v>
      </c>
      <c r="J282" s="832">
        <v>1</v>
      </c>
      <c r="K282" s="832">
        <v>15917.65</v>
      </c>
      <c r="L282" s="832">
        <v>1</v>
      </c>
      <c r="M282" s="832">
        <v>15917.65</v>
      </c>
      <c r="N282" s="832"/>
      <c r="O282" s="832"/>
      <c r="P282" s="828"/>
      <c r="Q282" s="833"/>
    </row>
    <row r="283" spans="1:17" ht="14.45" customHeight="1" x14ac:dyDescent="0.2">
      <c r="A283" s="822" t="s">
        <v>575</v>
      </c>
      <c r="B283" s="823" t="s">
        <v>5562</v>
      </c>
      <c r="C283" s="823" t="s">
        <v>5396</v>
      </c>
      <c r="D283" s="823" t="s">
        <v>5658</v>
      </c>
      <c r="E283" s="823" t="s">
        <v>5659</v>
      </c>
      <c r="F283" s="832">
        <v>64</v>
      </c>
      <c r="G283" s="832">
        <v>394990.28</v>
      </c>
      <c r="H283" s="832">
        <v>64.70307601078521</v>
      </c>
      <c r="I283" s="832">
        <v>6171.7231250000004</v>
      </c>
      <c r="J283" s="832">
        <v>1</v>
      </c>
      <c r="K283" s="832">
        <v>6104.66</v>
      </c>
      <c r="L283" s="832">
        <v>1</v>
      </c>
      <c r="M283" s="832">
        <v>6104.66</v>
      </c>
      <c r="N283" s="832"/>
      <c r="O283" s="832"/>
      <c r="P283" s="828"/>
      <c r="Q283" s="833"/>
    </row>
    <row r="284" spans="1:17" ht="14.45" customHeight="1" x14ac:dyDescent="0.2">
      <c r="A284" s="822" t="s">
        <v>575</v>
      </c>
      <c r="B284" s="823" t="s">
        <v>5562</v>
      </c>
      <c r="C284" s="823" t="s">
        <v>5396</v>
      </c>
      <c r="D284" s="823" t="s">
        <v>5660</v>
      </c>
      <c r="E284" s="823" t="s">
        <v>5661</v>
      </c>
      <c r="F284" s="832">
        <v>140</v>
      </c>
      <c r="G284" s="832">
        <v>994000</v>
      </c>
      <c r="H284" s="832">
        <v>0.88050314465408808</v>
      </c>
      <c r="I284" s="832">
        <v>7100</v>
      </c>
      <c r="J284" s="832">
        <v>159</v>
      </c>
      <c r="K284" s="832">
        <v>1128900</v>
      </c>
      <c r="L284" s="832">
        <v>1</v>
      </c>
      <c r="M284" s="832">
        <v>7100</v>
      </c>
      <c r="N284" s="832">
        <v>128</v>
      </c>
      <c r="O284" s="832">
        <v>908800</v>
      </c>
      <c r="P284" s="828">
        <v>0.80503144654088055</v>
      </c>
      <c r="Q284" s="833">
        <v>7100</v>
      </c>
    </row>
    <row r="285" spans="1:17" ht="14.45" customHeight="1" x14ac:dyDescent="0.2">
      <c r="A285" s="822" t="s">
        <v>575</v>
      </c>
      <c r="B285" s="823" t="s">
        <v>5562</v>
      </c>
      <c r="C285" s="823" t="s">
        <v>5396</v>
      </c>
      <c r="D285" s="823" t="s">
        <v>5662</v>
      </c>
      <c r="E285" s="823" t="s">
        <v>5663</v>
      </c>
      <c r="F285" s="832">
        <v>64</v>
      </c>
      <c r="G285" s="832">
        <v>490432.62</v>
      </c>
      <c r="H285" s="832">
        <v>544.50163206395018</v>
      </c>
      <c r="I285" s="832">
        <v>7663.0096874999999</v>
      </c>
      <c r="J285" s="832">
        <v>1</v>
      </c>
      <c r="K285" s="832">
        <v>900.7</v>
      </c>
      <c r="L285" s="832">
        <v>1</v>
      </c>
      <c r="M285" s="832">
        <v>900.7</v>
      </c>
      <c r="N285" s="832"/>
      <c r="O285" s="832"/>
      <c r="P285" s="828"/>
      <c r="Q285" s="833"/>
    </row>
    <row r="286" spans="1:17" ht="14.45" customHeight="1" x14ac:dyDescent="0.2">
      <c r="A286" s="822" t="s">
        <v>575</v>
      </c>
      <c r="B286" s="823" t="s">
        <v>5562</v>
      </c>
      <c r="C286" s="823" t="s">
        <v>5396</v>
      </c>
      <c r="D286" s="823" t="s">
        <v>5664</v>
      </c>
      <c r="E286" s="823" t="s">
        <v>5665</v>
      </c>
      <c r="F286" s="832">
        <v>142</v>
      </c>
      <c r="G286" s="832">
        <v>165430</v>
      </c>
      <c r="H286" s="832">
        <v>0.86585365853658536</v>
      </c>
      <c r="I286" s="832">
        <v>1165</v>
      </c>
      <c r="J286" s="832">
        <v>164</v>
      </c>
      <c r="K286" s="832">
        <v>191060</v>
      </c>
      <c r="L286" s="832">
        <v>1</v>
      </c>
      <c r="M286" s="832">
        <v>1165</v>
      </c>
      <c r="N286" s="832">
        <v>128</v>
      </c>
      <c r="O286" s="832">
        <v>149120</v>
      </c>
      <c r="P286" s="828">
        <v>0.78048780487804881</v>
      </c>
      <c r="Q286" s="833">
        <v>1165</v>
      </c>
    </row>
    <row r="287" spans="1:17" ht="14.45" customHeight="1" x14ac:dyDescent="0.2">
      <c r="A287" s="822" t="s">
        <v>575</v>
      </c>
      <c r="B287" s="823" t="s">
        <v>5562</v>
      </c>
      <c r="C287" s="823" t="s">
        <v>5396</v>
      </c>
      <c r="D287" s="823" t="s">
        <v>5666</v>
      </c>
      <c r="E287" s="823" t="s">
        <v>5667</v>
      </c>
      <c r="F287" s="832">
        <v>79</v>
      </c>
      <c r="G287" s="832">
        <v>58618</v>
      </c>
      <c r="H287" s="832">
        <v>0.82291666666666663</v>
      </c>
      <c r="I287" s="832">
        <v>742</v>
      </c>
      <c r="J287" s="832">
        <v>96</v>
      </c>
      <c r="K287" s="832">
        <v>71232</v>
      </c>
      <c r="L287" s="832">
        <v>1</v>
      </c>
      <c r="M287" s="832">
        <v>742</v>
      </c>
      <c r="N287" s="832">
        <v>73</v>
      </c>
      <c r="O287" s="832">
        <v>54166</v>
      </c>
      <c r="P287" s="828">
        <v>0.76041666666666663</v>
      </c>
      <c r="Q287" s="833">
        <v>742</v>
      </c>
    </row>
    <row r="288" spans="1:17" ht="14.45" customHeight="1" x14ac:dyDescent="0.2">
      <c r="A288" s="822" t="s">
        <v>575</v>
      </c>
      <c r="B288" s="823" t="s">
        <v>5562</v>
      </c>
      <c r="C288" s="823" t="s">
        <v>5396</v>
      </c>
      <c r="D288" s="823" t="s">
        <v>5668</v>
      </c>
      <c r="E288" s="823" t="s">
        <v>5669</v>
      </c>
      <c r="F288" s="832">
        <v>147</v>
      </c>
      <c r="G288" s="832">
        <v>77322</v>
      </c>
      <c r="H288" s="832">
        <v>0.91874999999999996</v>
      </c>
      <c r="I288" s="832">
        <v>526</v>
      </c>
      <c r="J288" s="832">
        <v>160</v>
      </c>
      <c r="K288" s="832">
        <v>84160</v>
      </c>
      <c r="L288" s="832">
        <v>1</v>
      </c>
      <c r="M288" s="832">
        <v>526</v>
      </c>
      <c r="N288" s="832">
        <v>129</v>
      </c>
      <c r="O288" s="832">
        <v>67854</v>
      </c>
      <c r="P288" s="828">
        <v>0.80625000000000002</v>
      </c>
      <c r="Q288" s="833">
        <v>526</v>
      </c>
    </row>
    <row r="289" spans="1:17" ht="14.45" customHeight="1" x14ac:dyDescent="0.2">
      <c r="A289" s="822" t="s">
        <v>575</v>
      </c>
      <c r="B289" s="823" t="s">
        <v>5562</v>
      </c>
      <c r="C289" s="823" t="s">
        <v>5396</v>
      </c>
      <c r="D289" s="823" t="s">
        <v>5670</v>
      </c>
      <c r="E289" s="823" t="s">
        <v>5671</v>
      </c>
      <c r="F289" s="832">
        <v>6</v>
      </c>
      <c r="G289" s="832">
        <v>163119.47999999998</v>
      </c>
      <c r="H289" s="832">
        <v>0.71515809419756438</v>
      </c>
      <c r="I289" s="832">
        <v>27186.579999999998</v>
      </c>
      <c r="J289" s="832">
        <v>10</v>
      </c>
      <c r="K289" s="832">
        <v>228088.69999999998</v>
      </c>
      <c r="L289" s="832">
        <v>1</v>
      </c>
      <c r="M289" s="832">
        <v>22808.87</v>
      </c>
      <c r="N289" s="832">
        <v>6</v>
      </c>
      <c r="O289" s="832">
        <v>93718.900000000009</v>
      </c>
      <c r="P289" s="828">
        <v>0.41088795718507765</v>
      </c>
      <c r="Q289" s="833">
        <v>15619.816666666668</v>
      </c>
    </row>
    <row r="290" spans="1:17" ht="14.45" customHeight="1" x14ac:dyDescent="0.2">
      <c r="A290" s="822" t="s">
        <v>575</v>
      </c>
      <c r="B290" s="823" t="s">
        <v>5562</v>
      </c>
      <c r="C290" s="823" t="s">
        <v>5396</v>
      </c>
      <c r="D290" s="823" t="s">
        <v>5672</v>
      </c>
      <c r="E290" s="823" t="s">
        <v>5673</v>
      </c>
      <c r="F290" s="832">
        <v>130</v>
      </c>
      <c r="G290" s="832">
        <v>121659.2</v>
      </c>
      <c r="H290" s="832">
        <v>0.96296296296296346</v>
      </c>
      <c r="I290" s="832">
        <v>935.84</v>
      </c>
      <c r="J290" s="832">
        <v>135</v>
      </c>
      <c r="K290" s="832">
        <v>126338.39999999994</v>
      </c>
      <c r="L290" s="832">
        <v>1</v>
      </c>
      <c r="M290" s="832">
        <v>935.83999999999958</v>
      </c>
      <c r="N290" s="832">
        <v>114</v>
      </c>
      <c r="O290" s="832">
        <v>106685.75999999998</v>
      </c>
      <c r="P290" s="828">
        <v>0.84444444444444466</v>
      </c>
      <c r="Q290" s="833">
        <v>935.8399999999998</v>
      </c>
    </row>
    <row r="291" spans="1:17" ht="14.45" customHeight="1" x14ac:dyDescent="0.2">
      <c r="A291" s="822" t="s">
        <v>575</v>
      </c>
      <c r="B291" s="823" t="s">
        <v>5562</v>
      </c>
      <c r="C291" s="823" t="s">
        <v>5396</v>
      </c>
      <c r="D291" s="823" t="s">
        <v>5674</v>
      </c>
      <c r="E291" s="823" t="s">
        <v>5675</v>
      </c>
      <c r="F291" s="832">
        <v>14</v>
      </c>
      <c r="G291" s="832">
        <v>101563.70000000001</v>
      </c>
      <c r="H291" s="832">
        <v>1.1666666666666667</v>
      </c>
      <c r="I291" s="832">
        <v>7254.5500000000011</v>
      </c>
      <c r="J291" s="832">
        <v>12</v>
      </c>
      <c r="K291" s="832">
        <v>87054.6</v>
      </c>
      <c r="L291" s="832">
        <v>1</v>
      </c>
      <c r="M291" s="832">
        <v>7254.55</v>
      </c>
      <c r="N291" s="832">
        <v>8</v>
      </c>
      <c r="O291" s="832">
        <v>43164</v>
      </c>
      <c r="P291" s="828">
        <v>0.49582675700077877</v>
      </c>
      <c r="Q291" s="833">
        <v>5395.5</v>
      </c>
    </row>
    <row r="292" spans="1:17" ht="14.45" customHeight="1" x14ac:dyDescent="0.2">
      <c r="A292" s="822" t="s">
        <v>575</v>
      </c>
      <c r="B292" s="823" t="s">
        <v>5562</v>
      </c>
      <c r="C292" s="823" t="s">
        <v>5396</v>
      </c>
      <c r="D292" s="823" t="s">
        <v>5676</v>
      </c>
      <c r="E292" s="823" t="s">
        <v>5677</v>
      </c>
      <c r="F292" s="832"/>
      <c r="G292" s="832"/>
      <c r="H292" s="832"/>
      <c r="I292" s="832"/>
      <c r="J292" s="832">
        <v>1</v>
      </c>
      <c r="K292" s="832">
        <v>6649</v>
      </c>
      <c r="L292" s="832">
        <v>1</v>
      </c>
      <c r="M292" s="832">
        <v>6649</v>
      </c>
      <c r="N292" s="832"/>
      <c r="O292" s="832"/>
      <c r="P292" s="828"/>
      <c r="Q292" s="833"/>
    </row>
    <row r="293" spans="1:17" ht="14.45" customHeight="1" x14ac:dyDescent="0.2">
      <c r="A293" s="822" t="s">
        <v>575</v>
      </c>
      <c r="B293" s="823" t="s">
        <v>5562</v>
      </c>
      <c r="C293" s="823" t="s">
        <v>5396</v>
      </c>
      <c r="D293" s="823" t="s">
        <v>5678</v>
      </c>
      <c r="E293" s="823" t="s">
        <v>5679</v>
      </c>
      <c r="F293" s="832"/>
      <c r="G293" s="832"/>
      <c r="H293" s="832"/>
      <c r="I293" s="832"/>
      <c r="J293" s="832">
        <v>1</v>
      </c>
      <c r="K293" s="832">
        <v>2663.05</v>
      </c>
      <c r="L293" s="832">
        <v>1</v>
      </c>
      <c r="M293" s="832">
        <v>2663.05</v>
      </c>
      <c r="N293" s="832">
        <v>1</v>
      </c>
      <c r="O293" s="832">
        <v>2311.1</v>
      </c>
      <c r="P293" s="828">
        <v>0.86783950733181869</v>
      </c>
      <c r="Q293" s="833">
        <v>2311.1</v>
      </c>
    </row>
    <row r="294" spans="1:17" ht="14.45" customHeight="1" x14ac:dyDescent="0.2">
      <c r="A294" s="822" t="s">
        <v>575</v>
      </c>
      <c r="B294" s="823" t="s">
        <v>5562</v>
      </c>
      <c r="C294" s="823" t="s">
        <v>5396</v>
      </c>
      <c r="D294" s="823" t="s">
        <v>5680</v>
      </c>
      <c r="E294" s="823" t="s">
        <v>5681</v>
      </c>
      <c r="F294" s="832">
        <v>74</v>
      </c>
      <c r="G294" s="832">
        <v>100695.5</v>
      </c>
      <c r="H294" s="832">
        <v>0.88095238095238093</v>
      </c>
      <c r="I294" s="832">
        <v>1360.75</v>
      </c>
      <c r="J294" s="832">
        <v>84</v>
      </c>
      <c r="K294" s="832">
        <v>114303</v>
      </c>
      <c r="L294" s="832">
        <v>1</v>
      </c>
      <c r="M294" s="832">
        <v>1360.75</v>
      </c>
      <c r="N294" s="832">
        <v>68</v>
      </c>
      <c r="O294" s="832">
        <v>92531</v>
      </c>
      <c r="P294" s="828">
        <v>0.80952380952380953</v>
      </c>
      <c r="Q294" s="833">
        <v>1360.75</v>
      </c>
    </row>
    <row r="295" spans="1:17" ht="14.45" customHeight="1" x14ac:dyDescent="0.2">
      <c r="A295" s="822" t="s">
        <v>575</v>
      </c>
      <c r="B295" s="823" t="s">
        <v>5562</v>
      </c>
      <c r="C295" s="823" t="s">
        <v>5396</v>
      </c>
      <c r="D295" s="823" t="s">
        <v>5682</v>
      </c>
      <c r="E295" s="823" t="s">
        <v>5683</v>
      </c>
      <c r="F295" s="832">
        <v>7</v>
      </c>
      <c r="G295" s="832">
        <v>32742.5</v>
      </c>
      <c r="H295" s="832">
        <v>0.63636363636363635</v>
      </c>
      <c r="I295" s="832">
        <v>4677.5</v>
      </c>
      <c r="J295" s="832">
        <v>11</v>
      </c>
      <c r="K295" s="832">
        <v>51452.5</v>
      </c>
      <c r="L295" s="832">
        <v>1</v>
      </c>
      <c r="M295" s="832">
        <v>4677.5</v>
      </c>
      <c r="N295" s="832">
        <v>18</v>
      </c>
      <c r="O295" s="832">
        <v>84195</v>
      </c>
      <c r="P295" s="828">
        <v>1.6363636363636365</v>
      </c>
      <c r="Q295" s="833">
        <v>4677.5</v>
      </c>
    </row>
    <row r="296" spans="1:17" ht="14.45" customHeight="1" x14ac:dyDescent="0.2">
      <c r="A296" s="822" t="s">
        <v>575</v>
      </c>
      <c r="B296" s="823" t="s">
        <v>5562</v>
      </c>
      <c r="C296" s="823" t="s">
        <v>5396</v>
      </c>
      <c r="D296" s="823" t="s">
        <v>5684</v>
      </c>
      <c r="E296" s="823" t="s">
        <v>5685</v>
      </c>
      <c r="F296" s="832">
        <v>1</v>
      </c>
      <c r="G296" s="832">
        <v>18952.96</v>
      </c>
      <c r="H296" s="832">
        <v>9.0909090909090912E-2</v>
      </c>
      <c r="I296" s="832">
        <v>18952.96</v>
      </c>
      <c r="J296" s="832">
        <v>11</v>
      </c>
      <c r="K296" s="832">
        <v>208482.56</v>
      </c>
      <c r="L296" s="832">
        <v>1</v>
      </c>
      <c r="M296" s="832">
        <v>18952.96</v>
      </c>
      <c r="N296" s="832">
        <v>1</v>
      </c>
      <c r="O296" s="832">
        <v>18952.7</v>
      </c>
      <c r="P296" s="828">
        <v>9.0907843802378485E-2</v>
      </c>
      <c r="Q296" s="833">
        <v>18952.7</v>
      </c>
    </row>
    <row r="297" spans="1:17" ht="14.45" customHeight="1" x14ac:dyDescent="0.2">
      <c r="A297" s="822" t="s">
        <v>575</v>
      </c>
      <c r="B297" s="823" t="s">
        <v>5562</v>
      </c>
      <c r="C297" s="823" t="s">
        <v>5396</v>
      </c>
      <c r="D297" s="823" t="s">
        <v>5686</v>
      </c>
      <c r="E297" s="823" t="s">
        <v>5687</v>
      </c>
      <c r="F297" s="832">
        <v>5</v>
      </c>
      <c r="G297" s="832">
        <v>4335</v>
      </c>
      <c r="H297" s="832"/>
      <c r="I297" s="832">
        <v>867</v>
      </c>
      <c r="J297" s="832"/>
      <c r="K297" s="832"/>
      <c r="L297" s="832"/>
      <c r="M297" s="832"/>
      <c r="N297" s="832"/>
      <c r="O297" s="832"/>
      <c r="P297" s="828"/>
      <c r="Q297" s="833"/>
    </row>
    <row r="298" spans="1:17" ht="14.45" customHeight="1" x14ac:dyDescent="0.2">
      <c r="A298" s="822" t="s">
        <v>575</v>
      </c>
      <c r="B298" s="823" t="s">
        <v>5562</v>
      </c>
      <c r="C298" s="823" t="s">
        <v>5396</v>
      </c>
      <c r="D298" s="823" t="s">
        <v>5688</v>
      </c>
      <c r="E298" s="823" t="s">
        <v>5689</v>
      </c>
      <c r="F298" s="832">
        <v>1</v>
      </c>
      <c r="G298" s="832">
        <v>1050</v>
      </c>
      <c r="H298" s="832"/>
      <c r="I298" s="832">
        <v>1050</v>
      </c>
      <c r="J298" s="832"/>
      <c r="K298" s="832"/>
      <c r="L298" s="832"/>
      <c r="M298" s="832"/>
      <c r="N298" s="832"/>
      <c r="O298" s="832"/>
      <c r="P298" s="828"/>
      <c r="Q298" s="833"/>
    </row>
    <row r="299" spans="1:17" ht="14.45" customHeight="1" x14ac:dyDescent="0.2">
      <c r="A299" s="822" t="s">
        <v>575</v>
      </c>
      <c r="B299" s="823" t="s">
        <v>5562</v>
      </c>
      <c r="C299" s="823" t="s">
        <v>5396</v>
      </c>
      <c r="D299" s="823" t="s">
        <v>5690</v>
      </c>
      <c r="E299" s="823" t="s">
        <v>5691</v>
      </c>
      <c r="F299" s="832"/>
      <c r="G299" s="832"/>
      <c r="H299" s="832"/>
      <c r="I299" s="832"/>
      <c r="J299" s="832">
        <v>2</v>
      </c>
      <c r="K299" s="832">
        <v>88504</v>
      </c>
      <c r="L299" s="832">
        <v>1</v>
      </c>
      <c r="M299" s="832">
        <v>44252</v>
      </c>
      <c r="N299" s="832"/>
      <c r="O299" s="832"/>
      <c r="P299" s="828"/>
      <c r="Q299" s="833"/>
    </row>
    <row r="300" spans="1:17" ht="14.45" customHeight="1" x14ac:dyDescent="0.2">
      <c r="A300" s="822" t="s">
        <v>575</v>
      </c>
      <c r="B300" s="823" t="s">
        <v>5562</v>
      </c>
      <c r="C300" s="823" t="s">
        <v>5396</v>
      </c>
      <c r="D300" s="823" t="s">
        <v>5692</v>
      </c>
      <c r="E300" s="823" t="s">
        <v>5693</v>
      </c>
      <c r="F300" s="832"/>
      <c r="G300" s="832"/>
      <c r="H300" s="832"/>
      <c r="I300" s="832"/>
      <c r="J300" s="832"/>
      <c r="K300" s="832"/>
      <c r="L300" s="832"/>
      <c r="M300" s="832"/>
      <c r="N300" s="832">
        <v>2</v>
      </c>
      <c r="O300" s="832">
        <v>9596</v>
      </c>
      <c r="P300" s="828"/>
      <c r="Q300" s="833">
        <v>4798</v>
      </c>
    </row>
    <row r="301" spans="1:17" ht="14.45" customHeight="1" x14ac:dyDescent="0.2">
      <c r="A301" s="822" t="s">
        <v>575</v>
      </c>
      <c r="B301" s="823" t="s">
        <v>5562</v>
      </c>
      <c r="C301" s="823" t="s">
        <v>5396</v>
      </c>
      <c r="D301" s="823" t="s">
        <v>5694</v>
      </c>
      <c r="E301" s="823" t="s">
        <v>5695</v>
      </c>
      <c r="F301" s="832">
        <v>7</v>
      </c>
      <c r="G301" s="832">
        <v>297212.32</v>
      </c>
      <c r="H301" s="832">
        <v>1.2196828627708471</v>
      </c>
      <c r="I301" s="832">
        <v>42458.902857142857</v>
      </c>
      <c r="J301" s="832">
        <v>7</v>
      </c>
      <c r="K301" s="832">
        <v>243680</v>
      </c>
      <c r="L301" s="832">
        <v>1</v>
      </c>
      <c r="M301" s="832">
        <v>34811.428571428572</v>
      </c>
      <c r="N301" s="832">
        <v>1</v>
      </c>
      <c r="O301" s="832">
        <v>34700</v>
      </c>
      <c r="P301" s="828">
        <v>0.14239986868023638</v>
      </c>
      <c r="Q301" s="833">
        <v>34700</v>
      </c>
    </row>
    <row r="302" spans="1:17" ht="14.45" customHeight="1" x14ac:dyDescent="0.2">
      <c r="A302" s="822" t="s">
        <v>575</v>
      </c>
      <c r="B302" s="823" t="s">
        <v>5562</v>
      </c>
      <c r="C302" s="823" t="s">
        <v>5396</v>
      </c>
      <c r="D302" s="823" t="s">
        <v>5696</v>
      </c>
      <c r="E302" s="823" t="s">
        <v>5697</v>
      </c>
      <c r="F302" s="832">
        <v>1</v>
      </c>
      <c r="G302" s="832">
        <v>2176.36</v>
      </c>
      <c r="H302" s="832"/>
      <c r="I302" s="832">
        <v>2176.36</v>
      </c>
      <c r="J302" s="832"/>
      <c r="K302" s="832"/>
      <c r="L302" s="832"/>
      <c r="M302" s="832"/>
      <c r="N302" s="832"/>
      <c r="O302" s="832"/>
      <c r="P302" s="828"/>
      <c r="Q302" s="833"/>
    </row>
    <row r="303" spans="1:17" ht="14.45" customHeight="1" x14ac:dyDescent="0.2">
      <c r="A303" s="822" t="s">
        <v>575</v>
      </c>
      <c r="B303" s="823" t="s">
        <v>5562</v>
      </c>
      <c r="C303" s="823" t="s">
        <v>5396</v>
      </c>
      <c r="D303" s="823" t="s">
        <v>5698</v>
      </c>
      <c r="E303" s="823" t="s">
        <v>5699</v>
      </c>
      <c r="F303" s="832">
        <v>12</v>
      </c>
      <c r="G303" s="832">
        <v>22056</v>
      </c>
      <c r="H303" s="832">
        <v>1.7142857142857142</v>
      </c>
      <c r="I303" s="832">
        <v>1838</v>
      </c>
      <c r="J303" s="832">
        <v>7</v>
      </c>
      <c r="K303" s="832">
        <v>12866</v>
      </c>
      <c r="L303" s="832">
        <v>1</v>
      </c>
      <c r="M303" s="832">
        <v>1838</v>
      </c>
      <c r="N303" s="832">
        <v>7</v>
      </c>
      <c r="O303" s="832">
        <v>12866</v>
      </c>
      <c r="P303" s="828">
        <v>1</v>
      </c>
      <c r="Q303" s="833">
        <v>1838</v>
      </c>
    </row>
    <row r="304" spans="1:17" ht="14.45" customHeight="1" x14ac:dyDescent="0.2">
      <c r="A304" s="822" t="s">
        <v>575</v>
      </c>
      <c r="B304" s="823" t="s">
        <v>5562</v>
      </c>
      <c r="C304" s="823" t="s">
        <v>5396</v>
      </c>
      <c r="D304" s="823" t="s">
        <v>5700</v>
      </c>
      <c r="E304" s="823" t="s">
        <v>5701</v>
      </c>
      <c r="F304" s="832"/>
      <c r="G304" s="832"/>
      <c r="H304" s="832"/>
      <c r="I304" s="832"/>
      <c r="J304" s="832">
        <v>1</v>
      </c>
      <c r="K304" s="832">
        <v>7289.24</v>
      </c>
      <c r="L304" s="832">
        <v>1</v>
      </c>
      <c r="M304" s="832">
        <v>7289.24</v>
      </c>
      <c r="N304" s="832"/>
      <c r="O304" s="832"/>
      <c r="P304" s="828"/>
      <c r="Q304" s="833"/>
    </row>
    <row r="305" spans="1:17" ht="14.45" customHeight="1" x14ac:dyDescent="0.2">
      <c r="A305" s="822" t="s">
        <v>575</v>
      </c>
      <c r="B305" s="823" t="s">
        <v>5562</v>
      </c>
      <c r="C305" s="823" t="s">
        <v>5396</v>
      </c>
      <c r="D305" s="823" t="s">
        <v>5702</v>
      </c>
      <c r="E305" s="823" t="s">
        <v>5703</v>
      </c>
      <c r="F305" s="832">
        <v>3</v>
      </c>
      <c r="G305" s="832">
        <v>207686.97000000003</v>
      </c>
      <c r="H305" s="832"/>
      <c r="I305" s="832">
        <v>69228.990000000005</v>
      </c>
      <c r="J305" s="832"/>
      <c r="K305" s="832"/>
      <c r="L305" s="832"/>
      <c r="M305" s="832"/>
      <c r="N305" s="832"/>
      <c r="O305" s="832"/>
      <c r="P305" s="828"/>
      <c r="Q305" s="833"/>
    </row>
    <row r="306" spans="1:17" ht="14.45" customHeight="1" x14ac:dyDescent="0.2">
      <c r="A306" s="822" t="s">
        <v>575</v>
      </c>
      <c r="B306" s="823" t="s">
        <v>5562</v>
      </c>
      <c r="C306" s="823" t="s">
        <v>5396</v>
      </c>
      <c r="D306" s="823" t="s">
        <v>5704</v>
      </c>
      <c r="E306" s="823" t="s">
        <v>5705</v>
      </c>
      <c r="F306" s="832">
        <v>7</v>
      </c>
      <c r="G306" s="832">
        <v>149817.15</v>
      </c>
      <c r="H306" s="832">
        <v>0.67510586074863366</v>
      </c>
      <c r="I306" s="832">
        <v>21402.45</v>
      </c>
      <c r="J306" s="832">
        <v>11</v>
      </c>
      <c r="K306" s="832">
        <v>221916.53000000003</v>
      </c>
      <c r="L306" s="832">
        <v>1</v>
      </c>
      <c r="M306" s="832">
        <v>20174.230000000003</v>
      </c>
      <c r="N306" s="832">
        <v>12</v>
      </c>
      <c r="O306" s="832">
        <v>189612</v>
      </c>
      <c r="P306" s="828">
        <v>0.85442936585210649</v>
      </c>
      <c r="Q306" s="833">
        <v>15801</v>
      </c>
    </row>
    <row r="307" spans="1:17" ht="14.45" customHeight="1" x14ac:dyDescent="0.2">
      <c r="A307" s="822" t="s">
        <v>575</v>
      </c>
      <c r="B307" s="823" t="s">
        <v>5562</v>
      </c>
      <c r="C307" s="823" t="s">
        <v>5396</v>
      </c>
      <c r="D307" s="823" t="s">
        <v>5706</v>
      </c>
      <c r="E307" s="823" t="s">
        <v>5707</v>
      </c>
      <c r="F307" s="832">
        <v>3</v>
      </c>
      <c r="G307" s="832">
        <v>14849.64</v>
      </c>
      <c r="H307" s="832">
        <v>0.6</v>
      </c>
      <c r="I307" s="832">
        <v>4949.88</v>
      </c>
      <c r="J307" s="832">
        <v>5</v>
      </c>
      <c r="K307" s="832">
        <v>24749.4</v>
      </c>
      <c r="L307" s="832">
        <v>1</v>
      </c>
      <c r="M307" s="832">
        <v>4949.88</v>
      </c>
      <c r="N307" s="832">
        <v>1</v>
      </c>
      <c r="O307" s="832">
        <v>4949.88</v>
      </c>
      <c r="P307" s="828">
        <v>0.19999999999999998</v>
      </c>
      <c r="Q307" s="833">
        <v>4949.88</v>
      </c>
    </row>
    <row r="308" spans="1:17" ht="14.45" customHeight="1" x14ac:dyDescent="0.2">
      <c r="A308" s="822" t="s">
        <v>575</v>
      </c>
      <c r="B308" s="823" t="s">
        <v>5562</v>
      </c>
      <c r="C308" s="823" t="s">
        <v>5396</v>
      </c>
      <c r="D308" s="823" t="s">
        <v>5708</v>
      </c>
      <c r="E308" s="823" t="s">
        <v>5709</v>
      </c>
      <c r="F308" s="832">
        <v>1</v>
      </c>
      <c r="G308" s="832">
        <v>16439.91</v>
      </c>
      <c r="H308" s="832">
        <v>1</v>
      </c>
      <c r="I308" s="832">
        <v>16439.91</v>
      </c>
      <c r="J308" s="832">
        <v>1</v>
      </c>
      <c r="K308" s="832">
        <v>16439.91</v>
      </c>
      <c r="L308" s="832">
        <v>1</v>
      </c>
      <c r="M308" s="832">
        <v>16439.91</v>
      </c>
      <c r="N308" s="832"/>
      <c r="O308" s="832"/>
      <c r="P308" s="828"/>
      <c r="Q308" s="833"/>
    </row>
    <row r="309" spans="1:17" ht="14.45" customHeight="1" x14ac:dyDescent="0.2">
      <c r="A309" s="822" t="s">
        <v>575</v>
      </c>
      <c r="B309" s="823" t="s">
        <v>5562</v>
      </c>
      <c r="C309" s="823" t="s">
        <v>5396</v>
      </c>
      <c r="D309" s="823" t="s">
        <v>5710</v>
      </c>
      <c r="E309" s="823" t="s">
        <v>5711</v>
      </c>
      <c r="F309" s="832">
        <v>26</v>
      </c>
      <c r="G309" s="832">
        <v>671327.02</v>
      </c>
      <c r="H309" s="832">
        <v>3.1079196354792638</v>
      </c>
      <c r="I309" s="832">
        <v>25820.27</v>
      </c>
      <c r="J309" s="832">
        <v>25</v>
      </c>
      <c r="K309" s="832">
        <v>216005.27000000002</v>
      </c>
      <c r="L309" s="832">
        <v>1</v>
      </c>
      <c r="M309" s="832">
        <v>8640.2108000000007</v>
      </c>
      <c r="N309" s="832">
        <v>19</v>
      </c>
      <c r="O309" s="832">
        <v>490585.13</v>
      </c>
      <c r="P309" s="828">
        <v>2.2711720413117695</v>
      </c>
      <c r="Q309" s="833">
        <v>25820.27</v>
      </c>
    </row>
    <row r="310" spans="1:17" ht="14.45" customHeight="1" x14ac:dyDescent="0.2">
      <c r="A310" s="822" t="s">
        <v>575</v>
      </c>
      <c r="B310" s="823" t="s">
        <v>5562</v>
      </c>
      <c r="C310" s="823" t="s">
        <v>5396</v>
      </c>
      <c r="D310" s="823" t="s">
        <v>5712</v>
      </c>
      <c r="E310" s="823" t="s">
        <v>5713</v>
      </c>
      <c r="F310" s="832">
        <v>16</v>
      </c>
      <c r="G310" s="832">
        <v>232145.44</v>
      </c>
      <c r="H310" s="832">
        <v>0.84210526315789469</v>
      </c>
      <c r="I310" s="832">
        <v>14509.09</v>
      </c>
      <c r="J310" s="832">
        <v>19</v>
      </c>
      <c r="K310" s="832">
        <v>275672.71000000002</v>
      </c>
      <c r="L310" s="832">
        <v>1</v>
      </c>
      <c r="M310" s="832">
        <v>14509.090000000002</v>
      </c>
      <c r="N310" s="832">
        <v>21</v>
      </c>
      <c r="O310" s="832">
        <v>304690.88999999996</v>
      </c>
      <c r="P310" s="828">
        <v>1.1052631578947365</v>
      </c>
      <c r="Q310" s="833">
        <v>14509.089999999998</v>
      </c>
    </row>
    <row r="311" spans="1:17" ht="14.45" customHeight="1" x14ac:dyDescent="0.2">
      <c r="A311" s="822" t="s">
        <v>575</v>
      </c>
      <c r="B311" s="823" t="s">
        <v>5562</v>
      </c>
      <c r="C311" s="823" t="s">
        <v>5396</v>
      </c>
      <c r="D311" s="823" t="s">
        <v>5714</v>
      </c>
      <c r="E311" s="823" t="s">
        <v>5715</v>
      </c>
      <c r="F311" s="832">
        <v>3</v>
      </c>
      <c r="G311" s="832">
        <v>26972.73</v>
      </c>
      <c r="H311" s="832">
        <v>0.5</v>
      </c>
      <c r="I311" s="832">
        <v>8990.91</v>
      </c>
      <c r="J311" s="832">
        <v>6</v>
      </c>
      <c r="K311" s="832">
        <v>53945.46</v>
      </c>
      <c r="L311" s="832">
        <v>1</v>
      </c>
      <c r="M311" s="832">
        <v>8990.91</v>
      </c>
      <c r="N311" s="832"/>
      <c r="O311" s="832"/>
      <c r="P311" s="828"/>
      <c r="Q311" s="833"/>
    </row>
    <row r="312" spans="1:17" ht="14.45" customHeight="1" x14ac:dyDescent="0.2">
      <c r="A312" s="822" t="s">
        <v>575</v>
      </c>
      <c r="B312" s="823" t="s">
        <v>5562</v>
      </c>
      <c r="C312" s="823" t="s">
        <v>5396</v>
      </c>
      <c r="D312" s="823" t="s">
        <v>5716</v>
      </c>
      <c r="E312" s="823" t="s">
        <v>5717</v>
      </c>
      <c r="F312" s="832">
        <v>132</v>
      </c>
      <c r="G312" s="832">
        <v>172260</v>
      </c>
      <c r="H312" s="832">
        <v>0.90410958904109584</v>
      </c>
      <c r="I312" s="832">
        <v>1305</v>
      </c>
      <c r="J312" s="832">
        <v>146</v>
      </c>
      <c r="K312" s="832">
        <v>190530</v>
      </c>
      <c r="L312" s="832">
        <v>1</v>
      </c>
      <c r="M312" s="832">
        <v>1305</v>
      </c>
      <c r="N312" s="832">
        <v>113</v>
      </c>
      <c r="O312" s="832">
        <v>147440.19999999998</v>
      </c>
      <c r="P312" s="828">
        <v>0.77384243951083809</v>
      </c>
      <c r="Q312" s="833">
        <v>1304.7805309734513</v>
      </c>
    </row>
    <row r="313" spans="1:17" ht="14.45" customHeight="1" x14ac:dyDescent="0.2">
      <c r="A313" s="822" t="s">
        <v>575</v>
      </c>
      <c r="B313" s="823" t="s">
        <v>5562</v>
      </c>
      <c r="C313" s="823" t="s">
        <v>5396</v>
      </c>
      <c r="D313" s="823" t="s">
        <v>5718</v>
      </c>
      <c r="E313" s="823" t="s">
        <v>5719</v>
      </c>
      <c r="F313" s="832">
        <v>138</v>
      </c>
      <c r="G313" s="832">
        <v>148764</v>
      </c>
      <c r="H313" s="832">
        <v>0.8571428571428571</v>
      </c>
      <c r="I313" s="832">
        <v>1078</v>
      </c>
      <c r="J313" s="832">
        <v>161</v>
      </c>
      <c r="K313" s="832">
        <v>173558</v>
      </c>
      <c r="L313" s="832">
        <v>1</v>
      </c>
      <c r="M313" s="832">
        <v>1078</v>
      </c>
      <c r="N313" s="832">
        <v>133</v>
      </c>
      <c r="O313" s="832">
        <v>143227.69999999998</v>
      </c>
      <c r="P313" s="828">
        <v>0.82524401064773723</v>
      </c>
      <c r="Q313" s="833">
        <v>1076.8999999999999</v>
      </c>
    </row>
    <row r="314" spans="1:17" ht="14.45" customHeight="1" x14ac:dyDescent="0.2">
      <c r="A314" s="822" t="s">
        <v>575</v>
      </c>
      <c r="B314" s="823" t="s">
        <v>5562</v>
      </c>
      <c r="C314" s="823" t="s">
        <v>5396</v>
      </c>
      <c r="D314" s="823" t="s">
        <v>5720</v>
      </c>
      <c r="E314" s="823" t="s">
        <v>5721</v>
      </c>
      <c r="F314" s="832">
        <v>1</v>
      </c>
      <c r="G314" s="832">
        <v>7482.85</v>
      </c>
      <c r="H314" s="832"/>
      <c r="I314" s="832">
        <v>7482.85</v>
      </c>
      <c r="J314" s="832"/>
      <c r="K314" s="832"/>
      <c r="L314" s="832"/>
      <c r="M314" s="832"/>
      <c r="N314" s="832">
        <v>2</v>
      </c>
      <c r="O314" s="832">
        <v>10986.8</v>
      </c>
      <c r="P314" s="828"/>
      <c r="Q314" s="833">
        <v>5493.4</v>
      </c>
    </row>
    <row r="315" spans="1:17" ht="14.45" customHeight="1" x14ac:dyDescent="0.2">
      <c r="A315" s="822" t="s">
        <v>575</v>
      </c>
      <c r="B315" s="823" t="s">
        <v>5562</v>
      </c>
      <c r="C315" s="823" t="s">
        <v>5396</v>
      </c>
      <c r="D315" s="823" t="s">
        <v>5722</v>
      </c>
      <c r="E315" s="823" t="s">
        <v>5723</v>
      </c>
      <c r="F315" s="832">
        <v>6</v>
      </c>
      <c r="G315" s="832">
        <v>34032</v>
      </c>
      <c r="H315" s="832">
        <v>1.5</v>
      </c>
      <c r="I315" s="832">
        <v>5672</v>
      </c>
      <c r="J315" s="832">
        <v>4</v>
      </c>
      <c r="K315" s="832">
        <v>22688</v>
      </c>
      <c r="L315" s="832">
        <v>1</v>
      </c>
      <c r="M315" s="832">
        <v>5672</v>
      </c>
      <c r="N315" s="832">
        <v>2</v>
      </c>
      <c r="O315" s="832">
        <v>6325.88</v>
      </c>
      <c r="P315" s="828">
        <v>0.27882052186177714</v>
      </c>
      <c r="Q315" s="833">
        <v>3162.94</v>
      </c>
    </row>
    <row r="316" spans="1:17" ht="14.45" customHeight="1" x14ac:dyDescent="0.2">
      <c r="A316" s="822" t="s">
        <v>575</v>
      </c>
      <c r="B316" s="823" t="s">
        <v>5562</v>
      </c>
      <c r="C316" s="823" t="s">
        <v>5396</v>
      </c>
      <c r="D316" s="823" t="s">
        <v>5724</v>
      </c>
      <c r="E316" s="823" t="s">
        <v>5725</v>
      </c>
      <c r="F316" s="832">
        <v>260</v>
      </c>
      <c r="G316" s="832">
        <v>55120</v>
      </c>
      <c r="H316" s="832">
        <v>0.83333333333333337</v>
      </c>
      <c r="I316" s="832">
        <v>212</v>
      </c>
      <c r="J316" s="832">
        <v>312</v>
      </c>
      <c r="K316" s="832">
        <v>66144</v>
      </c>
      <c r="L316" s="832">
        <v>1</v>
      </c>
      <c r="M316" s="832">
        <v>212</v>
      </c>
      <c r="N316" s="832">
        <v>264</v>
      </c>
      <c r="O316" s="832">
        <v>50015.57999999998</v>
      </c>
      <c r="P316" s="828">
        <v>0.75616201015965134</v>
      </c>
      <c r="Q316" s="833">
        <v>189.45295454545447</v>
      </c>
    </row>
    <row r="317" spans="1:17" ht="14.45" customHeight="1" x14ac:dyDescent="0.2">
      <c r="A317" s="822" t="s">
        <v>575</v>
      </c>
      <c r="B317" s="823" t="s">
        <v>5562</v>
      </c>
      <c r="C317" s="823" t="s">
        <v>5396</v>
      </c>
      <c r="D317" s="823" t="s">
        <v>5726</v>
      </c>
      <c r="E317" s="823" t="s">
        <v>5727</v>
      </c>
      <c r="F317" s="832">
        <v>12</v>
      </c>
      <c r="G317" s="832">
        <v>16560</v>
      </c>
      <c r="H317" s="832">
        <v>2.4</v>
      </c>
      <c r="I317" s="832">
        <v>1380</v>
      </c>
      <c r="J317" s="832">
        <v>5</v>
      </c>
      <c r="K317" s="832">
        <v>6900</v>
      </c>
      <c r="L317" s="832">
        <v>1</v>
      </c>
      <c r="M317" s="832">
        <v>1380</v>
      </c>
      <c r="N317" s="832">
        <v>4</v>
      </c>
      <c r="O317" s="832">
        <v>5520</v>
      </c>
      <c r="P317" s="828">
        <v>0.8</v>
      </c>
      <c r="Q317" s="833">
        <v>1380</v>
      </c>
    </row>
    <row r="318" spans="1:17" ht="14.45" customHeight="1" x14ac:dyDescent="0.2">
      <c r="A318" s="822" t="s">
        <v>575</v>
      </c>
      <c r="B318" s="823" t="s">
        <v>5562</v>
      </c>
      <c r="C318" s="823" t="s">
        <v>5396</v>
      </c>
      <c r="D318" s="823" t="s">
        <v>5728</v>
      </c>
      <c r="E318" s="823" t="s">
        <v>5729</v>
      </c>
      <c r="F318" s="832">
        <v>6</v>
      </c>
      <c r="G318" s="832">
        <v>7872</v>
      </c>
      <c r="H318" s="832">
        <v>2</v>
      </c>
      <c r="I318" s="832">
        <v>1312</v>
      </c>
      <c r="J318" s="832">
        <v>3</v>
      </c>
      <c r="K318" s="832">
        <v>3936</v>
      </c>
      <c r="L318" s="832">
        <v>1</v>
      </c>
      <c r="M318" s="832">
        <v>1312</v>
      </c>
      <c r="N318" s="832">
        <v>3</v>
      </c>
      <c r="O318" s="832">
        <v>3760.5</v>
      </c>
      <c r="P318" s="828">
        <v>0.95541158536585369</v>
      </c>
      <c r="Q318" s="833">
        <v>1253.5</v>
      </c>
    </row>
    <row r="319" spans="1:17" ht="14.45" customHeight="1" x14ac:dyDescent="0.2">
      <c r="A319" s="822" t="s">
        <v>575</v>
      </c>
      <c r="B319" s="823" t="s">
        <v>5562</v>
      </c>
      <c r="C319" s="823" t="s">
        <v>5396</v>
      </c>
      <c r="D319" s="823" t="s">
        <v>5730</v>
      </c>
      <c r="E319" s="823" t="s">
        <v>5731</v>
      </c>
      <c r="F319" s="832">
        <v>11</v>
      </c>
      <c r="G319" s="832">
        <v>17160</v>
      </c>
      <c r="H319" s="832">
        <v>11</v>
      </c>
      <c r="I319" s="832">
        <v>1560</v>
      </c>
      <c r="J319" s="832">
        <v>1</v>
      </c>
      <c r="K319" s="832">
        <v>1560</v>
      </c>
      <c r="L319" s="832">
        <v>1</v>
      </c>
      <c r="M319" s="832">
        <v>1560</v>
      </c>
      <c r="N319" s="832">
        <v>7</v>
      </c>
      <c r="O319" s="832">
        <v>10780.8</v>
      </c>
      <c r="P319" s="828">
        <v>6.9107692307692306</v>
      </c>
      <c r="Q319" s="833">
        <v>1540.1142857142856</v>
      </c>
    </row>
    <row r="320" spans="1:17" ht="14.45" customHeight="1" x14ac:dyDescent="0.2">
      <c r="A320" s="822" t="s">
        <v>575</v>
      </c>
      <c r="B320" s="823" t="s">
        <v>5562</v>
      </c>
      <c r="C320" s="823" t="s">
        <v>5396</v>
      </c>
      <c r="D320" s="823" t="s">
        <v>5732</v>
      </c>
      <c r="E320" s="823" t="s">
        <v>5733</v>
      </c>
      <c r="F320" s="832">
        <v>10</v>
      </c>
      <c r="G320" s="832">
        <v>58088.2</v>
      </c>
      <c r="H320" s="832">
        <v>1.4285714285714286</v>
      </c>
      <c r="I320" s="832">
        <v>5808.82</v>
      </c>
      <c r="J320" s="832">
        <v>7</v>
      </c>
      <c r="K320" s="832">
        <v>40661.74</v>
      </c>
      <c r="L320" s="832">
        <v>1</v>
      </c>
      <c r="M320" s="832">
        <v>5808.82</v>
      </c>
      <c r="N320" s="832">
        <v>3</v>
      </c>
      <c r="O320" s="832">
        <v>17426.46</v>
      </c>
      <c r="P320" s="828">
        <v>0.42857142857142855</v>
      </c>
      <c r="Q320" s="833">
        <v>5808.82</v>
      </c>
    </row>
    <row r="321" spans="1:17" ht="14.45" customHeight="1" x14ac:dyDescent="0.2">
      <c r="A321" s="822" t="s">
        <v>575</v>
      </c>
      <c r="B321" s="823" t="s">
        <v>5562</v>
      </c>
      <c r="C321" s="823" t="s">
        <v>5396</v>
      </c>
      <c r="D321" s="823" t="s">
        <v>5734</v>
      </c>
      <c r="E321" s="823" t="s">
        <v>5735</v>
      </c>
      <c r="F321" s="832">
        <v>11</v>
      </c>
      <c r="G321" s="832">
        <v>90470.38</v>
      </c>
      <c r="H321" s="832">
        <v>1.2222222222222223</v>
      </c>
      <c r="I321" s="832">
        <v>8224.58</v>
      </c>
      <c r="J321" s="832">
        <v>9</v>
      </c>
      <c r="K321" s="832">
        <v>74021.22</v>
      </c>
      <c r="L321" s="832">
        <v>1</v>
      </c>
      <c r="M321" s="832">
        <v>8224.58</v>
      </c>
      <c r="N321" s="832">
        <v>3</v>
      </c>
      <c r="O321" s="832">
        <v>18857.060000000001</v>
      </c>
      <c r="P321" s="828">
        <v>0.2547520832539642</v>
      </c>
      <c r="Q321" s="833">
        <v>6285.6866666666674</v>
      </c>
    </row>
    <row r="322" spans="1:17" ht="14.45" customHeight="1" x14ac:dyDescent="0.2">
      <c r="A322" s="822" t="s">
        <v>575</v>
      </c>
      <c r="B322" s="823" t="s">
        <v>5562</v>
      </c>
      <c r="C322" s="823" t="s">
        <v>5396</v>
      </c>
      <c r="D322" s="823" t="s">
        <v>5736</v>
      </c>
      <c r="E322" s="823" t="s">
        <v>5737</v>
      </c>
      <c r="F322" s="832">
        <v>3</v>
      </c>
      <c r="G322" s="832">
        <v>27478.14</v>
      </c>
      <c r="H322" s="832">
        <v>1</v>
      </c>
      <c r="I322" s="832">
        <v>9159.3799999999992</v>
      </c>
      <c r="J322" s="832">
        <v>3</v>
      </c>
      <c r="K322" s="832">
        <v>27478.14</v>
      </c>
      <c r="L322" s="832">
        <v>1</v>
      </c>
      <c r="M322" s="832">
        <v>9159.3799999999992</v>
      </c>
      <c r="N322" s="832">
        <v>7</v>
      </c>
      <c r="O322" s="832">
        <v>64115.659999999996</v>
      </c>
      <c r="P322" s="828">
        <v>2.333333333333333</v>
      </c>
      <c r="Q322" s="833">
        <v>9159.3799999999992</v>
      </c>
    </row>
    <row r="323" spans="1:17" ht="14.45" customHeight="1" x14ac:dyDescent="0.2">
      <c r="A323" s="822" t="s">
        <v>575</v>
      </c>
      <c r="B323" s="823" t="s">
        <v>5562</v>
      </c>
      <c r="C323" s="823" t="s">
        <v>5396</v>
      </c>
      <c r="D323" s="823" t="s">
        <v>5738</v>
      </c>
      <c r="E323" s="823" t="s">
        <v>5737</v>
      </c>
      <c r="F323" s="832"/>
      <c r="G323" s="832"/>
      <c r="H323" s="832"/>
      <c r="I323" s="832"/>
      <c r="J323" s="832">
        <v>2</v>
      </c>
      <c r="K323" s="832">
        <v>27532.04</v>
      </c>
      <c r="L323" s="832">
        <v>1</v>
      </c>
      <c r="M323" s="832">
        <v>13766.02</v>
      </c>
      <c r="N323" s="832">
        <v>1</v>
      </c>
      <c r="O323" s="832">
        <v>13766.02</v>
      </c>
      <c r="P323" s="828">
        <v>0.5</v>
      </c>
      <c r="Q323" s="833">
        <v>13766.02</v>
      </c>
    </row>
    <row r="324" spans="1:17" ht="14.45" customHeight="1" x14ac:dyDescent="0.2">
      <c r="A324" s="822" t="s">
        <v>575</v>
      </c>
      <c r="B324" s="823" t="s">
        <v>5562</v>
      </c>
      <c r="C324" s="823" t="s">
        <v>5396</v>
      </c>
      <c r="D324" s="823" t="s">
        <v>5739</v>
      </c>
      <c r="E324" s="823" t="s">
        <v>5740</v>
      </c>
      <c r="F324" s="832">
        <v>128</v>
      </c>
      <c r="G324" s="832">
        <v>159185.91999999998</v>
      </c>
      <c r="H324" s="832">
        <v>0.88888888888888851</v>
      </c>
      <c r="I324" s="832">
        <v>1243.6399999999999</v>
      </c>
      <c r="J324" s="832">
        <v>144</v>
      </c>
      <c r="K324" s="832">
        <v>179084.16000000006</v>
      </c>
      <c r="L324" s="832">
        <v>1</v>
      </c>
      <c r="M324" s="832">
        <v>1243.6400000000003</v>
      </c>
      <c r="N324" s="832">
        <v>117</v>
      </c>
      <c r="O324" s="832">
        <v>138996</v>
      </c>
      <c r="P324" s="828">
        <v>0.77614904634781745</v>
      </c>
      <c r="Q324" s="833">
        <v>1188</v>
      </c>
    </row>
    <row r="325" spans="1:17" ht="14.45" customHeight="1" x14ac:dyDescent="0.2">
      <c r="A325" s="822" t="s">
        <v>575</v>
      </c>
      <c r="B325" s="823" t="s">
        <v>5562</v>
      </c>
      <c r="C325" s="823" t="s">
        <v>5396</v>
      </c>
      <c r="D325" s="823" t="s">
        <v>5741</v>
      </c>
      <c r="E325" s="823" t="s">
        <v>5742</v>
      </c>
      <c r="F325" s="832">
        <v>3</v>
      </c>
      <c r="G325" s="832">
        <v>48411.659999999996</v>
      </c>
      <c r="H325" s="832">
        <v>1</v>
      </c>
      <c r="I325" s="832">
        <v>16137.22</v>
      </c>
      <c r="J325" s="832">
        <v>3</v>
      </c>
      <c r="K325" s="832">
        <v>48411.659999999996</v>
      </c>
      <c r="L325" s="832">
        <v>1</v>
      </c>
      <c r="M325" s="832">
        <v>16137.22</v>
      </c>
      <c r="N325" s="832">
        <v>5</v>
      </c>
      <c r="O325" s="832">
        <v>79976.02</v>
      </c>
      <c r="P325" s="828">
        <v>1.6519991258304303</v>
      </c>
      <c r="Q325" s="833">
        <v>15995.204000000002</v>
      </c>
    </row>
    <row r="326" spans="1:17" ht="14.45" customHeight="1" x14ac:dyDescent="0.2">
      <c r="A326" s="822" t="s">
        <v>575</v>
      </c>
      <c r="B326" s="823" t="s">
        <v>5562</v>
      </c>
      <c r="C326" s="823" t="s">
        <v>5396</v>
      </c>
      <c r="D326" s="823" t="s">
        <v>5743</v>
      </c>
      <c r="E326" s="823" t="s">
        <v>5744</v>
      </c>
      <c r="F326" s="832">
        <v>32</v>
      </c>
      <c r="G326" s="832">
        <v>43035.92</v>
      </c>
      <c r="H326" s="832">
        <v>0.67553039029077866</v>
      </c>
      <c r="I326" s="832">
        <v>1344.8724999999999</v>
      </c>
      <c r="J326" s="832">
        <v>49</v>
      </c>
      <c r="K326" s="832">
        <v>63706.86</v>
      </c>
      <c r="L326" s="832">
        <v>1</v>
      </c>
      <c r="M326" s="832">
        <v>1300.1400000000001</v>
      </c>
      <c r="N326" s="832">
        <v>38</v>
      </c>
      <c r="O326" s="832">
        <v>49405.32</v>
      </c>
      <c r="P326" s="828">
        <v>0.77551020408163263</v>
      </c>
      <c r="Q326" s="833">
        <v>1300.1400000000001</v>
      </c>
    </row>
    <row r="327" spans="1:17" ht="14.45" customHeight="1" x14ac:dyDescent="0.2">
      <c r="A327" s="822" t="s">
        <v>575</v>
      </c>
      <c r="B327" s="823" t="s">
        <v>5562</v>
      </c>
      <c r="C327" s="823" t="s">
        <v>5396</v>
      </c>
      <c r="D327" s="823" t="s">
        <v>5745</v>
      </c>
      <c r="E327" s="823" t="s">
        <v>5746</v>
      </c>
      <c r="F327" s="832"/>
      <c r="G327" s="832"/>
      <c r="H327" s="832"/>
      <c r="I327" s="832"/>
      <c r="J327" s="832">
        <v>2</v>
      </c>
      <c r="K327" s="832">
        <v>16898.939999999999</v>
      </c>
      <c r="L327" s="832">
        <v>1</v>
      </c>
      <c r="M327" s="832">
        <v>8449.4699999999993</v>
      </c>
      <c r="N327" s="832">
        <v>3</v>
      </c>
      <c r="O327" s="832">
        <v>22896.489999999998</v>
      </c>
      <c r="P327" s="828">
        <v>1.3549068758158795</v>
      </c>
      <c r="Q327" s="833">
        <v>7632.163333333333</v>
      </c>
    </row>
    <row r="328" spans="1:17" ht="14.45" customHeight="1" x14ac:dyDescent="0.2">
      <c r="A328" s="822" t="s">
        <v>575</v>
      </c>
      <c r="B328" s="823" t="s">
        <v>5562</v>
      </c>
      <c r="C328" s="823" t="s">
        <v>5396</v>
      </c>
      <c r="D328" s="823" t="s">
        <v>5747</v>
      </c>
      <c r="E328" s="823" t="s">
        <v>5737</v>
      </c>
      <c r="F328" s="832"/>
      <c r="G328" s="832"/>
      <c r="H328" s="832"/>
      <c r="I328" s="832"/>
      <c r="J328" s="832">
        <v>2</v>
      </c>
      <c r="K328" s="832">
        <v>16051.2</v>
      </c>
      <c r="L328" s="832">
        <v>1</v>
      </c>
      <c r="M328" s="832">
        <v>8025.6</v>
      </c>
      <c r="N328" s="832">
        <v>2</v>
      </c>
      <c r="O328" s="832">
        <v>16051.2</v>
      </c>
      <c r="P328" s="828">
        <v>1</v>
      </c>
      <c r="Q328" s="833">
        <v>8025.6</v>
      </c>
    </row>
    <row r="329" spans="1:17" ht="14.45" customHeight="1" x14ac:dyDescent="0.2">
      <c r="A329" s="822" t="s">
        <v>575</v>
      </c>
      <c r="B329" s="823" t="s">
        <v>5562</v>
      </c>
      <c r="C329" s="823" t="s">
        <v>5396</v>
      </c>
      <c r="D329" s="823" t="s">
        <v>5748</v>
      </c>
      <c r="E329" s="823" t="s">
        <v>5749</v>
      </c>
      <c r="F329" s="832">
        <v>24</v>
      </c>
      <c r="G329" s="832">
        <v>26937.119999999999</v>
      </c>
      <c r="H329" s="832">
        <v>0.2857142857142857</v>
      </c>
      <c r="I329" s="832">
        <v>1122.3799999999999</v>
      </c>
      <c r="J329" s="832">
        <v>84</v>
      </c>
      <c r="K329" s="832">
        <v>94279.92</v>
      </c>
      <c r="L329" s="832">
        <v>1</v>
      </c>
      <c r="M329" s="832">
        <v>1122.3799999999999</v>
      </c>
      <c r="N329" s="832">
        <v>89</v>
      </c>
      <c r="O329" s="832">
        <v>92707.5</v>
      </c>
      <c r="P329" s="828">
        <v>0.98332179323020219</v>
      </c>
      <c r="Q329" s="833">
        <v>1041.6573033707866</v>
      </c>
    </row>
    <row r="330" spans="1:17" ht="14.45" customHeight="1" x14ac:dyDescent="0.2">
      <c r="A330" s="822" t="s">
        <v>575</v>
      </c>
      <c r="B330" s="823" t="s">
        <v>5562</v>
      </c>
      <c r="C330" s="823" t="s">
        <v>5396</v>
      </c>
      <c r="D330" s="823" t="s">
        <v>5750</v>
      </c>
      <c r="E330" s="823" t="s">
        <v>5751</v>
      </c>
      <c r="F330" s="832">
        <v>104</v>
      </c>
      <c r="G330" s="832">
        <v>177043.35999999996</v>
      </c>
      <c r="H330" s="832">
        <v>1.0128143989909577</v>
      </c>
      <c r="I330" s="832">
        <v>1702.3399999999997</v>
      </c>
      <c r="J330" s="832">
        <v>103</v>
      </c>
      <c r="K330" s="832">
        <v>174803.35999999996</v>
      </c>
      <c r="L330" s="832">
        <v>1</v>
      </c>
      <c r="M330" s="832">
        <v>1697.1199999999997</v>
      </c>
      <c r="N330" s="832">
        <v>39</v>
      </c>
      <c r="O330" s="832">
        <v>53082.080000000002</v>
      </c>
      <c r="P330" s="828">
        <v>0.30366738945979077</v>
      </c>
      <c r="Q330" s="833">
        <v>1361.0789743589744</v>
      </c>
    </row>
    <row r="331" spans="1:17" ht="14.45" customHeight="1" x14ac:dyDescent="0.2">
      <c r="A331" s="822" t="s">
        <v>575</v>
      </c>
      <c r="B331" s="823" t="s">
        <v>5562</v>
      </c>
      <c r="C331" s="823" t="s">
        <v>5396</v>
      </c>
      <c r="D331" s="823" t="s">
        <v>5752</v>
      </c>
      <c r="E331" s="823" t="s">
        <v>5753</v>
      </c>
      <c r="F331" s="832">
        <v>37</v>
      </c>
      <c r="G331" s="832">
        <v>2378715.2000000002</v>
      </c>
      <c r="H331" s="832">
        <v>0.95165695952365215</v>
      </c>
      <c r="I331" s="832">
        <v>64289.600000000006</v>
      </c>
      <c r="J331" s="832">
        <v>45</v>
      </c>
      <c r="K331" s="832">
        <v>2499551.1</v>
      </c>
      <c r="L331" s="832">
        <v>1</v>
      </c>
      <c r="M331" s="832">
        <v>55545.58</v>
      </c>
      <c r="N331" s="832">
        <v>36</v>
      </c>
      <c r="O331" s="832">
        <v>1989872.9000000001</v>
      </c>
      <c r="P331" s="828">
        <v>0.79609210629860705</v>
      </c>
      <c r="Q331" s="833">
        <v>55274.247222222228</v>
      </c>
    </row>
    <row r="332" spans="1:17" ht="14.45" customHeight="1" x14ac:dyDescent="0.2">
      <c r="A332" s="822" t="s">
        <v>575</v>
      </c>
      <c r="B332" s="823" t="s">
        <v>5562</v>
      </c>
      <c r="C332" s="823" t="s">
        <v>5396</v>
      </c>
      <c r="D332" s="823" t="s">
        <v>5754</v>
      </c>
      <c r="E332" s="823" t="s">
        <v>5755</v>
      </c>
      <c r="F332" s="832">
        <v>3</v>
      </c>
      <c r="G332" s="832">
        <v>200233.86</v>
      </c>
      <c r="H332" s="832">
        <v>1.5</v>
      </c>
      <c r="I332" s="832">
        <v>66744.62</v>
      </c>
      <c r="J332" s="832">
        <v>2</v>
      </c>
      <c r="K332" s="832">
        <v>133489.24</v>
      </c>
      <c r="L332" s="832">
        <v>1</v>
      </c>
      <c r="M332" s="832">
        <v>66744.62</v>
      </c>
      <c r="N332" s="832">
        <v>9</v>
      </c>
      <c r="O332" s="832">
        <v>529996.30000000005</v>
      </c>
      <c r="P332" s="828">
        <v>3.9703297434310065</v>
      </c>
      <c r="Q332" s="833">
        <v>58888.477777777785</v>
      </c>
    </row>
    <row r="333" spans="1:17" ht="14.45" customHeight="1" x14ac:dyDescent="0.2">
      <c r="A333" s="822" t="s">
        <v>575</v>
      </c>
      <c r="B333" s="823" t="s">
        <v>5562</v>
      </c>
      <c r="C333" s="823" t="s">
        <v>5396</v>
      </c>
      <c r="D333" s="823" t="s">
        <v>5756</v>
      </c>
      <c r="E333" s="823" t="s">
        <v>5757</v>
      </c>
      <c r="F333" s="832">
        <v>6</v>
      </c>
      <c r="G333" s="832">
        <v>482844.89999999997</v>
      </c>
      <c r="H333" s="832">
        <v>0.82277396268211633</v>
      </c>
      <c r="I333" s="832">
        <v>80474.149999999994</v>
      </c>
      <c r="J333" s="832">
        <v>10</v>
      </c>
      <c r="K333" s="832">
        <v>586850</v>
      </c>
      <c r="L333" s="832">
        <v>1</v>
      </c>
      <c r="M333" s="832">
        <v>58685</v>
      </c>
      <c r="N333" s="832">
        <v>6</v>
      </c>
      <c r="O333" s="832">
        <v>346241.5</v>
      </c>
      <c r="P333" s="828">
        <v>0.59</v>
      </c>
      <c r="Q333" s="833">
        <v>57706.916666666664</v>
      </c>
    </row>
    <row r="334" spans="1:17" ht="14.45" customHeight="1" x14ac:dyDescent="0.2">
      <c r="A334" s="822" t="s">
        <v>575</v>
      </c>
      <c r="B334" s="823" t="s">
        <v>5562</v>
      </c>
      <c r="C334" s="823" t="s">
        <v>5396</v>
      </c>
      <c r="D334" s="823" t="s">
        <v>5758</v>
      </c>
      <c r="E334" s="823" t="s">
        <v>5759</v>
      </c>
      <c r="F334" s="832"/>
      <c r="G334" s="832"/>
      <c r="H334" s="832"/>
      <c r="I334" s="832"/>
      <c r="J334" s="832"/>
      <c r="K334" s="832"/>
      <c r="L334" s="832"/>
      <c r="M334" s="832"/>
      <c r="N334" s="832">
        <v>1</v>
      </c>
      <c r="O334" s="832">
        <v>12270</v>
      </c>
      <c r="P334" s="828"/>
      <c r="Q334" s="833">
        <v>12270</v>
      </c>
    </row>
    <row r="335" spans="1:17" ht="14.45" customHeight="1" x14ac:dyDescent="0.2">
      <c r="A335" s="822" t="s">
        <v>575</v>
      </c>
      <c r="B335" s="823" t="s">
        <v>5562</v>
      </c>
      <c r="C335" s="823" t="s">
        <v>5396</v>
      </c>
      <c r="D335" s="823" t="s">
        <v>5760</v>
      </c>
      <c r="E335" s="823" t="s">
        <v>5761</v>
      </c>
      <c r="F335" s="832">
        <v>2</v>
      </c>
      <c r="G335" s="832">
        <v>115014</v>
      </c>
      <c r="H335" s="832">
        <v>2</v>
      </c>
      <c r="I335" s="832">
        <v>57507</v>
      </c>
      <c r="J335" s="832">
        <v>1</v>
      </c>
      <c r="K335" s="832">
        <v>57507</v>
      </c>
      <c r="L335" s="832">
        <v>1</v>
      </c>
      <c r="M335" s="832">
        <v>57507</v>
      </c>
      <c r="N335" s="832"/>
      <c r="O335" s="832"/>
      <c r="P335" s="828"/>
      <c r="Q335" s="833"/>
    </row>
    <row r="336" spans="1:17" ht="14.45" customHeight="1" x14ac:dyDescent="0.2">
      <c r="A336" s="822" t="s">
        <v>575</v>
      </c>
      <c r="B336" s="823" t="s">
        <v>5562</v>
      </c>
      <c r="C336" s="823" t="s">
        <v>5396</v>
      </c>
      <c r="D336" s="823" t="s">
        <v>5762</v>
      </c>
      <c r="E336" s="823" t="s">
        <v>5763</v>
      </c>
      <c r="F336" s="832">
        <v>5</v>
      </c>
      <c r="G336" s="832">
        <v>215760.55</v>
      </c>
      <c r="H336" s="832">
        <v>0.625</v>
      </c>
      <c r="I336" s="832">
        <v>43152.11</v>
      </c>
      <c r="J336" s="832">
        <v>8</v>
      </c>
      <c r="K336" s="832">
        <v>345216.88</v>
      </c>
      <c r="L336" s="832">
        <v>1</v>
      </c>
      <c r="M336" s="832">
        <v>43152.11</v>
      </c>
      <c r="N336" s="832">
        <v>5</v>
      </c>
      <c r="O336" s="832">
        <v>198489.5</v>
      </c>
      <c r="P336" s="828">
        <v>0.57497043597636366</v>
      </c>
      <c r="Q336" s="833">
        <v>39697.9</v>
      </c>
    </row>
    <row r="337" spans="1:17" ht="14.45" customHeight="1" x14ac:dyDescent="0.2">
      <c r="A337" s="822" t="s">
        <v>575</v>
      </c>
      <c r="B337" s="823" t="s">
        <v>5562</v>
      </c>
      <c r="C337" s="823" t="s">
        <v>5396</v>
      </c>
      <c r="D337" s="823" t="s">
        <v>5764</v>
      </c>
      <c r="E337" s="823" t="s">
        <v>5765</v>
      </c>
      <c r="F337" s="832">
        <v>3</v>
      </c>
      <c r="G337" s="832">
        <v>41071.08</v>
      </c>
      <c r="H337" s="832">
        <v>0.6</v>
      </c>
      <c r="I337" s="832">
        <v>13690.36</v>
      </c>
      <c r="J337" s="832">
        <v>5</v>
      </c>
      <c r="K337" s="832">
        <v>68451.8</v>
      </c>
      <c r="L337" s="832">
        <v>1</v>
      </c>
      <c r="M337" s="832">
        <v>13690.36</v>
      </c>
      <c r="N337" s="832">
        <v>1</v>
      </c>
      <c r="O337" s="832">
        <v>10810.8</v>
      </c>
      <c r="P337" s="828">
        <v>0.157933027327258</v>
      </c>
      <c r="Q337" s="833">
        <v>10810.8</v>
      </c>
    </row>
    <row r="338" spans="1:17" ht="14.45" customHeight="1" x14ac:dyDescent="0.2">
      <c r="A338" s="822" t="s">
        <v>575</v>
      </c>
      <c r="B338" s="823" t="s">
        <v>5562</v>
      </c>
      <c r="C338" s="823" t="s">
        <v>5396</v>
      </c>
      <c r="D338" s="823" t="s">
        <v>5766</v>
      </c>
      <c r="E338" s="823" t="s">
        <v>5759</v>
      </c>
      <c r="F338" s="832"/>
      <c r="G338" s="832"/>
      <c r="H338" s="832"/>
      <c r="I338" s="832"/>
      <c r="J338" s="832">
        <v>1</v>
      </c>
      <c r="K338" s="832">
        <v>18950</v>
      </c>
      <c r="L338" s="832">
        <v>1</v>
      </c>
      <c r="M338" s="832">
        <v>18950</v>
      </c>
      <c r="N338" s="832">
        <v>1</v>
      </c>
      <c r="O338" s="832">
        <v>18950</v>
      </c>
      <c r="P338" s="828">
        <v>1</v>
      </c>
      <c r="Q338" s="833">
        <v>18950</v>
      </c>
    </row>
    <row r="339" spans="1:17" ht="14.45" customHeight="1" x14ac:dyDescent="0.2">
      <c r="A339" s="822" t="s">
        <v>575</v>
      </c>
      <c r="B339" s="823" t="s">
        <v>5562</v>
      </c>
      <c r="C339" s="823" t="s">
        <v>5396</v>
      </c>
      <c r="D339" s="823" t="s">
        <v>5767</v>
      </c>
      <c r="E339" s="823" t="s">
        <v>5768</v>
      </c>
      <c r="F339" s="832">
        <v>2</v>
      </c>
      <c r="G339" s="832">
        <v>4974.54</v>
      </c>
      <c r="H339" s="832"/>
      <c r="I339" s="832">
        <v>2487.27</v>
      </c>
      <c r="J339" s="832"/>
      <c r="K339" s="832"/>
      <c r="L339" s="832"/>
      <c r="M339" s="832"/>
      <c r="N339" s="832">
        <v>1</v>
      </c>
      <c r="O339" s="832">
        <v>2487.27</v>
      </c>
      <c r="P339" s="828"/>
      <c r="Q339" s="833">
        <v>2487.27</v>
      </c>
    </row>
    <row r="340" spans="1:17" ht="14.45" customHeight="1" x14ac:dyDescent="0.2">
      <c r="A340" s="822" t="s">
        <v>575</v>
      </c>
      <c r="B340" s="823" t="s">
        <v>5562</v>
      </c>
      <c r="C340" s="823" t="s">
        <v>5396</v>
      </c>
      <c r="D340" s="823" t="s">
        <v>5769</v>
      </c>
      <c r="E340" s="823" t="s">
        <v>5770</v>
      </c>
      <c r="F340" s="832">
        <v>1</v>
      </c>
      <c r="G340" s="832">
        <v>8683.69</v>
      </c>
      <c r="H340" s="832"/>
      <c r="I340" s="832">
        <v>8683.69</v>
      </c>
      <c r="J340" s="832"/>
      <c r="K340" s="832"/>
      <c r="L340" s="832"/>
      <c r="M340" s="832"/>
      <c r="N340" s="832">
        <v>1</v>
      </c>
      <c r="O340" s="832">
        <v>6989.7</v>
      </c>
      <c r="P340" s="828"/>
      <c r="Q340" s="833">
        <v>6989.7</v>
      </c>
    </row>
    <row r="341" spans="1:17" ht="14.45" customHeight="1" x14ac:dyDescent="0.2">
      <c r="A341" s="822" t="s">
        <v>575</v>
      </c>
      <c r="B341" s="823" t="s">
        <v>5562</v>
      </c>
      <c r="C341" s="823" t="s">
        <v>5396</v>
      </c>
      <c r="D341" s="823" t="s">
        <v>5771</v>
      </c>
      <c r="E341" s="823" t="s">
        <v>5772</v>
      </c>
      <c r="F341" s="832">
        <v>1</v>
      </c>
      <c r="G341" s="832">
        <v>1053.71</v>
      </c>
      <c r="H341" s="832">
        <v>1</v>
      </c>
      <c r="I341" s="832">
        <v>1053.71</v>
      </c>
      <c r="J341" s="832">
        <v>1</v>
      </c>
      <c r="K341" s="832">
        <v>1053.71</v>
      </c>
      <c r="L341" s="832">
        <v>1</v>
      </c>
      <c r="M341" s="832">
        <v>1053.71</v>
      </c>
      <c r="N341" s="832"/>
      <c r="O341" s="832"/>
      <c r="P341" s="828"/>
      <c r="Q341" s="833"/>
    </row>
    <row r="342" spans="1:17" ht="14.45" customHeight="1" x14ac:dyDescent="0.2">
      <c r="A342" s="822" t="s">
        <v>575</v>
      </c>
      <c r="B342" s="823" t="s">
        <v>5562</v>
      </c>
      <c r="C342" s="823" t="s">
        <v>5396</v>
      </c>
      <c r="D342" s="823" t="s">
        <v>5773</v>
      </c>
      <c r="E342" s="823" t="s">
        <v>5774</v>
      </c>
      <c r="F342" s="832"/>
      <c r="G342" s="832"/>
      <c r="H342" s="832"/>
      <c r="I342" s="832"/>
      <c r="J342" s="832"/>
      <c r="K342" s="832"/>
      <c r="L342" s="832"/>
      <c r="M342" s="832"/>
      <c r="N342" s="832">
        <v>6</v>
      </c>
      <c r="O342" s="832">
        <v>7934.98</v>
      </c>
      <c r="P342" s="828"/>
      <c r="Q342" s="833">
        <v>1322.4966666666667</v>
      </c>
    </row>
    <row r="343" spans="1:17" ht="14.45" customHeight="1" x14ac:dyDescent="0.2">
      <c r="A343" s="822" t="s">
        <v>575</v>
      </c>
      <c r="B343" s="823" t="s">
        <v>5562</v>
      </c>
      <c r="C343" s="823" t="s">
        <v>5396</v>
      </c>
      <c r="D343" s="823" t="s">
        <v>5775</v>
      </c>
      <c r="E343" s="823" t="s">
        <v>5776</v>
      </c>
      <c r="F343" s="832">
        <v>4</v>
      </c>
      <c r="G343" s="832">
        <v>28361.119999999999</v>
      </c>
      <c r="H343" s="832"/>
      <c r="I343" s="832">
        <v>7090.28</v>
      </c>
      <c r="J343" s="832"/>
      <c r="K343" s="832"/>
      <c r="L343" s="832"/>
      <c r="M343" s="832"/>
      <c r="N343" s="832"/>
      <c r="O343" s="832"/>
      <c r="P343" s="828"/>
      <c r="Q343" s="833"/>
    </row>
    <row r="344" spans="1:17" ht="14.45" customHeight="1" x14ac:dyDescent="0.2">
      <c r="A344" s="822" t="s">
        <v>575</v>
      </c>
      <c r="B344" s="823" t="s">
        <v>5562</v>
      </c>
      <c r="C344" s="823" t="s">
        <v>5396</v>
      </c>
      <c r="D344" s="823" t="s">
        <v>5777</v>
      </c>
      <c r="E344" s="823" t="s">
        <v>5778</v>
      </c>
      <c r="F344" s="832">
        <v>11</v>
      </c>
      <c r="G344" s="832">
        <v>56252.57</v>
      </c>
      <c r="H344" s="832">
        <v>1.1000000000000001</v>
      </c>
      <c r="I344" s="832">
        <v>5113.87</v>
      </c>
      <c r="J344" s="832">
        <v>10</v>
      </c>
      <c r="K344" s="832">
        <v>51138.7</v>
      </c>
      <c r="L344" s="832">
        <v>1</v>
      </c>
      <c r="M344" s="832">
        <v>5113.87</v>
      </c>
      <c r="N344" s="832">
        <v>2</v>
      </c>
      <c r="O344" s="832">
        <v>10227.74</v>
      </c>
      <c r="P344" s="828">
        <v>0.2</v>
      </c>
      <c r="Q344" s="833">
        <v>5113.87</v>
      </c>
    </row>
    <row r="345" spans="1:17" ht="14.45" customHeight="1" x14ac:dyDescent="0.2">
      <c r="A345" s="822" t="s">
        <v>575</v>
      </c>
      <c r="B345" s="823" t="s">
        <v>5562</v>
      </c>
      <c r="C345" s="823" t="s">
        <v>5396</v>
      </c>
      <c r="D345" s="823" t="s">
        <v>5779</v>
      </c>
      <c r="E345" s="823" t="s">
        <v>5780</v>
      </c>
      <c r="F345" s="832">
        <v>5</v>
      </c>
      <c r="G345" s="832">
        <v>222600</v>
      </c>
      <c r="H345" s="832">
        <v>1</v>
      </c>
      <c r="I345" s="832">
        <v>44520</v>
      </c>
      <c r="J345" s="832">
        <v>5</v>
      </c>
      <c r="K345" s="832">
        <v>222600</v>
      </c>
      <c r="L345" s="832">
        <v>1</v>
      </c>
      <c r="M345" s="832">
        <v>44520</v>
      </c>
      <c r="N345" s="832">
        <v>1</v>
      </c>
      <c r="O345" s="832">
        <v>41371.699999999997</v>
      </c>
      <c r="P345" s="828">
        <v>0.18585669362084456</v>
      </c>
      <c r="Q345" s="833">
        <v>41371.699999999997</v>
      </c>
    </row>
    <row r="346" spans="1:17" ht="14.45" customHeight="1" x14ac:dyDescent="0.2">
      <c r="A346" s="822" t="s">
        <v>575</v>
      </c>
      <c r="B346" s="823" t="s">
        <v>5562</v>
      </c>
      <c r="C346" s="823" t="s">
        <v>5396</v>
      </c>
      <c r="D346" s="823" t="s">
        <v>5781</v>
      </c>
      <c r="E346" s="823" t="s">
        <v>5782</v>
      </c>
      <c r="F346" s="832"/>
      <c r="G346" s="832"/>
      <c r="H346" s="832"/>
      <c r="I346" s="832"/>
      <c r="J346" s="832"/>
      <c r="K346" s="832"/>
      <c r="L346" s="832"/>
      <c r="M346" s="832"/>
      <c r="N346" s="832">
        <v>1</v>
      </c>
      <c r="O346" s="832">
        <v>46118</v>
      </c>
      <c r="P346" s="828"/>
      <c r="Q346" s="833">
        <v>46118</v>
      </c>
    </row>
    <row r="347" spans="1:17" ht="14.45" customHeight="1" x14ac:dyDescent="0.2">
      <c r="A347" s="822" t="s">
        <v>575</v>
      </c>
      <c r="B347" s="823" t="s">
        <v>5562</v>
      </c>
      <c r="C347" s="823" t="s">
        <v>5396</v>
      </c>
      <c r="D347" s="823" t="s">
        <v>5783</v>
      </c>
      <c r="E347" s="823" t="s">
        <v>5784</v>
      </c>
      <c r="F347" s="832">
        <v>1</v>
      </c>
      <c r="G347" s="832">
        <v>89610.3</v>
      </c>
      <c r="H347" s="832"/>
      <c r="I347" s="832">
        <v>89610.3</v>
      </c>
      <c r="J347" s="832"/>
      <c r="K347" s="832"/>
      <c r="L347" s="832"/>
      <c r="M347" s="832"/>
      <c r="N347" s="832"/>
      <c r="O347" s="832"/>
      <c r="P347" s="828"/>
      <c r="Q347" s="833"/>
    </row>
    <row r="348" spans="1:17" ht="14.45" customHeight="1" x14ac:dyDescent="0.2">
      <c r="A348" s="822" t="s">
        <v>575</v>
      </c>
      <c r="B348" s="823" t="s">
        <v>5562</v>
      </c>
      <c r="C348" s="823" t="s">
        <v>5396</v>
      </c>
      <c r="D348" s="823" t="s">
        <v>5785</v>
      </c>
      <c r="E348" s="823" t="s">
        <v>5786</v>
      </c>
      <c r="F348" s="832"/>
      <c r="G348" s="832"/>
      <c r="H348" s="832"/>
      <c r="I348" s="832"/>
      <c r="J348" s="832">
        <v>5</v>
      </c>
      <c r="K348" s="832">
        <v>203901.15000000002</v>
      </c>
      <c r="L348" s="832">
        <v>1</v>
      </c>
      <c r="M348" s="832">
        <v>40780.230000000003</v>
      </c>
      <c r="N348" s="832">
        <v>6</v>
      </c>
      <c r="O348" s="832">
        <v>181500</v>
      </c>
      <c r="P348" s="828">
        <v>0.89013720619035241</v>
      </c>
      <c r="Q348" s="833">
        <v>30250</v>
      </c>
    </row>
    <row r="349" spans="1:17" ht="14.45" customHeight="1" x14ac:dyDescent="0.2">
      <c r="A349" s="822" t="s">
        <v>575</v>
      </c>
      <c r="B349" s="823" t="s">
        <v>5562</v>
      </c>
      <c r="C349" s="823" t="s">
        <v>5396</v>
      </c>
      <c r="D349" s="823" t="s">
        <v>5787</v>
      </c>
      <c r="E349" s="823" t="s">
        <v>5788</v>
      </c>
      <c r="F349" s="832">
        <v>1</v>
      </c>
      <c r="G349" s="832">
        <v>445500</v>
      </c>
      <c r="H349" s="832"/>
      <c r="I349" s="832">
        <v>445500</v>
      </c>
      <c r="J349" s="832"/>
      <c r="K349" s="832"/>
      <c r="L349" s="832"/>
      <c r="M349" s="832"/>
      <c r="N349" s="832"/>
      <c r="O349" s="832"/>
      <c r="P349" s="828"/>
      <c r="Q349" s="833"/>
    </row>
    <row r="350" spans="1:17" ht="14.45" customHeight="1" x14ac:dyDescent="0.2">
      <c r="A350" s="822" t="s">
        <v>575</v>
      </c>
      <c r="B350" s="823" t="s">
        <v>5562</v>
      </c>
      <c r="C350" s="823" t="s">
        <v>5396</v>
      </c>
      <c r="D350" s="823" t="s">
        <v>5789</v>
      </c>
      <c r="E350" s="823" t="s">
        <v>5790</v>
      </c>
      <c r="F350" s="832">
        <v>84</v>
      </c>
      <c r="G350" s="832">
        <v>2007801.5999999999</v>
      </c>
      <c r="H350" s="832">
        <v>0.68948757220074031</v>
      </c>
      <c r="I350" s="832">
        <v>23902.399999999998</v>
      </c>
      <c r="J350" s="832">
        <v>167</v>
      </c>
      <c r="K350" s="832">
        <v>2912020</v>
      </c>
      <c r="L350" s="832">
        <v>1</v>
      </c>
      <c r="M350" s="832">
        <v>17437.245508982036</v>
      </c>
      <c r="N350" s="832">
        <v>131</v>
      </c>
      <c r="O350" s="832">
        <v>2282544</v>
      </c>
      <c r="P350" s="828">
        <v>0.78383527585662183</v>
      </c>
      <c r="Q350" s="833">
        <v>17424</v>
      </c>
    </row>
    <row r="351" spans="1:17" ht="14.45" customHeight="1" x14ac:dyDescent="0.2">
      <c r="A351" s="822" t="s">
        <v>575</v>
      </c>
      <c r="B351" s="823" t="s">
        <v>5562</v>
      </c>
      <c r="C351" s="823" t="s">
        <v>5396</v>
      </c>
      <c r="D351" s="823" t="s">
        <v>5791</v>
      </c>
      <c r="E351" s="823" t="s">
        <v>5792</v>
      </c>
      <c r="F351" s="832">
        <v>1</v>
      </c>
      <c r="G351" s="832">
        <v>56543.42</v>
      </c>
      <c r="H351" s="832"/>
      <c r="I351" s="832">
        <v>56543.42</v>
      </c>
      <c r="J351" s="832"/>
      <c r="K351" s="832"/>
      <c r="L351" s="832"/>
      <c r="M351" s="832"/>
      <c r="N351" s="832"/>
      <c r="O351" s="832"/>
      <c r="P351" s="828"/>
      <c r="Q351" s="833"/>
    </row>
    <row r="352" spans="1:17" ht="14.45" customHeight="1" x14ac:dyDescent="0.2">
      <c r="A352" s="822" t="s">
        <v>575</v>
      </c>
      <c r="B352" s="823" t="s">
        <v>5562</v>
      </c>
      <c r="C352" s="823" t="s">
        <v>5396</v>
      </c>
      <c r="D352" s="823" t="s">
        <v>5793</v>
      </c>
      <c r="E352" s="823" t="s">
        <v>5794</v>
      </c>
      <c r="F352" s="832"/>
      <c r="G352" s="832"/>
      <c r="H352" s="832"/>
      <c r="I352" s="832"/>
      <c r="J352" s="832">
        <v>2</v>
      </c>
      <c r="K352" s="832">
        <v>193430</v>
      </c>
      <c r="L352" s="832">
        <v>1</v>
      </c>
      <c r="M352" s="832">
        <v>96715</v>
      </c>
      <c r="N352" s="832"/>
      <c r="O352" s="832"/>
      <c r="P352" s="828"/>
      <c r="Q352" s="833"/>
    </row>
    <row r="353" spans="1:17" ht="14.45" customHeight="1" x14ac:dyDescent="0.2">
      <c r="A353" s="822" t="s">
        <v>575</v>
      </c>
      <c r="B353" s="823" t="s">
        <v>5562</v>
      </c>
      <c r="C353" s="823" t="s">
        <v>5396</v>
      </c>
      <c r="D353" s="823" t="s">
        <v>5795</v>
      </c>
      <c r="E353" s="823" t="s">
        <v>5651</v>
      </c>
      <c r="F353" s="832">
        <v>1</v>
      </c>
      <c r="G353" s="832">
        <v>64237.96</v>
      </c>
      <c r="H353" s="832">
        <v>1</v>
      </c>
      <c r="I353" s="832">
        <v>64237.96</v>
      </c>
      <c r="J353" s="832">
        <v>1</v>
      </c>
      <c r="K353" s="832">
        <v>64237.96</v>
      </c>
      <c r="L353" s="832">
        <v>1</v>
      </c>
      <c r="M353" s="832">
        <v>64237.96</v>
      </c>
      <c r="N353" s="832">
        <v>1</v>
      </c>
      <c r="O353" s="832">
        <v>64237.96</v>
      </c>
      <c r="P353" s="828">
        <v>1</v>
      </c>
      <c r="Q353" s="833">
        <v>64237.96</v>
      </c>
    </row>
    <row r="354" spans="1:17" ht="14.45" customHeight="1" x14ac:dyDescent="0.2">
      <c r="A354" s="822" t="s">
        <v>575</v>
      </c>
      <c r="B354" s="823" t="s">
        <v>5562</v>
      </c>
      <c r="C354" s="823" t="s">
        <v>5396</v>
      </c>
      <c r="D354" s="823" t="s">
        <v>5796</v>
      </c>
      <c r="E354" s="823" t="s">
        <v>5797</v>
      </c>
      <c r="F354" s="832">
        <v>4</v>
      </c>
      <c r="G354" s="832">
        <v>213023.08</v>
      </c>
      <c r="H354" s="832">
        <v>0.8</v>
      </c>
      <c r="I354" s="832">
        <v>53255.77</v>
      </c>
      <c r="J354" s="832">
        <v>5</v>
      </c>
      <c r="K354" s="832">
        <v>266278.84999999998</v>
      </c>
      <c r="L354" s="832">
        <v>1</v>
      </c>
      <c r="M354" s="832">
        <v>53255.77</v>
      </c>
      <c r="N354" s="832"/>
      <c r="O354" s="832"/>
      <c r="P354" s="828"/>
      <c r="Q354" s="833"/>
    </row>
    <row r="355" spans="1:17" ht="14.45" customHeight="1" x14ac:dyDescent="0.2">
      <c r="A355" s="822" t="s">
        <v>575</v>
      </c>
      <c r="B355" s="823" t="s">
        <v>5562</v>
      </c>
      <c r="C355" s="823" t="s">
        <v>5396</v>
      </c>
      <c r="D355" s="823" t="s">
        <v>5798</v>
      </c>
      <c r="E355" s="823" t="s">
        <v>5799</v>
      </c>
      <c r="F355" s="832">
        <v>1</v>
      </c>
      <c r="G355" s="832">
        <v>18014</v>
      </c>
      <c r="H355" s="832"/>
      <c r="I355" s="832">
        <v>18014</v>
      </c>
      <c r="J355" s="832"/>
      <c r="K355" s="832"/>
      <c r="L355" s="832"/>
      <c r="M355" s="832"/>
      <c r="N355" s="832"/>
      <c r="O355" s="832"/>
      <c r="P355" s="828"/>
      <c r="Q355" s="833"/>
    </row>
    <row r="356" spans="1:17" ht="14.45" customHeight="1" x14ac:dyDescent="0.2">
      <c r="A356" s="822" t="s">
        <v>575</v>
      </c>
      <c r="B356" s="823" t="s">
        <v>5562</v>
      </c>
      <c r="C356" s="823" t="s">
        <v>5396</v>
      </c>
      <c r="D356" s="823" t="s">
        <v>5800</v>
      </c>
      <c r="E356" s="823" t="s">
        <v>5801</v>
      </c>
      <c r="F356" s="832"/>
      <c r="G356" s="832"/>
      <c r="H356" s="832"/>
      <c r="I356" s="832"/>
      <c r="J356" s="832">
        <v>1</v>
      </c>
      <c r="K356" s="832">
        <v>306.87</v>
      </c>
      <c r="L356" s="832">
        <v>1</v>
      </c>
      <c r="M356" s="832">
        <v>306.87</v>
      </c>
      <c r="N356" s="832"/>
      <c r="O356" s="832"/>
      <c r="P356" s="828"/>
      <c r="Q356" s="833"/>
    </row>
    <row r="357" spans="1:17" ht="14.45" customHeight="1" x14ac:dyDescent="0.2">
      <c r="A357" s="822" t="s">
        <v>575</v>
      </c>
      <c r="B357" s="823" t="s">
        <v>5562</v>
      </c>
      <c r="C357" s="823" t="s">
        <v>5396</v>
      </c>
      <c r="D357" s="823" t="s">
        <v>5802</v>
      </c>
      <c r="E357" s="823" t="s">
        <v>5803</v>
      </c>
      <c r="F357" s="832"/>
      <c r="G357" s="832"/>
      <c r="H357" s="832"/>
      <c r="I357" s="832"/>
      <c r="J357" s="832"/>
      <c r="K357" s="832"/>
      <c r="L357" s="832"/>
      <c r="M357" s="832"/>
      <c r="N357" s="832">
        <v>6</v>
      </c>
      <c r="O357" s="832">
        <v>7392</v>
      </c>
      <c r="P357" s="828"/>
      <c r="Q357" s="833">
        <v>1232</v>
      </c>
    </row>
    <row r="358" spans="1:17" ht="14.45" customHeight="1" x14ac:dyDescent="0.2">
      <c r="A358" s="822" t="s">
        <v>575</v>
      </c>
      <c r="B358" s="823" t="s">
        <v>5562</v>
      </c>
      <c r="C358" s="823" t="s">
        <v>5396</v>
      </c>
      <c r="D358" s="823" t="s">
        <v>5804</v>
      </c>
      <c r="E358" s="823" t="s">
        <v>5805</v>
      </c>
      <c r="F358" s="832"/>
      <c r="G358" s="832"/>
      <c r="H358" s="832"/>
      <c r="I358" s="832"/>
      <c r="J358" s="832">
        <v>1</v>
      </c>
      <c r="K358" s="832">
        <v>8536.5499999999993</v>
      </c>
      <c r="L358" s="832">
        <v>1</v>
      </c>
      <c r="M358" s="832">
        <v>8536.5499999999993</v>
      </c>
      <c r="N358" s="832"/>
      <c r="O358" s="832"/>
      <c r="P358" s="828"/>
      <c r="Q358" s="833"/>
    </row>
    <row r="359" spans="1:17" ht="14.45" customHeight="1" x14ac:dyDescent="0.2">
      <c r="A359" s="822" t="s">
        <v>575</v>
      </c>
      <c r="B359" s="823" t="s">
        <v>5562</v>
      </c>
      <c r="C359" s="823" t="s">
        <v>5396</v>
      </c>
      <c r="D359" s="823" t="s">
        <v>5806</v>
      </c>
      <c r="E359" s="823" t="s">
        <v>5807</v>
      </c>
      <c r="F359" s="832"/>
      <c r="G359" s="832"/>
      <c r="H359" s="832"/>
      <c r="I359" s="832"/>
      <c r="J359" s="832">
        <v>2</v>
      </c>
      <c r="K359" s="832">
        <v>38945.5</v>
      </c>
      <c r="L359" s="832">
        <v>1</v>
      </c>
      <c r="M359" s="832">
        <v>19472.75</v>
      </c>
      <c r="N359" s="832"/>
      <c r="O359" s="832"/>
      <c r="P359" s="828"/>
      <c r="Q359" s="833"/>
    </row>
    <row r="360" spans="1:17" ht="14.45" customHeight="1" x14ac:dyDescent="0.2">
      <c r="A360" s="822" t="s">
        <v>575</v>
      </c>
      <c r="B360" s="823" t="s">
        <v>5562</v>
      </c>
      <c r="C360" s="823" t="s">
        <v>5396</v>
      </c>
      <c r="D360" s="823" t="s">
        <v>5808</v>
      </c>
      <c r="E360" s="823" t="s">
        <v>5809</v>
      </c>
      <c r="F360" s="832"/>
      <c r="G360" s="832"/>
      <c r="H360" s="832"/>
      <c r="I360" s="832"/>
      <c r="J360" s="832">
        <v>1</v>
      </c>
      <c r="K360" s="832">
        <v>236</v>
      </c>
      <c r="L360" s="832">
        <v>1</v>
      </c>
      <c r="M360" s="832">
        <v>236</v>
      </c>
      <c r="N360" s="832"/>
      <c r="O360" s="832"/>
      <c r="P360" s="828"/>
      <c r="Q360" s="833"/>
    </row>
    <row r="361" spans="1:17" ht="14.45" customHeight="1" x14ac:dyDescent="0.2">
      <c r="A361" s="822" t="s">
        <v>575</v>
      </c>
      <c r="B361" s="823" t="s">
        <v>5562</v>
      </c>
      <c r="C361" s="823" t="s">
        <v>5355</v>
      </c>
      <c r="D361" s="823" t="s">
        <v>5810</v>
      </c>
      <c r="E361" s="823" t="s">
        <v>5811</v>
      </c>
      <c r="F361" s="832">
        <v>59</v>
      </c>
      <c r="G361" s="832">
        <v>11564</v>
      </c>
      <c r="H361" s="832">
        <v>0.78527774005160944</v>
      </c>
      <c r="I361" s="832">
        <v>196</v>
      </c>
      <c r="J361" s="832">
        <v>74</v>
      </c>
      <c r="K361" s="832">
        <v>14726</v>
      </c>
      <c r="L361" s="832">
        <v>1</v>
      </c>
      <c r="M361" s="832">
        <v>199</v>
      </c>
      <c r="N361" s="832">
        <v>57</v>
      </c>
      <c r="O361" s="832">
        <v>11457</v>
      </c>
      <c r="P361" s="828">
        <v>0.77801168002173027</v>
      </c>
      <c r="Q361" s="833">
        <v>201</v>
      </c>
    </row>
    <row r="362" spans="1:17" ht="14.45" customHeight="1" x14ac:dyDescent="0.2">
      <c r="A362" s="822" t="s">
        <v>575</v>
      </c>
      <c r="B362" s="823" t="s">
        <v>5562</v>
      </c>
      <c r="C362" s="823" t="s">
        <v>5355</v>
      </c>
      <c r="D362" s="823" t="s">
        <v>5501</v>
      </c>
      <c r="E362" s="823" t="s">
        <v>5502</v>
      </c>
      <c r="F362" s="832">
        <v>3</v>
      </c>
      <c r="G362" s="832">
        <v>15444</v>
      </c>
      <c r="H362" s="832"/>
      <c r="I362" s="832">
        <v>5148</v>
      </c>
      <c r="J362" s="832"/>
      <c r="K362" s="832"/>
      <c r="L362" s="832"/>
      <c r="M362" s="832"/>
      <c r="N362" s="832">
        <v>1</v>
      </c>
      <c r="O362" s="832">
        <v>5148</v>
      </c>
      <c r="P362" s="828"/>
      <c r="Q362" s="833">
        <v>5148</v>
      </c>
    </row>
    <row r="363" spans="1:17" ht="14.45" customHeight="1" x14ac:dyDescent="0.2">
      <c r="A363" s="822" t="s">
        <v>575</v>
      </c>
      <c r="B363" s="823" t="s">
        <v>5562</v>
      </c>
      <c r="C363" s="823" t="s">
        <v>5355</v>
      </c>
      <c r="D363" s="823" t="s">
        <v>5556</v>
      </c>
      <c r="E363" s="823" t="s">
        <v>5557</v>
      </c>
      <c r="F363" s="832"/>
      <c r="G363" s="832"/>
      <c r="H363" s="832"/>
      <c r="I363" s="832"/>
      <c r="J363" s="832">
        <v>1</v>
      </c>
      <c r="K363" s="832">
        <v>845</v>
      </c>
      <c r="L363" s="832">
        <v>1</v>
      </c>
      <c r="M363" s="832">
        <v>845</v>
      </c>
      <c r="N363" s="832"/>
      <c r="O363" s="832"/>
      <c r="P363" s="828"/>
      <c r="Q363" s="833"/>
    </row>
    <row r="364" spans="1:17" ht="14.45" customHeight="1" x14ac:dyDescent="0.2">
      <c r="A364" s="822" t="s">
        <v>575</v>
      </c>
      <c r="B364" s="823" t="s">
        <v>5562</v>
      </c>
      <c r="C364" s="823" t="s">
        <v>5355</v>
      </c>
      <c r="D364" s="823" t="s">
        <v>5812</v>
      </c>
      <c r="E364" s="823" t="s">
        <v>5813</v>
      </c>
      <c r="F364" s="832">
        <v>1</v>
      </c>
      <c r="G364" s="832">
        <v>964</v>
      </c>
      <c r="H364" s="832">
        <v>0.33161334709322327</v>
      </c>
      <c r="I364" s="832">
        <v>964</v>
      </c>
      <c r="J364" s="832">
        <v>3</v>
      </c>
      <c r="K364" s="832">
        <v>2907</v>
      </c>
      <c r="L364" s="832">
        <v>1</v>
      </c>
      <c r="M364" s="832">
        <v>969</v>
      </c>
      <c r="N364" s="832">
        <v>1</v>
      </c>
      <c r="O364" s="832">
        <v>974</v>
      </c>
      <c r="P364" s="828">
        <v>0.33505331957344342</v>
      </c>
      <c r="Q364" s="833">
        <v>974</v>
      </c>
    </row>
    <row r="365" spans="1:17" ht="14.45" customHeight="1" x14ac:dyDescent="0.2">
      <c r="A365" s="822" t="s">
        <v>575</v>
      </c>
      <c r="B365" s="823" t="s">
        <v>5562</v>
      </c>
      <c r="C365" s="823" t="s">
        <v>5355</v>
      </c>
      <c r="D365" s="823" t="s">
        <v>5415</v>
      </c>
      <c r="E365" s="823" t="s">
        <v>5416</v>
      </c>
      <c r="F365" s="832">
        <v>2</v>
      </c>
      <c r="G365" s="832">
        <v>856</v>
      </c>
      <c r="H365" s="832">
        <v>0.49767441860465117</v>
      </c>
      <c r="I365" s="832">
        <v>428</v>
      </c>
      <c r="J365" s="832">
        <v>4</v>
      </c>
      <c r="K365" s="832">
        <v>1720</v>
      </c>
      <c r="L365" s="832">
        <v>1</v>
      </c>
      <c r="M365" s="832">
        <v>430</v>
      </c>
      <c r="N365" s="832">
        <v>5</v>
      </c>
      <c r="O365" s="832">
        <v>2160</v>
      </c>
      <c r="P365" s="828">
        <v>1.2558139534883721</v>
      </c>
      <c r="Q365" s="833">
        <v>432</v>
      </c>
    </row>
    <row r="366" spans="1:17" ht="14.45" customHeight="1" x14ac:dyDescent="0.2">
      <c r="A366" s="822" t="s">
        <v>575</v>
      </c>
      <c r="B366" s="823" t="s">
        <v>5562</v>
      </c>
      <c r="C366" s="823" t="s">
        <v>5355</v>
      </c>
      <c r="D366" s="823" t="s">
        <v>5814</v>
      </c>
      <c r="E366" s="823" t="s">
        <v>5815</v>
      </c>
      <c r="F366" s="832">
        <v>2</v>
      </c>
      <c r="G366" s="832">
        <v>1678</v>
      </c>
      <c r="H366" s="832">
        <v>0.2205863020901801</v>
      </c>
      <c r="I366" s="832">
        <v>839</v>
      </c>
      <c r="J366" s="832">
        <v>9</v>
      </c>
      <c r="K366" s="832">
        <v>7607</v>
      </c>
      <c r="L366" s="832">
        <v>1</v>
      </c>
      <c r="M366" s="832">
        <v>845.22222222222217</v>
      </c>
      <c r="N366" s="832">
        <v>1</v>
      </c>
      <c r="O366" s="832">
        <v>852</v>
      </c>
      <c r="P366" s="828">
        <v>0.11200210332588405</v>
      </c>
      <c r="Q366" s="833">
        <v>852</v>
      </c>
    </row>
    <row r="367" spans="1:17" ht="14.45" customHeight="1" x14ac:dyDescent="0.2">
      <c r="A367" s="822" t="s">
        <v>575</v>
      </c>
      <c r="B367" s="823" t="s">
        <v>5562</v>
      </c>
      <c r="C367" s="823" t="s">
        <v>5355</v>
      </c>
      <c r="D367" s="823" t="s">
        <v>5816</v>
      </c>
      <c r="E367" s="823" t="s">
        <v>5817</v>
      </c>
      <c r="F367" s="832">
        <v>1</v>
      </c>
      <c r="G367" s="832">
        <v>8810</v>
      </c>
      <c r="H367" s="832"/>
      <c r="I367" s="832">
        <v>8810</v>
      </c>
      <c r="J367" s="832"/>
      <c r="K367" s="832"/>
      <c r="L367" s="832"/>
      <c r="M367" s="832"/>
      <c r="N367" s="832"/>
      <c r="O367" s="832"/>
      <c r="P367" s="828"/>
      <c r="Q367" s="833"/>
    </row>
    <row r="368" spans="1:17" ht="14.45" customHeight="1" x14ac:dyDescent="0.2">
      <c r="A368" s="822" t="s">
        <v>575</v>
      </c>
      <c r="B368" s="823" t="s">
        <v>5562</v>
      </c>
      <c r="C368" s="823" t="s">
        <v>5355</v>
      </c>
      <c r="D368" s="823" t="s">
        <v>5818</v>
      </c>
      <c r="E368" s="823" t="s">
        <v>5819</v>
      </c>
      <c r="F368" s="832">
        <v>0</v>
      </c>
      <c r="G368" s="832">
        <v>0</v>
      </c>
      <c r="H368" s="832"/>
      <c r="I368" s="832"/>
      <c r="J368" s="832">
        <v>0</v>
      </c>
      <c r="K368" s="832">
        <v>0</v>
      </c>
      <c r="L368" s="832"/>
      <c r="M368" s="832"/>
      <c r="N368" s="832">
        <v>0</v>
      </c>
      <c r="O368" s="832">
        <v>0</v>
      </c>
      <c r="P368" s="828"/>
      <c r="Q368" s="833"/>
    </row>
    <row r="369" spans="1:17" ht="14.45" customHeight="1" x14ac:dyDescent="0.2">
      <c r="A369" s="822" t="s">
        <v>575</v>
      </c>
      <c r="B369" s="823" t="s">
        <v>5562</v>
      </c>
      <c r="C369" s="823" t="s">
        <v>5355</v>
      </c>
      <c r="D369" s="823" t="s">
        <v>5820</v>
      </c>
      <c r="E369" s="823" t="s">
        <v>5821</v>
      </c>
      <c r="F369" s="832">
        <v>1022</v>
      </c>
      <c r="G369" s="832">
        <v>0</v>
      </c>
      <c r="H369" s="832"/>
      <c r="I369" s="832">
        <v>0</v>
      </c>
      <c r="J369" s="832">
        <v>1074</v>
      </c>
      <c r="K369" s="832">
        <v>0</v>
      </c>
      <c r="L369" s="832"/>
      <c r="M369" s="832">
        <v>0</v>
      </c>
      <c r="N369" s="832">
        <v>1020</v>
      </c>
      <c r="O369" s="832">
        <v>0</v>
      </c>
      <c r="P369" s="828"/>
      <c r="Q369" s="833">
        <v>0</v>
      </c>
    </row>
    <row r="370" spans="1:17" ht="14.45" customHeight="1" x14ac:dyDescent="0.2">
      <c r="A370" s="822" t="s">
        <v>575</v>
      </c>
      <c r="B370" s="823" t="s">
        <v>5562</v>
      </c>
      <c r="C370" s="823" t="s">
        <v>5355</v>
      </c>
      <c r="D370" s="823" t="s">
        <v>5503</v>
      </c>
      <c r="E370" s="823" t="s">
        <v>5504</v>
      </c>
      <c r="F370" s="832">
        <v>217</v>
      </c>
      <c r="G370" s="832">
        <v>0</v>
      </c>
      <c r="H370" s="832"/>
      <c r="I370" s="832">
        <v>0</v>
      </c>
      <c r="J370" s="832">
        <v>247</v>
      </c>
      <c r="K370" s="832">
        <v>0</v>
      </c>
      <c r="L370" s="832"/>
      <c r="M370" s="832">
        <v>0</v>
      </c>
      <c r="N370" s="832">
        <v>192</v>
      </c>
      <c r="O370" s="832">
        <v>0</v>
      </c>
      <c r="P370" s="828"/>
      <c r="Q370" s="833">
        <v>0</v>
      </c>
    </row>
    <row r="371" spans="1:17" ht="14.45" customHeight="1" x14ac:dyDescent="0.2">
      <c r="A371" s="822" t="s">
        <v>575</v>
      </c>
      <c r="B371" s="823" t="s">
        <v>5562</v>
      </c>
      <c r="C371" s="823" t="s">
        <v>5355</v>
      </c>
      <c r="D371" s="823" t="s">
        <v>5505</v>
      </c>
      <c r="E371" s="823" t="s">
        <v>5506</v>
      </c>
      <c r="F371" s="832"/>
      <c r="G371" s="832"/>
      <c r="H371" s="832"/>
      <c r="I371" s="832"/>
      <c r="J371" s="832"/>
      <c r="K371" s="832"/>
      <c r="L371" s="832"/>
      <c r="M371" s="832"/>
      <c r="N371" s="832">
        <v>1</v>
      </c>
      <c r="O371" s="832">
        <v>0</v>
      </c>
      <c r="P371" s="828"/>
      <c r="Q371" s="833">
        <v>0</v>
      </c>
    </row>
    <row r="372" spans="1:17" ht="14.45" customHeight="1" x14ac:dyDescent="0.2">
      <c r="A372" s="822" t="s">
        <v>575</v>
      </c>
      <c r="B372" s="823" t="s">
        <v>5562</v>
      </c>
      <c r="C372" s="823" t="s">
        <v>5355</v>
      </c>
      <c r="D372" s="823" t="s">
        <v>5822</v>
      </c>
      <c r="E372" s="823" t="s">
        <v>5823</v>
      </c>
      <c r="F372" s="832">
        <v>3</v>
      </c>
      <c r="G372" s="832">
        <v>0</v>
      </c>
      <c r="H372" s="832"/>
      <c r="I372" s="832">
        <v>0</v>
      </c>
      <c r="J372" s="832">
        <v>8</v>
      </c>
      <c r="K372" s="832">
        <v>0</v>
      </c>
      <c r="L372" s="832"/>
      <c r="M372" s="832">
        <v>0</v>
      </c>
      <c r="N372" s="832">
        <v>1</v>
      </c>
      <c r="O372" s="832">
        <v>0</v>
      </c>
      <c r="P372" s="828"/>
      <c r="Q372" s="833">
        <v>0</v>
      </c>
    </row>
    <row r="373" spans="1:17" ht="14.45" customHeight="1" x14ac:dyDescent="0.2">
      <c r="A373" s="822" t="s">
        <v>575</v>
      </c>
      <c r="B373" s="823" t="s">
        <v>5562</v>
      </c>
      <c r="C373" s="823" t="s">
        <v>5355</v>
      </c>
      <c r="D373" s="823" t="s">
        <v>5507</v>
      </c>
      <c r="E373" s="823" t="s">
        <v>5508</v>
      </c>
      <c r="F373" s="832">
        <v>3</v>
      </c>
      <c r="G373" s="832">
        <v>0</v>
      </c>
      <c r="H373" s="832"/>
      <c r="I373" s="832">
        <v>0</v>
      </c>
      <c r="J373" s="832">
        <v>8</v>
      </c>
      <c r="K373" s="832">
        <v>0</v>
      </c>
      <c r="L373" s="832"/>
      <c r="M373" s="832">
        <v>0</v>
      </c>
      <c r="N373" s="832">
        <v>2</v>
      </c>
      <c r="O373" s="832">
        <v>0</v>
      </c>
      <c r="P373" s="828"/>
      <c r="Q373" s="833">
        <v>0</v>
      </c>
    </row>
    <row r="374" spans="1:17" ht="14.45" customHeight="1" x14ac:dyDescent="0.2">
      <c r="A374" s="822" t="s">
        <v>575</v>
      </c>
      <c r="B374" s="823" t="s">
        <v>5562</v>
      </c>
      <c r="C374" s="823" t="s">
        <v>5355</v>
      </c>
      <c r="D374" s="823" t="s">
        <v>5824</v>
      </c>
      <c r="E374" s="823" t="s">
        <v>5825</v>
      </c>
      <c r="F374" s="832">
        <v>17</v>
      </c>
      <c r="G374" s="832">
        <v>0</v>
      </c>
      <c r="H374" s="832"/>
      <c r="I374" s="832">
        <v>0</v>
      </c>
      <c r="J374" s="832">
        <v>14</v>
      </c>
      <c r="K374" s="832">
        <v>0</v>
      </c>
      <c r="L374" s="832"/>
      <c r="M374" s="832">
        <v>0</v>
      </c>
      <c r="N374" s="832">
        <v>10</v>
      </c>
      <c r="O374" s="832">
        <v>0</v>
      </c>
      <c r="P374" s="828"/>
      <c r="Q374" s="833">
        <v>0</v>
      </c>
    </row>
    <row r="375" spans="1:17" ht="14.45" customHeight="1" x14ac:dyDescent="0.2">
      <c r="A375" s="822" t="s">
        <v>575</v>
      </c>
      <c r="B375" s="823" t="s">
        <v>5562</v>
      </c>
      <c r="C375" s="823" t="s">
        <v>5355</v>
      </c>
      <c r="D375" s="823" t="s">
        <v>5509</v>
      </c>
      <c r="E375" s="823" t="s">
        <v>5510</v>
      </c>
      <c r="F375" s="832"/>
      <c r="G375" s="832"/>
      <c r="H375" s="832"/>
      <c r="I375" s="832"/>
      <c r="J375" s="832">
        <v>1</v>
      </c>
      <c r="K375" s="832">
        <v>0</v>
      </c>
      <c r="L375" s="832"/>
      <c r="M375" s="832">
        <v>0</v>
      </c>
      <c r="N375" s="832"/>
      <c r="O375" s="832"/>
      <c r="P375" s="828"/>
      <c r="Q375" s="833"/>
    </row>
    <row r="376" spans="1:17" ht="14.45" customHeight="1" x14ac:dyDescent="0.2">
      <c r="A376" s="822" t="s">
        <v>575</v>
      </c>
      <c r="B376" s="823" t="s">
        <v>5562</v>
      </c>
      <c r="C376" s="823" t="s">
        <v>5355</v>
      </c>
      <c r="D376" s="823" t="s">
        <v>5826</v>
      </c>
      <c r="E376" s="823" t="s">
        <v>5827</v>
      </c>
      <c r="F376" s="832">
        <v>2</v>
      </c>
      <c r="G376" s="832">
        <v>0</v>
      </c>
      <c r="H376" s="832"/>
      <c r="I376" s="832">
        <v>0</v>
      </c>
      <c r="J376" s="832">
        <v>6</v>
      </c>
      <c r="K376" s="832">
        <v>0</v>
      </c>
      <c r="L376" s="832"/>
      <c r="M376" s="832">
        <v>0</v>
      </c>
      <c r="N376" s="832"/>
      <c r="O376" s="832"/>
      <c r="P376" s="828"/>
      <c r="Q376" s="833"/>
    </row>
    <row r="377" spans="1:17" ht="14.45" customHeight="1" x14ac:dyDescent="0.2">
      <c r="A377" s="822" t="s">
        <v>575</v>
      </c>
      <c r="B377" s="823" t="s">
        <v>5562</v>
      </c>
      <c r="C377" s="823" t="s">
        <v>5355</v>
      </c>
      <c r="D377" s="823" t="s">
        <v>5828</v>
      </c>
      <c r="E377" s="823" t="s">
        <v>5829</v>
      </c>
      <c r="F377" s="832">
        <v>118</v>
      </c>
      <c r="G377" s="832">
        <v>0</v>
      </c>
      <c r="H377" s="832"/>
      <c r="I377" s="832">
        <v>0</v>
      </c>
      <c r="J377" s="832">
        <v>130</v>
      </c>
      <c r="K377" s="832">
        <v>0</v>
      </c>
      <c r="L377" s="832"/>
      <c r="M377" s="832">
        <v>0</v>
      </c>
      <c r="N377" s="832">
        <v>99</v>
      </c>
      <c r="O377" s="832">
        <v>0</v>
      </c>
      <c r="P377" s="828"/>
      <c r="Q377" s="833">
        <v>0</v>
      </c>
    </row>
    <row r="378" spans="1:17" ht="14.45" customHeight="1" x14ac:dyDescent="0.2">
      <c r="A378" s="822" t="s">
        <v>575</v>
      </c>
      <c r="B378" s="823" t="s">
        <v>5562</v>
      </c>
      <c r="C378" s="823" t="s">
        <v>5355</v>
      </c>
      <c r="D378" s="823" t="s">
        <v>5830</v>
      </c>
      <c r="E378" s="823" t="s">
        <v>5831</v>
      </c>
      <c r="F378" s="832"/>
      <c r="G378" s="832"/>
      <c r="H378" s="832"/>
      <c r="I378" s="832"/>
      <c r="J378" s="832">
        <v>2</v>
      </c>
      <c r="K378" s="832">
        <v>0</v>
      </c>
      <c r="L378" s="832"/>
      <c r="M378" s="832">
        <v>0</v>
      </c>
      <c r="N378" s="832"/>
      <c r="O378" s="832"/>
      <c r="P378" s="828"/>
      <c r="Q378" s="833"/>
    </row>
    <row r="379" spans="1:17" ht="14.45" customHeight="1" x14ac:dyDescent="0.2">
      <c r="A379" s="822" t="s">
        <v>575</v>
      </c>
      <c r="B379" s="823" t="s">
        <v>5562</v>
      </c>
      <c r="C379" s="823" t="s">
        <v>5355</v>
      </c>
      <c r="D379" s="823" t="s">
        <v>5832</v>
      </c>
      <c r="E379" s="823" t="s">
        <v>5833</v>
      </c>
      <c r="F379" s="832">
        <v>11</v>
      </c>
      <c r="G379" s="832">
        <v>0</v>
      </c>
      <c r="H379" s="832"/>
      <c r="I379" s="832">
        <v>0</v>
      </c>
      <c r="J379" s="832">
        <v>17</v>
      </c>
      <c r="K379" s="832">
        <v>0</v>
      </c>
      <c r="L379" s="832"/>
      <c r="M379" s="832">
        <v>0</v>
      </c>
      <c r="N379" s="832">
        <v>11</v>
      </c>
      <c r="O379" s="832">
        <v>0</v>
      </c>
      <c r="P379" s="828"/>
      <c r="Q379" s="833">
        <v>0</v>
      </c>
    </row>
    <row r="380" spans="1:17" ht="14.45" customHeight="1" x14ac:dyDescent="0.2">
      <c r="A380" s="822" t="s">
        <v>575</v>
      </c>
      <c r="B380" s="823" t="s">
        <v>5562</v>
      </c>
      <c r="C380" s="823" t="s">
        <v>5355</v>
      </c>
      <c r="D380" s="823" t="s">
        <v>5834</v>
      </c>
      <c r="E380" s="823" t="s">
        <v>5835</v>
      </c>
      <c r="F380" s="832">
        <v>7</v>
      </c>
      <c r="G380" s="832">
        <v>0</v>
      </c>
      <c r="H380" s="832"/>
      <c r="I380" s="832">
        <v>0</v>
      </c>
      <c r="J380" s="832">
        <v>9</v>
      </c>
      <c r="K380" s="832">
        <v>0</v>
      </c>
      <c r="L380" s="832"/>
      <c r="M380" s="832">
        <v>0</v>
      </c>
      <c r="N380" s="832">
        <v>6</v>
      </c>
      <c r="O380" s="832">
        <v>0</v>
      </c>
      <c r="P380" s="828"/>
      <c r="Q380" s="833">
        <v>0</v>
      </c>
    </row>
    <row r="381" spans="1:17" ht="14.45" customHeight="1" x14ac:dyDescent="0.2">
      <c r="A381" s="822" t="s">
        <v>575</v>
      </c>
      <c r="B381" s="823" t="s">
        <v>5562</v>
      </c>
      <c r="C381" s="823" t="s">
        <v>5355</v>
      </c>
      <c r="D381" s="823" t="s">
        <v>5836</v>
      </c>
      <c r="E381" s="823" t="s">
        <v>5837</v>
      </c>
      <c r="F381" s="832">
        <v>5</v>
      </c>
      <c r="G381" s="832">
        <v>0</v>
      </c>
      <c r="H381" s="832"/>
      <c r="I381" s="832">
        <v>0</v>
      </c>
      <c r="J381" s="832">
        <v>4</v>
      </c>
      <c r="K381" s="832">
        <v>0</v>
      </c>
      <c r="L381" s="832"/>
      <c r="M381" s="832">
        <v>0</v>
      </c>
      <c r="N381" s="832">
        <v>4</v>
      </c>
      <c r="O381" s="832">
        <v>0</v>
      </c>
      <c r="P381" s="828"/>
      <c r="Q381" s="833">
        <v>0</v>
      </c>
    </row>
    <row r="382" spans="1:17" ht="14.45" customHeight="1" x14ac:dyDescent="0.2">
      <c r="A382" s="822" t="s">
        <v>575</v>
      </c>
      <c r="B382" s="823" t="s">
        <v>5562</v>
      </c>
      <c r="C382" s="823" t="s">
        <v>5355</v>
      </c>
      <c r="D382" s="823" t="s">
        <v>5838</v>
      </c>
      <c r="E382" s="823" t="s">
        <v>5839</v>
      </c>
      <c r="F382" s="832">
        <v>153</v>
      </c>
      <c r="G382" s="832">
        <v>0</v>
      </c>
      <c r="H382" s="832"/>
      <c r="I382" s="832">
        <v>0</v>
      </c>
      <c r="J382" s="832">
        <v>179</v>
      </c>
      <c r="K382" s="832">
        <v>0</v>
      </c>
      <c r="L382" s="832"/>
      <c r="M382" s="832">
        <v>0</v>
      </c>
      <c r="N382" s="832">
        <v>147</v>
      </c>
      <c r="O382" s="832">
        <v>0</v>
      </c>
      <c r="P382" s="828"/>
      <c r="Q382" s="833">
        <v>0</v>
      </c>
    </row>
    <row r="383" spans="1:17" ht="14.45" customHeight="1" x14ac:dyDescent="0.2">
      <c r="A383" s="822" t="s">
        <v>575</v>
      </c>
      <c r="B383" s="823" t="s">
        <v>5562</v>
      </c>
      <c r="C383" s="823" t="s">
        <v>5355</v>
      </c>
      <c r="D383" s="823" t="s">
        <v>5840</v>
      </c>
      <c r="E383" s="823" t="s">
        <v>5841</v>
      </c>
      <c r="F383" s="832">
        <v>30</v>
      </c>
      <c r="G383" s="832">
        <v>0</v>
      </c>
      <c r="H383" s="832"/>
      <c r="I383" s="832">
        <v>0</v>
      </c>
      <c r="J383" s="832">
        <v>47</v>
      </c>
      <c r="K383" s="832">
        <v>0</v>
      </c>
      <c r="L383" s="832"/>
      <c r="M383" s="832">
        <v>0</v>
      </c>
      <c r="N383" s="832">
        <v>44</v>
      </c>
      <c r="O383" s="832">
        <v>0</v>
      </c>
      <c r="P383" s="828"/>
      <c r="Q383" s="833">
        <v>0</v>
      </c>
    </row>
    <row r="384" spans="1:17" ht="14.45" customHeight="1" x14ac:dyDescent="0.2">
      <c r="A384" s="822" t="s">
        <v>575</v>
      </c>
      <c r="B384" s="823" t="s">
        <v>5562</v>
      </c>
      <c r="C384" s="823" t="s">
        <v>5355</v>
      </c>
      <c r="D384" s="823" t="s">
        <v>5842</v>
      </c>
      <c r="E384" s="823" t="s">
        <v>5843</v>
      </c>
      <c r="F384" s="832"/>
      <c r="G384" s="832"/>
      <c r="H384" s="832"/>
      <c r="I384" s="832"/>
      <c r="J384" s="832">
        <v>1</v>
      </c>
      <c r="K384" s="832">
        <v>0</v>
      </c>
      <c r="L384" s="832"/>
      <c r="M384" s="832">
        <v>0</v>
      </c>
      <c r="N384" s="832"/>
      <c r="O384" s="832"/>
      <c r="P384" s="828"/>
      <c r="Q384" s="833"/>
    </row>
    <row r="385" spans="1:17" ht="14.45" customHeight="1" x14ac:dyDescent="0.2">
      <c r="A385" s="822" t="s">
        <v>575</v>
      </c>
      <c r="B385" s="823" t="s">
        <v>5562</v>
      </c>
      <c r="C385" s="823" t="s">
        <v>5355</v>
      </c>
      <c r="D385" s="823" t="s">
        <v>5515</v>
      </c>
      <c r="E385" s="823" t="s">
        <v>5516</v>
      </c>
      <c r="F385" s="832">
        <v>13</v>
      </c>
      <c r="G385" s="832">
        <v>0</v>
      </c>
      <c r="H385" s="832"/>
      <c r="I385" s="832">
        <v>0</v>
      </c>
      <c r="J385" s="832">
        <v>2</v>
      </c>
      <c r="K385" s="832">
        <v>0</v>
      </c>
      <c r="L385" s="832"/>
      <c r="M385" s="832">
        <v>0</v>
      </c>
      <c r="N385" s="832"/>
      <c r="O385" s="832"/>
      <c r="P385" s="828"/>
      <c r="Q385" s="833"/>
    </row>
    <row r="386" spans="1:17" ht="14.45" customHeight="1" x14ac:dyDescent="0.2">
      <c r="A386" s="822" t="s">
        <v>575</v>
      </c>
      <c r="B386" s="823" t="s">
        <v>5562</v>
      </c>
      <c r="C386" s="823" t="s">
        <v>5355</v>
      </c>
      <c r="D386" s="823" t="s">
        <v>5844</v>
      </c>
      <c r="E386" s="823" t="s">
        <v>5845</v>
      </c>
      <c r="F386" s="832">
        <v>8</v>
      </c>
      <c r="G386" s="832">
        <v>0</v>
      </c>
      <c r="H386" s="832"/>
      <c r="I386" s="832">
        <v>0</v>
      </c>
      <c r="J386" s="832">
        <v>7</v>
      </c>
      <c r="K386" s="832">
        <v>0</v>
      </c>
      <c r="L386" s="832"/>
      <c r="M386" s="832">
        <v>0</v>
      </c>
      <c r="N386" s="832">
        <v>9</v>
      </c>
      <c r="O386" s="832">
        <v>0</v>
      </c>
      <c r="P386" s="828"/>
      <c r="Q386" s="833">
        <v>0</v>
      </c>
    </row>
    <row r="387" spans="1:17" ht="14.45" customHeight="1" x14ac:dyDescent="0.2">
      <c r="A387" s="822" t="s">
        <v>575</v>
      </c>
      <c r="B387" s="823" t="s">
        <v>5562</v>
      </c>
      <c r="C387" s="823" t="s">
        <v>5355</v>
      </c>
      <c r="D387" s="823" t="s">
        <v>5846</v>
      </c>
      <c r="E387" s="823" t="s">
        <v>5847</v>
      </c>
      <c r="F387" s="832">
        <v>2</v>
      </c>
      <c r="G387" s="832">
        <v>0</v>
      </c>
      <c r="H387" s="832"/>
      <c r="I387" s="832">
        <v>0</v>
      </c>
      <c r="J387" s="832">
        <v>1</v>
      </c>
      <c r="K387" s="832">
        <v>0</v>
      </c>
      <c r="L387" s="832"/>
      <c r="M387" s="832">
        <v>0</v>
      </c>
      <c r="N387" s="832">
        <v>1</v>
      </c>
      <c r="O387" s="832">
        <v>0</v>
      </c>
      <c r="P387" s="828"/>
      <c r="Q387" s="833">
        <v>0</v>
      </c>
    </row>
    <row r="388" spans="1:17" ht="14.45" customHeight="1" x14ac:dyDescent="0.2">
      <c r="A388" s="822" t="s">
        <v>575</v>
      </c>
      <c r="B388" s="823" t="s">
        <v>5562</v>
      </c>
      <c r="C388" s="823" t="s">
        <v>5355</v>
      </c>
      <c r="D388" s="823" t="s">
        <v>5848</v>
      </c>
      <c r="E388" s="823" t="s">
        <v>5849</v>
      </c>
      <c r="F388" s="832">
        <v>19</v>
      </c>
      <c r="G388" s="832">
        <v>0</v>
      </c>
      <c r="H388" s="832"/>
      <c r="I388" s="832">
        <v>0</v>
      </c>
      <c r="J388" s="832">
        <v>31</v>
      </c>
      <c r="K388" s="832">
        <v>0</v>
      </c>
      <c r="L388" s="832"/>
      <c r="M388" s="832">
        <v>0</v>
      </c>
      <c r="N388" s="832">
        <v>29</v>
      </c>
      <c r="O388" s="832">
        <v>0</v>
      </c>
      <c r="P388" s="828"/>
      <c r="Q388" s="833">
        <v>0</v>
      </c>
    </row>
    <row r="389" spans="1:17" ht="14.45" customHeight="1" x14ac:dyDescent="0.2">
      <c r="A389" s="822" t="s">
        <v>575</v>
      </c>
      <c r="B389" s="823" t="s">
        <v>5562</v>
      </c>
      <c r="C389" s="823" t="s">
        <v>5355</v>
      </c>
      <c r="D389" s="823" t="s">
        <v>5850</v>
      </c>
      <c r="E389" s="823" t="s">
        <v>5851</v>
      </c>
      <c r="F389" s="832">
        <v>1</v>
      </c>
      <c r="G389" s="832">
        <v>0</v>
      </c>
      <c r="H389" s="832"/>
      <c r="I389" s="832">
        <v>0</v>
      </c>
      <c r="J389" s="832">
        <v>1</v>
      </c>
      <c r="K389" s="832">
        <v>0</v>
      </c>
      <c r="L389" s="832"/>
      <c r="M389" s="832">
        <v>0</v>
      </c>
      <c r="N389" s="832">
        <v>2</v>
      </c>
      <c r="O389" s="832">
        <v>0</v>
      </c>
      <c r="P389" s="828"/>
      <c r="Q389" s="833">
        <v>0</v>
      </c>
    </row>
    <row r="390" spans="1:17" ht="14.45" customHeight="1" x14ac:dyDescent="0.2">
      <c r="A390" s="822" t="s">
        <v>575</v>
      </c>
      <c r="B390" s="823" t="s">
        <v>5562</v>
      </c>
      <c r="C390" s="823" t="s">
        <v>5355</v>
      </c>
      <c r="D390" s="823" t="s">
        <v>5852</v>
      </c>
      <c r="E390" s="823" t="s">
        <v>5853</v>
      </c>
      <c r="F390" s="832">
        <v>2</v>
      </c>
      <c r="G390" s="832">
        <v>0</v>
      </c>
      <c r="H390" s="832"/>
      <c r="I390" s="832">
        <v>0</v>
      </c>
      <c r="J390" s="832">
        <v>3</v>
      </c>
      <c r="K390" s="832">
        <v>0</v>
      </c>
      <c r="L390" s="832"/>
      <c r="M390" s="832">
        <v>0</v>
      </c>
      <c r="N390" s="832"/>
      <c r="O390" s="832"/>
      <c r="P390" s="828"/>
      <c r="Q390" s="833"/>
    </row>
    <row r="391" spans="1:17" ht="14.45" customHeight="1" x14ac:dyDescent="0.2">
      <c r="A391" s="822" t="s">
        <v>575</v>
      </c>
      <c r="B391" s="823" t="s">
        <v>5562</v>
      </c>
      <c r="C391" s="823" t="s">
        <v>5355</v>
      </c>
      <c r="D391" s="823" t="s">
        <v>5517</v>
      </c>
      <c r="E391" s="823" t="s">
        <v>5518</v>
      </c>
      <c r="F391" s="832"/>
      <c r="G391" s="832"/>
      <c r="H391" s="832"/>
      <c r="I391" s="832"/>
      <c r="J391" s="832"/>
      <c r="K391" s="832"/>
      <c r="L391" s="832"/>
      <c r="M391" s="832"/>
      <c r="N391" s="832">
        <v>1</v>
      </c>
      <c r="O391" s="832">
        <v>0</v>
      </c>
      <c r="P391" s="828"/>
      <c r="Q391" s="833">
        <v>0</v>
      </c>
    </row>
    <row r="392" spans="1:17" ht="14.45" customHeight="1" x14ac:dyDescent="0.2">
      <c r="A392" s="822" t="s">
        <v>575</v>
      </c>
      <c r="B392" s="823" t="s">
        <v>5562</v>
      </c>
      <c r="C392" s="823" t="s">
        <v>5355</v>
      </c>
      <c r="D392" s="823" t="s">
        <v>5854</v>
      </c>
      <c r="E392" s="823" t="s">
        <v>5855</v>
      </c>
      <c r="F392" s="832">
        <v>3</v>
      </c>
      <c r="G392" s="832">
        <v>0</v>
      </c>
      <c r="H392" s="832"/>
      <c r="I392" s="832">
        <v>0</v>
      </c>
      <c r="J392" s="832">
        <v>1</v>
      </c>
      <c r="K392" s="832">
        <v>0</v>
      </c>
      <c r="L392" s="832"/>
      <c r="M392" s="832">
        <v>0</v>
      </c>
      <c r="N392" s="832">
        <v>2</v>
      </c>
      <c r="O392" s="832">
        <v>0</v>
      </c>
      <c r="P392" s="828"/>
      <c r="Q392" s="833">
        <v>0</v>
      </c>
    </row>
    <row r="393" spans="1:17" ht="14.45" customHeight="1" x14ac:dyDescent="0.2">
      <c r="A393" s="822" t="s">
        <v>575</v>
      </c>
      <c r="B393" s="823" t="s">
        <v>5562</v>
      </c>
      <c r="C393" s="823" t="s">
        <v>5355</v>
      </c>
      <c r="D393" s="823" t="s">
        <v>5856</v>
      </c>
      <c r="E393" s="823" t="s">
        <v>5857</v>
      </c>
      <c r="F393" s="832">
        <v>1</v>
      </c>
      <c r="G393" s="832">
        <v>0</v>
      </c>
      <c r="H393" s="832"/>
      <c r="I393" s="832">
        <v>0</v>
      </c>
      <c r="J393" s="832">
        <v>1</v>
      </c>
      <c r="K393" s="832">
        <v>0</v>
      </c>
      <c r="L393" s="832"/>
      <c r="M393" s="832">
        <v>0</v>
      </c>
      <c r="N393" s="832">
        <v>3</v>
      </c>
      <c r="O393" s="832">
        <v>0</v>
      </c>
      <c r="P393" s="828"/>
      <c r="Q393" s="833">
        <v>0</v>
      </c>
    </row>
    <row r="394" spans="1:17" ht="14.45" customHeight="1" x14ac:dyDescent="0.2">
      <c r="A394" s="822" t="s">
        <v>575</v>
      </c>
      <c r="B394" s="823" t="s">
        <v>5562</v>
      </c>
      <c r="C394" s="823" t="s">
        <v>5355</v>
      </c>
      <c r="D394" s="823" t="s">
        <v>5858</v>
      </c>
      <c r="E394" s="823" t="s">
        <v>5859</v>
      </c>
      <c r="F394" s="832">
        <v>1</v>
      </c>
      <c r="G394" s="832">
        <v>0</v>
      </c>
      <c r="H394" s="832"/>
      <c r="I394" s="832">
        <v>0</v>
      </c>
      <c r="J394" s="832">
        <v>4</v>
      </c>
      <c r="K394" s="832">
        <v>0</v>
      </c>
      <c r="L394" s="832"/>
      <c r="M394" s="832">
        <v>0</v>
      </c>
      <c r="N394" s="832"/>
      <c r="O394" s="832"/>
      <c r="P394" s="828"/>
      <c r="Q394" s="833"/>
    </row>
    <row r="395" spans="1:17" ht="14.45" customHeight="1" x14ac:dyDescent="0.2">
      <c r="A395" s="822" t="s">
        <v>575</v>
      </c>
      <c r="B395" s="823" t="s">
        <v>5562</v>
      </c>
      <c r="C395" s="823" t="s">
        <v>5355</v>
      </c>
      <c r="D395" s="823" t="s">
        <v>5860</v>
      </c>
      <c r="E395" s="823" t="s">
        <v>5861</v>
      </c>
      <c r="F395" s="832">
        <v>2</v>
      </c>
      <c r="G395" s="832">
        <v>0</v>
      </c>
      <c r="H395" s="832"/>
      <c r="I395" s="832">
        <v>0</v>
      </c>
      <c r="J395" s="832"/>
      <c r="K395" s="832"/>
      <c r="L395" s="832"/>
      <c r="M395" s="832"/>
      <c r="N395" s="832"/>
      <c r="O395" s="832"/>
      <c r="P395" s="828"/>
      <c r="Q395" s="833"/>
    </row>
    <row r="396" spans="1:17" ht="14.45" customHeight="1" x14ac:dyDescent="0.2">
      <c r="A396" s="822" t="s">
        <v>575</v>
      </c>
      <c r="B396" s="823" t="s">
        <v>5562</v>
      </c>
      <c r="C396" s="823" t="s">
        <v>5355</v>
      </c>
      <c r="D396" s="823" t="s">
        <v>5862</v>
      </c>
      <c r="E396" s="823" t="s">
        <v>5863</v>
      </c>
      <c r="F396" s="832"/>
      <c r="G396" s="832"/>
      <c r="H396" s="832"/>
      <c r="I396" s="832"/>
      <c r="J396" s="832">
        <v>1</v>
      </c>
      <c r="K396" s="832">
        <v>0</v>
      </c>
      <c r="L396" s="832"/>
      <c r="M396" s="832">
        <v>0</v>
      </c>
      <c r="N396" s="832">
        <v>1</v>
      </c>
      <c r="O396" s="832">
        <v>0</v>
      </c>
      <c r="P396" s="828"/>
      <c r="Q396" s="833">
        <v>0</v>
      </c>
    </row>
    <row r="397" spans="1:17" ht="14.45" customHeight="1" x14ac:dyDescent="0.2">
      <c r="A397" s="822" t="s">
        <v>575</v>
      </c>
      <c r="B397" s="823" t="s">
        <v>5562</v>
      </c>
      <c r="C397" s="823" t="s">
        <v>5355</v>
      </c>
      <c r="D397" s="823" t="s">
        <v>5864</v>
      </c>
      <c r="E397" s="823" t="s">
        <v>5865</v>
      </c>
      <c r="F397" s="832">
        <v>1</v>
      </c>
      <c r="G397" s="832">
        <v>0</v>
      </c>
      <c r="H397" s="832"/>
      <c r="I397" s="832">
        <v>0</v>
      </c>
      <c r="J397" s="832">
        <v>2</v>
      </c>
      <c r="K397" s="832">
        <v>0</v>
      </c>
      <c r="L397" s="832"/>
      <c r="M397" s="832">
        <v>0</v>
      </c>
      <c r="N397" s="832">
        <v>1</v>
      </c>
      <c r="O397" s="832">
        <v>0</v>
      </c>
      <c r="P397" s="828"/>
      <c r="Q397" s="833">
        <v>0</v>
      </c>
    </row>
    <row r="398" spans="1:17" ht="14.45" customHeight="1" x14ac:dyDescent="0.2">
      <c r="A398" s="822" t="s">
        <v>575</v>
      </c>
      <c r="B398" s="823" t="s">
        <v>5562</v>
      </c>
      <c r="C398" s="823" t="s">
        <v>5355</v>
      </c>
      <c r="D398" s="823" t="s">
        <v>5866</v>
      </c>
      <c r="E398" s="823" t="s">
        <v>5867</v>
      </c>
      <c r="F398" s="832">
        <v>1</v>
      </c>
      <c r="G398" s="832">
        <v>0</v>
      </c>
      <c r="H398" s="832"/>
      <c r="I398" s="832">
        <v>0</v>
      </c>
      <c r="J398" s="832"/>
      <c r="K398" s="832"/>
      <c r="L398" s="832"/>
      <c r="M398" s="832"/>
      <c r="N398" s="832"/>
      <c r="O398" s="832"/>
      <c r="P398" s="828"/>
      <c r="Q398" s="833"/>
    </row>
    <row r="399" spans="1:17" ht="14.45" customHeight="1" x14ac:dyDescent="0.2">
      <c r="A399" s="822" t="s">
        <v>575</v>
      </c>
      <c r="B399" s="823" t="s">
        <v>5562</v>
      </c>
      <c r="C399" s="823" t="s">
        <v>5355</v>
      </c>
      <c r="D399" s="823" t="s">
        <v>5868</v>
      </c>
      <c r="E399" s="823" t="s">
        <v>5869</v>
      </c>
      <c r="F399" s="832">
        <v>22</v>
      </c>
      <c r="G399" s="832">
        <v>0</v>
      </c>
      <c r="H399" s="832"/>
      <c r="I399" s="832">
        <v>0</v>
      </c>
      <c r="J399" s="832">
        <v>11</v>
      </c>
      <c r="K399" s="832">
        <v>0</v>
      </c>
      <c r="L399" s="832"/>
      <c r="M399" s="832">
        <v>0</v>
      </c>
      <c r="N399" s="832">
        <v>10</v>
      </c>
      <c r="O399" s="832">
        <v>0</v>
      </c>
      <c r="P399" s="828"/>
      <c r="Q399" s="833">
        <v>0</v>
      </c>
    </row>
    <row r="400" spans="1:17" ht="14.45" customHeight="1" x14ac:dyDescent="0.2">
      <c r="A400" s="822" t="s">
        <v>575</v>
      </c>
      <c r="B400" s="823" t="s">
        <v>5562</v>
      </c>
      <c r="C400" s="823" t="s">
        <v>5355</v>
      </c>
      <c r="D400" s="823" t="s">
        <v>5870</v>
      </c>
      <c r="E400" s="823" t="s">
        <v>5871</v>
      </c>
      <c r="F400" s="832">
        <v>4</v>
      </c>
      <c r="G400" s="832">
        <v>0</v>
      </c>
      <c r="H400" s="832"/>
      <c r="I400" s="832">
        <v>0</v>
      </c>
      <c r="J400" s="832"/>
      <c r="K400" s="832"/>
      <c r="L400" s="832"/>
      <c r="M400" s="832"/>
      <c r="N400" s="832"/>
      <c r="O400" s="832"/>
      <c r="P400" s="828"/>
      <c r="Q400" s="833"/>
    </row>
    <row r="401" spans="1:17" ht="14.45" customHeight="1" x14ac:dyDescent="0.2">
      <c r="A401" s="822" t="s">
        <v>575</v>
      </c>
      <c r="B401" s="823" t="s">
        <v>5562</v>
      </c>
      <c r="C401" s="823" t="s">
        <v>5355</v>
      </c>
      <c r="D401" s="823" t="s">
        <v>5872</v>
      </c>
      <c r="E401" s="823" t="s">
        <v>5873</v>
      </c>
      <c r="F401" s="832"/>
      <c r="G401" s="832"/>
      <c r="H401" s="832"/>
      <c r="I401" s="832"/>
      <c r="J401" s="832">
        <v>1</v>
      </c>
      <c r="K401" s="832">
        <v>0</v>
      </c>
      <c r="L401" s="832"/>
      <c r="M401" s="832">
        <v>0</v>
      </c>
      <c r="N401" s="832"/>
      <c r="O401" s="832"/>
      <c r="P401" s="828"/>
      <c r="Q401" s="833"/>
    </row>
    <row r="402" spans="1:17" ht="14.45" customHeight="1" x14ac:dyDescent="0.2">
      <c r="A402" s="822" t="s">
        <v>575</v>
      </c>
      <c r="B402" s="823" t="s">
        <v>5562</v>
      </c>
      <c r="C402" s="823" t="s">
        <v>5355</v>
      </c>
      <c r="D402" s="823" t="s">
        <v>5874</v>
      </c>
      <c r="E402" s="823" t="s">
        <v>5875</v>
      </c>
      <c r="F402" s="832">
        <v>1</v>
      </c>
      <c r="G402" s="832">
        <v>0</v>
      </c>
      <c r="H402" s="832"/>
      <c r="I402" s="832">
        <v>0</v>
      </c>
      <c r="J402" s="832"/>
      <c r="K402" s="832"/>
      <c r="L402" s="832"/>
      <c r="M402" s="832"/>
      <c r="N402" s="832"/>
      <c r="O402" s="832"/>
      <c r="P402" s="828"/>
      <c r="Q402" s="833"/>
    </row>
    <row r="403" spans="1:17" ht="14.45" customHeight="1" x14ac:dyDescent="0.2">
      <c r="A403" s="822" t="s">
        <v>575</v>
      </c>
      <c r="B403" s="823" t="s">
        <v>5562</v>
      </c>
      <c r="C403" s="823" t="s">
        <v>5355</v>
      </c>
      <c r="D403" s="823" t="s">
        <v>5876</v>
      </c>
      <c r="E403" s="823" t="s">
        <v>5877</v>
      </c>
      <c r="F403" s="832">
        <v>2</v>
      </c>
      <c r="G403" s="832">
        <v>0</v>
      </c>
      <c r="H403" s="832"/>
      <c r="I403" s="832">
        <v>0</v>
      </c>
      <c r="J403" s="832"/>
      <c r="K403" s="832"/>
      <c r="L403" s="832"/>
      <c r="M403" s="832"/>
      <c r="N403" s="832"/>
      <c r="O403" s="832"/>
      <c r="P403" s="828"/>
      <c r="Q403" s="833"/>
    </row>
    <row r="404" spans="1:17" ht="14.45" customHeight="1" x14ac:dyDescent="0.2">
      <c r="A404" s="822" t="s">
        <v>575</v>
      </c>
      <c r="B404" s="823" t="s">
        <v>5562</v>
      </c>
      <c r="C404" s="823" t="s">
        <v>5355</v>
      </c>
      <c r="D404" s="823" t="s">
        <v>5878</v>
      </c>
      <c r="E404" s="823" t="s">
        <v>5879</v>
      </c>
      <c r="F404" s="832">
        <v>1</v>
      </c>
      <c r="G404" s="832">
        <v>0</v>
      </c>
      <c r="H404" s="832"/>
      <c r="I404" s="832">
        <v>0</v>
      </c>
      <c r="J404" s="832"/>
      <c r="K404" s="832"/>
      <c r="L404" s="832"/>
      <c r="M404" s="832"/>
      <c r="N404" s="832"/>
      <c r="O404" s="832"/>
      <c r="P404" s="828"/>
      <c r="Q404" s="833"/>
    </row>
    <row r="405" spans="1:17" ht="14.45" customHeight="1" x14ac:dyDescent="0.2">
      <c r="A405" s="822" t="s">
        <v>575</v>
      </c>
      <c r="B405" s="823" t="s">
        <v>5562</v>
      </c>
      <c r="C405" s="823" t="s">
        <v>5355</v>
      </c>
      <c r="D405" s="823" t="s">
        <v>5481</v>
      </c>
      <c r="E405" s="823" t="s">
        <v>5482</v>
      </c>
      <c r="F405" s="832"/>
      <c r="G405" s="832"/>
      <c r="H405" s="832"/>
      <c r="I405" s="832"/>
      <c r="J405" s="832">
        <v>1</v>
      </c>
      <c r="K405" s="832">
        <v>723</v>
      </c>
      <c r="L405" s="832">
        <v>1</v>
      </c>
      <c r="M405" s="832">
        <v>723</v>
      </c>
      <c r="N405" s="832"/>
      <c r="O405" s="832"/>
      <c r="P405" s="828"/>
      <c r="Q405" s="833"/>
    </row>
    <row r="406" spans="1:17" ht="14.45" customHeight="1" x14ac:dyDescent="0.2">
      <c r="A406" s="822" t="s">
        <v>575</v>
      </c>
      <c r="B406" s="823" t="s">
        <v>5562</v>
      </c>
      <c r="C406" s="823" t="s">
        <v>5355</v>
      </c>
      <c r="D406" s="823" t="s">
        <v>5519</v>
      </c>
      <c r="E406" s="823" t="s">
        <v>5520</v>
      </c>
      <c r="F406" s="832">
        <v>225</v>
      </c>
      <c r="G406" s="832">
        <v>0</v>
      </c>
      <c r="H406" s="832"/>
      <c r="I406" s="832">
        <v>0</v>
      </c>
      <c r="J406" s="832">
        <v>267</v>
      </c>
      <c r="K406" s="832">
        <v>0</v>
      </c>
      <c r="L406" s="832"/>
      <c r="M406" s="832">
        <v>0</v>
      </c>
      <c r="N406" s="832">
        <v>217</v>
      </c>
      <c r="O406" s="832">
        <v>0</v>
      </c>
      <c r="P406" s="828"/>
      <c r="Q406" s="833">
        <v>0</v>
      </c>
    </row>
    <row r="407" spans="1:17" ht="14.45" customHeight="1" x14ac:dyDescent="0.2">
      <c r="A407" s="822" t="s">
        <v>575</v>
      </c>
      <c r="B407" s="823" t="s">
        <v>5562</v>
      </c>
      <c r="C407" s="823" t="s">
        <v>5355</v>
      </c>
      <c r="D407" s="823" t="s">
        <v>5382</v>
      </c>
      <c r="E407" s="823" t="s">
        <v>5383</v>
      </c>
      <c r="F407" s="832">
        <v>5</v>
      </c>
      <c r="G407" s="832">
        <v>430</v>
      </c>
      <c r="H407" s="832">
        <v>0.61781609195402298</v>
      </c>
      <c r="I407" s="832">
        <v>86</v>
      </c>
      <c r="J407" s="832">
        <v>8</v>
      </c>
      <c r="K407" s="832">
        <v>696</v>
      </c>
      <c r="L407" s="832">
        <v>1</v>
      </c>
      <c r="M407" s="832">
        <v>87</v>
      </c>
      <c r="N407" s="832">
        <v>6</v>
      </c>
      <c r="O407" s="832">
        <v>528</v>
      </c>
      <c r="P407" s="828">
        <v>0.75862068965517238</v>
      </c>
      <c r="Q407" s="833">
        <v>88</v>
      </c>
    </row>
    <row r="408" spans="1:17" ht="14.45" customHeight="1" x14ac:dyDescent="0.2">
      <c r="A408" s="822" t="s">
        <v>575</v>
      </c>
      <c r="B408" s="823" t="s">
        <v>5562</v>
      </c>
      <c r="C408" s="823" t="s">
        <v>5355</v>
      </c>
      <c r="D408" s="823" t="s">
        <v>5880</v>
      </c>
      <c r="E408" s="823" t="s">
        <v>5881</v>
      </c>
      <c r="F408" s="832">
        <v>122</v>
      </c>
      <c r="G408" s="832">
        <v>65144</v>
      </c>
      <c r="H408" s="832">
        <v>0.95166026324631503</v>
      </c>
      <c r="I408" s="832">
        <v>533.96721311475414</v>
      </c>
      <c r="J408" s="832">
        <v>127</v>
      </c>
      <c r="K408" s="832">
        <v>68453</v>
      </c>
      <c r="L408" s="832">
        <v>1</v>
      </c>
      <c r="M408" s="832">
        <v>539</v>
      </c>
      <c r="N408" s="832">
        <v>107</v>
      </c>
      <c r="O408" s="832">
        <v>58208</v>
      </c>
      <c r="P408" s="828">
        <v>0.85033526653324176</v>
      </c>
      <c r="Q408" s="833">
        <v>544</v>
      </c>
    </row>
    <row r="409" spans="1:17" ht="14.45" customHeight="1" x14ac:dyDescent="0.2">
      <c r="A409" s="822" t="s">
        <v>575</v>
      </c>
      <c r="B409" s="823" t="s">
        <v>5562</v>
      </c>
      <c r="C409" s="823" t="s">
        <v>5355</v>
      </c>
      <c r="D409" s="823" t="s">
        <v>5882</v>
      </c>
      <c r="E409" s="823" t="s">
        <v>5883</v>
      </c>
      <c r="F409" s="832">
        <v>1933</v>
      </c>
      <c r="G409" s="832">
        <v>1930391</v>
      </c>
      <c r="H409" s="832">
        <v>0.89821180383491328</v>
      </c>
      <c r="I409" s="832">
        <v>998.65028453181583</v>
      </c>
      <c r="J409" s="832">
        <v>2129</v>
      </c>
      <c r="K409" s="832">
        <v>2149149</v>
      </c>
      <c r="L409" s="832">
        <v>1</v>
      </c>
      <c r="M409" s="832">
        <v>1009.4640676373884</v>
      </c>
      <c r="N409" s="832">
        <v>1726</v>
      </c>
      <c r="O409" s="832">
        <v>1713024</v>
      </c>
      <c r="P409" s="828">
        <v>0.79707084059783662</v>
      </c>
      <c r="Q409" s="833">
        <v>992.48203939745076</v>
      </c>
    </row>
    <row r="410" spans="1:17" ht="14.45" customHeight="1" x14ac:dyDescent="0.2">
      <c r="A410" s="822" t="s">
        <v>575</v>
      </c>
      <c r="B410" s="823" t="s">
        <v>5562</v>
      </c>
      <c r="C410" s="823" t="s">
        <v>5355</v>
      </c>
      <c r="D410" s="823" t="s">
        <v>5521</v>
      </c>
      <c r="E410" s="823" t="s">
        <v>5522</v>
      </c>
      <c r="F410" s="832"/>
      <c r="G410" s="832"/>
      <c r="H410" s="832"/>
      <c r="I410" s="832"/>
      <c r="J410" s="832"/>
      <c r="K410" s="832"/>
      <c r="L410" s="832"/>
      <c r="M410" s="832"/>
      <c r="N410" s="832">
        <v>1</v>
      </c>
      <c r="O410" s="832">
        <v>857</v>
      </c>
      <c r="P410" s="828"/>
      <c r="Q410" s="833">
        <v>857</v>
      </c>
    </row>
    <row r="411" spans="1:17" ht="14.45" customHeight="1" x14ac:dyDescent="0.2">
      <c r="A411" s="822" t="s">
        <v>575</v>
      </c>
      <c r="B411" s="823" t="s">
        <v>5562</v>
      </c>
      <c r="C411" s="823" t="s">
        <v>5355</v>
      </c>
      <c r="D411" s="823" t="s">
        <v>5884</v>
      </c>
      <c r="E411" s="823" t="s">
        <v>5885</v>
      </c>
      <c r="F411" s="832"/>
      <c r="G411" s="832"/>
      <c r="H411" s="832"/>
      <c r="I411" s="832"/>
      <c r="J411" s="832"/>
      <c r="K411" s="832"/>
      <c r="L411" s="832"/>
      <c r="M411" s="832"/>
      <c r="N411" s="832">
        <v>2</v>
      </c>
      <c r="O411" s="832">
        <v>0</v>
      </c>
      <c r="P411" s="828"/>
      <c r="Q411" s="833">
        <v>0</v>
      </c>
    </row>
    <row r="412" spans="1:17" ht="14.45" customHeight="1" x14ac:dyDescent="0.2">
      <c r="A412" s="822" t="s">
        <v>575</v>
      </c>
      <c r="B412" s="823" t="s">
        <v>5562</v>
      </c>
      <c r="C412" s="823" t="s">
        <v>5355</v>
      </c>
      <c r="D412" s="823" t="s">
        <v>5886</v>
      </c>
      <c r="E412" s="823" t="s">
        <v>5887</v>
      </c>
      <c r="F412" s="832">
        <v>47</v>
      </c>
      <c r="G412" s="832">
        <v>2302201</v>
      </c>
      <c r="H412" s="832">
        <v>0.75633266533066135</v>
      </c>
      <c r="I412" s="832">
        <v>48983</v>
      </c>
      <c r="J412" s="832">
        <v>62</v>
      </c>
      <c r="K412" s="832">
        <v>3043900</v>
      </c>
      <c r="L412" s="832">
        <v>1</v>
      </c>
      <c r="M412" s="832">
        <v>49095.161290322583</v>
      </c>
      <c r="N412" s="832">
        <v>46</v>
      </c>
      <c r="O412" s="832">
        <v>2263108</v>
      </c>
      <c r="P412" s="828">
        <v>0.74348960215512994</v>
      </c>
      <c r="Q412" s="833">
        <v>49198</v>
      </c>
    </row>
    <row r="413" spans="1:17" ht="14.45" customHeight="1" x14ac:dyDescent="0.2">
      <c r="A413" s="822" t="s">
        <v>575</v>
      </c>
      <c r="B413" s="823" t="s">
        <v>5562</v>
      </c>
      <c r="C413" s="823" t="s">
        <v>5355</v>
      </c>
      <c r="D413" s="823" t="s">
        <v>5888</v>
      </c>
      <c r="E413" s="823" t="s">
        <v>5889</v>
      </c>
      <c r="F413" s="832">
        <v>1</v>
      </c>
      <c r="G413" s="832">
        <v>1878</v>
      </c>
      <c r="H413" s="832">
        <v>7.1087894617306385E-2</v>
      </c>
      <c r="I413" s="832">
        <v>1878</v>
      </c>
      <c r="J413" s="832">
        <v>14</v>
      </c>
      <c r="K413" s="832">
        <v>26418</v>
      </c>
      <c r="L413" s="832">
        <v>1</v>
      </c>
      <c r="M413" s="832">
        <v>1887</v>
      </c>
      <c r="N413" s="832">
        <v>3</v>
      </c>
      <c r="O413" s="832">
        <v>5682</v>
      </c>
      <c r="P413" s="828">
        <v>0.21508062684533272</v>
      </c>
      <c r="Q413" s="833">
        <v>1894</v>
      </c>
    </row>
    <row r="414" spans="1:17" ht="14.45" customHeight="1" x14ac:dyDescent="0.2">
      <c r="A414" s="822" t="s">
        <v>575</v>
      </c>
      <c r="B414" s="823" t="s">
        <v>5562</v>
      </c>
      <c r="C414" s="823" t="s">
        <v>5355</v>
      </c>
      <c r="D414" s="823" t="s">
        <v>5890</v>
      </c>
      <c r="E414" s="823" t="s">
        <v>5891</v>
      </c>
      <c r="F414" s="832"/>
      <c r="G414" s="832"/>
      <c r="H414" s="832"/>
      <c r="I414" s="832"/>
      <c r="J414" s="832"/>
      <c r="K414" s="832"/>
      <c r="L414" s="832"/>
      <c r="M414" s="832"/>
      <c r="N414" s="832">
        <v>1</v>
      </c>
      <c r="O414" s="832">
        <v>6347</v>
      </c>
      <c r="P414" s="828"/>
      <c r="Q414" s="833">
        <v>6347</v>
      </c>
    </row>
    <row r="415" spans="1:17" ht="14.45" customHeight="1" x14ac:dyDescent="0.2">
      <c r="A415" s="822" t="s">
        <v>575</v>
      </c>
      <c r="B415" s="823" t="s">
        <v>5562</v>
      </c>
      <c r="C415" s="823" t="s">
        <v>5355</v>
      </c>
      <c r="D415" s="823" t="s">
        <v>5523</v>
      </c>
      <c r="E415" s="823" t="s">
        <v>5524</v>
      </c>
      <c r="F415" s="832">
        <v>1</v>
      </c>
      <c r="G415" s="832">
        <v>9361</v>
      </c>
      <c r="H415" s="832">
        <v>0.1659575222494061</v>
      </c>
      <c r="I415" s="832">
        <v>9361</v>
      </c>
      <c r="J415" s="832">
        <v>6</v>
      </c>
      <c r="K415" s="832">
        <v>56406</v>
      </c>
      <c r="L415" s="832">
        <v>1</v>
      </c>
      <c r="M415" s="832">
        <v>9401</v>
      </c>
      <c r="N415" s="832">
        <v>1</v>
      </c>
      <c r="O415" s="832">
        <v>9452</v>
      </c>
      <c r="P415" s="828">
        <v>0.16757082579867391</v>
      </c>
      <c r="Q415" s="833">
        <v>9452</v>
      </c>
    </row>
    <row r="416" spans="1:17" ht="14.45" customHeight="1" x14ac:dyDescent="0.2">
      <c r="A416" s="822" t="s">
        <v>575</v>
      </c>
      <c r="B416" s="823" t="s">
        <v>5562</v>
      </c>
      <c r="C416" s="823" t="s">
        <v>5355</v>
      </c>
      <c r="D416" s="823" t="s">
        <v>5892</v>
      </c>
      <c r="E416" s="823" t="s">
        <v>5893</v>
      </c>
      <c r="F416" s="832">
        <v>15</v>
      </c>
      <c r="G416" s="832">
        <v>6690</v>
      </c>
      <c r="H416" s="832">
        <v>3.7332589285714284</v>
      </c>
      <c r="I416" s="832">
        <v>446</v>
      </c>
      <c r="J416" s="832">
        <v>4</v>
      </c>
      <c r="K416" s="832">
        <v>1792</v>
      </c>
      <c r="L416" s="832">
        <v>1</v>
      </c>
      <c r="M416" s="832">
        <v>448</v>
      </c>
      <c r="N416" s="832">
        <v>1</v>
      </c>
      <c r="O416" s="832">
        <v>451</v>
      </c>
      <c r="P416" s="828">
        <v>0.25167410714285715</v>
      </c>
      <c r="Q416" s="833">
        <v>451</v>
      </c>
    </row>
    <row r="417" spans="1:17" ht="14.45" customHeight="1" x14ac:dyDescent="0.2">
      <c r="A417" s="822" t="s">
        <v>575</v>
      </c>
      <c r="B417" s="823" t="s">
        <v>5562</v>
      </c>
      <c r="C417" s="823" t="s">
        <v>5355</v>
      </c>
      <c r="D417" s="823" t="s">
        <v>5560</v>
      </c>
      <c r="E417" s="823" t="s">
        <v>5561</v>
      </c>
      <c r="F417" s="832">
        <v>22</v>
      </c>
      <c r="G417" s="832">
        <v>19052</v>
      </c>
      <c r="H417" s="832">
        <v>1.9885189437428243</v>
      </c>
      <c r="I417" s="832">
        <v>866</v>
      </c>
      <c r="J417" s="832">
        <v>11</v>
      </c>
      <c r="K417" s="832">
        <v>9581</v>
      </c>
      <c r="L417" s="832">
        <v>1</v>
      </c>
      <c r="M417" s="832">
        <v>871</v>
      </c>
      <c r="N417" s="832">
        <v>10</v>
      </c>
      <c r="O417" s="832">
        <v>8420</v>
      </c>
      <c r="P417" s="828">
        <v>0.87882266986744595</v>
      </c>
      <c r="Q417" s="833">
        <v>842</v>
      </c>
    </row>
    <row r="418" spans="1:17" ht="14.45" customHeight="1" x14ac:dyDescent="0.2">
      <c r="A418" s="822" t="s">
        <v>575</v>
      </c>
      <c r="B418" s="823" t="s">
        <v>5562</v>
      </c>
      <c r="C418" s="823" t="s">
        <v>5355</v>
      </c>
      <c r="D418" s="823" t="s">
        <v>5894</v>
      </c>
      <c r="E418" s="823" t="s">
        <v>5895</v>
      </c>
      <c r="F418" s="832">
        <v>20</v>
      </c>
      <c r="G418" s="832">
        <v>0</v>
      </c>
      <c r="H418" s="832"/>
      <c r="I418" s="832">
        <v>0</v>
      </c>
      <c r="J418" s="832">
        <v>22</v>
      </c>
      <c r="K418" s="832">
        <v>0</v>
      </c>
      <c r="L418" s="832"/>
      <c r="M418" s="832">
        <v>0</v>
      </c>
      <c r="N418" s="832">
        <v>15</v>
      </c>
      <c r="O418" s="832">
        <v>0</v>
      </c>
      <c r="P418" s="828"/>
      <c r="Q418" s="833">
        <v>0</v>
      </c>
    </row>
    <row r="419" spans="1:17" ht="14.45" customHeight="1" x14ac:dyDescent="0.2">
      <c r="A419" s="822" t="s">
        <v>575</v>
      </c>
      <c r="B419" s="823" t="s">
        <v>5562</v>
      </c>
      <c r="C419" s="823" t="s">
        <v>5355</v>
      </c>
      <c r="D419" s="823" t="s">
        <v>5525</v>
      </c>
      <c r="E419" s="823" t="s">
        <v>5526</v>
      </c>
      <c r="F419" s="832">
        <v>200</v>
      </c>
      <c r="G419" s="832">
        <v>0</v>
      </c>
      <c r="H419" s="832"/>
      <c r="I419" s="832">
        <v>0</v>
      </c>
      <c r="J419" s="832">
        <v>228</v>
      </c>
      <c r="K419" s="832">
        <v>0</v>
      </c>
      <c r="L419" s="832"/>
      <c r="M419" s="832">
        <v>0</v>
      </c>
      <c r="N419" s="832">
        <v>178</v>
      </c>
      <c r="O419" s="832">
        <v>0</v>
      </c>
      <c r="P419" s="828"/>
      <c r="Q419" s="833">
        <v>0</v>
      </c>
    </row>
    <row r="420" spans="1:17" ht="14.45" customHeight="1" x14ac:dyDescent="0.2">
      <c r="A420" s="822" t="s">
        <v>575</v>
      </c>
      <c r="B420" s="823" t="s">
        <v>5562</v>
      </c>
      <c r="C420" s="823" t="s">
        <v>5355</v>
      </c>
      <c r="D420" s="823" t="s">
        <v>5529</v>
      </c>
      <c r="E420" s="823" t="s">
        <v>5530</v>
      </c>
      <c r="F420" s="832"/>
      <c r="G420" s="832"/>
      <c r="H420" s="832"/>
      <c r="I420" s="832"/>
      <c r="J420" s="832">
        <v>1</v>
      </c>
      <c r="K420" s="832">
        <v>7044</v>
      </c>
      <c r="L420" s="832">
        <v>1</v>
      </c>
      <c r="M420" s="832">
        <v>7044</v>
      </c>
      <c r="N420" s="832"/>
      <c r="O420" s="832"/>
      <c r="P420" s="828"/>
      <c r="Q420" s="833"/>
    </row>
    <row r="421" spans="1:17" ht="14.45" customHeight="1" x14ac:dyDescent="0.2">
      <c r="A421" s="822" t="s">
        <v>575</v>
      </c>
      <c r="B421" s="823" t="s">
        <v>5562</v>
      </c>
      <c r="C421" s="823" t="s">
        <v>5355</v>
      </c>
      <c r="D421" s="823" t="s">
        <v>5896</v>
      </c>
      <c r="E421" s="823" t="s">
        <v>5897</v>
      </c>
      <c r="F421" s="832">
        <v>168</v>
      </c>
      <c r="G421" s="832">
        <v>6505406</v>
      </c>
      <c r="H421" s="832">
        <v>0.91075392558743817</v>
      </c>
      <c r="I421" s="832">
        <v>38722.654761904763</v>
      </c>
      <c r="J421" s="832">
        <v>184</v>
      </c>
      <c r="K421" s="832">
        <v>7142880</v>
      </c>
      <c r="L421" s="832">
        <v>1</v>
      </c>
      <c r="M421" s="832">
        <v>38820</v>
      </c>
      <c r="N421" s="832">
        <v>151</v>
      </c>
      <c r="O421" s="832">
        <v>5874957</v>
      </c>
      <c r="P421" s="828">
        <v>0.82249134802768631</v>
      </c>
      <c r="Q421" s="833">
        <v>38907</v>
      </c>
    </row>
    <row r="422" spans="1:17" ht="14.45" customHeight="1" x14ac:dyDescent="0.2">
      <c r="A422" s="822" t="s">
        <v>575</v>
      </c>
      <c r="B422" s="823" t="s">
        <v>5562</v>
      </c>
      <c r="C422" s="823" t="s">
        <v>5355</v>
      </c>
      <c r="D422" s="823" t="s">
        <v>5531</v>
      </c>
      <c r="E422" s="823" t="s">
        <v>5532</v>
      </c>
      <c r="F422" s="832">
        <v>72</v>
      </c>
      <c r="G422" s="832">
        <v>0</v>
      </c>
      <c r="H422" s="832"/>
      <c r="I422" s="832">
        <v>0</v>
      </c>
      <c r="J422" s="832">
        <v>93</v>
      </c>
      <c r="K422" s="832">
        <v>0</v>
      </c>
      <c r="L422" s="832"/>
      <c r="M422" s="832">
        <v>0</v>
      </c>
      <c r="N422" s="832">
        <v>73</v>
      </c>
      <c r="O422" s="832">
        <v>0</v>
      </c>
      <c r="P422" s="828"/>
      <c r="Q422" s="833">
        <v>0</v>
      </c>
    </row>
    <row r="423" spans="1:17" ht="14.45" customHeight="1" x14ac:dyDescent="0.2">
      <c r="A423" s="822" t="s">
        <v>575</v>
      </c>
      <c r="B423" s="823" t="s">
        <v>5562</v>
      </c>
      <c r="C423" s="823" t="s">
        <v>5355</v>
      </c>
      <c r="D423" s="823" t="s">
        <v>5898</v>
      </c>
      <c r="E423" s="823" t="s">
        <v>5899</v>
      </c>
      <c r="F423" s="832">
        <v>1</v>
      </c>
      <c r="G423" s="832">
        <v>0</v>
      </c>
      <c r="H423" s="832"/>
      <c r="I423" s="832">
        <v>0</v>
      </c>
      <c r="J423" s="832"/>
      <c r="K423" s="832"/>
      <c r="L423" s="832"/>
      <c r="M423" s="832"/>
      <c r="N423" s="832"/>
      <c r="O423" s="832"/>
      <c r="P423" s="828"/>
      <c r="Q423" s="833"/>
    </row>
    <row r="424" spans="1:17" ht="14.45" customHeight="1" x14ac:dyDescent="0.2">
      <c r="A424" s="822" t="s">
        <v>575</v>
      </c>
      <c r="B424" s="823" t="s">
        <v>5562</v>
      </c>
      <c r="C424" s="823" t="s">
        <v>5355</v>
      </c>
      <c r="D424" s="823" t="s">
        <v>5900</v>
      </c>
      <c r="E424" s="823" t="s">
        <v>5901</v>
      </c>
      <c r="F424" s="832"/>
      <c r="G424" s="832"/>
      <c r="H424" s="832"/>
      <c r="I424" s="832"/>
      <c r="J424" s="832">
        <v>1</v>
      </c>
      <c r="K424" s="832">
        <v>0</v>
      </c>
      <c r="L424" s="832"/>
      <c r="M424" s="832">
        <v>0</v>
      </c>
      <c r="N424" s="832"/>
      <c r="O424" s="832"/>
      <c r="P424" s="828"/>
      <c r="Q424" s="833"/>
    </row>
    <row r="425" spans="1:17" ht="14.45" customHeight="1" x14ac:dyDescent="0.2">
      <c r="A425" s="822" t="s">
        <v>575</v>
      </c>
      <c r="B425" s="823" t="s">
        <v>5562</v>
      </c>
      <c r="C425" s="823" t="s">
        <v>5355</v>
      </c>
      <c r="D425" s="823" t="s">
        <v>5423</v>
      </c>
      <c r="E425" s="823" t="s">
        <v>5424</v>
      </c>
      <c r="F425" s="832">
        <v>229</v>
      </c>
      <c r="G425" s="832">
        <v>85646</v>
      </c>
      <c r="H425" s="832">
        <v>0.87946685287110815</v>
      </c>
      <c r="I425" s="832">
        <v>374</v>
      </c>
      <c r="J425" s="832">
        <v>259</v>
      </c>
      <c r="K425" s="832">
        <v>97384</v>
      </c>
      <c r="L425" s="832">
        <v>1</v>
      </c>
      <c r="M425" s="832">
        <v>376</v>
      </c>
      <c r="N425" s="832">
        <v>202</v>
      </c>
      <c r="O425" s="832">
        <v>76558</v>
      </c>
      <c r="P425" s="828">
        <v>0.78614556806046165</v>
      </c>
      <c r="Q425" s="833">
        <v>379</v>
      </c>
    </row>
    <row r="426" spans="1:17" ht="14.45" customHeight="1" x14ac:dyDescent="0.2">
      <c r="A426" s="822" t="s">
        <v>575</v>
      </c>
      <c r="B426" s="823" t="s">
        <v>5562</v>
      </c>
      <c r="C426" s="823" t="s">
        <v>5355</v>
      </c>
      <c r="D426" s="823" t="s">
        <v>5902</v>
      </c>
      <c r="E426" s="823" t="s">
        <v>5903</v>
      </c>
      <c r="F426" s="832">
        <v>169</v>
      </c>
      <c r="G426" s="832">
        <v>0</v>
      </c>
      <c r="H426" s="832"/>
      <c r="I426" s="832">
        <v>0</v>
      </c>
      <c r="J426" s="832">
        <v>193</v>
      </c>
      <c r="K426" s="832">
        <v>0</v>
      </c>
      <c r="L426" s="832"/>
      <c r="M426" s="832">
        <v>0</v>
      </c>
      <c r="N426" s="832">
        <v>155</v>
      </c>
      <c r="O426" s="832">
        <v>0</v>
      </c>
      <c r="P426" s="828"/>
      <c r="Q426" s="833">
        <v>0</v>
      </c>
    </row>
    <row r="427" spans="1:17" ht="14.45" customHeight="1" x14ac:dyDescent="0.2">
      <c r="A427" s="822" t="s">
        <v>575</v>
      </c>
      <c r="B427" s="823" t="s">
        <v>5562</v>
      </c>
      <c r="C427" s="823" t="s">
        <v>5355</v>
      </c>
      <c r="D427" s="823" t="s">
        <v>5533</v>
      </c>
      <c r="E427" s="823" t="s">
        <v>5534</v>
      </c>
      <c r="F427" s="832">
        <v>16</v>
      </c>
      <c r="G427" s="832">
        <v>0</v>
      </c>
      <c r="H427" s="832"/>
      <c r="I427" s="832">
        <v>0</v>
      </c>
      <c r="J427" s="832">
        <v>36</v>
      </c>
      <c r="K427" s="832">
        <v>0</v>
      </c>
      <c r="L427" s="832"/>
      <c r="M427" s="832">
        <v>0</v>
      </c>
      <c r="N427" s="832">
        <v>26</v>
      </c>
      <c r="O427" s="832">
        <v>0</v>
      </c>
      <c r="P427" s="828"/>
      <c r="Q427" s="833">
        <v>0</v>
      </c>
    </row>
    <row r="428" spans="1:17" ht="14.45" customHeight="1" x14ac:dyDescent="0.2">
      <c r="A428" s="822" t="s">
        <v>575</v>
      </c>
      <c r="B428" s="823" t="s">
        <v>5562</v>
      </c>
      <c r="C428" s="823" t="s">
        <v>5355</v>
      </c>
      <c r="D428" s="823" t="s">
        <v>5535</v>
      </c>
      <c r="E428" s="823" t="s">
        <v>5536</v>
      </c>
      <c r="F428" s="832">
        <v>9</v>
      </c>
      <c r="G428" s="832">
        <v>0</v>
      </c>
      <c r="H428" s="832"/>
      <c r="I428" s="832">
        <v>0</v>
      </c>
      <c r="J428" s="832">
        <v>18</v>
      </c>
      <c r="K428" s="832">
        <v>0</v>
      </c>
      <c r="L428" s="832"/>
      <c r="M428" s="832">
        <v>0</v>
      </c>
      <c r="N428" s="832">
        <v>15</v>
      </c>
      <c r="O428" s="832">
        <v>0</v>
      </c>
      <c r="P428" s="828"/>
      <c r="Q428" s="833">
        <v>0</v>
      </c>
    </row>
    <row r="429" spans="1:17" ht="14.45" customHeight="1" x14ac:dyDescent="0.2">
      <c r="A429" s="822" t="s">
        <v>575</v>
      </c>
      <c r="B429" s="823" t="s">
        <v>5562</v>
      </c>
      <c r="C429" s="823" t="s">
        <v>5355</v>
      </c>
      <c r="D429" s="823" t="s">
        <v>5904</v>
      </c>
      <c r="E429" s="823" t="s">
        <v>5905</v>
      </c>
      <c r="F429" s="832">
        <v>44</v>
      </c>
      <c r="G429" s="832">
        <v>0</v>
      </c>
      <c r="H429" s="832"/>
      <c r="I429" s="832">
        <v>0</v>
      </c>
      <c r="J429" s="832">
        <v>62</v>
      </c>
      <c r="K429" s="832">
        <v>0</v>
      </c>
      <c r="L429" s="832"/>
      <c r="M429" s="832">
        <v>0</v>
      </c>
      <c r="N429" s="832">
        <v>50</v>
      </c>
      <c r="O429" s="832">
        <v>0</v>
      </c>
      <c r="P429" s="828"/>
      <c r="Q429" s="833">
        <v>0</v>
      </c>
    </row>
    <row r="430" spans="1:17" ht="14.45" customHeight="1" x14ac:dyDescent="0.2">
      <c r="A430" s="822" t="s">
        <v>575</v>
      </c>
      <c r="B430" s="823" t="s">
        <v>5562</v>
      </c>
      <c r="C430" s="823" t="s">
        <v>5355</v>
      </c>
      <c r="D430" s="823" t="s">
        <v>5906</v>
      </c>
      <c r="E430" s="823" t="s">
        <v>5907</v>
      </c>
      <c r="F430" s="832">
        <v>9</v>
      </c>
      <c r="G430" s="832">
        <v>62676</v>
      </c>
      <c r="H430" s="832">
        <v>0.64055761093963981</v>
      </c>
      <c r="I430" s="832">
        <v>6964</v>
      </c>
      <c r="J430" s="832">
        <v>14</v>
      </c>
      <c r="K430" s="832">
        <v>97846</v>
      </c>
      <c r="L430" s="832">
        <v>1</v>
      </c>
      <c r="M430" s="832">
        <v>6989</v>
      </c>
      <c r="N430" s="832">
        <v>11</v>
      </c>
      <c r="O430" s="832">
        <v>77110</v>
      </c>
      <c r="P430" s="828">
        <v>0.7880751384829221</v>
      </c>
      <c r="Q430" s="833">
        <v>7010</v>
      </c>
    </row>
    <row r="431" spans="1:17" ht="14.45" customHeight="1" x14ac:dyDescent="0.2">
      <c r="A431" s="822" t="s">
        <v>575</v>
      </c>
      <c r="B431" s="823" t="s">
        <v>5562</v>
      </c>
      <c r="C431" s="823" t="s">
        <v>5355</v>
      </c>
      <c r="D431" s="823" t="s">
        <v>5908</v>
      </c>
      <c r="E431" s="823" t="s">
        <v>5909</v>
      </c>
      <c r="F431" s="832">
        <v>3</v>
      </c>
      <c r="G431" s="832">
        <v>0</v>
      </c>
      <c r="H431" s="832"/>
      <c r="I431" s="832">
        <v>0</v>
      </c>
      <c r="J431" s="832">
        <v>1</v>
      </c>
      <c r="K431" s="832">
        <v>0</v>
      </c>
      <c r="L431" s="832"/>
      <c r="M431" s="832">
        <v>0</v>
      </c>
      <c r="N431" s="832">
        <v>1</v>
      </c>
      <c r="O431" s="832">
        <v>0</v>
      </c>
      <c r="P431" s="828"/>
      <c r="Q431" s="833">
        <v>0</v>
      </c>
    </row>
    <row r="432" spans="1:17" ht="14.45" customHeight="1" x14ac:dyDescent="0.2">
      <c r="A432" s="822" t="s">
        <v>575</v>
      </c>
      <c r="B432" s="823" t="s">
        <v>5562</v>
      </c>
      <c r="C432" s="823" t="s">
        <v>5355</v>
      </c>
      <c r="D432" s="823" t="s">
        <v>5425</v>
      </c>
      <c r="E432" s="823" t="s">
        <v>5426</v>
      </c>
      <c r="F432" s="832">
        <v>286</v>
      </c>
      <c r="G432" s="832">
        <v>72072</v>
      </c>
      <c r="H432" s="832">
        <v>0.89231150179522101</v>
      </c>
      <c r="I432" s="832">
        <v>252</v>
      </c>
      <c r="J432" s="832">
        <v>318</v>
      </c>
      <c r="K432" s="832">
        <v>80770</v>
      </c>
      <c r="L432" s="832">
        <v>1</v>
      </c>
      <c r="M432" s="832">
        <v>253.99371069182391</v>
      </c>
      <c r="N432" s="832">
        <v>242</v>
      </c>
      <c r="O432" s="832">
        <v>61710</v>
      </c>
      <c r="P432" s="828">
        <v>0.76402129503528537</v>
      </c>
      <c r="Q432" s="833">
        <v>255</v>
      </c>
    </row>
    <row r="433" spans="1:17" ht="14.45" customHeight="1" x14ac:dyDescent="0.2">
      <c r="A433" s="822" t="s">
        <v>575</v>
      </c>
      <c r="B433" s="823" t="s">
        <v>5562</v>
      </c>
      <c r="C433" s="823" t="s">
        <v>5355</v>
      </c>
      <c r="D433" s="823" t="s">
        <v>5910</v>
      </c>
      <c r="E433" s="823" t="s">
        <v>5911</v>
      </c>
      <c r="F433" s="832">
        <v>10</v>
      </c>
      <c r="G433" s="832">
        <v>130890</v>
      </c>
      <c r="H433" s="832">
        <v>0.62314328153564902</v>
      </c>
      <c r="I433" s="832">
        <v>13089</v>
      </c>
      <c r="J433" s="832">
        <v>16</v>
      </c>
      <c r="K433" s="832">
        <v>210048</v>
      </c>
      <c r="L433" s="832">
        <v>1</v>
      </c>
      <c r="M433" s="832">
        <v>13128</v>
      </c>
      <c r="N433" s="832">
        <v>9</v>
      </c>
      <c r="O433" s="832">
        <v>118476</v>
      </c>
      <c r="P433" s="828">
        <v>0.56404250457038396</v>
      </c>
      <c r="Q433" s="833">
        <v>13164</v>
      </c>
    </row>
    <row r="434" spans="1:17" ht="14.45" customHeight="1" x14ac:dyDescent="0.2">
      <c r="A434" s="822" t="s">
        <v>575</v>
      </c>
      <c r="B434" s="823" t="s">
        <v>5562</v>
      </c>
      <c r="C434" s="823" t="s">
        <v>5355</v>
      </c>
      <c r="D434" s="823" t="s">
        <v>5912</v>
      </c>
      <c r="E434" s="823" t="s">
        <v>5913</v>
      </c>
      <c r="F434" s="832">
        <v>2</v>
      </c>
      <c r="G434" s="832">
        <v>0</v>
      </c>
      <c r="H434" s="832"/>
      <c r="I434" s="832">
        <v>0</v>
      </c>
      <c r="J434" s="832">
        <v>6</v>
      </c>
      <c r="K434" s="832">
        <v>0</v>
      </c>
      <c r="L434" s="832"/>
      <c r="M434" s="832">
        <v>0</v>
      </c>
      <c r="N434" s="832">
        <v>5</v>
      </c>
      <c r="O434" s="832">
        <v>0</v>
      </c>
      <c r="P434" s="828"/>
      <c r="Q434" s="833">
        <v>0</v>
      </c>
    </row>
    <row r="435" spans="1:17" ht="14.45" customHeight="1" x14ac:dyDescent="0.2">
      <c r="A435" s="822" t="s">
        <v>575</v>
      </c>
      <c r="B435" s="823" t="s">
        <v>5562</v>
      </c>
      <c r="C435" s="823" t="s">
        <v>5355</v>
      </c>
      <c r="D435" s="823" t="s">
        <v>5914</v>
      </c>
      <c r="E435" s="823" t="s">
        <v>5915</v>
      </c>
      <c r="F435" s="832">
        <v>161</v>
      </c>
      <c r="G435" s="832">
        <v>0</v>
      </c>
      <c r="H435" s="832"/>
      <c r="I435" s="832">
        <v>0</v>
      </c>
      <c r="J435" s="832">
        <v>189</v>
      </c>
      <c r="K435" s="832">
        <v>0</v>
      </c>
      <c r="L435" s="832"/>
      <c r="M435" s="832">
        <v>0</v>
      </c>
      <c r="N435" s="832">
        <v>145</v>
      </c>
      <c r="O435" s="832">
        <v>0</v>
      </c>
      <c r="P435" s="828"/>
      <c r="Q435" s="833">
        <v>0</v>
      </c>
    </row>
    <row r="436" spans="1:17" ht="14.45" customHeight="1" x14ac:dyDescent="0.2">
      <c r="A436" s="822" t="s">
        <v>575</v>
      </c>
      <c r="B436" s="823" t="s">
        <v>5562</v>
      </c>
      <c r="C436" s="823" t="s">
        <v>5355</v>
      </c>
      <c r="D436" s="823" t="s">
        <v>5916</v>
      </c>
      <c r="E436" s="823" t="s">
        <v>5917</v>
      </c>
      <c r="F436" s="832">
        <v>5</v>
      </c>
      <c r="G436" s="832">
        <v>0</v>
      </c>
      <c r="H436" s="832"/>
      <c r="I436" s="832">
        <v>0</v>
      </c>
      <c r="J436" s="832">
        <v>10</v>
      </c>
      <c r="K436" s="832">
        <v>0</v>
      </c>
      <c r="L436" s="832"/>
      <c r="M436" s="832">
        <v>0</v>
      </c>
      <c r="N436" s="832">
        <v>6</v>
      </c>
      <c r="O436" s="832">
        <v>0</v>
      </c>
      <c r="P436" s="828"/>
      <c r="Q436" s="833">
        <v>0</v>
      </c>
    </row>
    <row r="437" spans="1:17" ht="14.45" customHeight="1" x14ac:dyDescent="0.2">
      <c r="A437" s="822" t="s">
        <v>575</v>
      </c>
      <c r="B437" s="823" t="s">
        <v>5562</v>
      </c>
      <c r="C437" s="823" t="s">
        <v>5355</v>
      </c>
      <c r="D437" s="823" t="s">
        <v>5918</v>
      </c>
      <c r="E437" s="823" t="s">
        <v>5919</v>
      </c>
      <c r="F437" s="832">
        <v>1</v>
      </c>
      <c r="G437" s="832">
        <v>6356</v>
      </c>
      <c r="H437" s="832"/>
      <c r="I437" s="832">
        <v>6356</v>
      </c>
      <c r="J437" s="832"/>
      <c r="K437" s="832"/>
      <c r="L437" s="832"/>
      <c r="M437" s="832"/>
      <c r="N437" s="832"/>
      <c r="O437" s="832"/>
      <c r="P437" s="828"/>
      <c r="Q437" s="833"/>
    </row>
    <row r="438" spans="1:17" ht="14.45" customHeight="1" x14ac:dyDescent="0.2">
      <c r="A438" s="822" t="s">
        <v>575</v>
      </c>
      <c r="B438" s="823" t="s">
        <v>5562</v>
      </c>
      <c r="C438" s="823" t="s">
        <v>5355</v>
      </c>
      <c r="D438" s="823" t="s">
        <v>5920</v>
      </c>
      <c r="E438" s="823" t="s">
        <v>5921</v>
      </c>
      <c r="F438" s="832"/>
      <c r="G438" s="832"/>
      <c r="H438" s="832"/>
      <c r="I438" s="832"/>
      <c r="J438" s="832">
        <v>1</v>
      </c>
      <c r="K438" s="832">
        <v>0</v>
      </c>
      <c r="L438" s="832"/>
      <c r="M438" s="832">
        <v>0</v>
      </c>
      <c r="N438" s="832">
        <v>1</v>
      </c>
      <c r="O438" s="832">
        <v>0</v>
      </c>
      <c r="P438" s="828"/>
      <c r="Q438" s="833">
        <v>0</v>
      </c>
    </row>
    <row r="439" spans="1:17" ht="14.45" customHeight="1" x14ac:dyDescent="0.2">
      <c r="A439" s="822" t="s">
        <v>575</v>
      </c>
      <c r="B439" s="823" t="s">
        <v>5562</v>
      </c>
      <c r="C439" s="823" t="s">
        <v>5355</v>
      </c>
      <c r="D439" s="823" t="s">
        <v>5922</v>
      </c>
      <c r="E439" s="823" t="s">
        <v>5923</v>
      </c>
      <c r="F439" s="832">
        <v>2</v>
      </c>
      <c r="G439" s="832">
        <v>0</v>
      </c>
      <c r="H439" s="832"/>
      <c r="I439" s="832">
        <v>0</v>
      </c>
      <c r="J439" s="832">
        <v>7</v>
      </c>
      <c r="K439" s="832">
        <v>0</v>
      </c>
      <c r="L439" s="832"/>
      <c r="M439" s="832">
        <v>0</v>
      </c>
      <c r="N439" s="832">
        <v>2</v>
      </c>
      <c r="O439" s="832">
        <v>0</v>
      </c>
      <c r="P439" s="828"/>
      <c r="Q439" s="833">
        <v>0</v>
      </c>
    </row>
    <row r="440" spans="1:17" ht="14.45" customHeight="1" x14ac:dyDescent="0.2">
      <c r="A440" s="822" t="s">
        <v>575</v>
      </c>
      <c r="B440" s="823" t="s">
        <v>5562</v>
      </c>
      <c r="C440" s="823" t="s">
        <v>5355</v>
      </c>
      <c r="D440" s="823" t="s">
        <v>5924</v>
      </c>
      <c r="E440" s="823" t="s">
        <v>5925</v>
      </c>
      <c r="F440" s="832">
        <v>7</v>
      </c>
      <c r="G440" s="832">
        <v>0</v>
      </c>
      <c r="H440" s="832"/>
      <c r="I440" s="832">
        <v>0</v>
      </c>
      <c r="J440" s="832">
        <v>8</v>
      </c>
      <c r="K440" s="832">
        <v>0</v>
      </c>
      <c r="L440" s="832"/>
      <c r="M440" s="832">
        <v>0</v>
      </c>
      <c r="N440" s="832">
        <v>1</v>
      </c>
      <c r="O440" s="832">
        <v>0</v>
      </c>
      <c r="P440" s="828"/>
      <c r="Q440" s="833">
        <v>0</v>
      </c>
    </row>
    <row r="441" spans="1:17" ht="14.45" customHeight="1" x14ac:dyDescent="0.2">
      <c r="A441" s="822" t="s">
        <v>575</v>
      </c>
      <c r="B441" s="823" t="s">
        <v>5562</v>
      </c>
      <c r="C441" s="823" t="s">
        <v>5355</v>
      </c>
      <c r="D441" s="823" t="s">
        <v>5926</v>
      </c>
      <c r="E441" s="823" t="s">
        <v>5927</v>
      </c>
      <c r="F441" s="832">
        <v>2</v>
      </c>
      <c r="G441" s="832">
        <v>0</v>
      </c>
      <c r="H441" s="832"/>
      <c r="I441" s="832">
        <v>0</v>
      </c>
      <c r="J441" s="832">
        <v>2</v>
      </c>
      <c r="K441" s="832">
        <v>0</v>
      </c>
      <c r="L441" s="832"/>
      <c r="M441" s="832">
        <v>0</v>
      </c>
      <c r="N441" s="832">
        <v>2</v>
      </c>
      <c r="O441" s="832">
        <v>0</v>
      </c>
      <c r="P441" s="828"/>
      <c r="Q441" s="833">
        <v>0</v>
      </c>
    </row>
    <row r="442" spans="1:17" ht="14.45" customHeight="1" x14ac:dyDescent="0.2">
      <c r="A442" s="822" t="s">
        <v>575</v>
      </c>
      <c r="B442" s="823" t="s">
        <v>5562</v>
      </c>
      <c r="C442" s="823" t="s">
        <v>5355</v>
      </c>
      <c r="D442" s="823" t="s">
        <v>5928</v>
      </c>
      <c r="E442" s="823" t="s">
        <v>5837</v>
      </c>
      <c r="F442" s="832"/>
      <c r="G442" s="832"/>
      <c r="H442" s="832"/>
      <c r="I442" s="832"/>
      <c r="J442" s="832">
        <v>1</v>
      </c>
      <c r="K442" s="832">
        <v>0</v>
      </c>
      <c r="L442" s="832"/>
      <c r="M442" s="832">
        <v>0</v>
      </c>
      <c r="N442" s="832">
        <v>1</v>
      </c>
      <c r="O442" s="832">
        <v>0</v>
      </c>
      <c r="P442" s="828"/>
      <c r="Q442" s="833">
        <v>0</v>
      </c>
    </row>
    <row r="443" spans="1:17" ht="14.45" customHeight="1" x14ac:dyDescent="0.2">
      <c r="A443" s="822" t="s">
        <v>575</v>
      </c>
      <c r="B443" s="823" t="s">
        <v>5562</v>
      </c>
      <c r="C443" s="823" t="s">
        <v>5355</v>
      </c>
      <c r="D443" s="823" t="s">
        <v>5929</v>
      </c>
      <c r="E443" s="823" t="s">
        <v>5930</v>
      </c>
      <c r="F443" s="832">
        <v>46</v>
      </c>
      <c r="G443" s="832">
        <v>0</v>
      </c>
      <c r="H443" s="832"/>
      <c r="I443" s="832">
        <v>0</v>
      </c>
      <c r="J443" s="832">
        <v>44</v>
      </c>
      <c r="K443" s="832">
        <v>0</v>
      </c>
      <c r="L443" s="832"/>
      <c r="M443" s="832">
        <v>0</v>
      </c>
      <c r="N443" s="832">
        <v>39</v>
      </c>
      <c r="O443" s="832">
        <v>0</v>
      </c>
      <c r="P443" s="828"/>
      <c r="Q443" s="833">
        <v>0</v>
      </c>
    </row>
    <row r="444" spans="1:17" ht="14.45" customHeight="1" x14ac:dyDescent="0.2">
      <c r="A444" s="822" t="s">
        <v>575</v>
      </c>
      <c r="B444" s="823" t="s">
        <v>5562</v>
      </c>
      <c r="C444" s="823" t="s">
        <v>5355</v>
      </c>
      <c r="D444" s="823" t="s">
        <v>5931</v>
      </c>
      <c r="E444" s="823" t="s">
        <v>5932</v>
      </c>
      <c r="F444" s="832">
        <v>6</v>
      </c>
      <c r="G444" s="832">
        <v>0</v>
      </c>
      <c r="H444" s="832"/>
      <c r="I444" s="832">
        <v>0</v>
      </c>
      <c r="J444" s="832">
        <v>10</v>
      </c>
      <c r="K444" s="832">
        <v>0</v>
      </c>
      <c r="L444" s="832"/>
      <c r="M444" s="832">
        <v>0</v>
      </c>
      <c r="N444" s="832">
        <v>8</v>
      </c>
      <c r="O444" s="832">
        <v>0</v>
      </c>
      <c r="P444" s="828"/>
      <c r="Q444" s="833">
        <v>0</v>
      </c>
    </row>
    <row r="445" spans="1:17" ht="14.45" customHeight="1" x14ac:dyDescent="0.2">
      <c r="A445" s="822" t="s">
        <v>575</v>
      </c>
      <c r="B445" s="823" t="s">
        <v>5562</v>
      </c>
      <c r="C445" s="823" t="s">
        <v>5355</v>
      </c>
      <c r="D445" s="823" t="s">
        <v>5933</v>
      </c>
      <c r="E445" s="823" t="s">
        <v>5930</v>
      </c>
      <c r="F445" s="832">
        <v>34</v>
      </c>
      <c r="G445" s="832">
        <v>0</v>
      </c>
      <c r="H445" s="832"/>
      <c r="I445" s="832">
        <v>0</v>
      </c>
      <c r="J445" s="832">
        <v>45</v>
      </c>
      <c r="K445" s="832">
        <v>0</v>
      </c>
      <c r="L445" s="832"/>
      <c r="M445" s="832">
        <v>0</v>
      </c>
      <c r="N445" s="832">
        <v>26</v>
      </c>
      <c r="O445" s="832">
        <v>0</v>
      </c>
      <c r="P445" s="828"/>
      <c r="Q445" s="833">
        <v>0</v>
      </c>
    </row>
    <row r="446" spans="1:17" ht="14.45" customHeight="1" x14ac:dyDescent="0.2">
      <c r="A446" s="822" t="s">
        <v>575</v>
      </c>
      <c r="B446" s="823" t="s">
        <v>5562</v>
      </c>
      <c r="C446" s="823" t="s">
        <v>5355</v>
      </c>
      <c r="D446" s="823" t="s">
        <v>5934</v>
      </c>
      <c r="E446" s="823" t="s">
        <v>5935</v>
      </c>
      <c r="F446" s="832">
        <v>10</v>
      </c>
      <c r="G446" s="832">
        <v>0</v>
      </c>
      <c r="H446" s="832"/>
      <c r="I446" s="832">
        <v>0</v>
      </c>
      <c r="J446" s="832">
        <v>13</v>
      </c>
      <c r="K446" s="832">
        <v>0</v>
      </c>
      <c r="L446" s="832"/>
      <c r="M446" s="832">
        <v>0</v>
      </c>
      <c r="N446" s="832">
        <v>9</v>
      </c>
      <c r="O446" s="832">
        <v>0</v>
      </c>
      <c r="P446" s="828"/>
      <c r="Q446" s="833">
        <v>0</v>
      </c>
    </row>
    <row r="447" spans="1:17" ht="14.45" customHeight="1" x14ac:dyDescent="0.2">
      <c r="A447" s="822" t="s">
        <v>575</v>
      </c>
      <c r="B447" s="823" t="s">
        <v>5562</v>
      </c>
      <c r="C447" s="823" t="s">
        <v>5355</v>
      </c>
      <c r="D447" s="823" t="s">
        <v>5936</v>
      </c>
      <c r="E447" s="823" t="s">
        <v>5937</v>
      </c>
      <c r="F447" s="832">
        <v>1</v>
      </c>
      <c r="G447" s="832">
        <v>0</v>
      </c>
      <c r="H447" s="832"/>
      <c r="I447" s="832">
        <v>0</v>
      </c>
      <c r="J447" s="832">
        <v>3</v>
      </c>
      <c r="K447" s="832">
        <v>0</v>
      </c>
      <c r="L447" s="832"/>
      <c r="M447" s="832">
        <v>0</v>
      </c>
      <c r="N447" s="832">
        <v>1</v>
      </c>
      <c r="O447" s="832">
        <v>0</v>
      </c>
      <c r="P447" s="828"/>
      <c r="Q447" s="833">
        <v>0</v>
      </c>
    </row>
    <row r="448" spans="1:17" ht="14.45" customHeight="1" x14ac:dyDescent="0.2">
      <c r="A448" s="822" t="s">
        <v>575</v>
      </c>
      <c r="B448" s="823" t="s">
        <v>5562</v>
      </c>
      <c r="C448" s="823" t="s">
        <v>5355</v>
      </c>
      <c r="D448" s="823" t="s">
        <v>5938</v>
      </c>
      <c r="E448" s="823" t="s">
        <v>5939</v>
      </c>
      <c r="F448" s="832">
        <v>8</v>
      </c>
      <c r="G448" s="832">
        <v>393784</v>
      </c>
      <c r="H448" s="832">
        <v>0.99752761171344617</v>
      </c>
      <c r="I448" s="832">
        <v>49223</v>
      </c>
      <c r="J448" s="832">
        <v>8</v>
      </c>
      <c r="K448" s="832">
        <v>394760</v>
      </c>
      <c r="L448" s="832">
        <v>1</v>
      </c>
      <c r="M448" s="832">
        <v>49345</v>
      </c>
      <c r="N448" s="832">
        <v>4</v>
      </c>
      <c r="O448" s="832">
        <v>197812</v>
      </c>
      <c r="P448" s="828">
        <v>0.50109433579896645</v>
      </c>
      <c r="Q448" s="833">
        <v>49453</v>
      </c>
    </row>
    <row r="449" spans="1:17" ht="14.45" customHeight="1" x14ac:dyDescent="0.2">
      <c r="A449" s="822" t="s">
        <v>575</v>
      </c>
      <c r="B449" s="823" t="s">
        <v>5562</v>
      </c>
      <c r="C449" s="823" t="s">
        <v>5355</v>
      </c>
      <c r="D449" s="823" t="s">
        <v>5940</v>
      </c>
      <c r="E449" s="823" t="s">
        <v>5941</v>
      </c>
      <c r="F449" s="832">
        <v>2</v>
      </c>
      <c r="G449" s="832">
        <v>0</v>
      </c>
      <c r="H449" s="832"/>
      <c r="I449" s="832">
        <v>0</v>
      </c>
      <c r="J449" s="832"/>
      <c r="K449" s="832"/>
      <c r="L449" s="832"/>
      <c r="M449" s="832"/>
      <c r="N449" s="832"/>
      <c r="O449" s="832"/>
      <c r="P449" s="828"/>
      <c r="Q449" s="833"/>
    </row>
    <row r="450" spans="1:17" ht="14.45" customHeight="1" x14ac:dyDescent="0.2">
      <c r="A450" s="822" t="s">
        <v>575</v>
      </c>
      <c r="B450" s="823" t="s">
        <v>5562</v>
      </c>
      <c r="C450" s="823" t="s">
        <v>5355</v>
      </c>
      <c r="D450" s="823" t="s">
        <v>5942</v>
      </c>
      <c r="E450" s="823" t="s">
        <v>5943</v>
      </c>
      <c r="F450" s="832">
        <v>6</v>
      </c>
      <c r="G450" s="832">
        <v>0</v>
      </c>
      <c r="H450" s="832"/>
      <c r="I450" s="832">
        <v>0</v>
      </c>
      <c r="J450" s="832">
        <v>10</v>
      </c>
      <c r="K450" s="832">
        <v>0</v>
      </c>
      <c r="L450" s="832"/>
      <c r="M450" s="832">
        <v>0</v>
      </c>
      <c r="N450" s="832">
        <v>6</v>
      </c>
      <c r="O450" s="832">
        <v>0</v>
      </c>
      <c r="P450" s="828"/>
      <c r="Q450" s="833">
        <v>0</v>
      </c>
    </row>
    <row r="451" spans="1:17" ht="14.45" customHeight="1" x14ac:dyDescent="0.2">
      <c r="A451" s="822" t="s">
        <v>575</v>
      </c>
      <c r="B451" s="823" t="s">
        <v>5562</v>
      </c>
      <c r="C451" s="823" t="s">
        <v>5355</v>
      </c>
      <c r="D451" s="823" t="s">
        <v>5944</v>
      </c>
      <c r="E451" s="823" t="s">
        <v>5887</v>
      </c>
      <c r="F451" s="832">
        <v>1</v>
      </c>
      <c r="G451" s="832">
        <v>62299</v>
      </c>
      <c r="H451" s="832">
        <v>0.49885493738189041</v>
      </c>
      <c r="I451" s="832">
        <v>62299</v>
      </c>
      <c r="J451" s="832">
        <v>2</v>
      </c>
      <c r="K451" s="832">
        <v>124884</v>
      </c>
      <c r="L451" s="832">
        <v>1</v>
      </c>
      <c r="M451" s="832">
        <v>62442</v>
      </c>
      <c r="N451" s="832"/>
      <c r="O451" s="832"/>
      <c r="P451" s="828"/>
      <c r="Q451" s="833"/>
    </row>
    <row r="452" spans="1:17" ht="14.45" customHeight="1" x14ac:dyDescent="0.2">
      <c r="A452" s="822" t="s">
        <v>575</v>
      </c>
      <c r="B452" s="823" t="s">
        <v>5562</v>
      </c>
      <c r="C452" s="823" t="s">
        <v>5355</v>
      </c>
      <c r="D452" s="823" t="s">
        <v>5945</v>
      </c>
      <c r="E452" s="823" t="s">
        <v>5855</v>
      </c>
      <c r="F452" s="832">
        <v>2</v>
      </c>
      <c r="G452" s="832">
        <v>0</v>
      </c>
      <c r="H452" s="832"/>
      <c r="I452" s="832">
        <v>0</v>
      </c>
      <c r="J452" s="832">
        <v>1</v>
      </c>
      <c r="K452" s="832">
        <v>0</v>
      </c>
      <c r="L452" s="832"/>
      <c r="M452" s="832">
        <v>0</v>
      </c>
      <c r="N452" s="832">
        <v>1</v>
      </c>
      <c r="O452" s="832">
        <v>0</v>
      </c>
      <c r="P452" s="828"/>
      <c r="Q452" s="833">
        <v>0</v>
      </c>
    </row>
    <row r="453" spans="1:17" ht="14.45" customHeight="1" x14ac:dyDescent="0.2">
      <c r="A453" s="822" t="s">
        <v>575</v>
      </c>
      <c r="B453" s="823" t="s">
        <v>5562</v>
      </c>
      <c r="C453" s="823" t="s">
        <v>5355</v>
      </c>
      <c r="D453" s="823" t="s">
        <v>5946</v>
      </c>
      <c r="E453" s="823" t="s">
        <v>5947</v>
      </c>
      <c r="F453" s="832">
        <v>1</v>
      </c>
      <c r="G453" s="832">
        <v>0</v>
      </c>
      <c r="H453" s="832"/>
      <c r="I453" s="832">
        <v>0</v>
      </c>
      <c r="J453" s="832">
        <v>2</v>
      </c>
      <c r="K453" s="832">
        <v>0</v>
      </c>
      <c r="L453" s="832"/>
      <c r="M453" s="832">
        <v>0</v>
      </c>
      <c r="N453" s="832">
        <v>1</v>
      </c>
      <c r="O453" s="832">
        <v>0</v>
      </c>
      <c r="P453" s="828"/>
      <c r="Q453" s="833">
        <v>0</v>
      </c>
    </row>
    <row r="454" spans="1:17" ht="14.45" customHeight="1" x14ac:dyDescent="0.2">
      <c r="A454" s="822" t="s">
        <v>575</v>
      </c>
      <c r="B454" s="823" t="s">
        <v>5562</v>
      </c>
      <c r="C454" s="823" t="s">
        <v>5355</v>
      </c>
      <c r="D454" s="823" t="s">
        <v>5948</v>
      </c>
      <c r="E454" s="823" t="s">
        <v>5949</v>
      </c>
      <c r="F454" s="832">
        <v>1</v>
      </c>
      <c r="G454" s="832">
        <v>0</v>
      </c>
      <c r="H454" s="832"/>
      <c r="I454" s="832">
        <v>0</v>
      </c>
      <c r="J454" s="832"/>
      <c r="K454" s="832"/>
      <c r="L454" s="832"/>
      <c r="M454" s="832"/>
      <c r="N454" s="832">
        <v>2</v>
      </c>
      <c r="O454" s="832">
        <v>0</v>
      </c>
      <c r="P454" s="828"/>
      <c r="Q454" s="833">
        <v>0</v>
      </c>
    </row>
    <row r="455" spans="1:17" ht="14.45" customHeight="1" x14ac:dyDescent="0.2">
      <c r="A455" s="822" t="s">
        <v>575</v>
      </c>
      <c r="B455" s="823" t="s">
        <v>5562</v>
      </c>
      <c r="C455" s="823" t="s">
        <v>5355</v>
      </c>
      <c r="D455" s="823" t="s">
        <v>5950</v>
      </c>
      <c r="E455" s="823" t="s">
        <v>5851</v>
      </c>
      <c r="F455" s="832">
        <v>1</v>
      </c>
      <c r="G455" s="832">
        <v>0</v>
      </c>
      <c r="H455" s="832"/>
      <c r="I455" s="832">
        <v>0</v>
      </c>
      <c r="J455" s="832"/>
      <c r="K455" s="832"/>
      <c r="L455" s="832"/>
      <c r="M455" s="832"/>
      <c r="N455" s="832">
        <v>1</v>
      </c>
      <c r="O455" s="832">
        <v>0</v>
      </c>
      <c r="P455" s="828"/>
      <c r="Q455" s="833">
        <v>0</v>
      </c>
    </row>
    <row r="456" spans="1:17" ht="14.45" customHeight="1" x14ac:dyDescent="0.2">
      <c r="A456" s="822" t="s">
        <v>575</v>
      </c>
      <c r="B456" s="823" t="s">
        <v>5562</v>
      </c>
      <c r="C456" s="823" t="s">
        <v>5355</v>
      </c>
      <c r="D456" s="823" t="s">
        <v>5951</v>
      </c>
      <c r="E456" s="823" t="s">
        <v>5952</v>
      </c>
      <c r="F456" s="832"/>
      <c r="G456" s="832"/>
      <c r="H456" s="832"/>
      <c r="I456" s="832"/>
      <c r="J456" s="832">
        <v>2</v>
      </c>
      <c r="K456" s="832">
        <v>0</v>
      </c>
      <c r="L456" s="832"/>
      <c r="M456" s="832">
        <v>0</v>
      </c>
      <c r="N456" s="832"/>
      <c r="O456" s="832"/>
      <c r="P456" s="828"/>
      <c r="Q456" s="833"/>
    </row>
    <row r="457" spans="1:17" ht="14.45" customHeight="1" x14ac:dyDescent="0.2">
      <c r="A457" s="822" t="s">
        <v>575</v>
      </c>
      <c r="B457" s="823" t="s">
        <v>5562</v>
      </c>
      <c r="C457" s="823" t="s">
        <v>5355</v>
      </c>
      <c r="D457" s="823" t="s">
        <v>5953</v>
      </c>
      <c r="E457" s="823" t="s">
        <v>5954</v>
      </c>
      <c r="F457" s="832">
        <v>3</v>
      </c>
      <c r="G457" s="832">
        <v>0</v>
      </c>
      <c r="H457" s="832"/>
      <c r="I457" s="832">
        <v>0</v>
      </c>
      <c r="J457" s="832">
        <v>9</v>
      </c>
      <c r="K457" s="832">
        <v>0</v>
      </c>
      <c r="L457" s="832"/>
      <c r="M457" s="832">
        <v>0</v>
      </c>
      <c r="N457" s="832">
        <v>7</v>
      </c>
      <c r="O457" s="832">
        <v>0</v>
      </c>
      <c r="P457" s="828"/>
      <c r="Q457" s="833">
        <v>0</v>
      </c>
    </row>
    <row r="458" spans="1:17" ht="14.45" customHeight="1" x14ac:dyDescent="0.2">
      <c r="A458" s="822" t="s">
        <v>575</v>
      </c>
      <c r="B458" s="823" t="s">
        <v>5562</v>
      </c>
      <c r="C458" s="823" t="s">
        <v>5355</v>
      </c>
      <c r="D458" s="823" t="s">
        <v>5955</v>
      </c>
      <c r="E458" s="823" t="s">
        <v>5954</v>
      </c>
      <c r="F458" s="832">
        <v>2</v>
      </c>
      <c r="G458" s="832">
        <v>0</v>
      </c>
      <c r="H458" s="832"/>
      <c r="I458" s="832">
        <v>0</v>
      </c>
      <c r="J458" s="832">
        <v>1</v>
      </c>
      <c r="K458" s="832">
        <v>0</v>
      </c>
      <c r="L458" s="832"/>
      <c r="M458" s="832">
        <v>0</v>
      </c>
      <c r="N458" s="832">
        <v>7</v>
      </c>
      <c r="O458" s="832">
        <v>0</v>
      </c>
      <c r="P458" s="828"/>
      <c r="Q458" s="833">
        <v>0</v>
      </c>
    </row>
    <row r="459" spans="1:17" ht="14.45" customHeight="1" x14ac:dyDescent="0.2">
      <c r="A459" s="822" t="s">
        <v>575</v>
      </c>
      <c r="B459" s="823" t="s">
        <v>5562</v>
      </c>
      <c r="C459" s="823" t="s">
        <v>5355</v>
      </c>
      <c r="D459" s="823" t="s">
        <v>5956</v>
      </c>
      <c r="E459" s="823" t="s">
        <v>5957</v>
      </c>
      <c r="F459" s="832">
        <v>1</v>
      </c>
      <c r="G459" s="832">
        <v>0</v>
      </c>
      <c r="H459" s="832"/>
      <c r="I459" s="832">
        <v>0</v>
      </c>
      <c r="J459" s="832"/>
      <c r="K459" s="832"/>
      <c r="L459" s="832"/>
      <c r="M459" s="832"/>
      <c r="N459" s="832"/>
      <c r="O459" s="832"/>
      <c r="P459" s="828"/>
      <c r="Q459" s="833"/>
    </row>
    <row r="460" spans="1:17" ht="14.45" customHeight="1" x14ac:dyDescent="0.2">
      <c r="A460" s="822" t="s">
        <v>575</v>
      </c>
      <c r="B460" s="823" t="s">
        <v>5562</v>
      </c>
      <c r="C460" s="823" t="s">
        <v>5355</v>
      </c>
      <c r="D460" s="823" t="s">
        <v>5958</v>
      </c>
      <c r="E460" s="823" t="s">
        <v>5959</v>
      </c>
      <c r="F460" s="832">
        <v>2</v>
      </c>
      <c r="G460" s="832">
        <v>0</v>
      </c>
      <c r="H460" s="832"/>
      <c r="I460" s="832">
        <v>0</v>
      </c>
      <c r="J460" s="832"/>
      <c r="K460" s="832"/>
      <c r="L460" s="832"/>
      <c r="M460" s="832"/>
      <c r="N460" s="832"/>
      <c r="O460" s="832"/>
      <c r="P460" s="828"/>
      <c r="Q460" s="833"/>
    </row>
    <row r="461" spans="1:17" ht="14.45" customHeight="1" x14ac:dyDescent="0.2">
      <c r="A461" s="822" t="s">
        <v>575</v>
      </c>
      <c r="B461" s="823" t="s">
        <v>5562</v>
      </c>
      <c r="C461" s="823" t="s">
        <v>5355</v>
      </c>
      <c r="D461" s="823" t="s">
        <v>5960</v>
      </c>
      <c r="E461" s="823" t="s">
        <v>5961</v>
      </c>
      <c r="F461" s="832"/>
      <c r="G461" s="832"/>
      <c r="H461" s="832"/>
      <c r="I461" s="832"/>
      <c r="J461" s="832">
        <v>1</v>
      </c>
      <c r="K461" s="832">
        <v>0</v>
      </c>
      <c r="L461" s="832"/>
      <c r="M461" s="832">
        <v>0</v>
      </c>
      <c r="N461" s="832"/>
      <c r="O461" s="832"/>
      <c r="P461" s="828"/>
      <c r="Q461" s="833"/>
    </row>
    <row r="462" spans="1:17" ht="14.45" customHeight="1" x14ac:dyDescent="0.2">
      <c r="A462" s="822" t="s">
        <v>575</v>
      </c>
      <c r="B462" s="823" t="s">
        <v>5562</v>
      </c>
      <c r="C462" s="823" t="s">
        <v>5355</v>
      </c>
      <c r="D462" s="823" t="s">
        <v>5962</v>
      </c>
      <c r="E462" s="823" t="s">
        <v>5963</v>
      </c>
      <c r="F462" s="832">
        <v>1</v>
      </c>
      <c r="G462" s="832">
        <v>0</v>
      </c>
      <c r="H462" s="832"/>
      <c r="I462" s="832">
        <v>0</v>
      </c>
      <c r="J462" s="832">
        <v>3</v>
      </c>
      <c r="K462" s="832">
        <v>0</v>
      </c>
      <c r="L462" s="832"/>
      <c r="M462" s="832">
        <v>0</v>
      </c>
      <c r="N462" s="832">
        <v>2</v>
      </c>
      <c r="O462" s="832">
        <v>0</v>
      </c>
      <c r="P462" s="828"/>
      <c r="Q462" s="833">
        <v>0</v>
      </c>
    </row>
    <row r="463" spans="1:17" ht="14.45" customHeight="1" x14ac:dyDescent="0.2">
      <c r="A463" s="822" t="s">
        <v>575</v>
      </c>
      <c r="B463" s="823" t="s">
        <v>5562</v>
      </c>
      <c r="C463" s="823" t="s">
        <v>5355</v>
      </c>
      <c r="D463" s="823" t="s">
        <v>5964</v>
      </c>
      <c r="E463" s="823" t="s">
        <v>5965</v>
      </c>
      <c r="F463" s="832"/>
      <c r="G463" s="832"/>
      <c r="H463" s="832"/>
      <c r="I463" s="832"/>
      <c r="J463" s="832">
        <v>1</v>
      </c>
      <c r="K463" s="832">
        <v>0</v>
      </c>
      <c r="L463" s="832"/>
      <c r="M463" s="832">
        <v>0</v>
      </c>
      <c r="N463" s="832"/>
      <c r="O463" s="832"/>
      <c r="P463" s="828"/>
      <c r="Q463" s="833"/>
    </row>
    <row r="464" spans="1:17" ht="14.45" customHeight="1" x14ac:dyDescent="0.2">
      <c r="A464" s="822" t="s">
        <v>575</v>
      </c>
      <c r="B464" s="823" t="s">
        <v>5562</v>
      </c>
      <c r="C464" s="823" t="s">
        <v>5355</v>
      </c>
      <c r="D464" s="823" t="s">
        <v>5966</v>
      </c>
      <c r="E464" s="823" t="s">
        <v>5967</v>
      </c>
      <c r="F464" s="832"/>
      <c r="G464" s="832"/>
      <c r="H464" s="832"/>
      <c r="I464" s="832"/>
      <c r="J464" s="832">
        <v>2</v>
      </c>
      <c r="K464" s="832">
        <v>0</v>
      </c>
      <c r="L464" s="832"/>
      <c r="M464" s="832">
        <v>0</v>
      </c>
      <c r="N464" s="832"/>
      <c r="O464" s="832"/>
      <c r="P464" s="828"/>
      <c r="Q464" s="833"/>
    </row>
    <row r="465" spans="1:17" ht="14.45" customHeight="1" x14ac:dyDescent="0.2">
      <c r="A465" s="822" t="s">
        <v>575</v>
      </c>
      <c r="B465" s="823" t="s">
        <v>5562</v>
      </c>
      <c r="C465" s="823" t="s">
        <v>5355</v>
      </c>
      <c r="D465" s="823" t="s">
        <v>5968</v>
      </c>
      <c r="E465" s="823" t="s">
        <v>5969</v>
      </c>
      <c r="F465" s="832">
        <v>9</v>
      </c>
      <c r="G465" s="832">
        <v>0</v>
      </c>
      <c r="H465" s="832"/>
      <c r="I465" s="832">
        <v>0</v>
      </c>
      <c r="J465" s="832">
        <v>3</v>
      </c>
      <c r="K465" s="832">
        <v>0</v>
      </c>
      <c r="L465" s="832"/>
      <c r="M465" s="832">
        <v>0</v>
      </c>
      <c r="N465" s="832"/>
      <c r="O465" s="832"/>
      <c r="P465" s="828"/>
      <c r="Q465" s="833"/>
    </row>
    <row r="466" spans="1:17" ht="14.45" customHeight="1" x14ac:dyDescent="0.2">
      <c r="A466" s="822" t="s">
        <v>575</v>
      </c>
      <c r="B466" s="823" t="s">
        <v>5562</v>
      </c>
      <c r="C466" s="823" t="s">
        <v>5355</v>
      </c>
      <c r="D466" s="823" t="s">
        <v>5970</v>
      </c>
      <c r="E466" s="823" t="s">
        <v>5971</v>
      </c>
      <c r="F466" s="832"/>
      <c r="G466" s="832"/>
      <c r="H466" s="832"/>
      <c r="I466" s="832"/>
      <c r="J466" s="832">
        <v>2</v>
      </c>
      <c r="K466" s="832">
        <v>0</v>
      </c>
      <c r="L466" s="832"/>
      <c r="M466" s="832">
        <v>0</v>
      </c>
      <c r="N466" s="832"/>
      <c r="O466" s="832"/>
      <c r="P466" s="828"/>
      <c r="Q466" s="833"/>
    </row>
    <row r="467" spans="1:17" ht="14.45" customHeight="1" x14ac:dyDescent="0.2">
      <c r="A467" s="822" t="s">
        <v>575</v>
      </c>
      <c r="B467" s="823" t="s">
        <v>5562</v>
      </c>
      <c r="C467" s="823" t="s">
        <v>5355</v>
      </c>
      <c r="D467" s="823" t="s">
        <v>5972</v>
      </c>
      <c r="E467" s="823" t="s">
        <v>5973</v>
      </c>
      <c r="F467" s="832">
        <v>1</v>
      </c>
      <c r="G467" s="832">
        <v>0</v>
      </c>
      <c r="H467" s="832"/>
      <c r="I467" s="832">
        <v>0</v>
      </c>
      <c r="J467" s="832"/>
      <c r="K467" s="832"/>
      <c r="L467" s="832"/>
      <c r="M467" s="832"/>
      <c r="N467" s="832">
        <v>1</v>
      </c>
      <c r="O467" s="832">
        <v>0</v>
      </c>
      <c r="P467" s="828"/>
      <c r="Q467" s="833">
        <v>0</v>
      </c>
    </row>
    <row r="468" spans="1:17" ht="14.45" customHeight="1" x14ac:dyDescent="0.2">
      <c r="A468" s="822" t="s">
        <v>575</v>
      </c>
      <c r="B468" s="823" t="s">
        <v>5562</v>
      </c>
      <c r="C468" s="823" t="s">
        <v>5355</v>
      </c>
      <c r="D468" s="823" t="s">
        <v>5974</v>
      </c>
      <c r="E468" s="823" t="s">
        <v>5975</v>
      </c>
      <c r="F468" s="832">
        <v>1</v>
      </c>
      <c r="G468" s="832">
        <v>0</v>
      </c>
      <c r="H468" s="832"/>
      <c r="I468" s="832">
        <v>0</v>
      </c>
      <c r="J468" s="832">
        <v>1</v>
      </c>
      <c r="K468" s="832">
        <v>0</v>
      </c>
      <c r="L468" s="832"/>
      <c r="M468" s="832">
        <v>0</v>
      </c>
      <c r="N468" s="832">
        <v>1</v>
      </c>
      <c r="O468" s="832">
        <v>0</v>
      </c>
      <c r="P468" s="828"/>
      <c r="Q468" s="833">
        <v>0</v>
      </c>
    </row>
    <row r="469" spans="1:17" ht="14.45" customHeight="1" x14ac:dyDescent="0.2">
      <c r="A469" s="822" t="s">
        <v>575</v>
      </c>
      <c r="B469" s="823" t="s">
        <v>5562</v>
      </c>
      <c r="C469" s="823" t="s">
        <v>5355</v>
      </c>
      <c r="D469" s="823" t="s">
        <v>5976</v>
      </c>
      <c r="E469" s="823" t="s">
        <v>5977</v>
      </c>
      <c r="F469" s="832">
        <v>1</v>
      </c>
      <c r="G469" s="832">
        <v>0</v>
      </c>
      <c r="H469" s="832"/>
      <c r="I469" s="832">
        <v>0</v>
      </c>
      <c r="J469" s="832"/>
      <c r="K469" s="832"/>
      <c r="L469" s="832"/>
      <c r="M469" s="832"/>
      <c r="N469" s="832"/>
      <c r="O469" s="832"/>
      <c r="P469" s="828"/>
      <c r="Q469" s="833"/>
    </row>
    <row r="470" spans="1:17" ht="14.45" customHeight="1" x14ac:dyDescent="0.2">
      <c r="A470" s="822" t="s">
        <v>575</v>
      </c>
      <c r="B470" s="823" t="s">
        <v>5562</v>
      </c>
      <c r="C470" s="823" t="s">
        <v>5355</v>
      </c>
      <c r="D470" s="823" t="s">
        <v>5978</v>
      </c>
      <c r="E470" s="823" t="s">
        <v>5979</v>
      </c>
      <c r="F470" s="832">
        <v>1</v>
      </c>
      <c r="G470" s="832">
        <v>0</v>
      </c>
      <c r="H470" s="832"/>
      <c r="I470" s="832">
        <v>0</v>
      </c>
      <c r="J470" s="832"/>
      <c r="K470" s="832"/>
      <c r="L470" s="832"/>
      <c r="M470" s="832"/>
      <c r="N470" s="832"/>
      <c r="O470" s="832"/>
      <c r="P470" s="828"/>
      <c r="Q470" s="833"/>
    </row>
    <row r="471" spans="1:17" ht="14.45" customHeight="1" x14ac:dyDescent="0.2">
      <c r="A471" s="822" t="s">
        <v>575</v>
      </c>
      <c r="B471" s="823" t="s">
        <v>5562</v>
      </c>
      <c r="C471" s="823" t="s">
        <v>5355</v>
      </c>
      <c r="D471" s="823" t="s">
        <v>5980</v>
      </c>
      <c r="E471" s="823" t="s">
        <v>5981</v>
      </c>
      <c r="F471" s="832">
        <v>1</v>
      </c>
      <c r="G471" s="832">
        <v>0</v>
      </c>
      <c r="H471" s="832"/>
      <c r="I471" s="832">
        <v>0</v>
      </c>
      <c r="J471" s="832">
        <v>1</v>
      </c>
      <c r="K471" s="832">
        <v>0</v>
      </c>
      <c r="L471" s="832"/>
      <c r="M471" s="832">
        <v>0</v>
      </c>
      <c r="N471" s="832"/>
      <c r="O471" s="832"/>
      <c r="P471" s="828"/>
      <c r="Q471" s="833"/>
    </row>
    <row r="472" spans="1:17" ht="14.45" customHeight="1" x14ac:dyDescent="0.2">
      <c r="A472" s="822" t="s">
        <v>575</v>
      </c>
      <c r="B472" s="823" t="s">
        <v>5562</v>
      </c>
      <c r="C472" s="823" t="s">
        <v>5355</v>
      </c>
      <c r="D472" s="823" t="s">
        <v>5982</v>
      </c>
      <c r="E472" s="823" t="s">
        <v>5983</v>
      </c>
      <c r="F472" s="832"/>
      <c r="G472" s="832"/>
      <c r="H472" s="832"/>
      <c r="I472" s="832"/>
      <c r="J472" s="832">
        <v>1</v>
      </c>
      <c r="K472" s="832">
        <v>0</v>
      </c>
      <c r="L472" s="832"/>
      <c r="M472" s="832">
        <v>0</v>
      </c>
      <c r="N472" s="832"/>
      <c r="O472" s="832"/>
      <c r="P472" s="828"/>
      <c r="Q472" s="833"/>
    </row>
    <row r="473" spans="1:17" ht="14.45" customHeight="1" x14ac:dyDescent="0.2">
      <c r="A473" s="822" t="s">
        <v>575</v>
      </c>
      <c r="B473" s="823" t="s">
        <v>5562</v>
      </c>
      <c r="C473" s="823" t="s">
        <v>5355</v>
      </c>
      <c r="D473" s="823" t="s">
        <v>5984</v>
      </c>
      <c r="E473" s="823" t="s">
        <v>5985</v>
      </c>
      <c r="F473" s="832">
        <v>2</v>
      </c>
      <c r="G473" s="832">
        <v>0</v>
      </c>
      <c r="H473" s="832"/>
      <c r="I473" s="832">
        <v>0</v>
      </c>
      <c r="J473" s="832"/>
      <c r="K473" s="832"/>
      <c r="L473" s="832"/>
      <c r="M473" s="832"/>
      <c r="N473" s="832"/>
      <c r="O473" s="832"/>
      <c r="P473" s="828"/>
      <c r="Q473" s="833"/>
    </row>
    <row r="474" spans="1:17" ht="14.45" customHeight="1" x14ac:dyDescent="0.2">
      <c r="A474" s="822" t="s">
        <v>575</v>
      </c>
      <c r="B474" s="823" t="s">
        <v>5562</v>
      </c>
      <c r="C474" s="823" t="s">
        <v>5355</v>
      </c>
      <c r="D474" s="823" t="s">
        <v>5986</v>
      </c>
      <c r="E474" s="823" t="s">
        <v>5987</v>
      </c>
      <c r="F474" s="832"/>
      <c r="G474" s="832"/>
      <c r="H474" s="832"/>
      <c r="I474" s="832"/>
      <c r="J474" s="832">
        <v>1</v>
      </c>
      <c r="K474" s="832">
        <v>0</v>
      </c>
      <c r="L474" s="832"/>
      <c r="M474" s="832">
        <v>0</v>
      </c>
      <c r="N474" s="832"/>
      <c r="O474" s="832"/>
      <c r="P474" s="828"/>
      <c r="Q474" s="833"/>
    </row>
    <row r="475" spans="1:17" ht="14.45" customHeight="1" x14ac:dyDescent="0.2">
      <c r="A475" s="822" t="s">
        <v>575</v>
      </c>
      <c r="B475" s="823" t="s">
        <v>5562</v>
      </c>
      <c r="C475" s="823" t="s">
        <v>5355</v>
      </c>
      <c r="D475" s="823" t="s">
        <v>5988</v>
      </c>
      <c r="E475" s="823" t="s">
        <v>5989</v>
      </c>
      <c r="F475" s="832">
        <v>4</v>
      </c>
      <c r="G475" s="832">
        <v>30456</v>
      </c>
      <c r="H475" s="832">
        <v>0.5693135935397039</v>
      </c>
      <c r="I475" s="832">
        <v>7614</v>
      </c>
      <c r="J475" s="832">
        <v>7</v>
      </c>
      <c r="K475" s="832">
        <v>53496</v>
      </c>
      <c r="L475" s="832">
        <v>1</v>
      </c>
      <c r="M475" s="832">
        <v>7642.2857142857147</v>
      </c>
      <c r="N475" s="832">
        <v>2</v>
      </c>
      <c r="O475" s="832">
        <v>15352</v>
      </c>
      <c r="P475" s="828">
        <v>0.28697472708239868</v>
      </c>
      <c r="Q475" s="833">
        <v>7676</v>
      </c>
    </row>
    <row r="476" spans="1:17" ht="14.45" customHeight="1" x14ac:dyDescent="0.2">
      <c r="A476" s="822" t="s">
        <v>575</v>
      </c>
      <c r="B476" s="823" t="s">
        <v>5562</v>
      </c>
      <c r="C476" s="823" t="s">
        <v>5355</v>
      </c>
      <c r="D476" s="823" t="s">
        <v>5990</v>
      </c>
      <c r="E476" s="823" t="s">
        <v>5991</v>
      </c>
      <c r="F476" s="832">
        <v>1</v>
      </c>
      <c r="G476" s="832">
        <v>0</v>
      </c>
      <c r="H476" s="832"/>
      <c r="I476" s="832">
        <v>0</v>
      </c>
      <c r="J476" s="832"/>
      <c r="K476" s="832"/>
      <c r="L476" s="832"/>
      <c r="M476" s="832"/>
      <c r="N476" s="832"/>
      <c r="O476" s="832"/>
      <c r="P476" s="828"/>
      <c r="Q476" s="833"/>
    </row>
    <row r="477" spans="1:17" ht="14.45" customHeight="1" x14ac:dyDescent="0.2">
      <c r="A477" s="822" t="s">
        <v>575</v>
      </c>
      <c r="B477" s="823" t="s">
        <v>5562</v>
      </c>
      <c r="C477" s="823" t="s">
        <v>5355</v>
      </c>
      <c r="D477" s="823" t="s">
        <v>5992</v>
      </c>
      <c r="E477" s="823" t="s">
        <v>5993</v>
      </c>
      <c r="F477" s="832"/>
      <c r="G477" s="832"/>
      <c r="H477" s="832"/>
      <c r="I477" s="832"/>
      <c r="J477" s="832">
        <v>2</v>
      </c>
      <c r="K477" s="832">
        <v>0</v>
      </c>
      <c r="L477" s="832"/>
      <c r="M477" s="832">
        <v>0</v>
      </c>
      <c r="N477" s="832">
        <v>2</v>
      </c>
      <c r="O477" s="832">
        <v>0</v>
      </c>
      <c r="P477" s="828"/>
      <c r="Q477" s="833">
        <v>0</v>
      </c>
    </row>
    <row r="478" spans="1:17" ht="14.45" customHeight="1" x14ac:dyDescent="0.2">
      <c r="A478" s="822" t="s">
        <v>575</v>
      </c>
      <c r="B478" s="823" t="s">
        <v>5562</v>
      </c>
      <c r="C478" s="823" t="s">
        <v>5355</v>
      </c>
      <c r="D478" s="823" t="s">
        <v>5994</v>
      </c>
      <c r="E478" s="823" t="s">
        <v>5995</v>
      </c>
      <c r="F478" s="832">
        <v>1</v>
      </c>
      <c r="G478" s="832">
        <v>0</v>
      </c>
      <c r="H478" s="832"/>
      <c r="I478" s="832">
        <v>0</v>
      </c>
      <c r="J478" s="832"/>
      <c r="K478" s="832"/>
      <c r="L478" s="832"/>
      <c r="M478" s="832"/>
      <c r="N478" s="832"/>
      <c r="O478" s="832"/>
      <c r="P478" s="828"/>
      <c r="Q478" s="833"/>
    </row>
    <row r="479" spans="1:17" ht="14.45" customHeight="1" x14ac:dyDescent="0.2">
      <c r="A479" s="822" t="s">
        <v>575</v>
      </c>
      <c r="B479" s="823" t="s">
        <v>5562</v>
      </c>
      <c r="C479" s="823" t="s">
        <v>5355</v>
      </c>
      <c r="D479" s="823" t="s">
        <v>5996</v>
      </c>
      <c r="E479" s="823" t="s">
        <v>5954</v>
      </c>
      <c r="F479" s="832">
        <v>1</v>
      </c>
      <c r="G479" s="832">
        <v>0</v>
      </c>
      <c r="H479" s="832"/>
      <c r="I479" s="832">
        <v>0</v>
      </c>
      <c r="J479" s="832"/>
      <c r="K479" s="832"/>
      <c r="L479" s="832"/>
      <c r="M479" s="832"/>
      <c r="N479" s="832"/>
      <c r="O479" s="832"/>
      <c r="P479" s="828"/>
      <c r="Q479" s="833"/>
    </row>
    <row r="480" spans="1:17" ht="14.45" customHeight="1" x14ac:dyDescent="0.2">
      <c r="A480" s="822" t="s">
        <v>575</v>
      </c>
      <c r="B480" s="823" t="s">
        <v>5562</v>
      </c>
      <c r="C480" s="823" t="s">
        <v>5355</v>
      </c>
      <c r="D480" s="823" t="s">
        <v>5997</v>
      </c>
      <c r="E480" s="823" t="s">
        <v>5998</v>
      </c>
      <c r="F480" s="832">
        <v>2</v>
      </c>
      <c r="G480" s="832">
        <v>0</v>
      </c>
      <c r="H480" s="832"/>
      <c r="I480" s="832">
        <v>0</v>
      </c>
      <c r="J480" s="832">
        <v>8</v>
      </c>
      <c r="K480" s="832">
        <v>0</v>
      </c>
      <c r="L480" s="832"/>
      <c r="M480" s="832">
        <v>0</v>
      </c>
      <c r="N480" s="832">
        <v>7</v>
      </c>
      <c r="O480" s="832">
        <v>0</v>
      </c>
      <c r="P480" s="828"/>
      <c r="Q480" s="833">
        <v>0</v>
      </c>
    </row>
    <row r="481" spans="1:17" ht="14.45" customHeight="1" x14ac:dyDescent="0.2">
      <c r="A481" s="822" t="s">
        <v>575</v>
      </c>
      <c r="B481" s="823" t="s">
        <v>5562</v>
      </c>
      <c r="C481" s="823" t="s">
        <v>5355</v>
      </c>
      <c r="D481" s="823" t="s">
        <v>5999</v>
      </c>
      <c r="E481" s="823" t="s">
        <v>5875</v>
      </c>
      <c r="F481" s="832">
        <v>1</v>
      </c>
      <c r="G481" s="832">
        <v>0</v>
      </c>
      <c r="H481" s="832"/>
      <c r="I481" s="832">
        <v>0</v>
      </c>
      <c r="J481" s="832"/>
      <c r="K481" s="832"/>
      <c r="L481" s="832"/>
      <c r="M481" s="832"/>
      <c r="N481" s="832"/>
      <c r="O481" s="832"/>
      <c r="P481" s="828"/>
      <c r="Q481" s="833"/>
    </row>
    <row r="482" spans="1:17" ht="14.45" customHeight="1" x14ac:dyDescent="0.2">
      <c r="A482" s="822" t="s">
        <v>575</v>
      </c>
      <c r="B482" s="823" t="s">
        <v>5562</v>
      </c>
      <c r="C482" s="823" t="s">
        <v>5355</v>
      </c>
      <c r="D482" s="823" t="s">
        <v>6000</v>
      </c>
      <c r="E482" s="823" t="s">
        <v>6001</v>
      </c>
      <c r="F482" s="832">
        <v>86</v>
      </c>
      <c r="G482" s="832">
        <v>0</v>
      </c>
      <c r="H482" s="832"/>
      <c r="I482" s="832">
        <v>0</v>
      </c>
      <c r="J482" s="832">
        <v>141</v>
      </c>
      <c r="K482" s="832">
        <v>0</v>
      </c>
      <c r="L482" s="832"/>
      <c r="M482" s="832">
        <v>0</v>
      </c>
      <c r="N482" s="832">
        <v>110</v>
      </c>
      <c r="O482" s="832">
        <v>0</v>
      </c>
      <c r="P482" s="828"/>
      <c r="Q482" s="833">
        <v>0</v>
      </c>
    </row>
    <row r="483" spans="1:17" ht="14.45" customHeight="1" x14ac:dyDescent="0.2">
      <c r="A483" s="822" t="s">
        <v>575</v>
      </c>
      <c r="B483" s="823" t="s">
        <v>5562</v>
      </c>
      <c r="C483" s="823" t="s">
        <v>5355</v>
      </c>
      <c r="D483" s="823" t="s">
        <v>6002</v>
      </c>
      <c r="E483" s="823" t="s">
        <v>6003</v>
      </c>
      <c r="F483" s="832"/>
      <c r="G483" s="832"/>
      <c r="H483" s="832"/>
      <c r="I483" s="832"/>
      <c r="J483" s="832">
        <v>1</v>
      </c>
      <c r="K483" s="832">
        <v>0</v>
      </c>
      <c r="L483" s="832"/>
      <c r="M483" s="832">
        <v>0</v>
      </c>
      <c r="N483" s="832"/>
      <c r="O483" s="832"/>
      <c r="P483" s="828"/>
      <c r="Q483" s="833"/>
    </row>
    <row r="484" spans="1:17" ht="14.45" customHeight="1" x14ac:dyDescent="0.2">
      <c r="A484" s="822" t="s">
        <v>575</v>
      </c>
      <c r="B484" s="823" t="s">
        <v>5562</v>
      </c>
      <c r="C484" s="823" t="s">
        <v>5355</v>
      </c>
      <c r="D484" s="823" t="s">
        <v>6004</v>
      </c>
      <c r="E484" s="823" t="s">
        <v>6005</v>
      </c>
      <c r="F484" s="832"/>
      <c r="G484" s="832"/>
      <c r="H484" s="832"/>
      <c r="I484" s="832"/>
      <c r="J484" s="832">
        <v>2</v>
      </c>
      <c r="K484" s="832">
        <v>0</v>
      </c>
      <c r="L484" s="832"/>
      <c r="M484" s="832">
        <v>0</v>
      </c>
      <c r="N484" s="832">
        <v>1</v>
      </c>
      <c r="O484" s="832">
        <v>0</v>
      </c>
      <c r="P484" s="828"/>
      <c r="Q484" s="833">
        <v>0</v>
      </c>
    </row>
    <row r="485" spans="1:17" ht="14.45" customHeight="1" x14ac:dyDescent="0.2">
      <c r="A485" s="822" t="s">
        <v>575</v>
      </c>
      <c r="B485" s="823" t="s">
        <v>5562</v>
      </c>
      <c r="C485" s="823" t="s">
        <v>5355</v>
      </c>
      <c r="D485" s="823" t="s">
        <v>6006</v>
      </c>
      <c r="E485" s="823" t="s">
        <v>5941</v>
      </c>
      <c r="F485" s="832"/>
      <c r="G485" s="832"/>
      <c r="H485" s="832"/>
      <c r="I485" s="832"/>
      <c r="J485" s="832">
        <v>1</v>
      </c>
      <c r="K485" s="832">
        <v>0</v>
      </c>
      <c r="L485" s="832"/>
      <c r="M485" s="832">
        <v>0</v>
      </c>
      <c r="N485" s="832"/>
      <c r="O485" s="832"/>
      <c r="P485" s="828"/>
      <c r="Q485" s="833"/>
    </row>
    <row r="486" spans="1:17" ht="14.45" customHeight="1" x14ac:dyDescent="0.2">
      <c r="A486" s="822" t="s">
        <v>575</v>
      </c>
      <c r="B486" s="823" t="s">
        <v>5562</v>
      </c>
      <c r="C486" s="823" t="s">
        <v>5355</v>
      </c>
      <c r="D486" s="823" t="s">
        <v>6007</v>
      </c>
      <c r="E486" s="823" t="s">
        <v>6008</v>
      </c>
      <c r="F486" s="832"/>
      <c r="G486" s="832"/>
      <c r="H486" s="832"/>
      <c r="I486" s="832"/>
      <c r="J486" s="832">
        <v>1</v>
      </c>
      <c r="K486" s="832">
        <v>0</v>
      </c>
      <c r="L486" s="832"/>
      <c r="M486" s="832">
        <v>0</v>
      </c>
      <c r="N486" s="832"/>
      <c r="O486" s="832"/>
      <c r="P486" s="828"/>
      <c r="Q486" s="833"/>
    </row>
    <row r="487" spans="1:17" ht="14.45" customHeight="1" x14ac:dyDescent="0.2">
      <c r="A487" s="822" t="s">
        <v>575</v>
      </c>
      <c r="B487" s="823" t="s">
        <v>5562</v>
      </c>
      <c r="C487" s="823" t="s">
        <v>5355</v>
      </c>
      <c r="D487" s="823" t="s">
        <v>6009</v>
      </c>
      <c r="E487" s="823" t="s">
        <v>6010</v>
      </c>
      <c r="F487" s="832"/>
      <c r="G487" s="832"/>
      <c r="H487" s="832"/>
      <c r="I487" s="832"/>
      <c r="J487" s="832">
        <v>1</v>
      </c>
      <c r="K487" s="832">
        <v>0</v>
      </c>
      <c r="L487" s="832"/>
      <c r="M487" s="832">
        <v>0</v>
      </c>
      <c r="N487" s="832"/>
      <c r="O487" s="832"/>
      <c r="P487" s="828"/>
      <c r="Q487" s="833"/>
    </row>
    <row r="488" spans="1:17" ht="14.45" customHeight="1" x14ac:dyDescent="0.2">
      <c r="A488" s="822" t="s">
        <v>575</v>
      </c>
      <c r="B488" s="823" t="s">
        <v>5562</v>
      </c>
      <c r="C488" s="823" t="s">
        <v>5355</v>
      </c>
      <c r="D488" s="823" t="s">
        <v>6011</v>
      </c>
      <c r="E488" s="823" t="s">
        <v>6012</v>
      </c>
      <c r="F488" s="832"/>
      <c r="G488" s="832"/>
      <c r="H488" s="832"/>
      <c r="I488" s="832"/>
      <c r="J488" s="832"/>
      <c r="K488" s="832"/>
      <c r="L488" s="832"/>
      <c r="M488" s="832"/>
      <c r="N488" s="832">
        <v>1</v>
      </c>
      <c r="O488" s="832">
        <v>0</v>
      </c>
      <c r="P488" s="828"/>
      <c r="Q488" s="833">
        <v>0</v>
      </c>
    </row>
    <row r="489" spans="1:17" ht="14.45" customHeight="1" x14ac:dyDescent="0.2">
      <c r="A489" s="822" t="s">
        <v>575</v>
      </c>
      <c r="B489" s="823" t="s">
        <v>5562</v>
      </c>
      <c r="C489" s="823" t="s">
        <v>5355</v>
      </c>
      <c r="D489" s="823" t="s">
        <v>6013</v>
      </c>
      <c r="E489" s="823" t="s">
        <v>6014</v>
      </c>
      <c r="F489" s="832"/>
      <c r="G489" s="832"/>
      <c r="H489" s="832"/>
      <c r="I489" s="832"/>
      <c r="J489" s="832"/>
      <c r="K489" s="832"/>
      <c r="L489" s="832"/>
      <c r="M489" s="832"/>
      <c r="N489" s="832">
        <v>2</v>
      </c>
      <c r="O489" s="832">
        <v>0</v>
      </c>
      <c r="P489" s="828"/>
      <c r="Q489" s="833">
        <v>0</v>
      </c>
    </row>
    <row r="490" spans="1:17" ht="14.45" customHeight="1" x14ac:dyDescent="0.2">
      <c r="A490" s="822" t="s">
        <v>575</v>
      </c>
      <c r="B490" s="823" t="s">
        <v>5562</v>
      </c>
      <c r="C490" s="823" t="s">
        <v>5355</v>
      </c>
      <c r="D490" s="823" t="s">
        <v>6015</v>
      </c>
      <c r="E490" s="823" t="s">
        <v>6016</v>
      </c>
      <c r="F490" s="832"/>
      <c r="G490" s="832"/>
      <c r="H490" s="832"/>
      <c r="I490" s="832"/>
      <c r="J490" s="832"/>
      <c r="K490" s="832"/>
      <c r="L490" s="832"/>
      <c r="M490" s="832"/>
      <c r="N490" s="832">
        <v>12</v>
      </c>
      <c r="O490" s="832">
        <v>0</v>
      </c>
      <c r="P490" s="828"/>
      <c r="Q490" s="833">
        <v>0</v>
      </c>
    </row>
    <row r="491" spans="1:17" ht="14.45" customHeight="1" x14ac:dyDescent="0.2">
      <c r="A491" s="822" t="s">
        <v>575</v>
      </c>
      <c r="B491" s="823" t="s">
        <v>5562</v>
      </c>
      <c r="C491" s="823" t="s">
        <v>5355</v>
      </c>
      <c r="D491" s="823" t="s">
        <v>6017</v>
      </c>
      <c r="E491" s="823" t="s">
        <v>6018</v>
      </c>
      <c r="F491" s="832"/>
      <c r="G491" s="832"/>
      <c r="H491" s="832"/>
      <c r="I491" s="832"/>
      <c r="J491" s="832"/>
      <c r="K491" s="832"/>
      <c r="L491" s="832"/>
      <c r="M491" s="832"/>
      <c r="N491" s="832">
        <v>3</v>
      </c>
      <c r="O491" s="832">
        <v>164103</v>
      </c>
      <c r="P491" s="828"/>
      <c r="Q491" s="833">
        <v>54701</v>
      </c>
    </row>
    <row r="492" spans="1:17" ht="14.45" customHeight="1" x14ac:dyDescent="0.2">
      <c r="A492" s="822" t="s">
        <v>575</v>
      </c>
      <c r="B492" s="823" t="s">
        <v>5562</v>
      </c>
      <c r="C492" s="823" t="s">
        <v>5355</v>
      </c>
      <c r="D492" s="823" t="s">
        <v>6019</v>
      </c>
      <c r="E492" s="823" t="s">
        <v>6020</v>
      </c>
      <c r="F492" s="832"/>
      <c r="G492" s="832"/>
      <c r="H492" s="832"/>
      <c r="I492" s="832"/>
      <c r="J492" s="832"/>
      <c r="K492" s="832"/>
      <c r="L492" s="832"/>
      <c r="M492" s="832"/>
      <c r="N492" s="832">
        <v>1</v>
      </c>
      <c r="O492" s="832">
        <v>0</v>
      </c>
      <c r="P492" s="828"/>
      <c r="Q492" s="833">
        <v>0</v>
      </c>
    </row>
    <row r="493" spans="1:17" ht="14.45" customHeight="1" x14ac:dyDescent="0.2">
      <c r="A493" s="822" t="s">
        <v>575</v>
      </c>
      <c r="B493" s="823" t="s">
        <v>5562</v>
      </c>
      <c r="C493" s="823" t="s">
        <v>5355</v>
      </c>
      <c r="D493" s="823" t="s">
        <v>6021</v>
      </c>
      <c r="E493" s="823" t="s">
        <v>6022</v>
      </c>
      <c r="F493" s="832"/>
      <c r="G493" s="832"/>
      <c r="H493" s="832"/>
      <c r="I493" s="832"/>
      <c r="J493" s="832"/>
      <c r="K493" s="832"/>
      <c r="L493" s="832"/>
      <c r="M493" s="832"/>
      <c r="N493" s="832">
        <v>2</v>
      </c>
      <c r="O493" s="832">
        <v>0</v>
      </c>
      <c r="P493" s="828"/>
      <c r="Q493" s="833">
        <v>0</v>
      </c>
    </row>
    <row r="494" spans="1:17" ht="14.45" customHeight="1" x14ac:dyDescent="0.2">
      <c r="A494" s="822" t="s">
        <v>575</v>
      </c>
      <c r="B494" s="823" t="s">
        <v>5562</v>
      </c>
      <c r="C494" s="823" t="s">
        <v>5355</v>
      </c>
      <c r="D494" s="823" t="s">
        <v>6023</v>
      </c>
      <c r="E494" s="823" t="s">
        <v>6024</v>
      </c>
      <c r="F494" s="832">
        <v>2</v>
      </c>
      <c r="G494" s="832">
        <v>8859</v>
      </c>
      <c r="H494" s="832"/>
      <c r="I494" s="832">
        <v>4429.5</v>
      </c>
      <c r="J494" s="832"/>
      <c r="K494" s="832"/>
      <c r="L494" s="832"/>
      <c r="M494" s="832"/>
      <c r="N494" s="832"/>
      <c r="O494" s="832"/>
      <c r="P494" s="828"/>
      <c r="Q494" s="833"/>
    </row>
    <row r="495" spans="1:17" ht="14.45" customHeight="1" x14ac:dyDescent="0.2">
      <c r="A495" s="822" t="s">
        <v>575</v>
      </c>
      <c r="B495" s="823" t="s">
        <v>5562</v>
      </c>
      <c r="C495" s="823" t="s">
        <v>5355</v>
      </c>
      <c r="D495" s="823" t="s">
        <v>6025</v>
      </c>
      <c r="E495" s="823" t="s">
        <v>6026</v>
      </c>
      <c r="F495" s="832">
        <v>1</v>
      </c>
      <c r="G495" s="832">
        <v>0</v>
      </c>
      <c r="H495" s="832"/>
      <c r="I495" s="832">
        <v>0</v>
      </c>
      <c r="J495" s="832"/>
      <c r="K495" s="832"/>
      <c r="L495" s="832"/>
      <c r="M495" s="832"/>
      <c r="N495" s="832"/>
      <c r="O495" s="832"/>
      <c r="P495" s="828"/>
      <c r="Q495" s="833"/>
    </row>
    <row r="496" spans="1:17" ht="14.45" customHeight="1" x14ac:dyDescent="0.2">
      <c r="A496" s="822" t="s">
        <v>575</v>
      </c>
      <c r="B496" s="823" t="s">
        <v>5468</v>
      </c>
      <c r="C496" s="823" t="s">
        <v>5563</v>
      </c>
      <c r="D496" s="823" t="s">
        <v>5564</v>
      </c>
      <c r="E496" s="823" t="s">
        <v>1401</v>
      </c>
      <c r="F496" s="832"/>
      <c r="G496" s="832"/>
      <c r="H496" s="832"/>
      <c r="I496" s="832"/>
      <c r="J496" s="832"/>
      <c r="K496" s="832"/>
      <c r="L496" s="832"/>
      <c r="M496" s="832"/>
      <c r="N496" s="832">
        <v>0.4</v>
      </c>
      <c r="O496" s="832">
        <v>453.95</v>
      </c>
      <c r="P496" s="828"/>
      <c r="Q496" s="833">
        <v>1134.875</v>
      </c>
    </row>
    <row r="497" spans="1:17" ht="14.45" customHeight="1" x14ac:dyDescent="0.2">
      <c r="A497" s="822" t="s">
        <v>575</v>
      </c>
      <c r="B497" s="823" t="s">
        <v>5468</v>
      </c>
      <c r="C497" s="823" t="s">
        <v>5563</v>
      </c>
      <c r="D497" s="823" t="s">
        <v>6027</v>
      </c>
      <c r="E497" s="823" t="s">
        <v>6028</v>
      </c>
      <c r="F497" s="832"/>
      <c r="G497" s="832"/>
      <c r="H497" s="832"/>
      <c r="I497" s="832"/>
      <c r="J497" s="832"/>
      <c r="K497" s="832"/>
      <c r="L497" s="832"/>
      <c r="M497" s="832"/>
      <c r="N497" s="832">
        <v>5</v>
      </c>
      <c r="O497" s="832">
        <v>640.75</v>
      </c>
      <c r="P497" s="828"/>
      <c r="Q497" s="833">
        <v>128.15</v>
      </c>
    </row>
    <row r="498" spans="1:17" ht="14.45" customHeight="1" x14ac:dyDescent="0.2">
      <c r="A498" s="822" t="s">
        <v>575</v>
      </c>
      <c r="B498" s="823" t="s">
        <v>5468</v>
      </c>
      <c r="C498" s="823" t="s">
        <v>5563</v>
      </c>
      <c r="D498" s="823" t="s">
        <v>5565</v>
      </c>
      <c r="E498" s="823" t="s">
        <v>1377</v>
      </c>
      <c r="F498" s="832">
        <v>3</v>
      </c>
      <c r="G498" s="832">
        <v>14964.27</v>
      </c>
      <c r="H498" s="832">
        <v>0.34109117117708521</v>
      </c>
      <c r="I498" s="832">
        <v>4988.09</v>
      </c>
      <c r="J498" s="832">
        <v>9</v>
      </c>
      <c r="K498" s="832">
        <v>43871.76</v>
      </c>
      <c r="L498" s="832">
        <v>1</v>
      </c>
      <c r="M498" s="832">
        <v>4874.6400000000003</v>
      </c>
      <c r="N498" s="832">
        <v>10</v>
      </c>
      <c r="O498" s="832">
        <v>48131.35</v>
      </c>
      <c r="P498" s="828">
        <v>1.0970918422237903</v>
      </c>
      <c r="Q498" s="833">
        <v>4813.1350000000002</v>
      </c>
    </row>
    <row r="499" spans="1:17" ht="14.45" customHeight="1" x14ac:dyDescent="0.2">
      <c r="A499" s="822" t="s">
        <v>575</v>
      </c>
      <c r="B499" s="823" t="s">
        <v>5468</v>
      </c>
      <c r="C499" s="823" t="s">
        <v>5563</v>
      </c>
      <c r="D499" s="823" t="s">
        <v>6029</v>
      </c>
      <c r="E499" s="823" t="s">
        <v>6030</v>
      </c>
      <c r="F499" s="832">
        <v>24</v>
      </c>
      <c r="G499" s="832">
        <v>1921.92</v>
      </c>
      <c r="H499" s="832"/>
      <c r="I499" s="832">
        <v>80.08</v>
      </c>
      <c r="J499" s="832"/>
      <c r="K499" s="832"/>
      <c r="L499" s="832"/>
      <c r="M499" s="832"/>
      <c r="N499" s="832"/>
      <c r="O499" s="832"/>
      <c r="P499" s="828"/>
      <c r="Q499" s="833"/>
    </row>
    <row r="500" spans="1:17" ht="14.45" customHeight="1" x14ac:dyDescent="0.2">
      <c r="A500" s="822" t="s">
        <v>575</v>
      </c>
      <c r="B500" s="823" t="s">
        <v>5468</v>
      </c>
      <c r="C500" s="823" t="s">
        <v>5563</v>
      </c>
      <c r="D500" s="823" t="s">
        <v>5566</v>
      </c>
      <c r="E500" s="823" t="s">
        <v>5567</v>
      </c>
      <c r="F500" s="832"/>
      <c r="G500" s="832"/>
      <c r="H500" s="832"/>
      <c r="I500" s="832"/>
      <c r="J500" s="832">
        <v>2.9</v>
      </c>
      <c r="K500" s="832">
        <v>1088.17</v>
      </c>
      <c r="L500" s="832">
        <v>1</v>
      </c>
      <c r="M500" s="832">
        <v>375.23103448275867</v>
      </c>
      <c r="N500" s="832"/>
      <c r="O500" s="832"/>
      <c r="P500" s="828"/>
      <c r="Q500" s="833"/>
    </row>
    <row r="501" spans="1:17" ht="14.45" customHeight="1" x14ac:dyDescent="0.2">
      <c r="A501" s="822" t="s">
        <v>575</v>
      </c>
      <c r="B501" s="823" t="s">
        <v>5468</v>
      </c>
      <c r="C501" s="823" t="s">
        <v>5563</v>
      </c>
      <c r="D501" s="823" t="s">
        <v>5569</v>
      </c>
      <c r="E501" s="823" t="s">
        <v>1147</v>
      </c>
      <c r="F501" s="832">
        <v>211</v>
      </c>
      <c r="G501" s="832">
        <v>12322.4</v>
      </c>
      <c r="H501" s="832">
        <v>0.84473132904103287</v>
      </c>
      <c r="I501" s="832">
        <v>58.4</v>
      </c>
      <c r="J501" s="832">
        <v>362</v>
      </c>
      <c r="K501" s="832">
        <v>14587.359999999999</v>
      </c>
      <c r="L501" s="832">
        <v>1</v>
      </c>
      <c r="M501" s="832">
        <v>40.296574585635355</v>
      </c>
      <c r="N501" s="832">
        <v>236</v>
      </c>
      <c r="O501" s="832">
        <v>13782.4</v>
      </c>
      <c r="P501" s="828">
        <v>0.94481797940134482</v>
      </c>
      <c r="Q501" s="833">
        <v>58.4</v>
      </c>
    </row>
    <row r="502" spans="1:17" ht="14.45" customHeight="1" x14ac:dyDescent="0.2">
      <c r="A502" s="822" t="s">
        <v>575</v>
      </c>
      <c r="B502" s="823" t="s">
        <v>5468</v>
      </c>
      <c r="C502" s="823" t="s">
        <v>5563</v>
      </c>
      <c r="D502" s="823" t="s">
        <v>5572</v>
      </c>
      <c r="E502" s="823" t="s">
        <v>1662</v>
      </c>
      <c r="F502" s="832">
        <v>0.8</v>
      </c>
      <c r="G502" s="832">
        <v>9610.7199999999993</v>
      </c>
      <c r="H502" s="832"/>
      <c r="I502" s="832">
        <v>12013.399999999998</v>
      </c>
      <c r="J502" s="832"/>
      <c r="K502" s="832"/>
      <c r="L502" s="832"/>
      <c r="M502" s="832"/>
      <c r="N502" s="832"/>
      <c r="O502" s="832"/>
      <c r="P502" s="828"/>
      <c r="Q502" s="833"/>
    </row>
    <row r="503" spans="1:17" ht="14.45" customHeight="1" x14ac:dyDescent="0.2">
      <c r="A503" s="822" t="s">
        <v>575</v>
      </c>
      <c r="B503" s="823" t="s">
        <v>5468</v>
      </c>
      <c r="C503" s="823" t="s">
        <v>5563</v>
      </c>
      <c r="D503" s="823" t="s">
        <v>6031</v>
      </c>
      <c r="E503" s="823" t="s">
        <v>6032</v>
      </c>
      <c r="F503" s="832"/>
      <c r="G503" s="832"/>
      <c r="H503" s="832"/>
      <c r="I503" s="832"/>
      <c r="J503" s="832"/>
      <c r="K503" s="832"/>
      <c r="L503" s="832"/>
      <c r="M503" s="832"/>
      <c r="N503" s="832">
        <v>32</v>
      </c>
      <c r="O503" s="832">
        <v>10685.12</v>
      </c>
      <c r="P503" s="828"/>
      <c r="Q503" s="833">
        <v>333.91</v>
      </c>
    </row>
    <row r="504" spans="1:17" ht="14.45" customHeight="1" x14ac:dyDescent="0.2">
      <c r="A504" s="822" t="s">
        <v>575</v>
      </c>
      <c r="B504" s="823" t="s">
        <v>5468</v>
      </c>
      <c r="C504" s="823" t="s">
        <v>5563</v>
      </c>
      <c r="D504" s="823" t="s">
        <v>5573</v>
      </c>
      <c r="E504" s="823"/>
      <c r="F504" s="832">
        <v>2.9</v>
      </c>
      <c r="G504" s="832">
        <v>1121.1500000000001</v>
      </c>
      <c r="H504" s="832"/>
      <c r="I504" s="832">
        <v>386.60344827586209</v>
      </c>
      <c r="J504" s="832"/>
      <c r="K504" s="832"/>
      <c r="L504" s="832"/>
      <c r="M504" s="832"/>
      <c r="N504" s="832"/>
      <c r="O504" s="832"/>
      <c r="P504" s="828"/>
      <c r="Q504" s="833"/>
    </row>
    <row r="505" spans="1:17" ht="14.45" customHeight="1" x14ac:dyDescent="0.2">
      <c r="A505" s="822" t="s">
        <v>575</v>
      </c>
      <c r="B505" s="823" t="s">
        <v>5468</v>
      </c>
      <c r="C505" s="823" t="s">
        <v>5563</v>
      </c>
      <c r="D505" s="823" t="s">
        <v>5574</v>
      </c>
      <c r="E505" s="823" t="s">
        <v>1373</v>
      </c>
      <c r="F505" s="832">
        <v>9</v>
      </c>
      <c r="G505" s="832">
        <v>82424.429999999993</v>
      </c>
      <c r="H505" s="832">
        <v>0.39168171113415412</v>
      </c>
      <c r="I505" s="832">
        <v>9158.2699999999986</v>
      </c>
      <c r="J505" s="832">
        <v>23</v>
      </c>
      <c r="K505" s="832">
        <v>210437.27</v>
      </c>
      <c r="L505" s="832">
        <v>1</v>
      </c>
      <c r="M505" s="832">
        <v>9149.4465217391298</v>
      </c>
      <c r="N505" s="832">
        <v>5</v>
      </c>
      <c r="O505" s="832">
        <v>45791.350000000006</v>
      </c>
      <c r="P505" s="828">
        <v>0.21760095063008567</v>
      </c>
      <c r="Q505" s="833">
        <v>9158.27</v>
      </c>
    </row>
    <row r="506" spans="1:17" ht="14.45" customHeight="1" x14ac:dyDescent="0.2">
      <c r="A506" s="822" t="s">
        <v>575</v>
      </c>
      <c r="B506" s="823" t="s">
        <v>5468</v>
      </c>
      <c r="C506" s="823" t="s">
        <v>5563</v>
      </c>
      <c r="D506" s="823" t="s">
        <v>5575</v>
      </c>
      <c r="E506" s="823" t="s">
        <v>1373</v>
      </c>
      <c r="F506" s="832">
        <v>6</v>
      </c>
      <c r="G506" s="832">
        <v>104744.09999999999</v>
      </c>
      <c r="H506" s="832">
        <v>6</v>
      </c>
      <c r="I506" s="832">
        <v>17457.349999999999</v>
      </c>
      <c r="J506" s="832">
        <v>1</v>
      </c>
      <c r="K506" s="832">
        <v>17457.349999999999</v>
      </c>
      <c r="L506" s="832">
        <v>1</v>
      </c>
      <c r="M506" s="832">
        <v>17457.349999999999</v>
      </c>
      <c r="N506" s="832">
        <v>14</v>
      </c>
      <c r="O506" s="832">
        <v>244402.89999999997</v>
      </c>
      <c r="P506" s="828">
        <v>14</v>
      </c>
      <c r="Q506" s="833">
        <v>17457.349999999999</v>
      </c>
    </row>
    <row r="507" spans="1:17" ht="14.45" customHeight="1" x14ac:dyDescent="0.2">
      <c r="A507" s="822" t="s">
        <v>575</v>
      </c>
      <c r="B507" s="823" t="s">
        <v>5468</v>
      </c>
      <c r="C507" s="823" t="s">
        <v>5563</v>
      </c>
      <c r="D507" s="823" t="s">
        <v>5576</v>
      </c>
      <c r="E507" s="823" t="s">
        <v>1670</v>
      </c>
      <c r="F507" s="832"/>
      <c r="G507" s="832"/>
      <c r="H507" s="832"/>
      <c r="I507" s="832"/>
      <c r="J507" s="832"/>
      <c r="K507" s="832"/>
      <c r="L507" s="832"/>
      <c r="M507" s="832"/>
      <c r="N507" s="832">
        <v>2.1</v>
      </c>
      <c r="O507" s="832">
        <v>453.91999999999996</v>
      </c>
      <c r="P507" s="828"/>
      <c r="Q507" s="833">
        <v>216.15238095238092</v>
      </c>
    </row>
    <row r="508" spans="1:17" ht="14.45" customHeight="1" x14ac:dyDescent="0.2">
      <c r="A508" s="822" t="s">
        <v>575</v>
      </c>
      <c r="B508" s="823" t="s">
        <v>5468</v>
      </c>
      <c r="C508" s="823" t="s">
        <v>5563</v>
      </c>
      <c r="D508" s="823" t="s">
        <v>5577</v>
      </c>
      <c r="E508" s="823"/>
      <c r="F508" s="832">
        <v>3.3</v>
      </c>
      <c r="G508" s="832">
        <v>1793.46</v>
      </c>
      <c r="H508" s="832"/>
      <c r="I508" s="832">
        <v>543.4727272727273</v>
      </c>
      <c r="J508" s="832"/>
      <c r="K508" s="832"/>
      <c r="L508" s="832"/>
      <c r="M508" s="832"/>
      <c r="N508" s="832"/>
      <c r="O508" s="832"/>
      <c r="P508" s="828"/>
      <c r="Q508" s="833"/>
    </row>
    <row r="509" spans="1:17" ht="14.45" customHeight="1" x14ac:dyDescent="0.2">
      <c r="A509" s="822" t="s">
        <v>575</v>
      </c>
      <c r="B509" s="823" t="s">
        <v>5468</v>
      </c>
      <c r="C509" s="823" t="s">
        <v>5563</v>
      </c>
      <c r="D509" s="823" t="s">
        <v>5578</v>
      </c>
      <c r="E509" s="823" t="s">
        <v>2345</v>
      </c>
      <c r="F509" s="832">
        <v>6.6</v>
      </c>
      <c r="G509" s="832">
        <v>509.6</v>
      </c>
      <c r="H509" s="832"/>
      <c r="I509" s="832">
        <v>77.212121212121218</v>
      </c>
      <c r="J509" s="832"/>
      <c r="K509" s="832"/>
      <c r="L509" s="832"/>
      <c r="M509" s="832"/>
      <c r="N509" s="832"/>
      <c r="O509" s="832"/>
      <c r="P509" s="828"/>
      <c r="Q509" s="833"/>
    </row>
    <row r="510" spans="1:17" ht="14.45" customHeight="1" x14ac:dyDescent="0.2">
      <c r="A510" s="822" t="s">
        <v>575</v>
      </c>
      <c r="B510" s="823" t="s">
        <v>5468</v>
      </c>
      <c r="C510" s="823" t="s">
        <v>5563</v>
      </c>
      <c r="D510" s="823" t="s">
        <v>5579</v>
      </c>
      <c r="E510" s="823" t="s">
        <v>5580</v>
      </c>
      <c r="F510" s="832">
        <v>25.200000000000003</v>
      </c>
      <c r="G510" s="832">
        <v>6847.42</v>
      </c>
      <c r="H510" s="832">
        <v>1.3183123864091428</v>
      </c>
      <c r="I510" s="832">
        <v>271.72301587301587</v>
      </c>
      <c r="J510" s="832">
        <v>28.599999999999998</v>
      </c>
      <c r="K510" s="832">
        <v>5194.08</v>
      </c>
      <c r="L510" s="832">
        <v>1</v>
      </c>
      <c r="M510" s="832">
        <v>181.61118881118881</v>
      </c>
      <c r="N510" s="832">
        <v>8.6000000000000014</v>
      </c>
      <c r="O510" s="832">
        <v>1751.96</v>
      </c>
      <c r="P510" s="828">
        <v>0.33729938699442441</v>
      </c>
      <c r="Q510" s="833">
        <v>203.71627906976741</v>
      </c>
    </row>
    <row r="511" spans="1:17" ht="14.45" customHeight="1" x14ac:dyDescent="0.2">
      <c r="A511" s="822" t="s">
        <v>575</v>
      </c>
      <c r="B511" s="823" t="s">
        <v>5468</v>
      </c>
      <c r="C511" s="823" t="s">
        <v>5563</v>
      </c>
      <c r="D511" s="823" t="s">
        <v>6033</v>
      </c>
      <c r="E511" s="823" t="s">
        <v>6034</v>
      </c>
      <c r="F511" s="832">
        <v>1</v>
      </c>
      <c r="G511" s="832">
        <v>5985.75</v>
      </c>
      <c r="H511" s="832"/>
      <c r="I511" s="832">
        <v>5985.75</v>
      </c>
      <c r="J511" s="832"/>
      <c r="K511" s="832"/>
      <c r="L511" s="832"/>
      <c r="M511" s="832"/>
      <c r="N511" s="832"/>
      <c r="O511" s="832"/>
      <c r="P511" s="828"/>
      <c r="Q511" s="833"/>
    </row>
    <row r="512" spans="1:17" ht="14.45" customHeight="1" x14ac:dyDescent="0.2">
      <c r="A512" s="822" t="s">
        <v>575</v>
      </c>
      <c r="B512" s="823" t="s">
        <v>5468</v>
      </c>
      <c r="C512" s="823" t="s">
        <v>5563</v>
      </c>
      <c r="D512" s="823" t="s">
        <v>5581</v>
      </c>
      <c r="E512" s="823" t="s">
        <v>5582</v>
      </c>
      <c r="F512" s="832">
        <v>1.5</v>
      </c>
      <c r="G512" s="832">
        <v>4895.6000000000004</v>
      </c>
      <c r="H512" s="832">
        <v>0.15306077784739444</v>
      </c>
      <c r="I512" s="832">
        <v>3263.7333333333336</v>
      </c>
      <c r="J512" s="832">
        <v>9.8000000000000007</v>
      </c>
      <c r="K512" s="832">
        <v>31984.68</v>
      </c>
      <c r="L512" s="832">
        <v>1</v>
      </c>
      <c r="M512" s="832">
        <v>3263.7428571428568</v>
      </c>
      <c r="N512" s="832"/>
      <c r="O512" s="832"/>
      <c r="P512" s="828"/>
      <c r="Q512" s="833"/>
    </row>
    <row r="513" spans="1:17" ht="14.45" customHeight="1" x14ac:dyDescent="0.2">
      <c r="A513" s="822" t="s">
        <v>575</v>
      </c>
      <c r="B513" s="823" t="s">
        <v>5468</v>
      </c>
      <c r="C513" s="823" t="s">
        <v>5563</v>
      </c>
      <c r="D513" s="823" t="s">
        <v>6035</v>
      </c>
      <c r="E513" s="823" t="s">
        <v>6036</v>
      </c>
      <c r="F513" s="832">
        <v>7</v>
      </c>
      <c r="G513" s="832">
        <v>1534.4</v>
      </c>
      <c r="H513" s="832"/>
      <c r="I513" s="832">
        <v>219.20000000000002</v>
      </c>
      <c r="J513" s="832"/>
      <c r="K513" s="832"/>
      <c r="L513" s="832"/>
      <c r="M513" s="832"/>
      <c r="N513" s="832"/>
      <c r="O513" s="832"/>
      <c r="P513" s="828"/>
      <c r="Q513" s="833"/>
    </row>
    <row r="514" spans="1:17" ht="14.45" customHeight="1" x14ac:dyDescent="0.2">
      <c r="A514" s="822" t="s">
        <v>575</v>
      </c>
      <c r="B514" s="823" t="s">
        <v>5468</v>
      </c>
      <c r="C514" s="823" t="s">
        <v>5563</v>
      </c>
      <c r="D514" s="823" t="s">
        <v>5585</v>
      </c>
      <c r="E514" s="823" t="s">
        <v>5586</v>
      </c>
      <c r="F514" s="832"/>
      <c r="G514" s="832"/>
      <c r="H514" s="832"/>
      <c r="I514" s="832"/>
      <c r="J514" s="832">
        <v>0</v>
      </c>
      <c r="K514" s="832">
        <v>0</v>
      </c>
      <c r="L514" s="832"/>
      <c r="M514" s="832"/>
      <c r="N514" s="832"/>
      <c r="O514" s="832"/>
      <c r="P514" s="828"/>
      <c r="Q514" s="833"/>
    </row>
    <row r="515" spans="1:17" ht="14.45" customHeight="1" x14ac:dyDescent="0.2">
      <c r="A515" s="822" t="s">
        <v>575</v>
      </c>
      <c r="B515" s="823" t="s">
        <v>5468</v>
      </c>
      <c r="C515" s="823" t="s">
        <v>5563</v>
      </c>
      <c r="D515" s="823" t="s">
        <v>5587</v>
      </c>
      <c r="E515" s="823" t="s">
        <v>5588</v>
      </c>
      <c r="F515" s="832">
        <v>1.5</v>
      </c>
      <c r="G515" s="832">
        <v>118.19999999999999</v>
      </c>
      <c r="H515" s="832">
        <v>0.188971846072679</v>
      </c>
      <c r="I515" s="832">
        <v>78.8</v>
      </c>
      <c r="J515" s="832">
        <v>10.65</v>
      </c>
      <c r="K515" s="832">
        <v>625.49</v>
      </c>
      <c r="L515" s="832">
        <v>1</v>
      </c>
      <c r="M515" s="832">
        <v>58.731455399061034</v>
      </c>
      <c r="N515" s="832"/>
      <c r="O515" s="832"/>
      <c r="P515" s="828"/>
      <c r="Q515" s="833"/>
    </row>
    <row r="516" spans="1:17" ht="14.45" customHeight="1" x14ac:dyDescent="0.2">
      <c r="A516" s="822" t="s">
        <v>575</v>
      </c>
      <c r="B516" s="823" t="s">
        <v>5468</v>
      </c>
      <c r="C516" s="823" t="s">
        <v>5563</v>
      </c>
      <c r="D516" s="823" t="s">
        <v>6037</v>
      </c>
      <c r="E516" s="823" t="s">
        <v>6038</v>
      </c>
      <c r="F516" s="832"/>
      <c r="G516" s="832"/>
      <c r="H516" s="832"/>
      <c r="I516" s="832"/>
      <c r="J516" s="832">
        <v>3</v>
      </c>
      <c r="K516" s="832">
        <v>3862.08</v>
      </c>
      <c r="L516" s="832">
        <v>1</v>
      </c>
      <c r="M516" s="832">
        <v>1287.3599999999999</v>
      </c>
      <c r="N516" s="832"/>
      <c r="O516" s="832"/>
      <c r="P516" s="828"/>
      <c r="Q516" s="833"/>
    </row>
    <row r="517" spans="1:17" ht="14.45" customHeight="1" x14ac:dyDescent="0.2">
      <c r="A517" s="822" t="s">
        <v>575</v>
      </c>
      <c r="B517" s="823" t="s">
        <v>5468</v>
      </c>
      <c r="C517" s="823" t="s">
        <v>5563</v>
      </c>
      <c r="D517" s="823" t="s">
        <v>6039</v>
      </c>
      <c r="E517" s="823" t="s">
        <v>6040</v>
      </c>
      <c r="F517" s="832"/>
      <c r="G517" s="832"/>
      <c r="H517" s="832"/>
      <c r="I517" s="832"/>
      <c r="J517" s="832">
        <v>6</v>
      </c>
      <c r="K517" s="832">
        <v>7724.16</v>
      </c>
      <c r="L517" s="832">
        <v>1</v>
      </c>
      <c r="M517" s="832">
        <v>1287.3599999999999</v>
      </c>
      <c r="N517" s="832"/>
      <c r="O517" s="832"/>
      <c r="P517" s="828"/>
      <c r="Q517" s="833"/>
    </row>
    <row r="518" spans="1:17" ht="14.45" customHeight="1" x14ac:dyDescent="0.2">
      <c r="A518" s="822" t="s">
        <v>575</v>
      </c>
      <c r="B518" s="823" t="s">
        <v>5468</v>
      </c>
      <c r="C518" s="823" t="s">
        <v>5563</v>
      </c>
      <c r="D518" s="823" t="s">
        <v>5589</v>
      </c>
      <c r="E518" s="823" t="s">
        <v>1678</v>
      </c>
      <c r="F518" s="832"/>
      <c r="G518" s="832"/>
      <c r="H518" s="832"/>
      <c r="I518" s="832"/>
      <c r="J518" s="832"/>
      <c r="K518" s="832"/>
      <c r="L518" s="832"/>
      <c r="M518" s="832"/>
      <c r="N518" s="832">
        <v>2.4000000000000004</v>
      </c>
      <c r="O518" s="832">
        <v>897.59999999999991</v>
      </c>
      <c r="P518" s="828"/>
      <c r="Q518" s="833">
        <v>373.99999999999989</v>
      </c>
    </row>
    <row r="519" spans="1:17" ht="14.45" customHeight="1" x14ac:dyDescent="0.2">
      <c r="A519" s="822" t="s">
        <v>575</v>
      </c>
      <c r="B519" s="823" t="s">
        <v>5468</v>
      </c>
      <c r="C519" s="823" t="s">
        <v>5563</v>
      </c>
      <c r="D519" s="823" t="s">
        <v>5590</v>
      </c>
      <c r="E519" s="823"/>
      <c r="F519" s="832">
        <v>32</v>
      </c>
      <c r="G519" s="832">
        <v>2959.68</v>
      </c>
      <c r="H519" s="832"/>
      <c r="I519" s="832">
        <v>92.49</v>
      </c>
      <c r="J519" s="832"/>
      <c r="K519" s="832"/>
      <c r="L519" s="832"/>
      <c r="M519" s="832"/>
      <c r="N519" s="832"/>
      <c r="O519" s="832"/>
      <c r="P519" s="828"/>
      <c r="Q519" s="833"/>
    </row>
    <row r="520" spans="1:17" ht="14.45" customHeight="1" x14ac:dyDescent="0.2">
      <c r="A520" s="822" t="s">
        <v>575</v>
      </c>
      <c r="B520" s="823" t="s">
        <v>5468</v>
      </c>
      <c r="C520" s="823" t="s">
        <v>5563</v>
      </c>
      <c r="D520" s="823" t="s">
        <v>5591</v>
      </c>
      <c r="E520" s="823" t="s">
        <v>5592</v>
      </c>
      <c r="F520" s="832">
        <v>90</v>
      </c>
      <c r="G520" s="832">
        <v>115862.39999999999</v>
      </c>
      <c r="H520" s="832">
        <v>1.0112359550561796</v>
      </c>
      <c r="I520" s="832">
        <v>1287.3599999999999</v>
      </c>
      <c r="J520" s="832">
        <v>89</v>
      </c>
      <c r="K520" s="832">
        <v>114575.04000000001</v>
      </c>
      <c r="L520" s="832">
        <v>1</v>
      </c>
      <c r="M520" s="832">
        <v>1287.3600000000001</v>
      </c>
      <c r="N520" s="832"/>
      <c r="O520" s="832"/>
      <c r="P520" s="828"/>
      <c r="Q520" s="833"/>
    </row>
    <row r="521" spans="1:17" ht="14.45" customHeight="1" x14ac:dyDescent="0.2">
      <c r="A521" s="822" t="s">
        <v>575</v>
      </c>
      <c r="B521" s="823" t="s">
        <v>5468</v>
      </c>
      <c r="C521" s="823" t="s">
        <v>5563</v>
      </c>
      <c r="D521" s="823" t="s">
        <v>5595</v>
      </c>
      <c r="E521" s="823" t="s">
        <v>5596</v>
      </c>
      <c r="F521" s="832">
        <v>8</v>
      </c>
      <c r="G521" s="832">
        <v>1753.6</v>
      </c>
      <c r="H521" s="832"/>
      <c r="I521" s="832">
        <v>219.2</v>
      </c>
      <c r="J521" s="832"/>
      <c r="K521" s="832"/>
      <c r="L521" s="832"/>
      <c r="M521" s="832"/>
      <c r="N521" s="832"/>
      <c r="O521" s="832"/>
      <c r="P521" s="828"/>
      <c r="Q521" s="833"/>
    </row>
    <row r="522" spans="1:17" ht="14.45" customHeight="1" x14ac:dyDescent="0.2">
      <c r="A522" s="822" t="s">
        <v>575</v>
      </c>
      <c r="B522" s="823" t="s">
        <v>5468</v>
      </c>
      <c r="C522" s="823" t="s">
        <v>5563</v>
      </c>
      <c r="D522" s="823" t="s">
        <v>5597</v>
      </c>
      <c r="E522" s="823" t="s">
        <v>5598</v>
      </c>
      <c r="F522" s="832">
        <v>12.599999999999998</v>
      </c>
      <c r="G522" s="832">
        <v>4864.45</v>
      </c>
      <c r="H522" s="832">
        <v>13.362772298986346</v>
      </c>
      <c r="I522" s="832">
        <v>386.06746031746036</v>
      </c>
      <c r="J522" s="832">
        <v>1.9000000000000001</v>
      </c>
      <c r="K522" s="832">
        <v>364.03000000000003</v>
      </c>
      <c r="L522" s="832">
        <v>1</v>
      </c>
      <c r="M522" s="832">
        <v>191.59473684210528</v>
      </c>
      <c r="N522" s="832">
        <v>0.4</v>
      </c>
      <c r="O522" s="832">
        <v>136.4</v>
      </c>
      <c r="P522" s="828">
        <v>0.37469439331923193</v>
      </c>
      <c r="Q522" s="833">
        <v>341</v>
      </c>
    </row>
    <row r="523" spans="1:17" ht="14.45" customHeight="1" x14ac:dyDescent="0.2">
      <c r="A523" s="822" t="s">
        <v>575</v>
      </c>
      <c r="B523" s="823" t="s">
        <v>5468</v>
      </c>
      <c r="C523" s="823" t="s">
        <v>5563</v>
      </c>
      <c r="D523" s="823" t="s">
        <v>5599</v>
      </c>
      <c r="E523" s="823" t="s">
        <v>5598</v>
      </c>
      <c r="F523" s="832"/>
      <c r="G523" s="832"/>
      <c r="H523" s="832"/>
      <c r="I523" s="832"/>
      <c r="J523" s="832">
        <v>15.2</v>
      </c>
      <c r="K523" s="832">
        <v>4552.6100000000006</v>
      </c>
      <c r="L523" s="832">
        <v>1</v>
      </c>
      <c r="M523" s="832">
        <v>299.51381578947371</v>
      </c>
      <c r="N523" s="832">
        <v>3.3</v>
      </c>
      <c r="O523" s="832">
        <v>2215.9699999999998</v>
      </c>
      <c r="P523" s="828">
        <v>0.48674716261660883</v>
      </c>
      <c r="Q523" s="833">
        <v>671.5060606060606</v>
      </c>
    </row>
    <row r="524" spans="1:17" ht="14.45" customHeight="1" x14ac:dyDescent="0.2">
      <c r="A524" s="822" t="s">
        <v>575</v>
      </c>
      <c r="B524" s="823" t="s">
        <v>5468</v>
      </c>
      <c r="C524" s="823" t="s">
        <v>5563</v>
      </c>
      <c r="D524" s="823" t="s">
        <v>5600</v>
      </c>
      <c r="E524" s="823" t="s">
        <v>1701</v>
      </c>
      <c r="F524" s="832">
        <v>3.8000000000000003</v>
      </c>
      <c r="G524" s="832">
        <v>1601.54</v>
      </c>
      <c r="H524" s="832">
        <v>0.81088580035948443</v>
      </c>
      <c r="I524" s="832">
        <v>421.45789473684209</v>
      </c>
      <c r="J524" s="832">
        <v>13.299999999999999</v>
      </c>
      <c r="K524" s="832">
        <v>1975.0500000000002</v>
      </c>
      <c r="L524" s="832">
        <v>1</v>
      </c>
      <c r="M524" s="832">
        <v>148.50000000000003</v>
      </c>
      <c r="N524" s="832">
        <v>1</v>
      </c>
      <c r="O524" s="832">
        <v>319</v>
      </c>
      <c r="P524" s="828">
        <v>0.16151489835700361</v>
      </c>
      <c r="Q524" s="833">
        <v>319</v>
      </c>
    </row>
    <row r="525" spans="1:17" ht="14.45" customHeight="1" x14ac:dyDescent="0.2">
      <c r="A525" s="822" t="s">
        <v>575</v>
      </c>
      <c r="B525" s="823" t="s">
        <v>5468</v>
      </c>
      <c r="C525" s="823" t="s">
        <v>5563</v>
      </c>
      <c r="D525" s="823" t="s">
        <v>5601</v>
      </c>
      <c r="E525" s="823" t="s">
        <v>1692</v>
      </c>
      <c r="F525" s="832"/>
      <c r="G525" s="832"/>
      <c r="H525" s="832"/>
      <c r="I525" s="832"/>
      <c r="J525" s="832">
        <v>20</v>
      </c>
      <c r="K525" s="832">
        <v>1057.5999999999999</v>
      </c>
      <c r="L525" s="832">
        <v>1</v>
      </c>
      <c r="M525" s="832">
        <v>52.879999999999995</v>
      </c>
      <c r="N525" s="832">
        <v>17</v>
      </c>
      <c r="O525" s="832">
        <v>898.96</v>
      </c>
      <c r="P525" s="828">
        <v>0.85000000000000009</v>
      </c>
      <c r="Q525" s="833">
        <v>52.88</v>
      </c>
    </row>
    <row r="526" spans="1:17" ht="14.45" customHeight="1" x14ac:dyDescent="0.2">
      <c r="A526" s="822" t="s">
        <v>575</v>
      </c>
      <c r="B526" s="823" t="s">
        <v>5468</v>
      </c>
      <c r="C526" s="823" t="s">
        <v>5563</v>
      </c>
      <c r="D526" s="823" t="s">
        <v>6041</v>
      </c>
      <c r="E526" s="823" t="s">
        <v>6042</v>
      </c>
      <c r="F526" s="832"/>
      <c r="G526" s="832"/>
      <c r="H526" s="832"/>
      <c r="I526" s="832"/>
      <c r="J526" s="832">
        <v>2</v>
      </c>
      <c r="K526" s="832">
        <v>7260</v>
      </c>
      <c r="L526" s="832">
        <v>1</v>
      </c>
      <c r="M526" s="832">
        <v>3630</v>
      </c>
      <c r="N526" s="832"/>
      <c r="O526" s="832"/>
      <c r="P526" s="828"/>
      <c r="Q526" s="833"/>
    </row>
    <row r="527" spans="1:17" ht="14.45" customHeight="1" x14ac:dyDescent="0.2">
      <c r="A527" s="822" t="s">
        <v>575</v>
      </c>
      <c r="B527" s="823" t="s">
        <v>5468</v>
      </c>
      <c r="C527" s="823" t="s">
        <v>5563</v>
      </c>
      <c r="D527" s="823" t="s">
        <v>5602</v>
      </c>
      <c r="E527" s="823" t="s">
        <v>1371</v>
      </c>
      <c r="F527" s="832">
        <v>6</v>
      </c>
      <c r="G527" s="832">
        <v>19036.68</v>
      </c>
      <c r="H527" s="832">
        <v>0.66666666666666663</v>
      </c>
      <c r="I527" s="832">
        <v>3172.78</v>
      </c>
      <c r="J527" s="832">
        <v>9</v>
      </c>
      <c r="K527" s="832">
        <v>28555.02</v>
      </c>
      <c r="L527" s="832">
        <v>1</v>
      </c>
      <c r="M527" s="832">
        <v>3172.78</v>
      </c>
      <c r="N527" s="832">
        <v>3</v>
      </c>
      <c r="O527" s="832">
        <v>9518.34</v>
      </c>
      <c r="P527" s="828">
        <v>0.33333333333333331</v>
      </c>
      <c r="Q527" s="833">
        <v>3172.78</v>
      </c>
    </row>
    <row r="528" spans="1:17" ht="14.45" customHeight="1" x14ac:dyDescent="0.2">
      <c r="A528" s="822" t="s">
        <v>575</v>
      </c>
      <c r="B528" s="823" t="s">
        <v>5468</v>
      </c>
      <c r="C528" s="823" t="s">
        <v>5563</v>
      </c>
      <c r="D528" s="823" t="s">
        <v>5603</v>
      </c>
      <c r="E528" s="823" t="s">
        <v>1701</v>
      </c>
      <c r="F528" s="832"/>
      <c r="G528" s="832"/>
      <c r="H528" s="832"/>
      <c r="I528" s="832"/>
      <c r="J528" s="832"/>
      <c r="K528" s="832"/>
      <c r="L528" s="832"/>
      <c r="M528" s="832"/>
      <c r="N528" s="832">
        <v>0.89999999999999991</v>
      </c>
      <c r="O528" s="832">
        <v>574.77</v>
      </c>
      <c r="P528" s="828"/>
      <c r="Q528" s="833">
        <v>638.63333333333333</v>
      </c>
    </row>
    <row r="529" spans="1:17" ht="14.45" customHeight="1" x14ac:dyDescent="0.2">
      <c r="A529" s="822" t="s">
        <v>575</v>
      </c>
      <c r="B529" s="823" t="s">
        <v>5468</v>
      </c>
      <c r="C529" s="823" t="s">
        <v>5563</v>
      </c>
      <c r="D529" s="823" t="s">
        <v>5604</v>
      </c>
      <c r="E529" s="823" t="s">
        <v>1371</v>
      </c>
      <c r="F529" s="832"/>
      <c r="G529" s="832"/>
      <c r="H529" s="832"/>
      <c r="I529" s="832"/>
      <c r="J529" s="832">
        <v>2</v>
      </c>
      <c r="K529" s="832">
        <v>12691.14</v>
      </c>
      <c r="L529" s="832">
        <v>1</v>
      </c>
      <c r="M529" s="832">
        <v>6345.57</v>
      </c>
      <c r="N529" s="832"/>
      <c r="O529" s="832"/>
      <c r="P529" s="828"/>
      <c r="Q529" s="833"/>
    </row>
    <row r="530" spans="1:17" ht="14.45" customHeight="1" x14ac:dyDescent="0.2">
      <c r="A530" s="822" t="s">
        <v>575</v>
      </c>
      <c r="B530" s="823" t="s">
        <v>5468</v>
      </c>
      <c r="C530" s="823" t="s">
        <v>5563</v>
      </c>
      <c r="D530" s="823" t="s">
        <v>5605</v>
      </c>
      <c r="E530" s="823" t="s">
        <v>5606</v>
      </c>
      <c r="F530" s="832"/>
      <c r="G530" s="832"/>
      <c r="H530" s="832"/>
      <c r="I530" s="832"/>
      <c r="J530" s="832"/>
      <c r="K530" s="832"/>
      <c r="L530" s="832"/>
      <c r="M530" s="832"/>
      <c r="N530" s="832">
        <v>2</v>
      </c>
      <c r="O530" s="832">
        <v>875.69</v>
      </c>
      <c r="P530" s="828"/>
      <c r="Q530" s="833">
        <v>437.84500000000003</v>
      </c>
    </row>
    <row r="531" spans="1:17" ht="14.45" customHeight="1" x14ac:dyDescent="0.2">
      <c r="A531" s="822" t="s">
        <v>575</v>
      </c>
      <c r="B531" s="823" t="s">
        <v>5468</v>
      </c>
      <c r="C531" s="823" t="s">
        <v>5563</v>
      </c>
      <c r="D531" s="823" t="s">
        <v>5607</v>
      </c>
      <c r="E531" s="823" t="s">
        <v>1674</v>
      </c>
      <c r="F531" s="832">
        <v>2</v>
      </c>
      <c r="G531" s="832">
        <v>131.5</v>
      </c>
      <c r="H531" s="832">
        <v>0.199860173870752</v>
      </c>
      <c r="I531" s="832">
        <v>65.75</v>
      </c>
      <c r="J531" s="832">
        <v>24</v>
      </c>
      <c r="K531" s="832">
        <v>657.96</v>
      </c>
      <c r="L531" s="832">
        <v>1</v>
      </c>
      <c r="M531" s="832">
        <v>27.415000000000003</v>
      </c>
      <c r="N531" s="832">
        <v>47</v>
      </c>
      <c r="O531" s="832">
        <v>1385.09</v>
      </c>
      <c r="P531" s="828">
        <v>2.1051279713052464</v>
      </c>
      <c r="Q531" s="833">
        <v>29.47</v>
      </c>
    </row>
    <row r="532" spans="1:17" ht="14.45" customHeight="1" x14ac:dyDescent="0.2">
      <c r="A532" s="822" t="s">
        <v>575</v>
      </c>
      <c r="B532" s="823" t="s">
        <v>5468</v>
      </c>
      <c r="C532" s="823" t="s">
        <v>5563</v>
      </c>
      <c r="D532" s="823" t="s">
        <v>6043</v>
      </c>
      <c r="E532" s="823" t="s">
        <v>1666</v>
      </c>
      <c r="F532" s="832"/>
      <c r="G532" s="832"/>
      <c r="H532" s="832"/>
      <c r="I532" s="832"/>
      <c r="J532" s="832"/>
      <c r="K532" s="832"/>
      <c r="L532" s="832"/>
      <c r="M532" s="832"/>
      <c r="N532" s="832">
        <v>0.9</v>
      </c>
      <c r="O532" s="832">
        <v>375.1</v>
      </c>
      <c r="P532" s="828"/>
      <c r="Q532" s="833">
        <v>416.77777777777777</v>
      </c>
    </row>
    <row r="533" spans="1:17" ht="14.45" customHeight="1" x14ac:dyDescent="0.2">
      <c r="A533" s="822" t="s">
        <v>575</v>
      </c>
      <c r="B533" s="823" t="s">
        <v>5468</v>
      </c>
      <c r="C533" s="823" t="s">
        <v>5563</v>
      </c>
      <c r="D533" s="823" t="s">
        <v>5610</v>
      </c>
      <c r="E533" s="823" t="s">
        <v>5611</v>
      </c>
      <c r="F533" s="832"/>
      <c r="G533" s="832"/>
      <c r="H533" s="832"/>
      <c r="I533" s="832"/>
      <c r="J533" s="832">
        <v>12.3</v>
      </c>
      <c r="K533" s="832">
        <v>5642.0099999999993</v>
      </c>
      <c r="L533" s="832">
        <v>1</v>
      </c>
      <c r="M533" s="832">
        <v>458.69999999999993</v>
      </c>
      <c r="N533" s="832">
        <v>0.4</v>
      </c>
      <c r="O533" s="832">
        <v>184.8</v>
      </c>
      <c r="P533" s="828">
        <v>3.2754284377376153E-2</v>
      </c>
      <c r="Q533" s="833">
        <v>462</v>
      </c>
    </row>
    <row r="534" spans="1:17" ht="14.45" customHeight="1" x14ac:dyDescent="0.2">
      <c r="A534" s="822" t="s">
        <v>575</v>
      </c>
      <c r="B534" s="823" t="s">
        <v>5468</v>
      </c>
      <c r="C534" s="823" t="s">
        <v>5563</v>
      </c>
      <c r="D534" s="823" t="s">
        <v>6044</v>
      </c>
      <c r="E534" s="823" t="s">
        <v>1819</v>
      </c>
      <c r="F534" s="832"/>
      <c r="G534" s="832"/>
      <c r="H534" s="832"/>
      <c r="I534" s="832"/>
      <c r="J534" s="832"/>
      <c r="K534" s="832"/>
      <c r="L534" s="832"/>
      <c r="M534" s="832"/>
      <c r="N534" s="832">
        <v>4</v>
      </c>
      <c r="O534" s="832">
        <v>4404.84</v>
      </c>
      <c r="P534" s="828"/>
      <c r="Q534" s="833">
        <v>1101.21</v>
      </c>
    </row>
    <row r="535" spans="1:17" ht="14.45" customHeight="1" x14ac:dyDescent="0.2">
      <c r="A535" s="822" t="s">
        <v>575</v>
      </c>
      <c r="B535" s="823" t="s">
        <v>5468</v>
      </c>
      <c r="C535" s="823" t="s">
        <v>5563</v>
      </c>
      <c r="D535" s="823" t="s">
        <v>6045</v>
      </c>
      <c r="E535" s="823" t="s">
        <v>6046</v>
      </c>
      <c r="F535" s="832">
        <v>1.4000000000000001</v>
      </c>
      <c r="G535" s="832">
        <v>4569.22</v>
      </c>
      <c r="H535" s="832"/>
      <c r="I535" s="832">
        <v>3263.7285714285713</v>
      </c>
      <c r="J535" s="832"/>
      <c r="K535" s="832"/>
      <c r="L535" s="832"/>
      <c r="M535" s="832"/>
      <c r="N535" s="832"/>
      <c r="O535" s="832"/>
      <c r="P535" s="828"/>
      <c r="Q535" s="833"/>
    </row>
    <row r="536" spans="1:17" ht="14.45" customHeight="1" x14ac:dyDescent="0.2">
      <c r="A536" s="822" t="s">
        <v>575</v>
      </c>
      <c r="B536" s="823" t="s">
        <v>5468</v>
      </c>
      <c r="C536" s="823" t="s">
        <v>5563</v>
      </c>
      <c r="D536" s="823" t="s">
        <v>6047</v>
      </c>
      <c r="E536" s="823" t="s">
        <v>6048</v>
      </c>
      <c r="F536" s="832">
        <v>3</v>
      </c>
      <c r="G536" s="832">
        <v>9518.34</v>
      </c>
      <c r="H536" s="832"/>
      <c r="I536" s="832">
        <v>3172.78</v>
      </c>
      <c r="J536" s="832"/>
      <c r="K536" s="832"/>
      <c r="L536" s="832"/>
      <c r="M536" s="832"/>
      <c r="N536" s="832"/>
      <c r="O536" s="832"/>
      <c r="P536" s="828"/>
      <c r="Q536" s="833"/>
    </row>
    <row r="537" spans="1:17" ht="14.45" customHeight="1" x14ac:dyDescent="0.2">
      <c r="A537" s="822" t="s">
        <v>575</v>
      </c>
      <c r="B537" s="823" t="s">
        <v>5468</v>
      </c>
      <c r="C537" s="823" t="s">
        <v>5563</v>
      </c>
      <c r="D537" s="823" t="s">
        <v>5612</v>
      </c>
      <c r="E537" s="823" t="s">
        <v>1686</v>
      </c>
      <c r="F537" s="832"/>
      <c r="G537" s="832"/>
      <c r="H537" s="832"/>
      <c r="I537" s="832"/>
      <c r="J537" s="832"/>
      <c r="K537" s="832"/>
      <c r="L537" s="832"/>
      <c r="M537" s="832"/>
      <c r="N537" s="832">
        <v>2.7</v>
      </c>
      <c r="O537" s="832">
        <v>407.04</v>
      </c>
      <c r="P537" s="828"/>
      <c r="Q537" s="833">
        <v>150.75555555555556</v>
      </c>
    </row>
    <row r="538" spans="1:17" ht="14.45" customHeight="1" x14ac:dyDescent="0.2">
      <c r="A538" s="822" t="s">
        <v>575</v>
      </c>
      <c r="B538" s="823" t="s">
        <v>5468</v>
      </c>
      <c r="C538" s="823" t="s">
        <v>5563</v>
      </c>
      <c r="D538" s="823" t="s">
        <v>5613</v>
      </c>
      <c r="E538" s="823" t="s">
        <v>1686</v>
      </c>
      <c r="F538" s="832">
        <v>2.4</v>
      </c>
      <c r="G538" s="832">
        <v>1921.92</v>
      </c>
      <c r="H538" s="832"/>
      <c r="I538" s="832">
        <v>800.80000000000007</v>
      </c>
      <c r="J538" s="832"/>
      <c r="K538" s="832"/>
      <c r="L538" s="832"/>
      <c r="M538" s="832"/>
      <c r="N538" s="832"/>
      <c r="O538" s="832"/>
      <c r="P538" s="828"/>
      <c r="Q538" s="833"/>
    </row>
    <row r="539" spans="1:17" ht="14.45" customHeight="1" x14ac:dyDescent="0.2">
      <c r="A539" s="822" t="s">
        <v>575</v>
      </c>
      <c r="B539" s="823" t="s">
        <v>5468</v>
      </c>
      <c r="C539" s="823" t="s">
        <v>5563</v>
      </c>
      <c r="D539" s="823" t="s">
        <v>5614</v>
      </c>
      <c r="E539" s="823" t="s">
        <v>5615</v>
      </c>
      <c r="F539" s="832"/>
      <c r="G539" s="832"/>
      <c r="H539" s="832"/>
      <c r="I539" s="832"/>
      <c r="J539" s="832">
        <v>1.4</v>
      </c>
      <c r="K539" s="832">
        <v>204.33</v>
      </c>
      <c r="L539" s="832">
        <v>1</v>
      </c>
      <c r="M539" s="832">
        <v>145.95000000000002</v>
      </c>
      <c r="N539" s="832"/>
      <c r="O539" s="832"/>
      <c r="P539" s="828"/>
      <c r="Q539" s="833"/>
    </row>
    <row r="540" spans="1:17" ht="14.45" customHeight="1" x14ac:dyDescent="0.2">
      <c r="A540" s="822" t="s">
        <v>575</v>
      </c>
      <c r="B540" s="823" t="s">
        <v>5468</v>
      </c>
      <c r="C540" s="823" t="s">
        <v>5563</v>
      </c>
      <c r="D540" s="823" t="s">
        <v>5616</v>
      </c>
      <c r="E540" s="823" t="s">
        <v>1692</v>
      </c>
      <c r="F540" s="832"/>
      <c r="G540" s="832"/>
      <c r="H540" s="832"/>
      <c r="I540" s="832"/>
      <c r="J540" s="832">
        <v>76.2</v>
      </c>
      <c r="K540" s="832">
        <v>2544.3199999999997</v>
      </c>
      <c r="L540" s="832">
        <v>1</v>
      </c>
      <c r="M540" s="832">
        <v>33.390026246719152</v>
      </c>
      <c r="N540" s="832">
        <v>3</v>
      </c>
      <c r="O540" s="832">
        <v>100.17</v>
      </c>
      <c r="P540" s="828">
        <v>3.9370047792730477E-2</v>
      </c>
      <c r="Q540" s="833">
        <v>33.39</v>
      </c>
    </row>
    <row r="541" spans="1:17" ht="14.45" customHeight="1" x14ac:dyDescent="0.2">
      <c r="A541" s="822" t="s">
        <v>575</v>
      </c>
      <c r="B541" s="823" t="s">
        <v>5468</v>
      </c>
      <c r="C541" s="823" t="s">
        <v>5563</v>
      </c>
      <c r="D541" s="823" t="s">
        <v>5617</v>
      </c>
      <c r="E541" s="823" t="s">
        <v>5618</v>
      </c>
      <c r="F541" s="832">
        <v>8.2000000000000011</v>
      </c>
      <c r="G541" s="832">
        <v>2717.6800000000003</v>
      </c>
      <c r="H541" s="832">
        <v>1.3182126850468565</v>
      </c>
      <c r="I541" s="832">
        <v>331.42439024390245</v>
      </c>
      <c r="J541" s="832">
        <v>15.500000000000004</v>
      </c>
      <c r="K541" s="832">
        <v>2061.6399999999994</v>
      </c>
      <c r="L541" s="832">
        <v>1</v>
      </c>
      <c r="M541" s="832">
        <v>133.00903225806445</v>
      </c>
      <c r="N541" s="832">
        <v>7.8</v>
      </c>
      <c r="O541" s="832">
        <v>1027.8</v>
      </c>
      <c r="P541" s="828">
        <v>0.49853514677635291</v>
      </c>
      <c r="Q541" s="833">
        <v>131.76923076923077</v>
      </c>
    </row>
    <row r="542" spans="1:17" ht="14.45" customHeight="1" x14ac:dyDescent="0.2">
      <c r="A542" s="822" t="s">
        <v>575</v>
      </c>
      <c r="B542" s="823" t="s">
        <v>5468</v>
      </c>
      <c r="C542" s="823" t="s">
        <v>5563</v>
      </c>
      <c r="D542" s="823" t="s">
        <v>6049</v>
      </c>
      <c r="E542" s="823" t="s">
        <v>6050</v>
      </c>
      <c r="F542" s="832">
        <v>1.3</v>
      </c>
      <c r="G542" s="832">
        <v>9271.73</v>
      </c>
      <c r="H542" s="832"/>
      <c r="I542" s="832">
        <v>7132.0999999999995</v>
      </c>
      <c r="J542" s="832"/>
      <c r="K542" s="832"/>
      <c r="L542" s="832"/>
      <c r="M542" s="832"/>
      <c r="N542" s="832"/>
      <c r="O542" s="832"/>
      <c r="P542" s="828"/>
      <c r="Q542" s="833"/>
    </row>
    <row r="543" spans="1:17" ht="14.45" customHeight="1" x14ac:dyDescent="0.2">
      <c r="A543" s="822" t="s">
        <v>575</v>
      </c>
      <c r="B543" s="823" t="s">
        <v>5468</v>
      </c>
      <c r="C543" s="823" t="s">
        <v>5563</v>
      </c>
      <c r="D543" s="823" t="s">
        <v>6051</v>
      </c>
      <c r="E543" s="823" t="s">
        <v>5629</v>
      </c>
      <c r="F543" s="832">
        <v>4</v>
      </c>
      <c r="G543" s="832">
        <v>127792.44</v>
      </c>
      <c r="H543" s="832">
        <v>0.44825110169135707</v>
      </c>
      <c r="I543" s="832">
        <v>31948.11</v>
      </c>
      <c r="J543" s="832">
        <v>9</v>
      </c>
      <c r="K543" s="832">
        <v>285091.19</v>
      </c>
      <c r="L543" s="832">
        <v>1</v>
      </c>
      <c r="M543" s="832">
        <v>31676.79888888889</v>
      </c>
      <c r="N543" s="832"/>
      <c r="O543" s="832"/>
      <c r="P543" s="828"/>
      <c r="Q543" s="833"/>
    </row>
    <row r="544" spans="1:17" ht="14.45" customHeight="1" x14ac:dyDescent="0.2">
      <c r="A544" s="822" t="s">
        <v>575</v>
      </c>
      <c r="B544" s="823" t="s">
        <v>5468</v>
      </c>
      <c r="C544" s="823" t="s">
        <v>5563</v>
      </c>
      <c r="D544" s="823" t="s">
        <v>5619</v>
      </c>
      <c r="E544" s="823" t="s">
        <v>5620</v>
      </c>
      <c r="F544" s="832">
        <v>7.5</v>
      </c>
      <c r="G544" s="832">
        <v>15942</v>
      </c>
      <c r="H544" s="832"/>
      <c r="I544" s="832">
        <v>2125.6</v>
      </c>
      <c r="J544" s="832"/>
      <c r="K544" s="832"/>
      <c r="L544" s="832"/>
      <c r="M544" s="832"/>
      <c r="N544" s="832"/>
      <c r="O544" s="832"/>
      <c r="P544" s="828"/>
      <c r="Q544" s="833"/>
    </row>
    <row r="545" spans="1:17" ht="14.45" customHeight="1" x14ac:dyDescent="0.2">
      <c r="A545" s="822" t="s">
        <v>575</v>
      </c>
      <c r="B545" s="823" t="s">
        <v>5468</v>
      </c>
      <c r="C545" s="823" t="s">
        <v>5563</v>
      </c>
      <c r="D545" s="823" t="s">
        <v>5621</v>
      </c>
      <c r="E545" s="823" t="s">
        <v>5622</v>
      </c>
      <c r="F545" s="832">
        <v>50</v>
      </c>
      <c r="G545" s="832">
        <v>10628</v>
      </c>
      <c r="H545" s="832"/>
      <c r="I545" s="832">
        <v>212.56</v>
      </c>
      <c r="J545" s="832"/>
      <c r="K545" s="832"/>
      <c r="L545" s="832"/>
      <c r="M545" s="832"/>
      <c r="N545" s="832"/>
      <c r="O545" s="832"/>
      <c r="P545" s="828"/>
      <c r="Q545" s="833"/>
    </row>
    <row r="546" spans="1:17" ht="14.45" customHeight="1" x14ac:dyDescent="0.2">
      <c r="A546" s="822" t="s">
        <v>575</v>
      </c>
      <c r="B546" s="823" t="s">
        <v>5468</v>
      </c>
      <c r="C546" s="823" t="s">
        <v>5563</v>
      </c>
      <c r="D546" s="823" t="s">
        <v>6052</v>
      </c>
      <c r="E546" s="823" t="s">
        <v>1810</v>
      </c>
      <c r="F546" s="832"/>
      <c r="G546" s="832"/>
      <c r="H546" s="832"/>
      <c r="I546" s="832"/>
      <c r="J546" s="832"/>
      <c r="K546" s="832"/>
      <c r="L546" s="832"/>
      <c r="M546" s="832"/>
      <c r="N546" s="832">
        <v>0.45000000000000007</v>
      </c>
      <c r="O546" s="832">
        <v>274.36</v>
      </c>
      <c r="P546" s="828"/>
      <c r="Q546" s="833">
        <v>609.68888888888887</v>
      </c>
    </row>
    <row r="547" spans="1:17" ht="14.45" customHeight="1" x14ac:dyDescent="0.2">
      <c r="A547" s="822" t="s">
        <v>575</v>
      </c>
      <c r="B547" s="823" t="s">
        <v>5468</v>
      </c>
      <c r="C547" s="823" t="s">
        <v>5563</v>
      </c>
      <c r="D547" s="823" t="s">
        <v>6053</v>
      </c>
      <c r="E547" s="823" t="s">
        <v>5624</v>
      </c>
      <c r="F547" s="832"/>
      <c r="G547" s="832"/>
      <c r="H547" s="832"/>
      <c r="I547" s="832"/>
      <c r="J547" s="832">
        <v>1.6</v>
      </c>
      <c r="K547" s="832">
        <v>1089.76</v>
      </c>
      <c r="L547" s="832">
        <v>1</v>
      </c>
      <c r="M547" s="832">
        <v>681.09999999999991</v>
      </c>
      <c r="N547" s="832"/>
      <c r="O547" s="832"/>
      <c r="P547" s="828"/>
      <c r="Q547" s="833"/>
    </row>
    <row r="548" spans="1:17" ht="14.45" customHeight="1" x14ac:dyDescent="0.2">
      <c r="A548" s="822" t="s">
        <v>575</v>
      </c>
      <c r="B548" s="823" t="s">
        <v>5468</v>
      </c>
      <c r="C548" s="823" t="s">
        <v>5563</v>
      </c>
      <c r="D548" s="823" t="s">
        <v>5626</v>
      </c>
      <c r="E548" s="823" t="s">
        <v>5627</v>
      </c>
      <c r="F548" s="832">
        <v>0.8</v>
      </c>
      <c r="G548" s="832">
        <v>309.3</v>
      </c>
      <c r="H548" s="832"/>
      <c r="I548" s="832">
        <v>386.625</v>
      </c>
      <c r="J548" s="832"/>
      <c r="K548" s="832"/>
      <c r="L548" s="832"/>
      <c r="M548" s="832"/>
      <c r="N548" s="832"/>
      <c r="O548" s="832"/>
      <c r="P548" s="828"/>
      <c r="Q548" s="833"/>
    </row>
    <row r="549" spans="1:17" ht="14.45" customHeight="1" x14ac:dyDescent="0.2">
      <c r="A549" s="822" t="s">
        <v>575</v>
      </c>
      <c r="B549" s="823" t="s">
        <v>5468</v>
      </c>
      <c r="C549" s="823" t="s">
        <v>5563</v>
      </c>
      <c r="D549" s="823" t="s">
        <v>5628</v>
      </c>
      <c r="E549" s="823" t="s">
        <v>5629</v>
      </c>
      <c r="F549" s="832"/>
      <c r="G549" s="832"/>
      <c r="H549" s="832"/>
      <c r="I549" s="832"/>
      <c r="J549" s="832"/>
      <c r="K549" s="832"/>
      <c r="L549" s="832"/>
      <c r="M549" s="832"/>
      <c r="N549" s="832">
        <v>13</v>
      </c>
      <c r="O549" s="832">
        <v>404927.9</v>
      </c>
      <c r="P549" s="828"/>
      <c r="Q549" s="833">
        <v>31148.300000000003</v>
      </c>
    </row>
    <row r="550" spans="1:17" ht="14.45" customHeight="1" x14ac:dyDescent="0.2">
      <c r="A550" s="822" t="s">
        <v>575</v>
      </c>
      <c r="B550" s="823" t="s">
        <v>5468</v>
      </c>
      <c r="C550" s="823" t="s">
        <v>5563</v>
      </c>
      <c r="D550" s="823" t="s">
        <v>6054</v>
      </c>
      <c r="E550" s="823" t="s">
        <v>1390</v>
      </c>
      <c r="F550" s="832"/>
      <c r="G550" s="832"/>
      <c r="H550" s="832"/>
      <c r="I550" s="832"/>
      <c r="J550" s="832">
        <v>11</v>
      </c>
      <c r="K550" s="832">
        <v>1017.39</v>
      </c>
      <c r="L550" s="832">
        <v>1</v>
      </c>
      <c r="M550" s="832">
        <v>92.49</v>
      </c>
      <c r="N550" s="832"/>
      <c r="O550" s="832"/>
      <c r="P550" s="828"/>
      <c r="Q550" s="833"/>
    </row>
    <row r="551" spans="1:17" ht="14.45" customHeight="1" x14ac:dyDescent="0.2">
      <c r="A551" s="822" t="s">
        <v>575</v>
      </c>
      <c r="B551" s="823" t="s">
        <v>5468</v>
      </c>
      <c r="C551" s="823" t="s">
        <v>5563</v>
      </c>
      <c r="D551" s="823" t="s">
        <v>5630</v>
      </c>
      <c r="E551" s="823" t="s">
        <v>5631</v>
      </c>
      <c r="F551" s="832">
        <v>1</v>
      </c>
      <c r="G551" s="832">
        <v>3172.78</v>
      </c>
      <c r="H551" s="832">
        <v>1</v>
      </c>
      <c r="I551" s="832">
        <v>3172.78</v>
      </c>
      <c r="J551" s="832">
        <v>1</v>
      </c>
      <c r="K551" s="832">
        <v>3172.78</v>
      </c>
      <c r="L551" s="832">
        <v>1</v>
      </c>
      <c r="M551" s="832">
        <v>3172.78</v>
      </c>
      <c r="N551" s="832"/>
      <c r="O551" s="832"/>
      <c r="P551" s="828"/>
      <c r="Q551" s="833"/>
    </row>
    <row r="552" spans="1:17" ht="14.45" customHeight="1" x14ac:dyDescent="0.2">
      <c r="A552" s="822" t="s">
        <v>575</v>
      </c>
      <c r="B552" s="823" t="s">
        <v>5468</v>
      </c>
      <c r="C552" s="823" t="s">
        <v>5563</v>
      </c>
      <c r="D552" s="823" t="s">
        <v>5634</v>
      </c>
      <c r="E552" s="823" t="s">
        <v>1377</v>
      </c>
      <c r="F552" s="832">
        <v>4</v>
      </c>
      <c r="G552" s="832">
        <v>39696</v>
      </c>
      <c r="H552" s="832">
        <v>0.58787046235265472</v>
      </c>
      <c r="I552" s="832">
        <v>9924</v>
      </c>
      <c r="J552" s="832">
        <v>7</v>
      </c>
      <c r="K552" s="832">
        <v>67525.08</v>
      </c>
      <c r="L552" s="832">
        <v>1</v>
      </c>
      <c r="M552" s="832">
        <v>9646.44</v>
      </c>
      <c r="N552" s="832">
        <v>7</v>
      </c>
      <c r="O552" s="832">
        <v>66877.440000000002</v>
      </c>
      <c r="P552" s="828">
        <v>0.99040889696095136</v>
      </c>
      <c r="Q552" s="833">
        <v>9553.92</v>
      </c>
    </row>
    <row r="553" spans="1:17" ht="14.45" customHeight="1" x14ac:dyDescent="0.2">
      <c r="A553" s="822" t="s">
        <v>575</v>
      </c>
      <c r="B553" s="823" t="s">
        <v>5468</v>
      </c>
      <c r="C553" s="823" t="s">
        <v>5563</v>
      </c>
      <c r="D553" s="823" t="s">
        <v>6055</v>
      </c>
      <c r="E553" s="823" t="s">
        <v>6056</v>
      </c>
      <c r="F553" s="832"/>
      <c r="G553" s="832"/>
      <c r="H553" s="832"/>
      <c r="I553" s="832"/>
      <c r="J553" s="832">
        <v>5</v>
      </c>
      <c r="K553" s="832">
        <v>6436.8</v>
      </c>
      <c r="L553" s="832">
        <v>1</v>
      </c>
      <c r="M553" s="832">
        <v>1287.3600000000001</v>
      </c>
      <c r="N553" s="832"/>
      <c r="O553" s="832"/>
      <c r="P553" s="828"/>
      <c r="Q553" s="833"/>
    </row>
    <row r="554" spans="1:17" ht="14.45" customHeight="1" x14ac:dyDescent="0.2">
      <c r="A554" s="822" t="s">
        <v>575</v>
      </c>
      <c r="B554" s="823" t="s">
        <v>5468</v>
      </c>
      <c r="C554" s="823" t="s">
        <v>5563</v>
      </c>
      <c r="D554" s="823" t="s">
        <v>5635</v>
      </c>
      <c r="E554" s="823" t="s">
        <v>1085</v>
      </c>
      <c r="F554" s="832"/>
      <c r="G554" s="832"/>
      <c r="H554" s="832"/>
      <c r="I554" s="832"/>
      <c r="J554" s="832">
        <v>72</v>
      </c>
      <c r="K554" s="832">
        <v>92689.920000000013</v>
      </c>
      <c r="L554" s="832">
        <v>1</v>
      </c>
      <c r="M554" s="832">
        <v>1287.3600000000001</v>
      </c>
      <c r="N554" s="832">
        <v>72.3</v>
      </c>
      <c r="O554" s="832">
        <v>93076.12</v>
      </c>
      <c r="P554" s="828">
        <v>1.0041665803573894</v>
      </c>
      <c r="Q554" s="833">
        <v>1287.3598893499309</v>
      </c>
    </row>
    <row r="555" spans="1:17" ht="14.45" customHeight="1" x14ac:dyDescent="0.2">
      <c r="A555" s="822" t="s">
        <v>575</v>
      </c>
      <c r="B555" s="823" t="s">
        <v>5468</v>
      </c>
      <c r="C555" s="823" t="s">
        <v>5563</v>
      </c>
      <c r="D555" s="823" t="s">
        <v>6057</v>
      </c>
      <c r="E555" s="823" t="s">
        <v>1376</v>
      </c>
      <c r="F555" s="832"/>
      <c r="G555" s="832"/>
      <c r="H555" s="832"/>
      <c r="I555" s="832"/>
      <c r="J555" s="832"/>
      <c r="K555" s="832"/>
      <c r="L555" s="832"/>
      <c r="M555" s="832"/>
      <c r="N555" s="832">
        <v>1</v>
      </c>
      <c r="O555" s="832">
        <v>1287.3599999999999</v>
      </c>
      <c r="P555" s="828"/>
      <c r="Q555" s="833">
        <v>1287.3599999999999</v>
      </c>
    </row>
    <row r="556" spans="1:17" ht="14.45" customHeight="1" x14ac:dyDescent="0.2">
      <c r="A556" s="822" t="s">
        <v>575</v>
      </c>
      <c r="B556" s="823" t="s">
        <v>5468</v>
      </c>
      <c r="C556" s="823" t="s">
        <v>5563</v>
      </c>
      <c r="D556" s="823" t="s">
        <v>6058</v>
      </c>
      <c r="E556" s="823" t="s">
        <v>6036</v>
      </c>
      <c r="F556" s="832"/>
      <c r="G556" s="832"/>
      <c r="H556" s="832"/>
      <c r="I556" s="832"/>
      <c r="J556" s="832"/>
      <c r="K556" s="832"/>
      <c r="L556" s="832"/>
      <c r="M556" s="832"/>
      <c r="N556" s="832">
        <v>0.1</v>
      </c>
      <c r="O556" s="832">
        <v>219.18</v>
      </c>
      <c r="P556" s="828"/>
      <c r="Q556" s="833">
        <v>2191.7999999999997</v>
      </c>
    </row>
    <row r="557" spans="1:17" ht="14.45" customHeight="1" x14ac:dyDescent="0.2">
      <c r="A557" s="822" t="s">
        <v>575</v>
      </c>
      <c r="B557" s="823" t="s">
        <v>5468</v>
      </c>
      <c r="C557" s="823" t="s">
        <v>5563</v>
      </c>
      <c r="D557" s="823" t="s">
        <v>6059</v>
      </c>
      <c r="E557" s="823" t="s">
        <v>6060</v>
      </c>
      <c r="F557" s="832"/>
      <c r="G557" s="832"/>
      <c r="H557" s="832"/>
      <c r="I557" s="832"/>
      <c r="J557" s="832">
        <v>1</v>
      </c>
      <c r="K557" s="832">
        <v>1017.27</v>
      </c>
      <c r="L557" s="832">
        <v>1</v>
      </c>
      <c r="M557" s="832">
        <v>1017.27</v>
      </c>
      <c r="N557" s="832"/>
      <c r="O557" s="832"/>
      <c r="P557" s="828"/>
      <c r="Q557" s="833"/>
    </row>
    <row r="558" spans="1:17" ht="14.45" customHeight="1" x14ac:dyDescent="0.2">
      <c r="A558" s="822" t="s">
        <v>575</v>
      </c>
      <c r="B558" s="823" t="s">
        <v>5468</v>
      </c>
      <c r="C558" s="823" t="s">
        <v>5563</v>
      </c>
      <c r="D558" s="823" t="s">
        <v>6061</v>
      </c>
      <c r="E558" s="823" t="s">
        <v>1377</v>
      </c>
      <c r="F558" s="832"/>
      <c r="G558" s="832"/>
      <c r="H558" s="832"/>
      <c r="I558" s="832"/>
      <c r="J558" s="832"/>
      <c r="K558" s="832"/>
      <c r="L558" s="832"/>
      <c r="M558" s="832"/>
      <c r="N558" s="832">
        <v>1</v>
      </c>
      <c r="O558" s="832">
        <v>9276.36</v>
      </c>
      <c r="P558" s="828"/>
      <c r="Q558" s="833">
        <v>9276.36</v>
      </c>
    </row>
    <row r="559" spans="1:17" ht="14.45" customHeight="1" x14ac:dyDescent="0.2">
      <c r="A559" s="822" t="s">
        <v>575</v>
      </c>
      <c r="B559" s="823" t="s">
        <v>5468</v>
      </c>
      <c r="C559" s="823" t="s">
        <v>5563</v>
      </c>
      <c r="D559" s="823" t="s">
        <v>6062</v>
      </c>
      <c r="E559" s="823" t="s">
        <v>5629</v>
      </c>
      <c r="F559" s="832"/>
      <c r="G559" s="832"/>
      <c r="H559" s="832"/>
      <c r="I559" s="832"/>
      <c r="J559" s="832"/>
      <c r="K559" s="832"/>
      <c r="L559" s="832"/>
      <c r="M559" s="832"/>
      <c r="N559" s="832">
        <v>6</v>
      </c>
      <c r="O559" s="832">
        <v>94379.28</v>
      </c>
      <c r="P559" s="828"/>
      <c r="Q559" s="833">
        <v>15729.88</v>
      </c>
    </row>
    <row r="560" spans="1:17" ht="14.45" customHeight="1" x14ac:dyDescent="0.2">
      <c r="A560" s="822" t="s">
        <v>575</v>
      </c>
      <c r="B560" s="823" t="s">
        <v>5468</v>
      </c>
      <c r="C560" s="823" t="s">
        <v>5563</v>
      </c>
      <c r="D560" s="823" t="s">
        <v>6063</v>
      </c>
      <c r="E560" s="823" t="s">
        <v>1390</v>
      </c>
      <c r="F560" s="832"/>
      <c r="G560" s="832"/>
      <c r="H560" s="832"/>
      <c r="I560" s="832"/>
      <c r="J560" s="832"/>
      <c r="K560" s="832"/>
      <c r="L560" s="832"/>
      <c r="M560" s="832"/>
      <c r="N560" s="832">
        <v>21</v>
      </c>
      <c r="O560" s="832">
        <v>1942.29</v>
      </c>
      <c r="P560" s="828"/>
      <c r="Q560" s="833">
        <v>92.49</v>
      </c>
    </row>
    <row r="561" spans="1:17" ht="14.45" customHeight="1" x14ac:dyDescent="0.2">
      <c r="A561" s="822" t="s">
        <v>575</v>
      </c>
      <c r="B561" s="823" t="s">
        <v>5468</v>
      </c>
      <c r="C561" s="823" t="s">
        <v>5563</v>
      </c>
      <c r="D561" s="823" t="s">
        <v>6064</v>
      </c>
      <c r="E561" s="823" t="s">
        <v>1206</v>
      </c>
      <c r="F561" s="832"/>
      <c r="G561" s="832"/>
      <c r="H561" s="832"/>
      <c r="I561" s="832"/>
      <c r="J561" s="832"/>
      <c r="K561" s="832"/>
      <c r="L561" s="832"/>
      <c r="M561" s="832"/>
      <c r="N561" s="832">
        <v>2</v>
      </c>
      <c r="O561" s="832">
        <v>1093.32</v>
      </c>
      <c r="P561" s="828"/>
      <c r="Q561" s="833">
        <v>546.66</v>
      </c>
    </row>
    <row r="562" spans="1:17" ht="14.45" customHeight="1" x14ac:dyDescent="0.2">
      <c r="A562" s="822" t="s">
        <v>575</v>
      </c>
      <c r="B562" s="823" t="s">
        <v>5468</v>
      </c>
      <c r="C562" s="823" t="s">
        <v>5563</v>
      </c>
      <c r="D562" s="823" t="s">
        <v>5636</v>
      </c>
      <c r="E562" s="823" t="s">
        <v>1129</v>
      </c>
      <c r="F562" s="832"/>
      <c r="G562" s="832"/>
      <c r="H562" s="832"/>
      <c r="I562" s="832"/>
      <c r="J562" s="832"/>
      <c r="K562" s="832"/>
      <c r="L562" s="832"/>
      <c r="M562" s="832"/>
      <c r="N562" s="832">
        <v>4.9000000000000004</v>
      </c>
      <c r="O562" s="832">
        <v>4042.9900000000002</v>
      </c>
      <c r="P562" s="828"/>
      <c r="Q562" s="833">
        <v>825.1</v>
      </c>
    </row>
    <row r="563" spans="1:17" ht="14.45" customHeight="1" x14ac:dyDescent="0.2">
      <c r="A563" s="822" t="s">
        <v>575</v>
      </c>
      <c r="B563" s="823" t="s">
        <v>5468</v>
      </c>
      <c r="C563" s="823" t="s">
        <v>5563</v>
      </c>
      <c r="D563" s="823" t="s">
        <v>5637</v>
      </c>
      <c r="E563" s="823" t="s">
        <v>5638</v>
      </c>
      <c r="F563" s="832">
        <v>1</v>
      </c>
      <c r="G563" s="832">
        <v>3498.62</v>
      </c>
      <c r="H563" s="832"/>
      <c r="I563" s="832">
        <v>3498.62</v>
      </c>
      <c r="J563" s="832"/>
      <c r="K563" s="832"/>
      <c r="L563" s="832"/>
      <c r="M563" s="832"/>
      <c r="N563" s="832"/>
      <c r="O563" s="832"/>
      <c r="P563" s="828"/>
      <c r="Q563" s="833"/>
    </row>
    <row r="564" spans="1:17" ht="14.45" customHeight="1" x14ac:dyDescent="0.2">
      <c r="A564" s="822" t="s">
        <v>575</v>
      </c>
      <c r="B564" s="823" t="s">
        <v>5468</v>
      </c>
      <c r="C564" s="823" t="s">
        <v>5639</v>
      </c>
      <c r="D564" s="823" t="s">
        <v>5640</v>
      </c>
      <c r="E564" s="823" t="s">
        <v>5641</v>
      </c>
      <c r="F564" s="832">
        <v>374</v>
      </c>
      <c r="G564" s="832">
        <v>987790.1</v>
      </c>
      <c r="H564" s="832">
        <v>0.70674816031137866</v>
      </c>
      <c r="I564" s="832">
        <v>2641.15</v>
      </c>
      <c r="J564" s="832">
        <v>525</v>
      </c>
      <c r="K564" s="832">
        <v>1397655</v>
      </c>
      <c r="L564" s="832">
        <v>1</v>
      </c>
      <c r="M564" s="832">
        <v>2662.2</v>
      </c>
      <c r="N564" s="832">
        <v>277</v>
      </c>
      <c r="O564" s="832">
        <v>747182.18</v>
      </c>
      <c r="P564" s="828">
        <v>0.53459700712979963</v>
      </c>
      <c r="Q564" s="833">
        <v>2697.4085920577618</v>
      </c>
    </row>
    <row r="565" spans="1:17" ht="14.45" customHeight="1" x14ac:dyDescent="0.2">
      <c r="A565" s="822" t="s">
        <v>575</v>
      </c>
      <c r="B565" s="823" t="s">
        <v>5468</v>
      </c>
      <c r="C565" s="823" t="s">
        <v>5639</v>
      </c>
      <c r="D565" s="823" t="s">
        <v>5642</v>
      </c>
      <c r="E565" s="823" t="s">
        <v>5643</v>
      </c>
      <c r="F565" s="832">
        <v>14</v>
      </c>
      <c r="G565" s="832">
        <v>144328.09999999998</v>
      </c>
      <c r="H565" s="832">
        <v>0.60660677573515731</v>
      </c>
      <c r="I565" s="832">
        <v>10309.149999999998</v>
      </c>
      <c r="J565" s="832">
        <v>23</v>
      </c>
      <c r="K565" s="832">
        <v>237926.94999999998</v>
      </c>
      <c r="L565" s="832">
        <v>1</v>
      </c>
      <c r="M565" s="832">
        <v>10344.65</v>
      </c>
      <c r="N565" s="832">
        <v>18</v>
      </c>
      <c r="O565" s="832">
        <v>187016.43</v>
      </c>
      <c r="P565" s="828">
        <v>0.78602457603058418</v>
      </c>
      <c r="Q565" s="833">
        <v>10389.801666666666</v>
      </c>
    </row>
    <row r="566" spans="1:17" ht="14.45" customHeight="1" x14ac:dyDescent="0.2">
      <c r="A566" s="822" t="s">
        <v>575</v>
      </c>
      <c r="B566" s="823" t="s">
        <v>5468</v>
      </c>
      <c r="C566" s="823" t="s">
        <v>5639</v>
      </c>
      <c r="D566" s="823" t="s">
        <v>5644</v>
      </c>
      <c r="E566" s="823" t="s">
        <v>5645</v>
      </c>
      <c r="F566" s="832">
        <v>191</v>
      </c>
      <c r="G566" s="832">
        <v>231417.51</v>
      </c>
      <c r="H566" s="832">
        <v>0.87912811828962878</v>
      </c>
      <c r="I566" s="832">
        <v>1211.6100000000001</v>
      </c>
      <c r="J566" s="832">
        <v>215</v>
      </c>
      <c r="K566" s="832">
        <v>263235.25</v>
      </c>
      <c r="L566" s="832">
        <v>1</v>
      </c>
      <c r="M566" s="832">
        <v>1224.3499999999999</v>
      </c>
      <c r="N566" s="832">
        <v>162</v>
      </c>
      <c r="O566" s="832">
        <v>201296.63999999998</v>
      </c>
      <c r="P566" s="828">
        <v>0.764702447715494</v>
      </c>
      <c r="Q566" s="833">
        <v>1242.5718518518518</v>
      </c>
    </row>
    <row r="567" spans="1:17" ht="14.45" customHeight="1" x14ac:dyDescent="0.2">
      <c r="A567" s="822" t="s">
        <v>575</v>
      </c>
      <c r="B567" s="823" t="s">
        <v>5468</v>
      </c>
      <c r="C567" s="823" t="s">
        <v>5396</v>
      </c>
      <c r="D567" s="823" t="s">
        <v>6065</v>
      </c>
      <c r="E567" s="823" t="s">
        <v>6066</v>
      </c>
      <c r="F567" s="832">
        <v>2</v>
      </c>
      <c r="G567" s="832">
        <v>1528.8</v>
      </c>
      <c r="H567" s="832">
        <v>0.28571428571428575</v>
      </c>
      <c r="I567" s="832">
        <v>764.4</v>
      </c>
      <c r="J567" s="832">
        <v>7</v>
      </c>
      <c r="K567" s="832">
        <v>5350.7999999999993</v>
      </c>
      <c r="L567" s="832">
        <v>1</v>
      </c>
      <c r="M567" s="832">
        <v>764.39999999999986</v>
      </c>
      <c r="N567" s="832"/>
      <c r="O567" s="832"/>
      <c r="P567" s="828"/>
      <c r="Q567" s="833"/>
    </row>
    <row r="568" spans="1:17" ht="14.45" customHeight="1" x14ac:dyDescent="0.2">
      <c r="A568" s="822" t="s">
        <v>575</v>
      </c>
      <c r="B568" s="823" t="s">
        <v>5468</v>
      </c>
      <c r="C568" s="823" t="s">
        <v>5396</v>
      </c>
      <c r="D568" s="823" t="s">
        <v>6067</v>
      </c>
      <c r="E568" s="823" t="s">
        <v>6068</v>
      </c>
      <c r="F568" s="832"/>
      <c r="G568" s="832"/>
      <c r="H568" s="832"/>
      <c r="I568" s="832"/>
      <c r="J568" s="832"/>
      <c r="K568" s="832"/>
      <c r="L568" s="832"/>
      <c r="M568" s="832"/>
      <c r="N568" s="832">
        <v>2</v>
      </c>
      <c r="O568" s="832">
        <v>1578.58</v>
      </c>
      <c r="P568" s="828"/>
      <c r="Q568" s="833">
        <v>789.29</v>
      </c>
    </row>
    <row r="569" spans="1:17" ht="14.45" customHeight="1" x14ac:dyDescent="0.2">
      <c r="A569" s="822" t="s">
        <v>575</v>
      </c>
      <c r="B569" s="823" t="s">
        <v>5468</v>
      </c>
      <c r="C569" s="823" t="s">
        <v>5396</v>
      </c>
      <c r="D569" s="823" t="s">
        <v>6069</v>
      </c>
      <c r="E569" s="823" t="s">
        <v>6070</v>
      </c>
      <c r="F569" s="832">
        <v>1</v>
      </c>
      <c r="G569" s="832">
        <v>28950</v>
      </c>
      <c r="H569" s="832"/>
      <c r="I569" s="832">
        <v>28950</v>
      </c>
      <c r="J569" s="832"/>
      <c r="K569" s="832"/>
      <c r="L569" s="832"/>
      <c r="M569" s="832"/>
      <c r="N569" s="832"/>
      <c r="O569" s="832"/>
      <c r="P569" s="828"/>
      <c r="Q569" s="833"/>
    </row>
    <row r="570" spans="1:17" ht="14.45" customHeight="1" x14ac:dyDescent="0.2">
      <c r="A570" s="822" t="s">
        <v>575</v>
      </c>
      <c r="B570" s="823" t="s">
        <v>5468</v>
      </c>
      <c r="C570" s="823" t="s">
        <v>5396</v>
      </c>
      <c r="D570" s="823" t="s">
        <v>5650</v>
      </c>
      <c r="E570" s="823" t="s">
        <v>5651</v>
      </c>
      <c r="F570" s="832">
        <v>1</v>
      </c>
      <c r="G570" s="832">
        <v>45021.47</v>
      </c>
      <c r="H570" s="832"/>
      <c r="I570" s="832">
        <v>45021.47</v>
      </c>
      <c r="J570" s="832"/>
      <c r="K570" s="832"/>
      <c r="L570" s="832"/>
      <c r="M570" s="832"/>
      <c r="N570" s="832"/>
      <c r="O570" s="832"/>
      <c r="P570" s="828"/>
      <c r="Q570" s="833"/>
    </row>
    <row r="571" spans="1:17" ht="14.45" customHeight="1" x14ac:dyDescent="0.2">
      <c r="A571" s="822" t="s">
        <v>575</v>
      </c>
      <c r="B571" s="823" t="s">
        <v>5468</v>
      </c>
      <c r="C571" s="823" t="s">
        <v>5396</v>
      </c>
      <c r="D571" s="823" t="s">
        <v>5652</v>
      </c>
      <c r="E571" s="823" t="s">
        <v>5653</v>
      </c>
      <c r="F571" s="832"/>
      <c r="G571" s="832"/>
      <c r="H571" s="832"/>
      <c r="I571" s="832"/>
      <c r="J571" s="832"/>
      <c r="K571" s="832"/>
      <c r="L571" s="832"/>
      <c r="M571" s="832"/>
      <c r="N571" s="832">
        <v>4</v>
      </c>
      <c r="O571" s="832">
        <v>128857.1</v>
      </c>
      <c r="P571" s="828"/>
      <c r="Q571" s="833">
        <v>32214.275000000001</v>
      </c>
    </row>
    <row r="572" spans="1:17" ht="14.45" customHeight="1" x14ac:dyDescent="0.2">
      <c r="A572" s="822" t="s">
        <v>575</v>
      </c>
      <c r="B572" s="823" t="s">
        <v>5468</v>
      </c>
      <c r="C572" s="823" t="s">
        <v>5396</v>
      </c>
      <c r="D572" s="823" t="s">
        <v>5656</v>
      </c>
      <c r="E572" s="823" t="s">
        <v>5657</v>
      </c>
      <c r="F572" s="832">
        <v>4</v>
      </c>
      <c r="G572" s="832">
        <v>63670.6</v>
      </c>
      <c r="H572" s="832"/>
      <c r="I572" s="832">
        <v>15917.65</v>
      </c>
      <c r="J572" s="832"/>
      <c r="K572" s="832"/>
      <c r="L572" s="832"/>
      <c r="M572" s="832"/>
      <c r="N572" s="832"/>
      <c r="O572" s="832"/>
      <c r="P572" s="828"/>
      <c r="Q572" s="833"/>
    </row>
    <row r="573" spans="1:17" ht="14.45" customHeight="1" x14ac:dyDescent="0.2">
      <c r="A573" s="822" t="s">
        <v>575</v>
      </c>
      <c r="B573" s="823" t="s">
        <v>5468</v>
      </c>
      <c r="C573" s="823" t="s">
        <v>5396</v>
      </c>
      <c r="D573" s="823" t="s">
        <v>5658</v>
      </c>
      <c r="E573" s="823" t="s">
        <v>5659</v>
      </c>
      <c r="F573" s="832">
        <v>4</v>
      </c>
      <c r="G573" s="832">
        <v>24418.639999999999</v>
      </c>
      <c r="H573" s="832"/>
      <c r="I573" s="832">
        <v>6104.66</v>
      </c>
      <c r="J573" s="832"/>
      <c r="K573" s="832"/>
      <c r="L573" s="832"/>
      <c r="M573" s="832"/>
      <c r="N573" s="832"/>
      <c r="O573" s="832"/>
      <c r="P573" s="828"/>
      <c r="Q573" s="833"/>
    </row>
    <row r="574" spans="1:17" ht="14.45" customHeight="1" x14ac:dyDescent="0.2">
      <c r="A574" s="822" t="s">
        <v>575</v>
      </c>
      <c r="B574" s="823" t="s">
        <v>5468</v>
      </c>
      <c r="C574" s="823" t="s">
        <v>5396</v>
      </c>
      <c r="D574" s="823" t="s">
        <v>5660</v>
      </c>
      <c r="E574" s="823" t="s">
        <v>5661</v>
      </c>
      <c r="F574" s="832">
        <v>22</v>
      </c>
      <c r="G574" s="832">
        <v>156200</v>
      </c>
      <c r="H574" s="832">
        <v>0.7857142857142857</v>
      </c>
      <c r="I574" s="832">
        <v>7100</v>
      </c>
      <c r="J574" s="832">
        <v>28</v>
      </c>
      <c r="K574" s="832">
        <v>198800</v>
      </c>
      <c r="L574" s="832">
        <v>1</v>
      </c>
      <c r="M574" s="832">
        <v>7100</v>
      </c>
      <c r="N574" s="832">
        <v>25</v>
      </c>
      <c r="O574" s="832">
        <v>177500</v>
      </c>
      <c r="P574" s="828">
        <v>0.8928571428571429</v>
      </c>
      <c r="Q574" s="833">
        <v>7100</v>
      </c>
    </row>
    <row r="575" spans="1:17" ht="14.45" customHeight="1" x14ac:dyDescent="0.2">
      <c r="A575" s="822" t="s">
        <v>575</v>
      </c>
      <c r="B575" s="823" t="s">
        <v>5468</v>
      </c>
      <c r="C575" s="823" t="s">
        <v>5396</v>
      </c>
      <c r="D575" s="823" t="s">
        <v>5662</v>
      </c>
      <c r="E575" s="823" t="s">
        <v>5663</v>
      </c>
      <c r="F575" s="832">
        <v>4</v>
      </c>
      <c r="G575" s="832">
        <v>30181.56</v>
      </c>
      <c r="H575" s="832"/>
      <c r="I575" s="832">
        <v>7545.39</v>
      </c>
      <c r="J575" s="832"/>
      <c r="K575" s="832"/>
      <c r="L575" s="832"/>
      <c r="M575" s="832"/>
      <c r="N575" s="832"/>
      <c r="O575" s="832"/>
      <c r="P575" s="828"/>
      <c r="Q575" s="833"/>
    </row>
    <row r="576" spans="1:17" ht="14.45" customHeight="1" x14ac:dyDescent="0.2">
      <c r="A576" s="822" t="s">
        <v>575</v>
      </c>
      <c r="B576" s="823" t="s">
        <v>5468</v>
      </c>
      <c r="C576" s="823" t="s">
        <v>5396</v>
      </c>
      <c r="D576" s="823" t="s">
        <v>5664</v>
      </c>
      <c r="E576" s="823" t="s">
        <v>5665</v>
      </c>
      <c r="F576" s="832">
        <v>22</v>
      </c>
      <c r="G576" s="832">
        <v>25630</v>
      </c>
      <c r="H576" s="832">
        <v>0.75862068965517238</v>
      </c>
      <c r="I576" s="832">
        <v>1165</v>
      </c>
      <c r="J576" s="832">
        <v>29</v>
      </c>
      <c r="K576" s="832">
        <v>33785</v>
      </c>
      <c r="L576" s="832">
        <v>1</v>
      </c>
      <c r="M576" s="832">
        <v>1165</v>
      </c>
      <c r="N576" s="832">
        <v>22</v>
      </c>
      <c r="O576" s="832">
        <v>25630</v>
      </c>
      <c r="P576" s="828">
        <v>0.75862068965517238</v>
      </c>
      <c r="Q576" s="833">
        <v>1165</v>
      </c>
    </row>
    <row r="577" spans="1:17" ht="14.45" customHeight="1" x14ac:dyDescent="0.2">
      <c r="A577" s="822" t="s">
        <v>575</v>
      </c>
      <c r="B577" s="823" t="s">
        <v>5468</v>
      </c>
      <c r="C577" s="823" t="s">
        <v>5396</v>
      </c>
      <c r="D577" s="823" t="s">
        <v>5666</v>
      </c>
      <c r="E577" s="823" t="s">
        <v>5667</v>
      </c>
      <c r="F577" s="832">
        <v>4</v>
      </c>
      <c r="G577" s="832">
        <v>2968</v>
      </c>
      <c r="H577" s="832">
        <v>0.4</v>
      </c>
      <c r="I577" s="832">
        <v>742</v>
      </c>
      <c r="J577" s="832">
        <v>10</v>
      </c>
      <c r="K577" s="832">
        <v>7420</v>
      </c>
      <c r="L577" s="832">
        <v>1</v>
      </c>
      <c r="M577" s="832">
        <v>742</v>
      </c>
      <c r="N577" s="832">
        <v>14</v>
      </c>
      <c r="O577" s="832">
        <v>10388</v>
      </c>
      <c r="P577" s="828">
        <v>1.4</v>
      </c>
      <c r="Q577" s="833">
        <v>742</v>
      </c>
    </row>
    <row r="578" spans="1:17" ht="14.45" customHeight="1" x14ac:dyDescent="0.2">
      <c r="A578" s="822" t="s">
        <v>575</v>
      </c>
      <c r="B578" s="823" t="s">
        <v>5468</v>
      </c>
      <c r="C578" s="823" t="s">
        <v>5396</v>
      </c>
      <c r="D578" s="823" t="s">
        <v>5668</v>
      </c>
      <c r="E578" s="823" t="s">
        <v>5669</v>
      </c>
      <c r="F578" s="832">
        <v>24</v>
      </c>
      <c r="G578" s="832">
        <v>12624</v>
      </c>
      <c r="H578" s="832">
        <v>0.77419354838709675</v>
      </c>
      <c r="I578" s="832">
        <v>526</v>
      </c>
      <c r="J578" s="832">
        <v>31</v>
      </c>
      <c r="K578" s="832">
        <v>16306</v>
      </c>
      <c r="L578" s="832">
        <v>1</v>
      </c>
      <c r="M578" s="832">
        <v>526</v>
      </c>
      <c r="N578" s="832">
        <v>24</v>
      </c>
      <c r="O578" s="832">
        <v>12624</v>
      </c>
      <c r="P578" s="828">
        <v>0.77419354838709675</v>
      </c>
      <c r="Q578" s="833">
        <v>526</v>
      </c>
    </row>
    <row r="579" spans="1:17" ht="14.45" customHeight="1" x14ac:dyDescent="0.2">
      <c r="A579" s="822" t="s">
        <v>575</v>
      </c>
      <c r="B579" s="823" t="s">
        <v>5468</v>
      </c>
      <c r="C579" s="823" t="s">
        <v>5396</v>
      </c>
      <c r="D579" s="823" t="s">
        <v>5672</v>
      </c>
      <c r="E579" s="823" t="s">
        <v>5673</v>
      </c>
      <c r="F579" s="832">
        <v>17</v>
      </c>
      <c r="G579" s="832">
        <v>15909.28</v>
      </c>
      <c r="H579" s="832">
        <v>0.56666666666666665</v>
      </c>
      <c r="I579" s="832">
        <v>935.84</v>
      </c>
      <c r="J579" s="832">
        <v>30</v>
      </c>
      <c r="K579" s="832">
        <v>28075.200000000001</v>
      </c>
      <c r="L579" s="832">
        <v>1</v>
      </c>
      <c r="M579" s="832">
        <v>935.84</v>
      </c>
      <c r="N579" s="832">
        <v>21</v>
      </c>
      <c r="O579" s="832">
        <v>19652.64</v>
      </c>
      <c r="P579" s="828">
        <v>0.7</v>
      </c>
      <c r="Q579" s="833">
        <v>935.83999999999992</v>
      </c>
    </row>
    <row r="580" spans="1:17" ht="14.45" customHeight="1" x14ac:dyDescent="0.2">
      <c r="A580" s="822" t="s">
        <v>575</v>
      </c>
      <c r="B580" s="823" t="s">
        <v>5468</v>
      </c>
      <c r="C580" s="823" t="s">
        <v>5396</v>
      </c>
      <c r="D580" s="823" t="s">
        <v>5674</v>
      </c>
      <c r="E580" s="823" t="s">
        <v>5675</v>
      </c>
      <c r="F580" s="832">
        <v>3</v>
      </c>
      <c r="G580" s="832">
        <v>21763.65</v>
      </c>
      <c r="H580" s="832">
        <v>1</v>
      </c>
      <c r="I580" s="832">
        <v>7254.55</v>
      </c>
      <c r="J580" s="832">
        <v>3</v>
      </c>
      <c r="K580" s="832">
        <v>21763.65</v>
      </c>
      <c r="L580" s="832">
        <v>1</v>
      </c>
      <c r="M580" s="832">
        <v>7254.55</v>
      </c>
      <c r="N580" s="832">
        <v>6</v>
      </c>
      <c r="O580" s="832">
        <v>32373</v>
      </c>
      <c r="P580" s="828">
        <v>1.4874802710023363</v>
      </c>
      <c r="Q580" s="833">
        <v>5395.5</v>
      </c>
    </row>
    <row r="581" spans="1:17" ht="14.45" customHeight="1" x14ac:dyDescent="0.2">
      <c r="A581" s="822" t="s">
        <v>575</v>
      </c>
      <c r="B581" s="823" t="s">
        <v>5468</v>
      </c>
      <c r="C581" s="823" t="s">
        <v>5396</v>
      </c>
      <c r="D581" s="823" t="s">
        <v>5676</v>
      </c>
      <c r="E581" s="823" t="s">
        <v>5677</v>
      </c>
      <c r="F581" s="832">
        <v>1</v>
      </c>
      <c r="G581" s="832">
        <v>6649</v>
      </c>
      <c r="H581" s="832"/>
      <c r="I581" s="832">
        <v>6649</v>
      </c>
      <c r="J581" s="832"/>
      <c r="K581" s="832"/>
      <c r="L581" s="832"/>
      <c r="M581" s="832"/>
      <c r="N581" s="832"/>
      <c r="O581" s="832"/>
      <c r="P581" s="828"/>
      <c r="Q581" s="833"/>
    </row>
    <row r="582" spans="1:17" ht="14.45" customHeight="1" x14ac:dyDescent="0.2">
      <c r="A582" s="822" t="s">
        <v>575</v>
      </c>
      <c r="B582" s="823" t="s">
        <v>5468</v>
      </c>
      <c r="C582" s="823" t="s">
        <v>5396</v>
      </c>
      <c r="D582" s="823" t="s">
        <v>5680</v>
      </c>
      <c r="E582" s="823" t="s">
        <v>5681</v>
      </c>
      <c r="F582" s="832">
        <v>4</v>
      </c>
      <c r="G582" s="832">
        <v>5443</v>
      </c>
      <c r="H582" s="832">
        <v>0.5714285714285714</v>
      </c>
      <c r="I582" s="832">
        <v>1360.75</v>
      </c>
      <c r="J582" s="832">
        <v>7</v>
      </c>
      <c r="K582" s="832">
        <v>9525.25</v>
      </c>
      <c r="L582" s="832">
        <v>1</v>
      </c>
      <c r="M582" s="832">
        <v>1360.75</v>
      </c>
      <c r="N582" s="832">
        <v>13</v>
      </c>
      <c r="O582" s="832">
        <v>17689.75</v>
      </c>
      <c r="P582" s="828">
        <v>1.8571428571428572</v>
      </c>
      <c r="Q582" s="833">
        <v>1360.75</v>
      </c>
    </row>
    <row r="583" spans="1:17" ht="14.45" customHeight="1" x14ac:dyDescent="0.2">
      <c r="A583" s="822" t="s">
        <v>575</v>
      </c>
      <c r="B583" s="823" t="s">
        <v>5468</v>
      </c>
      <c r="C583" s="823" t="s">
        <v>5396</v>
      </c>
      <c r="D583" s="823" t="s">
        <v>5682</v>
      </c>
      <c r="E583" s="823" t="s">
        <v>5683</v>
      </c>
      <c r="F583" s="832"/>
      <c r="G583" s="832"/>
      <c r="H583" s="832"/>
      <c r="I583" s="832"/>
      <c r="J583" s="832">
        <v>8</v>
      </c>
      <c r="K583" s="832">
        <v>37420</v>
      </c>
      <c r="L583" s="832">
        <v>1</v>
      </c>
      <c r="M583" s="832">
        <v>4677.5</v>
      </c>
      <c r="N583" s="832">
        <v>3</v>
      </c>
      <c r="O583" s="832">
        <v>14032.5</v>
      </c>
      <c r="P583" s="828">
        <v>0.375</v>
      </c>
      <c r="Q583" s="833">
        <v>4677.5</v>
      </c>
    </row>
    <row r="584" spans="1:17" ht="14.45" customHeight="1" x14ac:dyDescent="0.2">
      <c r="A584" s="822" t="s">
        <v>575</v>
      </c>
      <c r="B584" s="823" t="s">
        <v>5468</v>
      </c>
      <c r="C584" s="823" t="s">
        <v>5396</v>
      </c>
      <c r="D584" s="823" t="s">
        <v>5684</v>
      </c>
      <c r="E584" s="823" t="s">
        <v>5685</v>
      </c>
      <c r="F584" s="832"/>
      <c r="G584" s="832"/>
      <c r="H584" s="832"/>
      <c r="I584" s="832"/>
      <c r="J584" s="832">
        <v>1</v>
      </c>
      <c r="K584" s="832">
        <v>18952.96</v>
      </c>
      <c r="L584" s="832">
        <v>1</v>
      </c>
      <c r="M584" s="832">
        <v>18952.96</v>
      </c>
      <c r="N584" s="832">
        <v>1</v>
      </c>
      <c r="O584" s="832">
        <v>18952.7</v>
      </c>
      <c r="P584" s="828">
        <v>0.99998628182616334</v>
      </c>
      <c r="Q584" s="833">
        <v>18952.7</v>
      </c>
    </row>
    <row r="585" spans="1:17" ht="14.45" customHeight="1" x14ac:dyDescent="0.2">
      <c r="A585" s="822" t="s">
        <v>575</v>
      </c>
      <c r="B585" s="823" t="s">
        <v>5468</v>
      </c>
      <c r="C585" s="823" t="s">
        <v>5396</v>
      </c>
      <c r="D585" s="823" t="s">
        <v>5692</v>
      </c>
      <c r="E585" s="823" t="s">
        <v>5693</v>
      </c>
      <c r="F585" s="832">
        <v>1</v>
      </c>
      <c r="G585" s="832">
        <v>4798</v>
      </c>
      <c r="H585" s="832"/>
      <c r="I585" s="832">
        <v>4798</v>
      </c>
      <c r="J585" s="832"/>
      <c r="K585" s="832"/>
      <c r="L585" s="832"/>
      <c r="M585" s="832"/>
      <c r="N585" s="832">
        <v>1</v>
      </c>
      <c r="O585" s="832">
        <v>4798</v>
      </c>
      <c r="P585" s="828"/>
      <c r="Q585" s="833">
        <v>4798</v>
      </c>
    </row>
    <row r="586" spans="1:17" ht="14.45" customHeight="1" x14ac:dyDescent="0.2">
      <c r="A586" s="822" t="s">
        <v>575</v>
      </c>
      <c r="B586" s="823" t="s">
        <v>5468</v>
      </c>
      <c r="C586" s="823" t="s">
        <v>5396</v>
      </c>
      <c r="D586" s="823" t="s">
        <v>5694</v>
      </c>
      <c r="E586" s="823" t="s">
        <v>5695</v>
      </c>
      <c r="F586" s="832"/>
      <c r="G586" s="832"/>
      <c r="H586" s="832"/>
      <c r="I586" s="832"/>
      <c r="J586" s="832">
        <v>1</v>
      </c>
      <c r="K586" s="832">
        <v>34800</v>
      </c>
      <c r="L586" s="832">
        <v>1</v>
      </c>
      <c r="M586" s="832">
        <v>34800</v>
      </c>
      <c r="N586" s="832"/>
      <c r="O586" s="832"/>
      <c r="P586" s="828"/>
      <c r="Q586" s="833"/>
    </row>
    <row r="587" spans="1:17" ht="14.45" customHeight="1" x14ac:dyDescent="0.2">
      <c r="A587" s="822" t="s">
        <v>575</v>
      </c>
      <c r="B587" s="823" t="s">
        <v>5468</v>
      </c>
      <c r="C587" s="823" t="s">
        <v>5396</v>
      </c>
      <c r="D587" s="823" t="s">
        <v>5698</v>
      </c>
      <c r="E587" s="823" t="s">
        <v>5699</v>
      </c>
      <c r="F587" s="832">
        <v>3</v>
      </c>
      <c r="G587" s="832">
        <v>5514</v>
      </c>
      <c r="H587" s="832">
        <v>0.75</v>
      </c>
      <c r="I587" s="832">
        <v>1838</v>
      </c>
      <c r="J587" s="832">
        <v>4</v>
      </c>
      <c r="K587" s="832">
        <v>7352</v>
      </c>
      <c r="L587" s="832">
        <v>1</v>
      </c>
      <c r="M587" s="832">
        <v>1838</v>
      </c>
      <c r="N587" s="832">
        <v>6</v>
      </c>
      <c r="O587" s="832">
        <v>11028</v>
      </c>
      <c r="P587" s="828">
        <v>1.5</v>
      </c>
      <c r="Q587" s="833">
        <v>1838</v>
      </c>
    </row>
    <row r="588" spans="1:17" ht="14.45" customHeight="1" x14ac:dyDescent="0.2">
      <c r="A588" s="822" t="s">
        <v>575</v>
      </c>
      <c r="B588" s="823" t="s">
        <v>5468</v>
      </c>
      <c r="C588" s="823" t="s">
        <v>5396</v>
      </c>
      <c r="D588" s="823" t="s">
        <v>5702</v>
      </c>
      <c r="E588" s="823" t="s">
        <v>5703</v>
      </c>
      <c r="F588" s="832">
        <v>1</v>
      </c>
      <c r="G588" s="832">
        <v>69228.990000000005</v>
      </c>
      <c r="H588" s="832">
        <v>0.14728682665317303</v>
      </c>
      <c r="I588" s="832">
        <v>69228.990000000005</v>
      </c>
      <c r="J588" s="832">
        <v>7</v>
      </c>
      <c r="K588" s="832">
        <v>470028.39</v>
      </c>
      <c r="L588" s="832">
        <v>1</v>
      </c>
      <c r="M588" s="832">
        <v>67146.912857142859</v>
      </c>
      <c r="N588" s="832">
        <v>2</v>
      </c>
      <c r="O588" s="832">
        <v>136028.89000000001</v>
      </c>
      <c r="P588" s="828">
        <v>0.28940568887764417</v>
      </c>
      <c r="Q588" s="833">
        <v>68014.445000000007</v>
      </c>
    </row>
    <row r="589" spans="1:17" ht="14.45" customHeight="1" x14ac:dyDescent="0.2">
      <c r="A589" s="822" t="s">
        <v>575</v>
      </c>
      <c r="B589" s="823" t="s">
        <v>5468</v>
      </c>
      <c r="C589" s="823" t="s">
        <v>5396</v>
      </c>
      <c r="D589" s="823" t="s">
        <v>5704</v>
      </c>
      <c r="E589" s="823" t="s">
        <v>5705</v>
      </c>
      <c r="F589" s="832"/>
      <c r="G589" s="832"/>
      <c r="H589" s="832"/>
      <c r="I589" s="832"/>
      <c r="J589" s="832"/>
      <c r="K589" s="832"/>
      <c r="L589" s="832"/>
      <c r="M589" s="832"/>
      <c r="N589" s="832">
        <v>1</v>
      </c>
      <c r="O589" s="832">
        <v>15801</v>
      </c>
      <c r="P589" s="828"/>
      <c r="Q589" s="833">
        <v>15801</v>
      </c>
    </row>
    <row r="590" spans="1:17" ht="14.45" customHeight="1" x14ac:dyDescent="0.2">
      <c r="A590" s="822" t="s">
        <v>575</v>
      </c>
      <c r="B590" s="823" t="s">
        <v>5468</v>
      </c>
      <c r="C590" s="823" t="s">
        <v>5396</v>
      </c>
      <c r="D590" s="823" t="s">
        <v>6071</v>
      </c>
      <c r="E590" s="823" t="s">
        <v>6072</v>
      </c>
      <c r="F590" s="832">
        <v>1</v>
      </c>
      <c r="G590" s="832">
        <v>1796</v>
      </c>
      <c r="H590" s="832"/>
      <c r="I590" s="832">
        <v>1796</v>
      </c>
      <c r="J590" s="832"/>
      <c r="K590" s="832"/>
      <c r="L590" s="832"/>
      <c r="M590" s="832"/>
      <c r="N590" s="832"/>
      <c r="O590" s="832"/>
      <c r="P590" s="828"/>
      <c r="Q590" s="833"/>
    </row>
    <row r="591" spans="1:17" ht="14.45" customHeight="1" x14ac:dyDescent="0.2">
      <c r="A591" s="822" t="s">
        <v>575</v>
      </c>
      <c r="B591" s="823" t="s">
        <v>5468</v>
      </c>
      <c r="C591" s="823" t="s">
        <v>5396</v>
      </c>
      <c r="D591" s="823" t="s">
        <v>6073</v>
      </c>
      <c r="E591" s="823" t="s">
        <v>6074</v>
      </c>
      <c r="F591" s="832">
        <v>2</v>
      </c>
      <c r="G591" s="832">
        <v>3592</v>
      </c>
      <c r="H591" s="832"/>
      <c r="I591" s="832">
        <v>1796</v>
      </c>
      <c r="J591" s="832"/>
      <c r="K591" s="832"/>
      <c r="L591" s="832"/>
      <c r="M591" s="832"/>
      <c r="N591" s="832"/>
      <c r="O591" s="832"/>
      <c r="P591" s="828"/>
      <c r="Q591" s="833"/>
    </row>
    <row r="592" spans="1:17" ht="14.45" customHeight="1" x14ac:dyDescent="0.2">
      <c r="A592" s="822" t="s">
        <v>575</v>
      </c>
      <c r="B592" s="823" t="s">
        <v>5468</v>
      </c>
      <c r="C592" s="823" t="s">
        <v>5396</v>
      </c>
      <c r="D592" s="823" t="s">
        <v>6075</v>
      </c>
      <c r="E592" s="823" t="s">
        <v>6076</v>
      </c>
      <c r="F592" s="832">
        <v>1</v>
      </c>
      <c r="G592" s="832">
        <v>1796</v>
      </c>
      <c r="H592" s="832"/>
      <c r="I592" s="832">
        <v>1796</v>
      </c>
      <c r="J592" s="832"/>
      <c r="K592" s="832"/>
      <c r="L592" s="832"/>
      <c r="M592" s="832"/>
      <c r="N592" s="832"/>
      <c r="O592" s="832"/>
      <c r="P592" s="828"/>
      <c r="Q592" s="833"/>
    </row>
    <row r="593" spans="1:17" ht="14.45" customHeight="1" x14ac:dyDescent="0.2">
      <c r="A593" s="822" t="s">
        <v>575</v>
      </c>
      <c r="B593" s="823" t="s">
        <v>5468</v>
      </c>
      <c r="C593" s="823" t="s">
        <v>5396</v>
      </c>
      <c r="D593" s="823" t="s">
        <v>6077</v>
      </c>
      <c r="E593" s="823" t="s">
        <v>6078</v>
      </c>
      <c r="F593" s="832">
        <v>2</v>
      </c>
      <c r="G593" s="832">
        <v>47672.72</v>
      </c>
      <c r="H593" s="832"/>
      <c r="I593" s="832">
        <v>23836.36</v>
      </c>
      <c r="J593" s="832"/>
      <c r="K593" s="832"/>
      <c r="L593" s="832"/>
      <c r="M593" s="832"/>
      <c r="N593" s="832"/>
      <c r="O593" s="832"/>
      <c r="P593" s="828"/>
      <c r="Q593" s="833"/>
    </row>
    <row r="594" spans="1:17" ht="14.45" customHeight="1" x14ac:dyDescent="0.2">
      <c r="A594" s="822" t="s">
        <v>575</v>
      </c>
      <c r="B594" s="823" t="s">
        <v>5468</v>
      </c>
      <c r="C594" s="823" t="s">
        <v>5396</v>
      </c>
      <c r="D594" s="823" t="s">
        <v>5706</v>
      </c>
      <c r="E594" s="823" t="s">
        <v>5707</v>
      </c>
      <c r="F594" s="832">
        <v>2</v>
      </c>
      <c r="G594" s="832">
        <v>9899.76</v>
      </c>
      <c r="H594" s="832">
        <v>1</v>
      </c>
      <c r="I594" s="832">
        <v>4949.88</v>
      </c>
      <c r="J594" s="832">
        <v>2</v>
      </c>
      <c r="K594" s="832">
        <v>9899.76</v>
      </c>
      <c r="L594" s="832">
        <v>1</v>
      </c>
      <c r="M594" s="832">
        <v>4949.88</v>
      </c>
      <c r="N594" s="832">
        <v>2</v>
      </c>
      <c r="O594" s="832">
        <v>9899.76</v>
      </c>
      <c r="P594" s="828">
        <v>1</v>
      </c>
      <c r="Q594" s="833">
        <v>4949.88</v>
      </c>
    </row>
    <row r="595" spans="1:17" ht="14.45" customHeight="1" x14ac:dyDescent="0.2">
      <c r="A595" s="822" t="s">
        <v>575</v>
      </c>
      <c r="B595" s="823" t="s">
        <v>5468</v>
      </c>
      <c r="C595" s="823" t="s">
        <v>5396</v>
      </c>
      <c r="D595" s="823" t="s">
        <v>5710</v>
      </c>
      <c r="E595" s="823" t="s">
        <v>5711</v>
      </c>
      <c r="F595" s="832">
        <v>4</v>
      </c>
      <c r="G595" s="832">
        <v>103281.08</v>
      </c>
      <c r="H595" s="832">
        <v>1.9970037522704851</v>
      </c>
      <c r="I595" s="832">
        <v>25820.27</v>
      </c>
      <c r="J595" s="832">
        <v>6</v>
      </c>
      <c r="K595" s="832">
        <v>51718.020000000004</v>
      </c>
      <c r="L595" s="832">
        <v>1</v>
      </c>
      <c r="M595" s="832">
        <v>8619.67</v>
      </c>
      <c r="N595" s="832">
        <v>2</v>
      </c>
      <c r="O595" s="832">
        <v>51640.54</v>
      </c>
      <c r="P595" s="828">
        <v>0.99850187613524255</v>
      </c>
      <c r="Q595" s="833">
        <v>25820.27</v>
      </c>
    </row>
    <row r="596" spans="1:17" ht="14.45" customHeight="1" x14ac:dyDescent="0.2">
      <c r="A596" s="822" t="s">
        <v>575</v>
      </c>
      <c r="B596" s="823" t="s">
        <v>5468</v>
      </c>
      <c r="C596" s="823" t="s">
        <v>5396</v>
      </c>
      <c r="D596" s="823" t="s">
        <v>5712</v>
      </c>
      <c r="E596" s="823" t="s">
        <v>5713</v>
      </c>
      <c r="F596" s="832"/>
      <c r="G596" s="832"/>
      <c r="H596" s="832"/>
      <c r="I596" s="832"/>
      <c r="J596" s="832">
        <v>4</v>
      </c>
      <c r="K596" s="832">
        <v>58036.36</v>
      </c>
      <c r="L596" s="832">
        <v>1</v>
      </c>
      <c r="M596" s="832">
        <v>14509.09</v>
      </c>
      <c r="N596" s="832">
        <v>2</v>
      </c>
      <c r="O596" s="832">
        <v>29018.18</v>
      </c>
      <c r="P596" s="828">
        <v>0.5</v>
      </c>
      <c r="Q596" s="833">
        <v>14509.09</v>
      </c>
    </row>
    <row r="597" spans="1:17" ht="14.45" customHeight="1" x14ac:dyDescent="0.2">
      <c r="A597" s="822" t="s">
        <v>575</v>
      </c>
      <c r="B597" s="823" t="s">
        <v>5468</v>
      </c>
      <c r="C597" s="823" t="s">
        <v>5396</v>
      </c>
      <c r="D597" s="823" t="s">
        <v>5714</v>
      </c>
      <c r="E597" s="823" t="s">
        <v>5715</v>
      </c>
      <c r="F597" s="832">
        <v>6</v>
      </c>
      <c r="G597" s="832">
        <v>53945.46</v>
      </c>
      <c r="H597" s="832">
        <v>0.6</v>
      </c>
      <c r="I597" s="832">
        <v>8990.91</v>
      </c>
      <c r="J597" s="832">
        <v>10</v>
      </c>
      <c r="K597" s="832">
        <v>89909.1</v>
      </c>
      <c r="L597" s="832">
        <v>1</v>
      </c>
      <c r="M597" s="832">
        <v>8990.91</v>
      </c>
      <c r="N597" s="832">
        <v>4</v>
      </c>
      <c r="O597" s="832">
        <v>35963.64</v>
      </c>
      <c r="P597" s="828">
        <v>0.39999999999999997</v>
      </c>
      <c r="Q597" s="833">
        <v>8990.91</v>
      </c>
    </row>
    <row r="598" spans="1:17" ht="14.45" customHeight="1" x14ac:dyDescent="0.2">
      <c r="A598" s="822" t="s">
        <v>575</v>
      </c>
      <c r="B598" s="823" t="s">
        <v>5468</v>
      </c>
      <c r="C598" s="823" t="s">
        <v>5396</v>
      </c>
      <c r="D598" s="823" t="s">
        <v>5716</v>
      </c>
      <c r="E598" s="823" t="s">
        <v>5717</v>
      </c>
      <c r="F598" s="832">
        <v>22</v>
      </c>
      <c r="G598" s="832">
        <v>28710</v>
      </c>
      <c r="H598" s="832">
        <v>0.70967741935483875</v>
      </c>
      <c r="I598" s="832">
        <v>1305</v>
      </c>
      <c r="J598" s="832">
        <v>31</v>
      </c>
      <c r="K598" s="832">
        <v>40455</v>
      </c>
      <c r="L598" s="832">
        <v>1</v>
      </c>
      <c r="M598" s="832">
        <v>1305</v>
      </c>
      <c r="N598" s="832">
        <v>20</v>
      </c>
      <c r="O598" s="832">
        <v>26094.420000000006</v>
      </c>
      <c r="P598" s="828">
        <v>0.64502335928809806</v>
      </c>
      <c r="Q598" s="833">
        <v>1304.7210000000002</v>
      </c>
    </row>
    <row r="599" spans="1:17" ht="14.45" customHeight="1" x14ac:dyDescent="0.2">
      <c r="A599" s="822" t="s">
        <v>575</v>
      </c>
      <c r="B599" s="823" t="s">
        <v>5468</v>
      </c>
      <c r="C599" s="823" t="s">
        <v>5396</v>
      </c>
      <c r="D599" s="823" t="s">
        <v>5718</v>
      </c>
      <c r="E599" s="823" t="s">
        <v>5719</v>
      </c>
      <c r="F599" s="832">
        <v>22</v>
      </c>
      <c r="G599" s="832">
        <v>23716</v>
      </c>
      <c r="H599" s="832">
        <v>0.7857142857142857</v>
      </c>
      <c r="I599" s="832">
        <v>1078</v>
      </c>
      <c r="J599" s="832">
        <v>28</v>
      </c>
      <c r="K599" s="832">
        <v>30184</v>
      </c>
      <c r="L599" s="832">
        <v>1</v>
      </c>
      <c r="M599" s="832">
        <v>1078</v>
      </c>
      <c r="N599" s="832">
        <v>19</v>
      </c>
      <c r="O599" s="832">
        <v>20461.100000000002</v>
      </c>
      <c r="P599" s="828">
        <v>0.67787900874635576</v>
      </c>
      <c r="Q599" s="833">
        <v>1076.9000000000001</v>
      </c>
    </row>
    <row r="600" spans="1:17" ht="14.45" customHeight="1" x14ac:dyDescent="0.2">
      <c r="A600" s="822" t="s">
        <v>575</v>
      </c>
      <c r="B600" s="823" t="s">
        <v>5468</v>
      </c>
      <c r="C600" s="823" t="s">
        <v>5396</v>
      </c>
      <c r="D600" s="823" t="s">
        <v>5720</v>
      </c>
      <c r="E600" s="823" t="s">
        <v>5721</v>
      </c>
      <c r="F600" s="832">
        <v>2</v>
      </c>
      <c r="G600" s="832">
        <v>15585.85</v>
      </c>
      <c r="H600" s="832"/>
      <c r="I600" s="832">
        <v>7792.9250000000002</v>
      </c>
      <c r="J600" s="832"/>
      <c r="K600" s="832"/>
      <c r="L600" s="832"/>
      <c r="M600" s="832"/>
      <c r="N600" s="832"/>
      <c r="O600" s="832"/>
      <c r="P600" s="828"/>
      <c r="Q600" s="833"/>
    </row>
    <row r="601" spans="1:17" ht="14.45" customHeight="1" x14ac:dyDescent="0.2">
      <c r="A601" s="822" t="s">
        <v>575</v>
      </c>
      <c r="B601" s="823" t="s">
        <v>5468</v>
      </c>
      <c r="C601" s="823" t="s">
        <v>5396</v>
      </c>
      <c r="D601" s="823" t="s">
        <v>5722</v>
      </c>
      <c r="E601" s="823" t="s">
        <v>5723</v>
      </c>
      <c r="F601" s="832">
        <v>3</v>
      </c>
      <c r="G601" s="832">
        <v>17016</v>
      </c>
      <c r="H601" s="832">
        <v>0.6</v>
      </c>
      <c r="I601" s="832">
        <v>5672</v>
      </c>
      <c r="J601" s="832">
        <v>5</v>
      </c>
      <c r="K601" s="832">
        <v>28360</v>
      </c>
      <c r="L601" s="832">
        <v>1</v>
      </c>
      <c r="M601" s="832">
        <v>5672</v>
      </c>
      <c r="N601" s="832">
        <v>7</v>
      </c>
      <c r="O601" s="832">
        <v>22140.58</v>
      </c>
      <c r="P601" s="828">
        <v>0.78069746121297612</v>
      </c>
      <c r="Q601" s="833">
        <v>3162.94</v>
      </c>
    </row>
    <row r="602" spans="1:17" ht="14.45" customHeight="1" x14ac:dyDescent="0.2">
      <c r="A602" s="822" t="s">
        <v>575</v>
      </c>
      <c r="B602" s="823" t="s">
        <v>5468</v>
      </c>
      <c r="C602" s="823" t="s">
        <v>5396</v>
      </c>
      <c r="D602" s="823" t="s">
        <v>5724</v>
      </c>
      <c r="E602" s="823" t="s">
        <v>5725</v>
      </c>
      <c r="F602" s="832">
        <v>41</v>
      </c>
      <c r="G602" s="832">
        <v>8692</v>
      </c>
      <c r="H602" s="832">
        <v>0.66129032258064513</v>
      </c>
      <c r="I602" s="832">
        <v>212</v>
      </c>
      <c r="J602" s="832">
        <v>62</v>
      </c>
      <c r="K602" s="832">
        <v>13144</v>
      </c>
      <c r="L602" s="832">
        <v>1</v>
      </c>
      <c r="M602" s="832">
        <v>212</v>
      </c>
      <c r="N602" s="832">
        <v>52</v>
      </c>
      <c r="O602" s="832">
        <v>9556.279999999997</v>
      </c>
      <c r="P602" s="828">
        <v>0.72704503956177702</v>
      </c>
      <c r="Q602" s="833">
        <v>183.77461538461532</v>
      </c>
    </row>
    <row r="603" spans="1:17" ht="14.45" customHeight="1" x14ac:dyDescent="0.2">
      <c r="A603" s="822" t="s">
        <v>575</v>
      </c>
      <c r="B603" s="823" t="s">
        <v>5468</v>
      </c>
      <c r="C603" s="823" t="s">
        <v>5396</v>
      </c>
      <c r="D603" s="823" t="s">
        <v>5726</v>
      </c>
      <c r="E603" s="823" t="s">
        <v>5727</v>
      </c>
      <c r="F603" s="832">
        <v>2</v>
      </c>
      <c r="G603" s="832">
        <v>2760</v>
      </c>
      <c r="H603" s="832">
        <v>0.33333333333333331</v>
      </c>
      <c r="I603" s="832">
        <v>1380</v>
      </c>
      <c r="J603" s="832">
        <v>6</v>
      </c>
      <c r="K603" s="832">
        <v>8280</v>
      </c>
      <c r="L603" s="832">
        <v>1</v>
      </c>
      <c r="M603" s="832">
        <v>1380</v>
      </c>
      <c r="N603" s="832"/>
      <c r="O603" s="832"/>
      <c r="P603" s="828"/>
      <c r="Q603" s="833"/>
    </row>
    <row r="604" spans="1:17" ht="14.45" customHeight="1" x14ac:dyDescent="0.2">
      <c r="A604" s="822" t="s">
        <v>575</v>
      </c>
      <c r="B604" s="823" t="s">
        <v>5468</v>
      </c>
      <c r="C604" s="823" t="s">
        <v>5396</v>
      </c>
      <c r="D604" s="823" t="s">
        <v>5728</v>
      </c>
      <c r="E604" s="823" t="s">
        <v>5729</v>
      </c>
      <c r="F604" s="832">
        <v>1</v>
      </c>
      <c r="G604" s="832">
        <v>1312</v>
      </c>
      <c r="H604" s="832">
        <v>0.5</v>
      </c>
      <c r="I604" s="832">
        <v>1312</v>
      </c>
      <c r="J604" s="832">
        <v>2</v>
      </c>
      <c r="K604" s="832">
        <v>2624</v>
      </c>
      <c r="L604" s="832">
        <v>1</v>
      </c>
      <c r="M604" s="832">
        <v>1312</v>
      </c>
      <c r="N604" s="832"/>
      <c r="O604" s="832"/>
      <c r="P604" s="828"/>
      <c r="Q604" s="833"/>
    </row>
    <row r="605" spans="1:17" ht="14.45" customHeight="1" x14ac:dyDescent="0.2">
      <c r="A605" s="822" t="s">
        <v>575</v>
      </c>
      <c r="B605" s="823" t="s">
        <v>5468</v>
      </c>
      <c r="C605" s="823" t="s">
        <v>5396</v>
      </c>
      <c r="D605" s="823" t="s">
        <v>5730</v>
      </c>
      <c r="E605" s="823" t="s">
        <v>5731</v>
      </c>
      <c r="F605" s="832">
        <v>3</v>
      </c>
      <c r="G605" s="832">
        <v>4680</v>
      </c>
      <c r="H605" s="832">
        <v>0.375</v>
      </c>
      <c r="I605" s="832">
        <v>1560</v>
      </c>
      <c r="J605" s="832">
        <v>8</v>
      </c>
      <c r="K605" s="832">
        <v>12480</v>
      </c>
      <c r="L605" s="832">
        <v>1</v>
      </c>
      <c r="M605" s="832">
        <v>1560</v>
      </c>
      <c r="N605" s="832"/>
      <c r="O605" s="832"/>
      <c r="P605" s="828"/>
      <c r="Q605" s="833"/>
    </row>
    <row r="606" spans="1:17" ht="14.45" customHeight="1" x14ac:dyDescent="0.2">
      <c r="A606" s="822" t="s">
        <v>575</v>
      </c>
      <c r="B606" s="823" t="s">
        <v>5468</v>
      </c>
      <c r="C606" s="823" t="s">
        <v>5396</v>
      </c>
      <c r="D606" s="823" t="s">
        <v>5732</v>
      </c>
      <c r="E606" s="823" t="s">
        <v>5733</v>
      </c>
      <c r="F606" s="832">
        <v>5</v>
      </c>
      <c r="G606" s="832">
        <v>29044.1</v>
      </c>
      <c r="H606" s="832">
        <v>0.7142857142857143</v>
      </c>
      <c r="I606" s="832">
        <v>5808.82</v>
      </c>
      <c r="J606" s="832">
        <v>7</v>
      </c>
      <c r="K606" s="832">
        <v>40661.74</v>
      </c>
      <c r="L606" s="832">
        <v>1</v>
      </c>
      <c r="M606" s="832">
        <v>5808.82</v>
      </c>
      <c r="N606" s="832">
        <v>6</v>
      </c>
      <c r="O606" s="832">
        <v>34852.92</v>
      </c>
      <c r="P606" s="828">
        <v>0.8571428571428571</v>
      </c>
      <c r="Q606" s="833">
        <v>5808.82</v>
      </c>
    </row>
    <row r="607" spans="1:17" ht="14.45" customHeight="1" x14ac:dyDescent="0.2">
      <c r="A607" s="822" t="s">
        <v>575</v>
      </c>
      <c r="B607" s="823" t="s">
        <v>5468</v>
      </c>
      <c r="C607" s="823" t="s">
        <v>5396</v>
      </c>
      <c r="D607" s="823" t="s">
        <v>5734</v>
      </c>
      <c r="E607" s="823" t="s">
        <v>5735</v>
      </c>
      <c r="F607" s="832">
        <v>4</v>
      </c>
      <c r="G607" s="832">
        <v>32898.32</v>
      </c>
      <c r="H607" s="832">
        <v>0.5714285714285714</v>
      </c>
      <c r="I607" s="832">
        <v>8224.58</v>
      </c>
      <c r="J607" s="832">
        <v>7</v>
      </c>
      <c r="K607" s="832">
        <v>57572.06</v>
      </c>
      <c r="L607" s="832">
        <v>1</v>
      </c>
      <c r="M607" s="832">
        <v>8224.58</v>
      </c>
      <c r="N607" s="832">
        <v>6</v>
      </c>
      <c r="O607" s="832">
        <v>37714.120000000003</v>
      </c>
      <c r="P607" s="828">
        <v>0.65507678551019377</v>
      </c>
      <c r="Q607" s="833">
        <v>6285.6866666666674</v>
      </c>
    </row>
    <row r="608" spans="1:17" ht="14.45" customHeight="1" x14ac:dyDescent="0.2">
      <c r="A608" s="822" t="s">
        <v>575</v>
      </c>
      <c r="B608" s="823" t="s">
        <v>5468</v>
      </c>
      <c r="C608" s="823" t="s">
        <v>5396</v>
      </c>
      <c r="D608" s="823" t="s">
        <v>5736</v>
      </c>
      <c r="E608" s="823" t="s">
        <v>5737</v>
      </c>
      <c r="F608" s="832">
        <v>4</v>
      </c>
      <c r="G608" s="832">
        <v>36637.519999999997</v>
      </c>
      <c r="H608" s="832"/>
      <c r="I608" s="832">
        <v>9159.3799999999992</v>
      </c>
      <c r="J608" s="832"/>
      <c r="K608" s="832"/>
      <c r="L608" s="832"/>
      <c r="M608" s="832"/>
      <c r="N608" s="832">
        <v>2</v>
      </c>
      <c r="O608" s="832">
        <v>18318.759999999998</v>
      </c>
      <c r="P608" s="828"/>
      <c r="Q608" s="833">
        <v>9159.3799999999992</v>
      </c>
    </row>
    <row r="609" spans="1:17" ht="14.45" customHeight="1" x14ac:dyDescent="0.2">
      <c r="A609" s="822" t="s">
        <v>575</v>
      </c>
      <c r="B609" s="823" t="s">
        <v>5468</v>
      </c>
      <c r="C609" s="823" t="s">
        <v>5396</v>
      </c>
      <c r="D609" s="823" t="s">
        <v>5738</v>
      </c>
      <c r="E609" s="823" t="s">
        <v>5737</v>
      </c>
      <c r="F609" s="832">
        <v>1</v>
      </c>
      <c r="G609" s="832">
        <v>13766.02</v>
      </c>
      <c r="H609" s="832">
        <v>0.33333333333333337</v>
      </c>
      <c r="I609" s="832">
        <v>13766.02</v>
      </c>
      <c r="J609" s="832">
        <v>3</v>
      </c>
      <c r="K609" s="832">
        <v>41298.06</v>
      </c>
      <c r="L609" s="832">
        <v>1</v>
      </c>
      <c r="M609" s="832">
        <v>13766.019999999999</v>
      </c>
      <c r="N609" s="832"/>
      <c r="O609" s="832"/>
      <c r="P609" s="828"/>
      <c r="Q609" s="833"/>
    </row>
    <row r="610" spans="1:17" ht="14.45" customHeight="1" x14ac:dyDescent="0.2">
      <c r="A610" s="822" t="s">
        <v>575</v>
      </c>
      <c r="B610" s="823" t="s">
        <v>5468</v>
      </c>
      <c r="C610" s="823" t="s">
        <v>5396</v>
      </c>
      <c r="D610" s="823" t="s">
        <v>5739</v>
      </c>
      <c r="E610" s="823" t="s">
        <v>5740</v>
      </c>
      <c r="F610" s="832">
        <v>27</v>
      </c>
      <c r="G610" s="832">
        <v>33578.28</v>
      </c>
      <c r="H610" s="832">
        <v>0.77142857142857146</v>
      </c>
      <c r="I610" s="832">
        <v>1243.6399999999999</v>
      </c>
      <c r="J610" s="832">
        <v>35</v>
      </c>
      <c r="K610" s="832">
        <v>43527.399999999994</v>
      </c>
      <c r="L610" s="832">
        <v>1</v>
      </c>
      <c r="M610" s="832">
        <v>1243.6399999999999</v>
      </c>
      <c r="N610" s="832">
        <v>17</v>
      </c>
      <c r="O610" s="832">
        <v>20196</v>
      </c>
      <c r="P610" s="828">
        <v>0.46398360572880537</v>
      </c>
      <c r="Q610" s="833">
        <v>1188</v>
      </c>
    </row>
    <row r="611" spans="1:17" ht="14.45" customHeight="1" x14ac:dyDescent="0.2">
      <c r="A611" s="822" t="s">
        <v>575</v>
      </c>
      <c r="B611" s="823" t="s">
        <v>5468</v>
      </c>
      <c r="C611" s="823" t="s">
        <v>5396</v>
      </c>
      <c r="D611" s="823" t="s">
        <v>5743</v>
      </c>
      <c r="E611" s="823" t="s">
        <v>5744</v>
      </c>
      <c r="F611" s="832"/>
      <c r="G611" s="832"/>
      <c r="H611" s="832"/>
      <c r="I611" s="832"/>
      <c r="J611" s="832"/>
      <c r="K611" s="832"/>
      <c r="L611" s="832"/>
      <c r="M611" s="832"/>
      <c r="N611" s="832">
        <v>8</v>
      </c>
      <c r="O611" s="832">
        <v>10401.119999999999</v>
      </c>
      <c r="P611" s="828"/>
      <c r="Q611" s="833">
        <v>1300.1399999999999</v>
      </c>
    </row>
    <row r="612" spans="1:17" ht="14.45" customHeight="1" x14ac:dyDescent="0.2">
      <c r="A612" s="822" t="s">
        <v>575</v>
      </c>
      <c r="B612" s="823" t="s">
        <v>5468</v>
      </c>
      <c r="C612" s="823" t="s">
        <v>5396</v>
      </c>
      <c r="D612" s="823" t="s">
        <v>5745</v>
      </c>
      <c r="E612" s="823" t="s">
        <v>5746</v>
      </c>
      <c r="F612" s="832">
        <v>2</v>
      </c>
      <c r="G612" s="832">
        <v>16898.939999999999</v>
      </c>
      <c r="H612" s="832"/>
      <c r="I612" s="832">
        <v>8449.4699999999993</v>
      </c>
      <c r="J612" s="832"/>
      <c r="K612" s="832"/>
      <c r="L612" s="832"/>
      <c r="M612" s="832"/>
      <c r="N612" s="832">
        <v>1</v>
      </c>
      <c r="O612" s="832">
        <v>8449.4699999999993</v>
      </c>
      <c r="P612" s="828"/>
      <c r="Q612" s="833">
        <v>8449.4699999999993</v>
      </c>
    </row>
    <row r="613" spans="1:17" ht="14.45" customHeight="1" x14ac:dyDescent="0.2">
      <c r="A613" s="822" t="s">
        <v>575</v>
      </c>
      <c r="B613" s="823" t="s">
        <v>5468</v>
      </c>
      <c r="C613" s="823" t="s">
        <v>5396</v>
      </c>
      <c r="D613" s="823" t="s">
        <v>5748</v>
      </c>
      <c r="E613" s="823" t="s">
        <v>5749</v>
      </c>
      <c r="F613" s="832">
        <v>38</v>
      </c>
      <c r="G613" s="832">
        <v>42650.44</v>
      </c>
      <c r="H613" s="832">
        <v>0.92682926829268297</v>
      </c>
      <c r="I613" s="832">
        <v>1122.3800000000001</v>
      </c>
      <c r="J613" s="832">
        <v>41</v>
      </c>
      <c r="K613" s="832">
        <v>46017.58</v>
      </c>
      <c r="L613" s="832">
        <v>1</v>
      </c>
      <c r="M613" s="832">
        <v>1122.3800000000001</v>
      </c>
      <c r="N613" s="832">
        <v>26</v>
      </c>
      <c r="O613" s="832">
        <v>29181.88</v>
      </c>
      <c r="P613" s="828">
        <v>0.63414634146341464</v>
      </c>
      <c r="Q613" s="833">
        <v>1122.3800000000001</v>
      </c>
    </row>
    <row r="614" spans="1:17" ht="14.45" customHeight="1" x14ac:dyDescent="0.2">
      <c r="A614" s="822" t="s">
        <v>575</v>
      </c>
      <c r="B614" s="823" t="s">
        <v>5468</v>
      </c>
      <c r="C614" s="823" t="s">
        <v>5396</v>
      </c>
      <c r="D614" s="823" t="s">
        <v>5750</v>
      </c>
      <c r="E614" s="823" t="s">
        <v>5751</v>
      </c>
      <c r="F614" s="832">
        <v>22</v>
      </c>
      <c r="G614" s="832">
        <v>37517.599999999999</v>
      </c>
      <c r="H614" s="832">
        <v>0.96115772602998006</v>
      </c>
      <c r="I614" s="832">
        <v>1705.3454545454545</v>
      </c>
      <c r="J614" s="832">
        <v>23</v>
      </c>
      <c r="K614" s="832">
        <v>39033.760000000002</v>
      </c>
      <c r="L614" s="832">
        <v>1</v>
      </c>
      <c r="M614" s="832">
        <v>1697.1200000000001</v>
      </c>
      <c r="N614" s="832">
        <v>3</v>
      </c>
      <c r="O614" s="832">
        <v>3687.21</v>
      </c>
      <c r="P614" s="828">
        <v>9.4462075905575066E-2</v>
      </c>
      <c r="Q614" s="833">
        <v>1229.07</v>
      </c>
    </row>
    <row r="615" spans="1:17" ht="14.45" customHeight="1" x14ac:dyDescent="0.2">
      <c r="A615" s="822" t="s">
        <v>575</v>
      </c>
      <c r="B615" s="823" t="s">
        <v>5468</v>
      </c>
      <c r="C615" s="823" t="s">
        <v>5396</v>
      </c>
      <c r="D615" s="823" t="s">
        <v>5752</v>
      </c>
      <c r="E615" s="823" t="s">
        <v>5753</v>
      </c>
      <c r="F615" s="832">
        <v>1</v>
      </c>
      <c r="G615" s="832">
        <v>64289.599999999999</v>
      </c>
      <c r="H615" s="832">
        <v>1.1594156898106402</v>
      </c>
      <c r="I615" s="832">
        <v>64289.599999999999</v>
      </c>
      <c r="J615" s="832">
        <v>1</v>
      </c>
      <c r="K615" s="832">
        <v>55450</v>
      </c>
      <c r="L615" s="832">
        <v>1</v>
      </c>
      <c r="M615" s="832">
        <v>55450</v>
      </c>
      <c r="N615" s="832">
        <v>1</v>
      </c>
      <c r="O615" s="832">
        <v>55283.3</v>
      </c>
      <c r="P615" s="828">
        <v>0.99699368800721377</v>
      </c>
      <c r="Q615" s="833">
        <v>55283.3</v>
      </c>
    </row>
    <row r="616" spans="1:17" ht="14.45" customHeight="1" x14ac:dyDescent="0.2">
      <c r="A616" s="822" t="s">
        <v>575</v>
      </c>
      <c r="B616" s="823" t="s">
        <v>5468</v>
      </c>
      <c r="C616" s="823" t="s">
        <v>5396</v>
      </c>
      <c r="D616" s="823" t="s">
        <v>5754</v>
      </c>
      <c r="E616" s="823" t="s">
        <v>5755</v>
      </c>
      <c r="F616" s="832"/>
      <c r="G616" s="832"/>
      <c r="H616" s="832"/>
      <c r="I616" s="832"/>
      <c r="J616" s="832"/>
      <c r="K616" s="832"/>
      <c r="L616" s="832"/>
      <c r="M616" s="832"/>
      <c r="N616" s="832">
        <v>1</v>
      </c>
      <c r="O616" s="832">
        <v>58888.6</v>
      </c>
      <c r="P616" s="828"/>
      <c r="Q616" s="833">
        <v>58888.6</v>
      </c>
    </row>
    <row r="617" spans="1:17" ht="14.45" customHeight="1" x14ac:dyDescent="0.2">
      <c r="A617" s="822" t="s">
        <v>575</v>
      </c>
      <c r="B617" s="823" t="s">
        <v>5468</v>
      </c>
      <c r="C617" s="823" t="s">
        <v>5396</v>
      </c>
      <c r="D617" s="823" t="s">
        <v>6079</v>
      </c>
      <c r="E617" s="823" t="s">
        <v>6080</v>
      </c>
      <c r="F617" s="832"/>
      <c r="G617" s="832"/>
      <c r="H617" s="832"/>
      <c r="I617" s="832"/>
      <c r="J617" s="832">
        <v>2</v>
      </c>
      <c r="K617" s="832">
        <v>224</v>
      </c>
      <c r="L617" s="832">
        <v>1</v>
      </c>
      <c r="M617" s="832">
        <v>112</v>
      </c>
      <c r="N617" s="832"/>
      <c r="O617" s="832"/>
      <c r="P617" s="828"/>
      <c r="Q617" s="833"/>
    </row>
    <row r="618" spans="1:17" ht="14.45" customHeight="1" x14ac:dyDescent="0.2">
      <c r="A618" s="822" t="s">
        <v>575</v>
      </c>
      <c r="B618" s="823" t="s">
        <v>5468</v>
      </c>
      <c r="C618" s="823" t="s">
        <v>5396</v>
      </c>
      <c r="D618" s="823" t="s">
        <v>5756</v>
      </c>
      <c r="E618" s="823" t="s">
        <v>5757</v>
      </c>
      <c r="F618" s="832"/>
      <c r="G618" s="832"/>
      <c r="H618" s="832"/>
      <c r="I618" s="832"/>
      <c r="J618" s="832"/>
      <c r="K618" s="832"/>
      <c r="L618" s="832"/>
      <c r="M618" s="832"/>
      <c r="N618" s="832">
        <v>1</v>
      </c>
      <c r="O618" s="832">
        <v>58685</v>
      </c>
      <c r="P618" s="828"/>
      <c r="Q618" s="833">
        <v>58685</v>
      </c>
    </row>
    <row r="619" spans="1:17" ht="14.45" customHeight="1" x14ac:dyDescent="0.2">
      <c r="A619" s="822" t="s">
        <v>575</v>
      </c>
      <c r="B619" s="823" t="s">
        <v>5468</v>
      </c>
      <c r="C619" s="823" t="s">
        <v>5396</v>
      </c>
      <c r="D619" s="823" t="s">
        <v>5758</v>
      </c>
      <c r="E619" s="823" t="s">
        <v>5759</v>
      </c>
      <c r="F619" s="832">
        <v>2</v>
      </c>
      <c r="G619" s="832">
        <v>24540</v>
      </c>
      <c r="H619" s="832">
        <v>2</v>
      </c>
      <c r="I619" s="832">
        <v>12270</v>
      </c>
      <c r="J619" s="832">
        <v>1</v>
      </c>
      <c r="K619" s="832">
        <v>12270</v>
      </c>
      <c r="L619" s="832">
        <v>1</v>
      </c>
      <c r="M619" s="832">
        <v>12270</v>
      </c>
      <c r="N619" s="832">
        <v>2</v>
      </c>
      <c r="O619" s="832">
        <v>24540</v>
      </c>
      <c r="P619" s="828">
        <v>2</v>
      </c>
      <c r="Q619" s="833">
        <v>12270</v>
      </c>
    </row>
    <row r="620" spans="1:17" ht="14.45" customHeight="1" x14ac:dyDescent="0.2">
      <c r="A620" s="822" t="s">
        <v>575</v>
      </c>
      <c r="B620" s="823" t="s">
        <v>5468</v>
      </c>
      <c r="C620" s="823" t="s">
        <v>5396</v>
      </c>
      <c r="D620" s="823" t="s">
        <v>5764</v>
      </c>
      <c r="E620" s="823" t="s">
        <v>5765</v>
      </c>
      <c r="F620" s="832">
        <v>2</v>
      </c>
      <c r="G620" s="832">
        <v>27380.720000000001</v>
      </c>
      <c r="H620" s="832">
        <v>0.4</v>
      </c>
      <c r="I620" s="832">
        <v>13690.36</v>
      </c>
      <c r="J620" s="832">
        <v>5</v>
      </c>
      <c r="K620" s="832">
        <v>68451.8</v>
      </c>
      <c r="L620" s="832">
        <v>1</v>
      </c>
      <c r="M620" s="832">
        <v>13690.36</v>
      </c>
      <c r="N620" s="832">
        <v>4</v>
      </c>
      <c r="O620" s="832">
        <v>40483.629999999997</v>
      </c>
      <c r="P620" s="828">
        <v>0.59141804890448457</v>
      </c>
      <c r="Q620" s="833">
        <v>10120.907499999999</v>
      </c>
    </row>
    <row r="621" spans="1:17" ht="14.45" customHeight="1" x14ac:dyDescent="0.2">
      <c r="A621" s="822" t="s">
        <v>575</v>
      </c>
      <c r="B621" s="823" t="s">
        <v>5468</v>
      </c>
      <c r="C621" s="823" t="s">
        <v>5396</v>
      </c>
      <c r="D621" s="823" t="s">
        <v>5766</v>
      </c>
      <c r="E621" s="823" t="s">
        <v>5759</v>
      </c>
      <c r="F621" s="832">
        <v>3</v>
      </c>
      <c r="G621" s="832">
        <v>56850</v>
      </c>
      <c r="H621" s="832">
        <v>1</v>
      </c>
      <c r="I621" s="832">
        <v>18950</v>
      </c>
      <c r="J621" s="832">
        <v>3</v>
      </c>
      <c r="K621" s="832">
        <v>56850</v>
      </c>
      <c r="L621" s="832">
        <v>1</v>
      </c>
      <c r="M621" s="832">
        <v>18950</v>
      </c>
      <c r="N621" s="832">
        <v>4</v>
      </c>
      <c r="O621" s="832">
        <v>75800</v>
      </c>
      <c r="P621" s="828">
        <v>1.3333333333333333</v>
      </c>
      <c r="Q621" s="833">
        <v>18950</v>
      </c>
    </row>
    <row r="622" spans="1:17" ht="14.45" customHeight="1" x14ac:dyDescent="0.2">
      <c r="A622" s="822" t="s">
        <v>575</v>
      </c>
      <c r="B622" s="823" t="s">
        <v>5468</v>
      </c>
      <c r="C622" s="823" t="s">
        <v>5396</v>
      </c>
      <c r="D622" s="823" t="s">
        <v>5767</v>
      </c>
      <c r="E622" s="823" t="s">
        <v>5768</v>
      </c>
      <c r="F622" s="832">
        <v>1</v>
      </c>
      <c r="G622" s="832">
        <v>2487.27</v>
      </c>
      <c r="H622" s="832"/>
      <c r="I622" s="832">
        <v>2487.27</v>
      </c>
      <c r="J622" s="832"/>
      <c r="K622" s="832"/>
      <c r="L622" s="832"/>
      <c r="M622" s="832"/>
      <c r="N622" s="832"/>
      <c r="O622" s="832"/>
      <c r="P622" s="828"/>
      <c r="Q622" s="833"/>
    </row>
    <row r="623" spans="1:17" ht="14.45" customHeight="1" x14ac:dyDescent="0.2">
      <c r="A623" s="822" t="s">
        <v>575</v>
      </c>
      <c r="B623" s="823" t="s">
        <v>5468</v>
      </c>
      <c r="C623" s="823" t="s">
        <v>5396</v>
      </c>
      <c r="D623" s="823" t="s">
        <v>5769</v>
      </c>
      <c r="E623" s="823" t="s">
        <v>5770</v>
      </c>
      <c r="F623" s="832">
        <v>2</v>
      </c>
      <c r="G623" s="832">
        <v>17367.38</v>
      </c>
      <c r="H623" s="832">
        <v>0.5</v>
      </c>
      <c r="I623" s="832">
        <v>8683.69</v>
      </c>
      <c r="J623" s="832">
        <v>4</v>
      </c>
      <c r="K623" s="832">
        <v>34734.76</v>
      </c>
      <c r="L623" s="832">
        <v>1</v>
      </c>
      <c r="M623" s="832">
        <v>8683.69</v>
      </c>
      <c r="N623" s="832">
        <v>3</v>
      </c>
      <c r="O623" s="832">
        <v>20969.099999999999</v>
      </c>
      <c r="P623" s="828">
        <v>0.60369209402915114</v>
      </c>
      <c r="Q623" s="833">
        <v>6989.7</v>
      </c>
    </row>
    <row r="624" spans="1:17" ht="14.45" customHeight="1" x14ac:dyDescent="0.2">
      <c r="A624" s="822" t="s">
        <v>575</v>
      </c>
      <c r="B624" s="823" t="s">
        <v>5468</v>
      </c>
      <c r="C624" s="823" t="s">
        <v>5396</v>
      </c>
      <c r="D624" s="823" t="s">
        <v>6081</v>
      </c>
      <c r="E624" s="823" t="s">
        <v>6082</v>
      </c>
      <c r="F624" s="832"/>
      <c r="G624" s="832"/>
      <c r="H624" s="832"/>
      <c r="I624" s="832"/>
      <c r="J624" s="832"/>
      <c r="K624" s="832"/>
      <c r="L624" s="832"/>
      <c r="M624" s="832"/>
      <c r="N624" s="832">
        <v>2</v>
      </c>
      <c r="O624" s="832">
        <v>2177.62</v>
      </c>
      <c r="P624" s="828"/>
      <c r="Q624" s="833">
        <v>1088.81</v>
      </c>
    </row>
    <row r="625" spans="1:17" ht="14.45" customHeight="1" x14ac:dyDescent="0.2">
      <c r="A625" s="822" t="s">
        <v>575</v>
      </c>
      <c r="B625" s="823" t="s">
        <v>5468</v>
      </c>
      <c r="C625" s="823" t="s">
        <v>5396</v>
      </c>
      <c r="D625" s="823" t="s">
        <v>5775</v>
      </c>
      <c r="E625" s="823" t="s">
        <v>5776</v>
      </c>
      <c r="F625" s="832">
        <v>2</v>
      </c>
      <c r="G625" s="832">
        <v>14180.56</v>
      </c>
      <c r="H625" s="832">
        <v>0.14285714285714285</v>
      </c>
      <c r="I625" s="832">
        <v>7090.28</v>
      </c>
      <c r="J625" s="832">
        <v>14</v>
      </c>
      <c r="K625" s="832">
        <v>99263.92</v>
      </c>
      <c r="L625" s="832">
        <v>1</v>
      </c>
      <c r="M625" s="832">
        <v>7090.28</v>
      </c>
      <c r="N625" s="832">
        <v>4</v>
      </c>
      <c r="O625" s="832">
        <v>28361.119999999999</v>
      </c>
      <c r="P625" s="828">
        <v>0.2857142857142857</v>
      </c>
      <c r="Q625" s="833">
        <v>7090.28</v>
      </c>
    </row>
    <row r="626" spans="1:17" ht="14.45" customHeight="1" x14ac:dyDescent="0.2">
      <c r="A626" s="822" t="s">
        <v>575</v>
      </c>
      <c r="B626" s="823" t="s">
        <v>5468</v>
      </c>
      <c r="C626" s="823" t="s">
        <v>5396</v>
      </c>
      <c r="D626" s="823" t="s">
        <v>5777</v>
      </c>
      <c r="E626" s="823" t="s">
        <v>5778</v>
      </c>
      <c r="F626" s="832">
        <v>3</v>
      </c>
      <c r="G626" s="832">
        <v>15341.61</v>
      </c>
      <c r="H626" s="832">
        <v>0.75</v>
      </c>
      <c r="I626" s="832">
        <v>5113.87</v>
      </c>
      <c r="J626" s="832">
        <v>4</v>
      </c>
      <c r="K626" s="832">
        <v>20455.48</v>
      </c>
      <c r="L626" s="832">
        <v>1</v>
      </c>
      <c r="M626" s="832">
        <v>5113.87</v>
      </c>
      <c r="N626" s="832">
        <v>4</v>
      </c>
      <c r="O626" s="832">
        <v>20455.48</v>
      </c>
      <c r="P626" s="828">
        <v>1</v>
      </c>
      <c r="Q626" s="833">
        <v>5113.87</v>
      </c>
    </row>
    <row r="627" spans="1:17" ht="14.45" customHeight="1" x14ac:dyDescent="0.2">
      <c r="A627" s="822" t="s">
        <v>575</v>
      </c>
      <c r="B627" s="823" t="s">
        <v>5468</v>
      </c>
      <c r="C627" s="823" t="s">
        <v>5396</v>
      </c>
      <c r="D627" s="823" t="s">
        <v>5779</v>
      </c>
      <c r="E627" s="823" t="s">
        <v>5780</v>
      </c>
      <c r="F627" s="832"/>
      <c r="G627" s="832"/>
      <c r="H627" s="832"/>
      <c r="I627" s="832"/>
      <c r="J627" s="832"/>
      <c r="K627" s="832"/>
      <c r="L627" s="832"/>
      <c r="M627" s="832"/>
      <c r="N627" s="832">
        <v>1</v>
      </c>
      <c r="O627" s="832">
        <v>41371.699999999997</v>
      </c>
      <c r="P627" s="828"/>
      <c r="Q627" s="833">
        <v>41371.699999999997</v>
      </c>
    </row>
    <row r="628" spans="1:17" ht="14.45" customHeight="1" x14ac:dyDescent="0.2">
      <c r="A628" s="822" t="s">
        <v>575</v>
      </c>
      <c r="B628" s="823" t="s">
        <v>5468</v>
      </c>
      <c r="C628" s="823" t="s">
        <v>5396</v>
      </c>
      <c r="D628" s="823" t="s">
        <v>5789</v>
      </c>
      <c r="E628" s="823" t="s">
        <v>5790</v>
      </c>
      <c r="F628" s="832">
        <v>20</v>
      </c>
      <c r="G628" s="832">
        <v>481185.19999999995</v>
      </c>
      <c r="H628" s="832">
        <v>0.8625307415984913</v>
      </c>
      <c r="I628" s="832">
        <v>24059.26</v>
      </c>
      <c r="J628" s="832">
        <v>32</v>
      </c>
      <c r="K628" s="832">
        <v>557876</v>
      </c>
      <c r="L628" s="832">
        <v>1</v>
      </c>
      <c r="M628" s="832">
        <v>17433.625</v>
      </c>
      <c r="N628" s="832">
        <v>25</v>
      </c>
      <c r="O628" s="832">
        <v>435600</v>
      </c>
      <c r="P628" s="828">
        <v>0.7808186765517785</v>
      </c>
      <c r="Q628" s="833">
        <v>17424</v>
      </c>
    </row>
    <row r="629" spans="1:17" ht="14.45" customHeight="1" x14ac:dyDescent="0.2">
      <c r="A629" s="822" t="s">
        <v>575</v>
      </c>
      <c r="B629" s="823" t="s">
        <v>5468</v>
      </c>
      <c r="C629" s="823" t="s">
        <v>5396</v>
      </c>
      <c r="D629" s="823" t="s">
        <v>6083</v>
      </c>
      <c r="E629" s="823" t="s">
        <v>6084</v>
      </c>
      <c r="F629" s="832"/>
      <c r="G629" s="832"/>
      <c r="H629" s="832"/>
      <c r="I629" s="832"/>
      <c r="J629" s="832">
        <v>5</v>
      </c>
      <c r="K629" s="832">
        <v>29400</v>
      </c>
      <c r="L629" s="832">
        <v>1</v>
      </c>
      <c r="M629" s="832">
        <v>5880</v>
      </c>
      <c r="N629" s="832">
        <v>1</v>
      </c>
      <c r="O629" s="832">
        <v>5880</v>
      </c>
      <c r="P629" s="828">
        <v>0.2</v>
      </c>
      <c r="Q629" s="833">
        <v>5880</v>
      </c>
    </row>
    <row r="630" spans="1:17" ht="14.45" customHeight="1" x14ac:dyDescent="0.2">
      <c r="A630" s="822" t="s">
        <v>575</v>
      </c>
      <c r="B630" s="823" t="s">
        <v>5468</v>
      </c>
      <c r="C630" s="823" t="s">
        <v>5396</v>
      </c>
      <c r="D630" s="823" t="s">
        <v>6085</v>
      </c>
      <c r="E630" s="823" t="s">
        <v>6086</v>
      </c>
      <c r="F630" s="832"/>
      <c r="G630" s="832"/>
      <c r="H630" s="832"/>
      <c r="I630" s="832"/>
      <c r="J630" s="832">
        <v>1</v>
      </c>
      <c r="K630" s="832">
        <v>293127.45</v>
      </c>
      <c r="L630" s="832">
        <v>1</v>
      </c>
      <c r="M630" s="832">
        <v>293127.45</v>
      </c>
      <c r="N630" s="832"/>
      <c r="O630" s="832"/>
      <c r="P630" s="828"/>
      <c r="Q630" s="833"/>
    </row>
    <row r="631" spans="1:17" ht="14.45" customHeight="1" x14ac:dyDescent="0.2">
      <c r="A631" s="822" t="s">
        <v>575</v>
      </c>
      <c r="B631" s="823" t="s">
        <v>5468</v>
      </c>
      <c r="C631" s="823" t="s">
        <v>5355</v>
      </c>
      <c r="D631" s="823" t="s">
        <v>6087</v>
      </c>
      <c r="E631" s="823" t="s">
        <v>6088</v>
      </c>
      <c r="F631" s="832">
        <v>463</v>
      </c>
      <c r="G631" s="832">
        <v>14800258</v>
      </c>
      <c r="H631" s="832">
        <v>0.74195771957454881</v>
      </c>
      <c r="I631" s="832">
        <v>31966</v>
      </c>
      <c r="J631" s="832">
        <v>624</v>
      </c>
      <c r="K631" s="832">
        <v>19947576</v>
      </c>
      <c r="L631" s="832">
        <v>1</v>
      </c>
      <c r="M631" s="832">
        <v>31967.26923076923</v>
      </c>
      <c r="N631" s="832">
        <v>405</v>
      </c>
      <c r="O631" s="832">
        <v>12950132</v>
      </c>
      <c r="P631" s="828">
        <v>0.64920830480856417</v>
      </c>
      <c r="Q631" s="833">
        <v>31975.634567901234</v>
      </c>
    </row>
    <row r="632" spans="1:17" ht="14.45" customHeight="1" x14ac:dyDescent="0.2">
      <c r="A632" s="822" t="s">
        <v>575</v>
      </c>
      <c r="B632" s="823" t="s">
        <v>5468</v>
      </c>
      <c r="C632" s="823" t="s">
        <v>5355</v>
      </c>
      <c r="D632" s="823" t="s">
        <v>6089</v>
      </c>
      <c r="E632" s="823" t="s">
        <v>6090</v>
      </c>
      <c r="F632" s="832">
        <v>4</v>
      </c>
      <c r="G632" s="832">
        <v>47588</v>
      </c>
      <c r="H632" s="832">
        <v>0.66666666666666663</v>
      </c>
      <c r="I632" s="832">
        <v>11897</v>
      </c>
      <c r="J632" s="832">
        <v>6</v>
      </c>
      <c r="K632" s="832">
        <v>71382</v>
      </c>
      <c r="L632" s="832">
        <v>1</v>
      </c>
      <c r="M632" s="832">
        <v>11897</v>
      </c>
      <c r="N632" s="832">
        <v>11</v>
      </c>
      <c r="O632" s="832">
        <v>130977</v>
      </c>
      <c r="P632" s="828">
        <v>1.8348743380684207</v>
      </c>
      <c r="Q632" s="833">
        <v>11907</v>
      </c>
    </row>
    <row r="633" spans="1:17" ht="14.45" customHeight="1" x14ac:dyDescent="0.2">
      <c r="A633" s="822" t="s">
        <v>575</v>
      </c>
      <c r="B633" s="823" t="s">
        <v>5468</v>
      </c>
      <c r="C633" s="823" t="s">
        <v>5355</v>
      </c>
      <c r="D633" s="823" t="s">
        <v>5556</v>
      </c>
      <c r="E633" s="823" t="s">
        <v>5557</v>
      </c>
      <c r="F633" s="832"/>
      <c r="G633" s="832"/>
      <c r="H633" s="832"/>
      <c r="I633" s="832"/>
      <c r="J633" s="832">
        <v>1</v>
      </c>
      <c r="K633" s="832">
        <v>845</v>
      </c>
      <c r="L633" s="832">
        <v>1</v>
      </c>
      <c r="M633" s="832">
        <v>845</v>
      </c>
      <c r="N633" s="832"/>
      <c r="O633" s="832"/>
      <c r="P633" s="828"/>
      <c r="Q633" s="833"/>
    </row>
    <row r="634" spans="1:17" ht="14.45" customHeight="1" x14ac:dyDescent="0.2">
      <c r="A634" s="822" t="s">
        <v>575</v>
      </c>
      <c r="B634" s="823" t="s">
        <v>5468</v>
      </c>
      <c r="C634" s="823" t="s">
        <v>5355</v>
      </c>
      <c r="D634" s="823" t="s">
        <v>5814</v>
      </c>
      <c r="E634" s="823" t="s">
        <v>5815</v>
      </c>
      <c r="F634" s="832"/>
      <c r="G634" s="832"/>
      <c r="H634" s="832"/>
      <c r="I634" s="832"/>
      <c r="J634" s="832">
        <v>3</v>
      </c>
      <c r="K634" s="832">
        <v>2531</v>
      </c>
      <c r="L634" s="832">
        <v>1</v>
      </c>
      <c r="M634" s="832">
        <v>843.66666666666663</v>
      </c>
      <c r="N634" s="832"/>
      <c r="O634" s="832"/>
      <c r="P634" s="828"/>
      <c r="Q634" s="833"/>
    </row>
    <row r="635" spans="1:17" ht="14.45" customHeight="1" x14ac:dyDescent="0.2">
      <c r="A635" s="822" t="s">
        <v>575</v>
      </c>
      <c r="B635" s="823" t="s">
        <v>5468</v>
      </c>
      <c r="C635" s="823" t="s">
        <v>5355</v>
      </c>
      <c r="D635" s="823" t="s">
        <v>6091</v>
      </c>
      <c r="E635" s="823" t="s">
        <v>6092</v>
      </c>
      <c r="F635" s="832">
        <v>41</v>
      </c>
      <c r="G635" s="832">
        <v>382120</v>
      </c>
      <c r="H635" s="832">
        <v>0.51898734177215189</v>
      </c>
      <c r="I635" s="832">
        <v>9320</v>
      </c>
      <c r="J635" s="832">
        <v>79</v>
      </c>
      <c r="K635" s="832">
        <v>736280</v>
      </c>
      <c r="L635" s="832">
        <v>1</v>
      </c>
      <c r="M635" s="832">
        <v>9320</v>
      </c>
      <c r="N635" s="832">
        <v>11</v>
      </c>
      <c r="O635" s="832">
        <v>102520</v>
      </c>
      <c r="P635" s="828">
        <v>0.13924050632911392</v>
      </c>
      <c r="Q635" s="833">
        <v>9320</v>
      </c>
    </row>
    <row r="636" spans="1:17" ht="14.45" customHeight="1" x14ac:dyDescent="0.2">
      <c r="A636" s="822" t="s">
        <v>575</v>
      </c>
      <c r="B636" s="823" t="s">
        <v>5468</v>
      </c>
      <c r="C636" s="823" t="s">
        <v>5355</v>
      </c>
      <c r="D636" s="823" t="s">
        <v>5818</v>
      </c>
      <c r="E636" s="823" t="s">
        <v>5819</v>
      </c>
      <c r="F636" s="832">
        <v>0</v>
      </c>
      <c r="G636" s="832">
        <v>0</v>
      </c>
      <c r="H636" s="832"/>
      <c r="I636" s="832"/>
      <c r="J636" s="832">
        <v>0</v>
      </c>
      <c r="K636" s="832">
        <v>0</v>
      </c>
      <c r="L636" s="832"/>
      <c r="M636" s="832"/>
      <c r="N636" s="832">
        <v>0</v>
      </c>
      <c r="O636" s="832">
        <v>0</v>
      </c>
      <c r="P636" s="828"/>
      <c r="Q636" s="833"/>
    </row>
    <row r="637" spans="1:17" ht="14.45" customHeight="1" x14ac:dyDescent="0.2">
      <c r="A637" s="822" t="s">
        <v>575</v>
      </c>
      <c r="B637" s="823" t="s">
        <v>5468</v>
      </c>
      <c r="C637" s="823" t="s">
        <v>5355</v>
      </c>
      <c r="D637" s="823" t="s">
        <v>5820</v>
      </c>
      <c r="E637" s="823" t="s">
        <v>5821</v>
      </c>
      <c r="F637" s="832">
        <v>529</v>
      </c>
      <c r="G637" s="832">
        <v>0</v>
      </c>
      <c r="H637" s="832"/>
      <c r="I637" s="832">
        <v>0</v>
      </c>
      <c r="J637" s="832">
        <v>572</v>
      </c>
      <c r="K637" s="832">
        <v>0</v>
      </c>
      <c r="L637" s="832"/>
      <c r="M637" s="832">
        <v>0</v>
      </c>
      <c r="N637" s="832">
        <v>495</v>
      </c>
      <c r="O637" s="832">
        <v>0</v>
      </c>
      <c r="P637" s="828"/>
      <c r="Q637" s="833">
        <v>0</v>
      </c>
    </row>
    <row r="638" spans="1:17" ht="14.45" customHeight="1" x14ac:dyDescent="0.2">
      <c r="A638" s="822" t="s">
        <v>575</v>
      </c>
      <c r="B638" s="823" t="s">
        <v>5468</v>
      </c>
      <c r="C638" s="823" t="s">
        <v>5355</v>
      </c>
      <c r="D638" s="823" t="s">
        <v>6093</v>
      </c>
      <c r="E638" s="823" t="s">
        <v>6094</v>
      </c>
      <c r="F638" s="832"/>
      <c r="G638" s="832"/>
      <c r="H638" s="832"/>
      <c r="I638" s="832"/>
      <c r="J638" s="832"/>
      <c r="K638" s="832"/>
      <c r="L638" s="832"/>
      <c r="M638" s="832"/>
      <c r="N638" s="832">
        <v>151</v>
      </c>
      <c r="O638" s="832">
        <v>0</v>
      </c>
      <c r="P638" s="828"/>
      <c r="Q638" s="833">
        <v>0</v>
      </c>
    </row>
    <row r="639" spans="1:17" ht="14.45" customHeight="1" x14ac:dyDescent="0.2">
      <c r="A639" s="822" t="s">
        <v>575</v>
      </c>
      <c r="B639" s="823" t="s">
        <v>5468</v>
      </c>
      <c r="C639" s="823" t="s">
        <v>5355</v>
      </c>
      <c r="D639" s="823" t="s">
        <v>6095</v>
      </c>
      <c r="E639" s="823" t="s">
        <v>6096</v>
      </c>
      <c r="F639" s="832">
        <v>5</v>
      </c>
      <c r="G639" s="832">
        <v>0</v>
      </c>
      <c r="H639" s="832"/>
      <c r="I639" s="832">
        <v>0</v>
      </c>
      <c r="J639" s="832">
        <v>2</v>
      </c>
      <c r="K639" s="832">
        <v>0</v>
      </c>
      <c r="L639" s="832"/>
      <c r="M639" s="832">
        <v>0</v>
      </c>
      <c r="N639" s="832">
        <v>11</v>
      </c>
      <c r="O639" s="832">
        <v>0</v>
      </c>
      <c r="P639" s="828"/>
      <c r="Q639" s="833">
        <v>0</v>
      </c>
    </row>
    <row r="640" spans="1:17" ht="14.45" customHeight="1" x14ac:dyDescent="0.2">
      <c r="A640" s="822" t="s">
        <v>575</v>
      </c>
      <c r="B640" s="823" t="s">
        <v>5468</v>
      </c>
      <c r="C640" s="823" t="s">
        <v>5355</v>
      </c>
      <c r="D640" s="823" t="s">
        <v>6097</v>
      </c>
      <c r="E640" s="823" t="s">
        <v>6098</v>
      </c>
      <c r="F640" s="832">
        <v>1</v>
      </c>
      <c r="G640" s="832">
        <v>0</v>
      </c>
      <c r="H640" s="832"/>
      <c r="I640" s="832">
        <v>0</v>
      </c>
      <c r="J640" s="832"/>
      <c r="K640" s="832"/>
      <c r="L640" s="832"/>
      <c r="M640" s="832"/>
      <c r="N640" s="832"/>
      <c r="O640" s="832"/>
      <c r="P640" s="828"/>
      <c r="Q640" s="833"/>
    </row>
    <row r="641" spans="1:17" ht="14.45" customHeight="1" x14ac:dyDescent="0.2">
      <c r="A641" s="822" t="s">
        <v>575</v>
      </c>
      <c r="B641" s="823" t="s">
        <v>5468</v>
      </c>
      <c r="C641" s="823" t="s">
        <v>5355</v>
      </c>
      <c r="D641" s="823" t="s">
        <v>5488</v>
      </c>
      <c r="E641" s="823" t="s">
        <v>5489</v>
      </c>
      <c r="F641" s="832"/>
      <c r="G641" s="832"/>
      <c r="H641" s="832"/>
      <c r="I641" s="832"/>
      <c r="J641" s="832">
        <v>7</v>
      </c>
      <c r="K641" s="832">
        <v>70455</v>
      </c>
      <c r="L641" s="832">
        <v>1</v>
      </c>
      <c r="M641" s="832">
        <v>10065</v>
      </c>
      <c r="N641" s="832">
        <v>3</v>
      </c>
      <c r="O641" s="832">
        <v>30207</v>
      </c>
      <c r="P641" s="828">
        <v>0.42874175005322546</v>
      </c>
      <c r="Q641" s="833">
        <v>10069</v>
      </c>
    </row>
    <row r="642" spans="1:17" ht="14.45" customHeight="1" x14ac:dyDescent="0.2">
      <c r="A642" s="822" t="s">
        <v>575</v>
      </c>
      <c r="B642" s="823" t="s">
        <v>5468</v>
      </c>
      <c r="C642" s="823" t="s">
        <v>5355</v>
      </c>
      <c r="D642" s="823" t="s">
        <v>6099</v>
      </c>
      <c r="E642" s="823" t="s">
        <v>6096</v>
      </c>
      <c r="F642" s="832">
        <v>3</v>
      </c>
      <c r="G642" s="832">
        <v>0</v>
      </c>
      <c r="H642" s="832"/>
      <c r="I642" s="832">
        <v>0</v>
      </c>
      <c r="J642" s="832">
        <v>6</v>
      </c>
      <c r="K642" s="832">
        <v>0</v>
      </c>
      <c r="L642" s="832"/>
      <c r="M642" s="832">
        <v>0</v>
      </c>
      <c r="N642" s="832">
        <v>7</v>
      </c>
      <c r="O642" s="832">
        <v>0</v>
      </c>
      <c r="P642" s="828"/>
      <c r="Q642" s="833">
        <v>0</v>
      </c>
    </row>
    <row r="643" spans="1:17" ht="14.45" customHeight="1" x14ac:dyDescent="0.2">
      <c r="A643" s="822" t="s">
        <v>575</v>
      </c>
      <c r="B643" s="823" t="s">
        <v>5468</v>
      </c>
      <c r="C643" s="823" t="s">
        <v>5355</v>
      </c>
      <c r="D643" s="823" t="s">
        <v>6100</v>
      </c>
      <c r="E643" s="823" t="s">
        <v>6101</v>
      </c>
      <c r="F643" s="832"/>
      <c r="G643" s="832"/>
      <c r="H643" s="832"/>
      <c r="I643" s="832"/>
      <c r="J643" s="832"/>
      <c r="K643" s="832"/>
      <c r="L643" s="832"/>
      <c r="M643" s="832"/>
      <c r="N643" s="832">
        <v>1</v>
      </c>
      <c r="O643" s="832">
        <v>5484</v>
      </c>
      <c r="P643" s="828"/>
      <c r="Q643" s="833">
        <v>5484</v>
      </c>
    </row>
    <row r="644" spans="1:17" ht="14.45" customHeight="1" x14ac:dyDescent="0.2">
      <c r="A644" s="822" t="s">
        <v>575</v>
      </c>
      <c r="B644" s="823" t="s">
        <v>5468</v>
      </c>
      <c r="C644" s="823" t="s">
        <v>5355</v>
      </c>
      <c r="D644" s="823" t="s">
        <v>6102</v>
      </c>
      <c r="E644" s="823" t="s">
        <v>6103</v>
      </c>
      <c r="F644" s="832">
        <v>39</v>
      </c>
      <c r="G644" s="832">
        <v>934674</v>
      </c>
      <c r="H644" s="832">
        <v>0.95114207386693206</v>
      </c>
      <c r="I644" s="832">
        <v>23966</v>
      </c>
      <c r="J644" s="832">
        <v>41</v>
      </c>
      <c r="K644" s="832">
        <v>982686</v>
      </c>
      <c r="L644" s="832">
        <v>1</v>
      </c>
      <c r="M644" s="832">
        <v>23967.951219512193</v>
      </c>
      <c r="N644" s="832">
        <v>54</v>
      </c>
      <c r="O644" s="832">
        <v>1294688</v>
      </c>
      <c r="P644" s="828">
        <v>1.3174991808166596</v>
      </c>
      <c r="Q644" s="833">
        <v>23975.703703703704</v>
      </c>
    </row>
    <row r="645" spans="1:17" ht="14.45" customHeight="1" x14ac:dyDescent="0.2">
      <c r="A645" s="822" t="s">
        <v>575</v>
      </c>
      <c r="B645" s="823" t="s">
        <v>5468</v>
      </c>
      <c r="C645" s="823" t="s">
        <v>5355</v>
      </c>
      <c r="D645" s="823" t="s">
        <v>6104</v>
      </c>
      <c r="E645" s="823" t="s">
        <v>6105</v>
      </c>
      <c r="F645" s="832">
        <v>2</v>
      </c>
      <c r="G645" s="832">
        <v>13352</v>
      </c>
      <c r="H645" s="832">
        <v>1</v>
      </c>
      <c r="I645" s="832">
        <v>6676</v>
      </c>
      <c r="J645" s="832">
        <v>2</v>
      </c>
      <c r="K645" s="832">
        <v>13352</v>
      </c>
      <c r="L645" s="832">
        <v>1</v>
      </c>
      <c r="M645" s="832">
        <v>6676</v>
      </c>
      <c r="N645" s="832">
        <v>1</v>
      </c>
      <c r="O645" s="832">
        <v>6686</v>
      </c>
      <c r="P645" s="828">
        <v>0.50074895146794485</v>
      </c>
      <c r="Q645" s="833">
        <v>6686</v>
      </c>
    </row>
    <row r="646" spans="1:17" ht="14.45" customHeight="1" x14ac:dyDescent="0.2">
      <c r="A646" s="822" t="s">
        <v>575</v>
      </c>
      <c r="B646" s="823" t="s">
        <v>5468</v>
      </c>
      <c r="C646" s="823" t="s">
        <v>5355</v>
      </c>
      <c r="D646" s="823" t="s">
        <v>6106</v>
      </c>
      <c r="E646" s="823" t="s">
        <v>6096</v>
      </c>
      <c r="F646" s="832">
        <v>4</v>
      </c>
      <c r="G646" s="832">
        <v>0</v>
      </c>
      <c r="H646" s="832"/>
      <c r="I646" s="832">
        <v>0</v>
      </c>
      <c r="J646" s="832">
        <v>7</v>
      </c>
      <c r="K646" s="832">
        <v>0</v>
      </c>
      <c r="L646" s="832"/>
      <c r="M646" s="832">
        <v>0</v>
      </c>
      <c r="N646" s="832">
        <v>1</v>
      </c>
      <c r="O646" s="832">
        <v>0</v>
      </c>
      <c r="P646" s="828"/>
      <c r="Q646" s="833">
        <v>0</v>
      </c>
    </row>
    <row r="647" spans="1:17" ht="14.45" customHeight="1" x14ac:dyDescent="0.2">
      <c r="A647" s="822" t="s">
        <v>575</v>
      </c>
      <c r="B647" s="823" t="s">
        <v>5468</v>
      </c>
      <c r="C647" s="823" t="s">
        <v>5355</v>
      </c>
      <c r="D647" s="823" t="s">
        <v>6107</v>
      </c>
      <c r="E647" s="823" t="s">
        <v>6108</v>
      </c>
      <c r="F647" s="832">
        <v>162</v>
      </c>
      <c r="G647" s="832">
        <v>4530492</v>
      </c>
      <c r="H647" s="832">
        <v>0.99379875501287407</v>
      </c>
      <c r="I647" s="832">
        <v>27966</v>
      </c>
      <c r="J647" s="832">
        <v>163</v>
      </c>
      <c r="K647" s="832">
        <v>4558762</v>
      </c>
      <c r="L647" s="832">
        <v>1</v>
      </c>
      <c r="M647" s="832">
        <v>27967.865030674846</v>
      </c>
      <c r="N647" s="832">
        <v>144</v>
      </c>
      <c r="O647" s="832">
        <v>4028504</v>
      </c>
      <c r="P647" s="828">
        <v>0.88368377204162007</v>
      </c>
      <c r="Q647" s="833">
        <v>27975.722222222223</v>
      </c>
    </row>
    <row r="648" spans="1:17" ht="14.45" customHeight="1" x14ac:dyDescent="0.2">
      <c r="A648" s="822" t="s">
        <v>575</v>
      </c>
      <c r="B648" s="823" t="s">
        <v>5468</v>
      </c>
      <c r="C648" s="823" t="s">
        <v>5355</v>
      </c>
      <c r="D648" s="823" t="s">
        <v>5423</v>
      </c>
      <c r="E648" s="823" t="s">
        <v>5424</v>
      </c>
      <c r="F648" s="832">
        <v>35</v>
      </c>
      <c r="G648" s="832">
        <v>13088</v>
      </c>
      <c r="H648" s="832">
        <v>0.77361390235252392</v>
      </c>
      <c r="I648" s="832">
        <v>373.94285714285712</v>
      </c>
      <c r="J648" s="832">
        <v>45</v>
      </c>
      <c r="K648" s="832">
        <v>16918</v>
      </c>
      <c r="L648" s="832">
        <v>1</v>
      </c>
      <c r="M648" s="832">
        <v>375.95555555555558</v>
      </c>
      <c r="N648" s="832">
        <v>40</v>
      </c>
      <c r="O648" s="832">
        <v>15160</v>
      </c>
      <c r="P648" s="828">
        <v>0.89608700792055795</v>
      </c>
      <c r="Q648" s="833">
        <v>379</v>
      </c>
    </row>
    <row r="649" spans="1:17" ht="14.45" customHeight="1" x14ac:dyDescent="0.2">
      <c r="A649" s="822" t="s">
        <v>575</v>
      </c>
      <c r="B649" s="823" t="s">
        <v>5468</v>
      </c>
      <c r="C649" s="823" t="s">
        <v>5355</v>
      </c>
      <c r="D649" s="823" t="s">
        <v>5425</v>
      </c>
      <c r="E649" s="823" t="s">
        <v>5426</v>
      </c>
      <c r="F649" s="832">
        <v>18</v>
      </c>
      <c r="G649" s="832">
        <v>4536</v>
      </c>
      <c r="H649" s="832">
        <v>0.81173944166070156</v>
      </c>
      <c r="I649" s="832">
        <v>252</v>
      </c>
      <c r="J649" s="832">
        <v>22</v>
      </c>
      <c r="K649" s="832">
        <v>5588</v>
      </c>
      <c r="L649" s="832">
        <v>1</v>
      </c>
      <c r="M649" s="832">
        <v>254</v>
      </c>
      <c r="N649" s="832">
        <v>21</v>
      </c>
      <c r="O649" s="832">
        <v>5355</v>
      </c>
      <c r="P649" s="828">
        <v>0.95830350751610593</v>
      </c>
      <c r="Q649" s="833">
        <v>255</v>
      </c>
    </row>
    <row r="650" spans="1:17" ht="14.45" customHeight="1" x14ac:dyDescent="0.2">
      <c r="A650" s="822" t="s">
        <v>575</v>
      </c>
      <c r="B650" s="823" t="s">
        <v>5468</v>
      </c>
      <c r="C650" s="823" t="s">
        <v>5355</v>
      </c>
      <c r="D650" s="823" t="s">
        <v>6109</v>
      </c>
      <c r="E650" s="823" t="s">
        <v>6096</v>
      </c>
      <c r="F650" s="832">
        <v>1</v>
      </c>
      <c r="G650" s="832">
        <v>0</v>
      </c>
      <c r="H650" s="832"/>
      <c r="I650" s="832">
        <v>0</v>
      </c>
      <c r="J650" s="832">
        <v>4</v>
      </c>
      <c r="K650" s="832">
        <v>0</v>
      </c>
      <c r="L650" s="832"/>
      <c r="M650" s="832">
        <v>0</v>
      </c>
      <c r="N650" s="832"/>
      <c r="O650" s="832"/>
      <c r="P650" s="828"/>
      <c r="Q650" s="833"/>
    </row>
    <row r="651" spans="1:17" ht="14.45" customHeight="1" x14ac:dyDescent="0.2">
      <c r="A651" s="822" t="s">
        <v>575</v>
      </c>
      <c r="B651" s="823" t="s">
        <v>5468</v>
      </c>
      <c r="C651" s="823" t="s">
        <v>5355</v>
      </c>
      <c r="D651" s="823" t="s">
        <v>6110</v>
      </c>
      <c r="E651" s="823" t="s">
        <v>6111</v>
      </c>
      <c r="F651" s="832"/>
      <c r="G651" s="832"/>
      <c r="H651" s="832"/>
      <c r="I651" s="832"/>
      <c r="J651" s="832">
        <v>2</v>
      </c>
      <c r="K651" s="832">
        <v>10530</v>
      </c>
      <c r="L651" s="832">
        <v>1</v>
      </c>
      <c r="M651" s="832">
        <v>5265</v>
      </c>
      <c r="N651" s="832"/>
      <c r="O651" s="832"/>
      <c r="P651" s="828"/>
      <c r="Q651" s="833"/>
    </row>
    <row r="652" spans="1:17" ht="14.45" customHeight="1" x14ac:dyDescent="0.2">
      <c r="A652" s="822" t="s">
        <v>575</v>
      </c>
      <c r="B652" s="823" t="s">
        <v>5468</v>
      </c>
      <c r="C652" s="823" t="s">
        <v>5355</v>
      </c>
      <c r="D652" s="823" t="s">
        <v>6004</v>
      </c>
      <c r="E652" s="823" t="s">
        <v>6005</v>
      </c>
      <c r="F652" s="832"/>
      <c r="G652" s="832"/>
      <c r="H652" s="832"/>
      <c r="I652" s="832"/>
      <c r="J652" s="832">
        <v>3</v>
      </c>
      <c r="K652" s="832">
        <v>0</v>
      </c>
      <c r="L652" s="832"/>
      <c r="M652" s="832">
        <v>0</v>
      </c>
      <c r="N652" s="832"/>
      <c r="O652" s="832"/>
      <c r="P652" s="828"/>
      <c r="Q652" s="833"/>
    </row>
    <row r="653" spans="1:17" ht="14.45" customHeight="1" x14ac:dyDescent="0.2">
      <c r="A653" s="822" t="s">
        <v>575</v>
      </c>
      <c r="B653" s="823" t="s">
        <v>5468</v>
      </c>
      <c r="C653" s="823" t="s">
        <v>5355</v>
      </c>
      <c r="D653" s="823" t="s">
        <v>6015</v>
      </c>
      <c r="E653" s="823" t="s">
        <v>6016</v>
      </c>
      <c r="F653" s="832"/>
      <c r="G653" s="832"/>
      <c r="H653" s="832"/>
      <c r="I653" s="832"/>
      <c r="J653" s="832"/>
      <c r="K653" s="832"/>
      <c r="L653" s="832"/>
      <c r="M653" s="832"/>
      <c r="N653" s="832">
        <v>6</v>
      </c>
      <c r="O653" s="832">
        <v>0</v>
      </c>
      <c r="P653" s="828"/>
      <c r="Q653" s="833">
        <v>0</v>
      </c>
    </row>
    <row r="654" spans="1:17" ht="14.45" customHeight="1" x14ac:dyDescent="0.2">
      <c r="A654" s="822" t="s">
        <v>575</v>
      </c>
      <c r="B654" s="823" t="s">
        <v>5468</v>
      </c>
      <c r="C654" s="823" t="s">
        <v>5355</v>
      </c>
      <c r="D654" s="823" t="s">
        <v>6112</v>
      </c>
      <c r="E654" s="823" t="s">
        <v>6113</v>
      </c>
      <c r="F654" s="832"/>
      <c r="G654" s="832"/>
      <c r="H654" s="832"/>
      <c r="I654" s="832"/>
      <c r="J654" s="832"/>
      <c r="K654" s="832"/>
      <c r="L654" s="832"/>
      <c r="M654" s="832"/>
      <c r="N654" s="832">
        <v>169</v>
      </c>
      <c r="O654" s="832">
        <v>0</v>
      </c>
      <c r="P654" s="828"/>
      <c r="Q654" s="833">
        <v>0</v>
      </c>
    </row>
    <row r="655" spans="1:17" ht="14.45" customHeight="1" x14ac:dyDescent="0.2">
      <c r="A655" s="822" t="s">
        <v>575</v>
      </c>
      <c r="B655" s="823" t="s">
        <v>5468</v>
      </c>
      <c r="C655" s="823" t="s">
        <v>5355</v>
      </c>
      <c r="D655" s="823" t="s">
        <v>6017</v>
      </c>
      <c r="E655" s="823" t="s">
        <v>6018</v>
      </c>
      <c r="F655" s="832"/>
      <c r="G655" s="832"/>
      <c r="H655" s="832"/>
      <c r="I655" s="832"/>
      <c r="J655" s="832"/>
      <c r="K655" s="832"/>
      <c r="L655" s="832"/>
      <c r="M655" s="832"/>
      <c r="N655" s="832">
        <v>1</v>
      </c>
      <c r="O655" s="832">
        <v>54701</v>
      </c>
      <c r="P655" s="828"/>
      <c r="Q655" s="833">
        <v>54701</v>
      </c>
    </row>
    <row r="656" spans="1:17" ht="14.45" customHeight="1" x14ac:dyDescent="0.2">
      <c r="A656" s="822" t="s">
        <v>575</v>
      </c>
      <c r="B656" s="823" t="s">
        <v>5427</v>
      </c>
      <c r="C656" s="823" t="s">
        <v>5396</v>
      </c>
      <c r="D656" s="823" t="s">
        <v>5458</v>
      </c>
      <c r="E656" s="823" t="s">
        <v>5459</v>
      </c>
      <c r="F656" s="832"/>
      <c r="G656" s="832"/>
      <c r="H656" s="832"/>
      <c r="I656" s="832"/>
      <c r="J656" s="832">
        <v>1</v>
      </c>
      <c r="K656" s="832">
        <v>5884.89</v>
      </c>
      <c r="L656" s="832">
        <v>1</v>
      </c>
      <c r="M656" s="832">
        <v>5884.89</v>
      </c>
      <c r="N656" s="832"/>
      <c r="O656" s="832"/>
      <c r="P656" s="828"/>
      <c r="Q656" s="833"/>
    </row>
    <row r="657" spans="1:17" ht="14.45" customHeight="1" x14ac:dyDescent="0.2">
      <c r="A657" s="822" t="s">
        <v>575</v>
      </c>
      <c r="B657" s="823" t="s">
        <v>5427</v>
      </c>
      <c r="C657" s="823" t="s">
        <v>5396</v>
      </c>
      <c r="D657" s="823" t="s">
        <v>5397</v>
      </c>
      <c r="E657" s="823" t="s">
        <v>5398</v>
      </c>
      <c r="F657" s="832">
        <v>4</v>
      </c>
      <c r="G657" s="832">
        <v>26709.919999999998</v>
      </c>
      <c r="H657" s="832"/>
      <c r="I657" s="832">
        <v>6677.48</v>
      </c>
      <c r="J657" s="832"/>
      <c r="K657" s="832"/>
      <c r="L657" s="832"/>
      <c r="M657" s="832"/>
      <c r="N657" s="832"/>
      <c r="O657" s="832"/>
      <c r="P657" s="828"/>
      <c r="Q657" s="833"/>
    </row>
    <row r="658" spans="1:17" ht="14.45" customHeight="1" x14ac:dyDescent="0.2">
      <c r="A658" s="822" t="s">
        <v>575</v>
      </c>
      <c r="B658" s="823" t="s">
        <v>5427</v>
      </c>
      <c r="C658" s="823" t="s">
        <v>5396</v>
      </c>
      <c r="D658" s="823" t="s">
        <v>5399</v>
      </c>
      <c r="E658" s="823" t="s">
        <v>5398</v>
      </c>
      <c r="F658" s="832">
        <v>3</v>
      </c>
      <c r="G658" s="832">
        <v>16704</v>
      </c>
      <c r="H658" s="832">
        <v>1.5</v>
      </c>
      <c r="I658" s="832">
        <v>5568</v>
      </c>
      <c r="J658" s="832">
        <v>2</v>
      </c>
      <c r="K658" s="832">
        <v>11136</v>
      </c>
      <c r="L658" s="832">
        <v>1</v>
      </c>
      <c r="M658" s="832">
        <v>5568</v>
      </c>
      <c r="N658" s="832"/>
      <c r="O658" s="832"/>
      <c r="P658" s="828"/>
      <c r="Q658" s="833"/>
    </row>
    <row r="659" spans="1:17" ht="14.45" customHeight="1" x14ac:dyDescent="0.2">
      <c r="A659" s="822" t="s">
        <v>575</v>
      </c>
      <c r="B659" s="823" t="s">
        <v>5427</v>
      </c>
      <c r="C659" s="823" t="s">
        <v>5396</v>
      </c>
      <c r="D659" s="823" t="s">
        <v>5430</v>
      </c>
      <c r="E659" s="823" t="s">
        <v>5401</v>
      </c>
      <c r="F659" s="832"/>
      <c r="G659" s="832"/>
      <c r="H659" s="832"/>
      <c r="I659" s="832"/>
      <c r="J659" s="832">
        <v>1</v>
      </c>
      <c r="K659" s="832">
        <v>4368.43</v>
      </c>
      <c r="L659" s="832">
        <v>1</v>
      </c>
      <c r="M659" s="832">
        <v>4368.43</v>
      </c>
      <c r="N659" s="832"/>
      <c r="O659" s="832"/>
      <c r="P659" s="828"/>
      <c r="Q659" s="833"/>
    </row>
    <row r="660" spans="1:17" ht="14.45" customHeight="1" x14ac:dyDescent="0.2">
      <c r="A660" s="822" t="s">
        <v>575</v>
      </c>
      <c r="B660" s="823" t="s">
        <v>5427</v>
      </c>
      <c r="C660" s="823" t="s">
        <v>5396</v>
      </c>
      <c r="D660" s="823" t="s">
        <v>5460</v>
      </c>
      <c r="E660" s="823" t="s">
        <v>5398</v>
      </c>
      <c r="F660" s="832">
        <v>2</v>
      </c>
      <c r="G660" s="832">
        <v>12142</v>
      </c>
      <c r="H660" s="832"/>
      <c r="I660" s="832">
        <v>6071</v>
      </c>
      <c r="J660" s="832"/>
      <c r="K660" s="832"/>
      <c r="L660" s="832"/>
      <c r="M660" s="832"/>
      <c r="N660" s="832"/>
      <c r="O660" s="832"/>
      <c r="P660" s="828"/>
      <c r="Q660" s="833"/>
    </row>
    <row r="661" spans="1:17" ht="14.45" customHeight="1" x14ac:dyDescent="0.2">
      <c r="A661" s="822" t="s">
        <v>575</v>
      </c>
      <c r="B661" s="823" t="s">
        <v>5427</v>
      </c>
      <c r="C661" s="823" t="s">
        <v>5355</v>
      </c>
      <c r="D661" s="823" t="s">
        <v>6114</v>
      </c>
      <c r="E661" s="823" t="s">
        <v>6115</v>
      </c>
      <c r="F661" s="832">
        <v>241</v>
      </c>
      <c r="G661" s="832">
        <v>60730</v>
      </c>
      <c r="H661" s="832">
        <v>0.85393290025028823</v>
      </c>
      <c r="I661" s="832">
        <v>251.99170124481327</v>
      </c>
      <c r="J661" s="832">
        <v>280</v>
      </c>
      <c r="K661" s="832">
        <v>71118</v>
      </c>
      <c r="L661" s="832">
        <v>1</v>
      </c>
      <c r="M661" s="832">
        <v>253.99285714285713</v>
      </c>
      <c r="N661" s="832">
        <v>215</v>
      </c>
      <c r="O661" s="832">
        <v>54825</v>
      </c>
      <c r="P661" s="828">
        <v>0.77090188138024129</v>
      </c>
      <c r="Q661" s="833">
        <v>255</v>
      </c>
    </row>
    <row r="662" spans="1:17" ht="14.45" customHeight="1" x14ac:dyDescent="0.2">
      <c r="A662" s="822" t="s">
        <v>575</v>
      </c>
      <c r="B662" s="823" t="s">
        <v>5427</v>
      </c>
      <c r="C662" s="823" t="s">
        <v>5355</v>
      </c>
      <c r="D662" s="823" t="s">
        <v>6116</v>
      </c>
      <c r="E662" s="823" t="s">
        <v>6117</v>
      </c>
      <c r="F662" s="832">
        <v>241</v>
      </c>
      <c r="G662" s="832">
        <v>30607</v>
      </c>
      <c r="H662" s="832">
        <v>0.97165079365079365</v>
      </c>
      <c r="I662" s="832">
        <v>127</v>
      </c>
      <c r="J662" s="832">
        <v>250</v>
      </c>
      <c r="K662" s="832">
        <v>31500</v>
      </c>
      <c r="L662" s="832">
        <v>1</v>
      </c>
      <c r="M662" s="832">
        <v>126</v>
      </c>
      <c r="N662" s="832">
        <v>206</v>
      </c>
      <c r="O662" s="832">
        <v>26162</v>
      </c>
      <c r="P662" s="828">
        <v>0.83053968253968258</v>
      </c>
      <c r="Q662" s="833">
        <v>127</v>
      </c>
    </row>
    <row r="663" spans="1:17" ht="14.45" customHeight="1" x14ac:dyDescent="0.2">
      <c r="A663" s="822" t="s">
        <v>575</v>
      </c>
      <c r="B663" s="823" t="s">
        <v>5427</v>
      </c>
      <c r="C663" s="823" t="s">
        <v>5355</v>
      </c>
      <c r="D663" s="823" t="s">
        <v>6118</v>
      </c>
      <c r="E663" s="823" t="s">
        <v>6119</v>
      </c>
      <c r="F663" s="832"/>
      <c r="G663" s="832"/>
      <c r="H663" s="832"/>
      <c r="I663" s="832"/>
      <c r="J663" s="832">
        <v>11</v>
      </c>
      <c r="K663" s="832">
        <v>7601</v>
      </c>
      <c r="L663" s="832">
        <v>1</v>
      </c>
      <c r="M663" s="832">
        <v>691</v>
      </c>
      <c r="N663" s="832"/>
      <c r="O663" s="832"/>
      <c r="P663" s="828"/>
      <c r="Q663" s="833"/>
    </row>
    <row r="664" spans="1:17" ht="14.45" customHeight="1" x14ac:dyDescent="0.2">
      <c r="A664" s="822" t="s">
        <v>575</v>
      </c>
      <c r="B664" s="823" t="s">
        <v>5427</v>
      </c>
      <c r="C664" s="823" t="s">
        <v>5355</v>
      </c>
      <c r="D664" s="823" t="s">
        <v>6120</v>
      </c>
      <c r="E664" s="823" t="s">
        <v>6121</v>
      </c>
      <c r="F664" s="832">
        <v>166</v>
      </c>
      <c r="G664" s="832">
        <v>151722</v>
      </c>
      <c r="H664" s="832">
        <v>0.84079800498753121</v>
      </c>
      <c r="I664" s="832">
        <v>913.98795180722891</v>
      </c>
      <c r="J664" s="832">
        <v>197</v>
      </c>
      <c r="K664" s="832">
        <v>180450</v>
      </c>
      <c r="L664" s="832">
        <v>1</v>
      </c>
      <c r="M664" s="832">
        <v>915.989847715736</v>
      </c>
      <c r="N664" s="832">
        <v>161</v>
      </c>
      <c r="O664" s="832">
        <v>147959</v>
      </c>
      <c r="P664" s="828">
        <v>0.81994458298697703</v>
      </c>
      <c r="Q664" s="833">
        <v>919</v>
      </c>
    </row>
    <row r="665" spans="1:17" ht="14.45" customHeight="1" x14ac:dyDescent="0.2">
      <c r="A665" s="822" t="s">
        <v>575</v>
      </c>
      <c r="B665" s="823" t="s">
        <v>5427</v>
      </c>
      <c r="C665" s="823" t="s">
        <v>5355</v>
      </c>
      <c r="D665" s="823" t="s">
        <v>6122</v>
      </c>
      <c r="E665" s="823" t="s">
        <v>6123</v>
      </c>
      <c r="F665" s="832">
        <v>2941</v>
      </c>
      <c r="G665" s="832">
        <v>252894</v>
      </c>
      <c r="H665" s="832">
        <v>0.85042404514180792</v>
      </c>
      <c r="I665" s="832">
        <v>85.989119347160823</v>
      </c>
      <c r="J665" s="832">
        <v>3380</v>
      </c>
      <c r="K665" s="832">
        <v>297374</v>
      </c>
      <c r="L665" s="832">
        <v>1</v>
      </c>
      <c r="M665" s="832">
        <v>87.980473372781063</v>
      </c>
      <c r="N665" s="832">
        <v>2588</v>
      </c>
      <c r="O665" s="832">
        <v>230332</v>
      </c>
      <c r="P665" s="828">
        <v>0.77455325616899928</v>
      </c>
      <c r="Q665" s="833">
        <v>89</v>
      </c>
    </row>
    <row r="666" spans="1:17" ht="14.45" customHeight="1" x14ac:dyDescent="0.2">
      <c r="A666" s="822" t="s">
        <v>575</v>
      </c>
      <c r="B666" s="823" t="s">
        <v>5427</v>
      </c>
      <c r="C666" s="823" t="s">
        <v>5355</v>
      </c>
      <c r="D666" s="823" t="s">
        <v>6124</v>
      </c>
      <c r="E666" s="823" t="s">
        <v>6125</v>
      </c>
      <c r="F666" s="832">
        <v>2943</v>
      </c>
      <c r="G666" s="832">
        <v>1600960</v>
      </c>
      <c r="H666" s="832">
        <v>0.87036698763950138</v>
      </c>
      <c r="I666" s="832">
        <v>543.98912674142036</v>
      </c>
      <c r="J666" s="832">
        <v>3369</v>
      </c>
      <c r="K666" s="832">
        <v>1839408</v>
      </c>
      <c r="L666" s="832">
        <v>1</v>
      </c>
      <c r="M666" s="832">
        <v>545.98040961709705</v>
      </c>
      <c r="N666" s="832">
        <v>2588</v>
      </c>
      <c r="O666" s="832">
        <v>1415636</v>
      </c>
      <c r="P666" s="828">
        <v>0.7696150065673304</v>
      </c>
      <c r="Q666" s="833">
        <v>547</v>
      </c>
    </row>
    <row r="667" spans="1:17" ht="14.45" customHeight="1" x14ac:dyDescent="0.2">
      <c r="A667" s="822" t="s">
        <v>575</v>
      </c>
      <c r="B667" s="823" t="s">
        <v>5427</v>
      </c>
      <c r="C667" s="823" t="s">
        <v>5355</v>
      </c>
      <c r="D667" s="823" t="s">
        <v>6126</v>
      </c>
      <c r="E667" s="823" t="s">
        <v>6127</v>
      </c>
      <c r="F667" s="832">
        <v>11</v>
      </c>
      <c r="G667" s="832">
        <v>3388</v>
      </c>
      <c r="H667" s="832">
        <v>2.1858064516129034</v>
      </c>
      <c r="I667" s="832">
        <v>308</v>
      </c>
      <c r="J667" s="832">
        <v>5</v>
      </c>
      <c r="K667" s="832">
        <v>1550</v>
      </c>
      <c r="L667" s="832">
        <v>1</v>
      </c>
      <c r="M667" s="832">
        <v>310</v>
      </c>
      <c r="N667" s="832">
        <v>6</v>
      </c>
      <c r="O667" s="832">
        <v>1866</v>
      </c>
      <c r="P667" s="828">
        <v>1.2038709677419355</v>
      </c>
      <c r="Q667" s="833">
        <v>311</v>
      </c>
    </row>
    <row r="668" spans="1:17" ht="14.45" customHeight="1" x14ac:dyDescent="0.2">
      <c r="A668" s="822" t="s">
        <v>575</v>
      </c>
      <c r="B668" s="823" t="s">
        <v>5427</v>
      </c>
      <c r="C668" s="823" t="s">
        <v>5355</v>
      </c>
      <c r="D668" s="823" t="s">
        <v>6128</v>
      </c>
      <c r="E668" s="823" t="s">
        <v>6129</v>
      </c>
      <c r="F668" s="832">
        <v>240</v>
      </c>
      <c r="G668" s="832">
        <v>42958</v>
      </c>
      <c r="H668" s="832">
        <v>0.89548069707329281</v>
      </c>
      <c r="I668" s="832">
        <v>178.99166666666667</v>
      </c>
      <c r="J668" s="832">
        <v>268</v>
      </c>
      <c r="K668" s="832">
        <v>47972</v>
      </c>
      <c r="L668" s="832">
        <v>1</v>
      </c>
      <c r="M668" s="832">
        <v>179</v>
      </c>
      <c r="N668" s="832">
        <v>223</v>
      </c>
      <c r="O668" s="832">
        <v>40140</v>
      </c>
      <c r="P668" s="828">
        <v>0.83673809722338033</v>
      </c>
      <c r="Q668" s="833">
        <v>180</v>
      </c>
    </row>
    <row r="669" spans="1:17" ht="14.45" customHeight="1" x14ac:dyDescent="0.2">
      <c r="A669" s="822" t="s">
        <v>575</v>
      </c>
      <c r="B669" s="823" t="s">
        <v>5427</v>
      </c>
      <c r="C669" s="823" t="s">
        <v>5355</v>
      </c>
      <c r="D669" s="823" t="s">
        <v>6130</v>
      </c>
      <c r="E669" s="823" t="s">
        <v>6131</v>
      </c>
      <c r="F669" s="832">
        <v>317</v>
      </c>
      <c r="G669" s="832">
        <v>127432</v>
      </c>
      <c r="H669" s="832">
        <v>0.87593568919652742</v>
      </c>
      <c r="I669" s="832">
        <v>401.99369085173504</v>
      </c>
      <c r="J669" s="832">
        <v>361</v>
      </c>
      <c r="K669" s="832">
        <v>145481</v>
      </c>
      <c r="L669" s="832">
        <v>1</v>
      </c>
      <c r="M669" s="832">
        <v>402.99445983379502</v>
      </c>
      <c r="N669" s="832">
        <v>294</v>
      </c>
      <c r="O669" s="832">
        <v>118776</v>
      </c>
      <c r="P669" s="828">
        <v>0.81643651060963285</v>
      </c>
      <c r="Q669" s="833">
        <v>404</v>
      </c>
    </row>
    <row r="670" spans="1:17" ht="14.45" customHeight="1" x14ac:dyDescent="0.2">
      <c r="A670" s="822" t="s">
        <v>575</v>
      </c>
      <c r="B670" s="823" t="s">
        <v>5427</v>
      </c>
      <c r="C670" s="823" t="s">
        <v>5355</v>
      </c>
      <c r="D670" s="823" t="s">
        <v>6132</v>
      </c>
      <c r="E670" s="823" t="s">
        <v>6133</v>
      </c>
      <c r="F670" s="832">
        <v>122</v>
      </c>
      <c r="G670" s="832">
        <v>107360</v>
      </c>
      <c r="H670" s="832">
        <v>1.7410482615464453</v>
      </c>
      <c r="I670" s="832">
        <v>880</v>
      </c>
      <c r="J670" s="832">
        <v>70</v>
      </c>
      <c r="K670" s="832">
        <v>61664</v>
      </c>
      <c r="L670" s="832">
        <v>1</v>
      </c>
      <c r="M670" s="832">
        <v>880.91428571428571</v>
      </c>
      <c r="N670" s="832">
        <v>41</v>
      </c>
      <c r="O670" s="832">
        <v>36162</v>
      </c>
      <c r="P670" s="828">
        <v>0.58643617021276595</v>
      </c>
      <c r="Q670" s="833">
        <v>882</v>
      </c>
    </row>
    <row r="671" spans="1:17" ht="14.45" customHeight="1" x14ac:dyDescent="0.2">
      <c r="A671" s="822" t="s">
        <v>575</v>
      </c>
      <c r="B671" s="823" t="s">
        <v>5427</v>
      </c>
      <c r="C671" s="823" t="s">
        <v>5355</v>
      </c>
      <c r="D671" s="823" t="s">
        <v>6134</v>
      </c>
      <c r="E671" s="823" t="s">
        <v>6133</v>
      </c>
      <c r="F671" s="832">
        <v>2816</v>
      </c>
      <c r="G671" s="832">
        <v>2711776</v>
      </c>
      <c r="H671" s="832">
        <v>0.84874157095887237</v>
      </c>
      <c r="I671" s="832">
        <v>962.98863636363637</v>
      </c>
      <c r="J671" s="832">
        <v>3311</v>
      </c>
      <c r="K671" s="832">
        <v>3195055</v>
      </c>
      <c r="L671" s="832">
        <v>1</v>
      </c>
      <c r="M671" s="832">
        <v>964.98187858652977</v>
      </c>
      <c r="N671" s="832">
        <v>2541</v>
      </c>
      <c r="O671" s="832">
        <v>2454606</v>
      </c>
      <c r="P671" s="828">
        <v>0.76825156374459913</v>
      </c>
      <c r="Q671" s="833">
        <v>966</v>
      </c>
    </row>
    <row r="672" spans="1:17" ht="14.45" customHeight="1" x14ac:dyDescent="0.2">
      <c r="A672" s="822" t="s">
        <v>575</v>
      </c>
      <c r="B672" s="823" t="s">
        <v>5427</v>
      </c>
      <c r="C672" s="823" t="s">
        <v>5355</v>
      </c>
      <c r="D672" s="823" t="s">
        <v>6135</v>
      </c>
      <c r="E672" s="823" t="s">
        <v>6136</v>
      </c>
      <c r="F672" s="832">
        <v>13</v>
      </c>
      <c r="G672" s="832">
        <v>22776</v>
      </c>
      <c r="H672" s="832">
        <v>0.8616176136793523</v>
      </c>
      <c r="I672" s="832">
        <v>1752</v>
      </c>
      <c r="J672" s="832">
        <v>15</v>
      </c>
      <c r="K672" s="832">
        <v>26434</v>
      </c>
      <c r="L672" s="832">
        <v>1</v>
      </c>
      <c r="M672" s="832">
        <v>1762.2666666666667</v>
      </c>
      <c r="N672" s="832">
        <v>8</v>
      </c>
      <c r="O672" s="832">
        <v>14176</v>
      </c>
      <c r="P672" s="828">
        <v>0.53627903457668158</v>
      </c>
      <c r="Q672" s="833">
        <v>1772</v>
      </c>
    </row>
    <row r="673" spans="1:17" ht="14.45" customHeight="1" x14ac:dyDescent="0.2">
      <c r="A673" s="822" t="s">
        <v>575</v>
      </c>
      <c r="B673" s="823" t="s">
        <v>5427</v>
      </c>
      <c r="C673" s="823" t="s">
        <v>5355</v>
      </c>
      <c r="D673" s="823" t="s">
        <v>6137</v>
      </c>
      <c r="E673" s="823" t="s">
        <v>6138</v>
      </c>
      <c r="F673" s="832">
        <v>6</v>
      </c>
      <c r="G673" s="832">
        <v>3750</v>
      </c>
      <c r="H673" s="832">
        <v>5.9808612440191391</v>
      </c>
      <c r="I673" s="832">
        <v>625</v>
      </c>
      <c r="J673" s="832">
        <v>1</v>
      </c>
      <c r="K673" s="832">
        <v>627</v>
      </c>
      <c r="L673" s="832">
        <v>1</v>
      </c>
      <c r="M673" s="832">
        <v>627</v>
      </c>
      <c r="N673" s="832">
        <v>1</v>
      </c>
      <c r="O673" s="832">
        <v>630</v>
      </c>
      <c r="P673" s="828">
        <v>1.0047846889952152</v>
      </c>
      <c r="Q673" s="833">
        <v>630</v>
      </c>
    </row>
    <row r="674" spans="1:17" ht="14.45" customHeight="1" x14ac:dyDescent="0.2">
      <c r="A674" s="822" t="s">
        <v>575</v>
      </c>
      <c r="B674" s="823" t="s">
        <v>5427</v>
      </c>
      <c r="C674" s="823" t="s">
        <v>5355</v>
      </c>
      <c r="D674" s="823" t="s">
        <v>6139</v>
      </c>
      <c r="E674" s="823" t="s">
        <v>6138</v>
      </c>
      <c r="F674" s="832">
        <v>1</v>
      </c>
      <c r="G674" s="832">
        <v>539</v>
      </c>
      <c r="H674" s="832">
        <v>0.99630314232902029</v>
      </c>
      <c r="I674" s="832">
        <v>539</v>
      </c>
      <c r="J674" s="832">
        <v>1</v>
      </c>
      <c r="K674" s="832">
        <v>541</v>
      </c>
      <c r="L674" s="832">
        <v>1</v>
      </c>
      <c r="M674" s="832">
        <v>541</v>
      </c>
      <c r="N674" s="832">
        <v>1</v>
      </c>
      <c r="O674" s="832">
        <v>544</v>
      </c>
      <c r="P674" s="828">
        <v>1.0055452865064696</v>
      </c>
      <c r="Q674" s="833">
        <v>544</v>
      </c>
    </row>
    <row r="675" spans="1:17" ht="14.45" customHeight="1" x14ac:dyDescent="0.2">
      <c r="A675" s="822" t="s">
        <v>575</v>
      </c>
      <c r="B675" s="823" t="s">
        <v>5427</v>
      </c>
      <c r="C675" s="823" t="s">
        <v>5355</v>
      </c>
      <c r="D675" s="823" t="s">
        <v>5431</v>
      </c>
      <c r="E675" s="823" t="s">
        <v>5432</v>
      </c>
      <c r="F675" s="832">
        <v>11</v>
      </c>
      <c r="G675" s="832">
        <v>6380</v>
      </c>
      <c r="H675" s="832">
        <v>2.181196581196581</v>
      </c>
      <c r="I675" s="832">
        <v>580</v>
      </c>
      <c r="J675" s="832">
        <v>5</v>
      </c>
      <c r="K675" s="832">
        <v>2925</v>
      </c>
      <c r="L675" s="832">
        <v>1</v>
      </c>
      <c r="M675" s="832">
        <v>585</v>
      </c>
      <c r="N675" s="832"/>
      <c r="O675" s="832"/>
      <c r="P675" s="828"/>
      <c r="Q675" s="833"/>
    </row>
    <row r="676" spans="1:17" ht="14.45" customHeight="1" x14ac:dyDescent="0.2">
      <c r="A676" s="822" t="s">
        <v>575</v>
      </c>
      <c r="B676" s="823" t="s">
        <v>5427</v>
      </c>
      <c r="C676" s="823" t="s">
        <v>5355</v>
      </c>
      <c r="D676" s="823" t="s">
        <v>6140</v>
      </c>
      <c r="E676" s="823" t="s">
        <v>6141</v>
      </c>
      <c r="F676" s="832"/>
      <c r="G676" s="832"/>
      <c r="H676" s="832"/>
      <c r="I676" s="832"/>
      <c r="J676" s="832"/>
      <c r="K676" s="832"/>
      <c r="L676" s="832"/>
      <c r="M676" s="832"/>
      <c r="N676" s="832">
        <v>20</v>
      </c>
      <c r="O676" s="832">
        <v>0</v>
      </c>
      <c r="P676" s="828"/>
      <c r="Q676" s="833">
        <v>0</v>
      </c>
    </row>
    <row r="677" spans="1:17" ht="14.45" customHeight="1" x14ac:dyDescent="0.2">
      <c r="A677" s="822" t="s">
        <v>575</v>
      </c>
      <c r="B677" s="823" t="s">
        <v>5427</v>
      </c>
      <c r="C677" s="823" t="s">
        <v>5355</v>
      </c>
      <c r="D677" s="823" t="s">
        <v>6142</v>
      </c>
      <c r="E677" s="823" t="s">
        <v>6143</v>
      </c>
      <c r="F677" s="832"/>
      <c r="G677" s="832"/>
      <c r="H677" s="832"/>
      <c r="I677" s="832"/>
      <c r="J677" s="832"/>
      <c r="K677" s="832"/>
      <c r="L677" s="832"/>
      <c r="M677" s="832"/>
      <c r="N677" s="832">
        <v>10</v>
      </c>
      <c r="O677" s="832">
        <v>0</v>
      </c>
      <c r="P677" s="828"/>
      <c r="Q677" s="833">
        <v>0</v>
      </c>
    </row>
    <row r="678" spans="1:17" ht="14.45" customHeight="1" x14ac:dyDescent="0.2">
      <c r="A678" s="822" t="s">
        <v>6144</v>
      </c>
      <c r="B678" s="823" t="s">
        <v>5354</v>
      </c>
      <c r="C678" s="823" t="s">
        <v>5396</v>
      </c>
      <c r="D678" s="823" t="s">
        <v>5397</v>
      </c>
      <c r="E678" s="823" t="s">
        <v>5398</v>
      </c>
      <c r="F678" s="832"/>
      <c r="G678" s="832"/>
      <c r="H678" s="832"/>
      <c r="I678" s="832"/>
      <c r="J678" s="832"/>
      <c r="K678" s="832"/>
      <c r="L678" s="832"/>
      <c r="M678" s="832"/>
      <c r="N678" s="832">
        <v>2</v>
      </c>
      <c r="O678" s="832">
        <v>11052.1</v>
      </c>
      <c r="P678" s="828"/>
      <c r="Q678" s="833">
        <v>5526.05</v>
      </c>
    </row>
    <row r="679" spans="1:17" ht="14.45" customHeight="1" x14ac:dyDescent="0.2">
      <c r="A679" s="822" t="s">
        <v>6144</v>
      </c>
      <c r="B679" s="823" t="s">
        <v>5354</v>
      </c>
      <c r="C679" s="823" t="s">
        <v>5396</v>
      </c>
      <c r="D679" s="823" t="s">
        <v>5400</v>
      </c>
      <c r="E679" s="823" t="s">
        <v>5401</v>
      </c>
      <c r="F679" s="832"/>
      <c r="G679" s="832"/>
      <c r="H679" s="832"/>
      <c r="I679" s="832"/>
      <c r="J679" s="832"/>
      <c r="K679" s="832"/>
      <c r="L679" s="832"/>
      <c r="M679" s="832"/>
      <c r="N679" s="832">
        <v>1</v>
      </c>
      <c r="O679" s="832">
        <v>2250.4499999999998</v>
      </c>
      <c r="P679" s="828"/>
      <c r="Q679" s="833">
        <v>2250.4499999999998</v>
      </c>
    </row>
    <row r="680" spans="1:17" ht="14.45" customHeight="1" x14ac:dyDescent="0.2">
      <c r="A680" s="822" t="s">
        <v>6144</v>
      </c>
      <c r="B680" s="823" t="s">
        <v>5354</v>
      </c>
      <c r="C680" s="823" t="s">
        <v>5396</v>
      </c>
      <c r="D680" s="823" t="s">
        <v>5462</v>
      </c>
      <c r="E680" s="823" t="s">
        <v>5403</v>
      </c>
      <c r="F680" s="832"/>
      <c r="G680" s="832"/>
      <c r="H680" s="832"/>
      <c r="I680" s="832"/>
      <c r="J680" s="832"/>
      <c r="K680" s="832"/>
      <c r="L680" s="832"/>
      <c r="M680" s="832"/>
      <c r="N680" s="832">
        <v>8</v>
      </c>
      <c r="O680" s="832">
        <v>19021.2</v>
      </c>
      <c r="P680" s="828"/>
      <c r="Q680" s="833">
        <v>2377.65</v>
      </c>
    </row>
    <row r="681" spans="1:17" ht="14.45" customHeight="1" x14ac:dyDescent="0.2">
      <c r="A681" s="822" t="s">
        <v>6144</v>
      </c>
      <c r="B681" s="823" t="s">
        <v>5354</v>
      </c>
      <c r="C681" s="823" t="s">
        <v>5396</v>
      </c>
      <c r="D681" s="823" t="s">
        <v>5402</v>
      </c>
      <c r="E681" s="823" t="s">
        <v>5403</v>
      </c>
      <c r="F681" s="832"/>
      <c r="G681" s="832"/>
      <c r="H681" s="832"/>
      <c r="I681" s="832"/>
      <c r="J681" s="832"/>
      <c r="K681" s="832"/>
      <c r="L681" s="832"/>
      <c r="M681" s="832"/>
      <c r="N681" s="832">
        <v>1</v>
      </c>
      <c r="O681" s="832">
        <v>2377.65</v>
      </c>
      <c r="P681" s="828"/>
      <c r="Q681" s="833">
        <v>2377.65</v>
      </c>
    </row>
    <row r="682" spans="1:17" ht="14.45" customHeight="1" x14ac:dyDescent="0.2">
      <c r="A682" s="822" t="s">
        <v>6144</v>
      </c>
      <c r="B682" s="823" t="s">
        <v>5354</v>
      </c>
      <c r="C682" s="823" t="s">
        <v>5355</v>
      </c>
      <c r="D682" s="823" t="s">
        <v>5368</v>
      </c>
      <c r="E682" s="823" t="s">
        <v>5369</v>
      </c>
      <c r="F682" s="832">
        <v>3</v>
      </c>
      <c r="G682" s="832">
        <v>3030</v>
      </c>
      <c r="H682" s="832">
        <v>1.4955577492596248</v>
      </c>
      <c r="I682" s="832">
        <v>1010</v>
      </c>
      <c r="J682" s="832">
        <v>2</v>
      </c>
      <c r="K682" s="832">
        <v>2026</v>
      </c>
      <c r="L682" s="832">
        <v>1</v>
      </c>
      <c r="M682" s="832">
        <v>1013</v>
      </c>
      <c r="N682" s="832"/>
      <c r="O682" s="832"/>
      <c r="P682" s="828"/>
      <c r="Q682" s="833"/>
    </row>
    <row r="683" spans="1:17" ht="14.45" customHeight="1" x14ac:dyDescent="0.2">
      <c r="A683" s="822" t="s">
        <v>6144</v>
      </c>
      <c r="B683" s="823" t="s">
        <v>5354</v>
      </c>
      <c r="C683" s="823" t="s">
        <v>5355</v>
      </c>
      <c r="D683" s="823" t="s">
        <v>5408</v>
      </c>
      <c r="E683" s="823" t="s">
        <v>5409</v>
      </c>
      <c r="F683" s="832"/>
      <c r="G683" s="832"/>
      <c r="H683" s="832"/>
      <c r="I683" s="832"/>
      <c r="J683" s="832">
        <v>2</v>
      </c>
      <c r="K683" s="832">
        <v>2356</v>
      </c>
      <c r="L683" s="832">
        <v>1</v>
      </c>
      <c r="M683" s="832">
        <v>1178</v>
      </c>
      <c r="N683" s="832">
        <v>12</v>
      </c>
      <c r="O683" s="832">
        <v>14160</v>
      </c>
      <c r="P683" s="828">
        <v>6.01018675721562</v>
      </c>
      <c r="Q683" s="833">
        <v>1180</v>
      </c>
    </row>
    <row r="684" spans="1:17" ht="14.45" customHeight="1" x14ac:dyDescent="0.2">
      <c r="A684" s="822" t="s">
        <v>6144</v>
      </c>
      <c r="B684" s="823" t="s">
        <v>5427</v>
      </c>
      <c r="C684" s="823" t="s">
        <v>5396</v>
      </c>
      <c r="D684" s="823" t="s">
        <v>5460</v>
      </c>
      <c r="E684" s="823" t="s">
        <v>5398</v>
      </c>
      <c r="F684" s="832">
        <v>2</v>
      </c>
      <c r="G684" s="832">
        <v>12142</v>
      </c>
      <c r="H684" s="832"/>
      <c r="I684" s="832">
        <v>6071</v>
      </c>
      <c r="J684" s="832"/>
      <c r="K684" s="832"/>
      <c r="L684" s="832"/>
      <c r="M684" s="832"/>
      <c r="N684" s="832"/>
      <c r="O684" s="832"/>
      <c r="P684" s="828"/>
      <c r="Q684" s="833"/>
    </row>
    <row r="685" spans="1:17" ht="14.45" customHeight="1" thickBot="1" x14ac:dyDescent="0.25">
      <c r="A685" s="814" t="s">
        <v>6144</v>
      </c>
      <c r="B685" s="815" t="s">
        <v>5427</v>
      </c>
      <c r="C685" s="815" t="s">
        <v>5355</v>
      </c>
      <c r="D685" s="815" t="s">
        <v>5431</v>
      </c>
      <c r="E685" s="815" t="s">
        <v>5432</v>
      </c>
      <c r="F685" s="834">
        <v>2</v>
      </c>
      <c r="G685" s="834">
        <v>1160</v>
      </c>
      <c r="H685" s="834"/>
      <c r="I685" s="834">
        <v>580</v>
      </c>
      <c r="J685" s="834"/>
      <c r="K685" s="834"/>
      <c r="L685" s="834"/>
      <c r="M685" s="834"/>
      <c r="N685" s="834"/>
      <c r="O685" s="834"/>
      <c r="P685" s="820"/>
      <c r="Q685" s="835"/>
    </row>
  </sheetData>
  <autoFilter ref="A5:Q5" xr:uid="{00000000-0009-0000-0000-000027000000}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 xr:uid="{2C3A8FC9-9465-482E-A529-5C8EC68EFB76}"/>
  </hyperlinks>
  <pageMargins left="0.25" right="0.25" top="0.75" bottom="0.75" header="0.3" footer="0.3"/>
  <pageSetup paperSize="9" fitToHeight="0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 codeName="List22">
    <tabColor theme="5" tint="0.39997558519241921"/>
    <pageSetUpPr fitToPage="1"/>
  </sheetPr>
  <dimension ref="A1:R59"/>
  <sheetViews>
    <sheetView showGridLines="0" showRowColHeaders="0" zoomScaleNormal="100" workbookViewId="0">
      <selection sqref="A1:Q1"/>
    </sheetView>
  </sheetViews>
  <sheetFormatPr defaultColWidth="9.28515625" defaultRowHeight="14.45" customHeight="1" outlineLevelRow="1" outlineLevelCol="1" x14ac:dyDescent="0.2"/>
  <cols>
    <col min="1" max="1" width="29.140625" style="353" customWidth="1"/>
    <col min="2" max="2" width="7.85546875" style="353" hidden="1" customWidth="1" outlineLevel="1"/>
    <col min="3" max="3" width="7.85546875" style="353" customWidth="1" collapsed="1"/>
    <col min="4" max="4" width="7.85546875" style="353" customWidth="1"/>
    <col min="5" max="5" width="7.85546875" style="353" hidden="1" customWidth="1" outlineLevel="1"/>
    <col min="6" max="6" width="7.85546875" style="361" customWidth="1" collapsed="1"/>
    <col min="7" max="7" width="7.85546875" style="353" hidden="1" customWidth="1" outlineLevel="1"/>
    <col min="8" max="8" width="7.85546875" style="353" customWidth="1" collapsed="1"/>
    <col min="9" max="9" width="7.85546875" style="353" customWidth="1"/>
    <col min="10" max="10" width="7.85546875" style="353" hidden="1" customWidth="1" outlineLevel="1"/>
    <col min="11" max="11" width="7.85546875" style="362" customWidth="1" collapsed="1"/>
    <col min="12" max="13" width="7.85546875" style="353" hidden="1" customWidth="1"/>
    <col min="14" max="15" width="7.85546875" style="353" customWidth="1"/>
    <col min="16" max="16" width="9.28515625" style="353" hidden="1" customWidth="1" outlineLevel="1"/>
    <col min="17" max="17" width="9.5703125" style="353" hidden="1" customWidth="1" outlineLevel="1"/>
    <col min="18" max="18" width="9.28515625" style="353" collapsed="1"/>
    <col min="19" max="16384" width="9.28515625" style="353"/>
  </cols>
  <sheetData>
    <row r="1" spans="1:17" ht="18.600000000000001" customHeight="1" thickBot="1" x14ac:dyDescent="0.35">
      <c r="A1" s="661" t="s">
        <v>134</v>
      </c>
      <c r="B1" s="661"/>
      <c r="C1" s="661"/>
      <c r="D1" s="661"/>
      <c r="E1" s="661"/>
      <c r="F1" s="661"/>
      <c r="G1" s="661"/>
      <c r="H1" s="661"/>
      <c r="I1" s="661"/>
      <c r="J1" s="661"/>
      <c r="K1" s="661"/>
      <c r="L1" s="661"/>
      <c r="M1" s="661"/>
      <c r="N1" s="661"/>
      <c r="O1" s="661"/>
      <c r="P1" s="661"/>
      <c r="Q1" s="661"/>
    </row>
    <row r="2" spans="1:17" ht="14.45" customHeight="1" thickBot="1" x14ac:dyDescent="0.25">
      <c r="A2" s="705" t="s">
        <v>328</v>
      </c>
      <c r="B2" s="435"/>
      <c r="C2" s="435"/>
      <c r="D2" s="435"/>
      <c r="E2" s="435"/>
      <c r="F2" s="435"/>
      <c r="G2" s="435"/>
      <c r="H2" s="435"/>
      <c r="I2" s="435"/>
      <c r="J2" s="435"/>
      <c r="K2" s="435"/>
      <c r="L2" s="435"/>
      <c r="M2" s="435"/>
      <c r="N2" s="435"/>
      <c r="O2" s="435"/>
    </row>
    <row r="3" spans="1:17" ht="14.45" customHeight="1" thickBot="1" x14ac:dyDescent="0.25">
      <c r="A3" s="651" t="s">
        <v>69</v>
      </c>
      <c r="B3" s="628" t="s">
        <v>70</v>
      </c>
      <c r="C3" s="629"/>
      <c r="D3" s="629"/>
      <c r="E3" s="630"/>
      <c r="F3" s="631"/>
      <c r="G3" s="628" t="s">
        <v>240</v>
      </c>
      <c r="H3" s="629"/>
      <c r="I3" s="629"/>
      <c r="J3" s="630"/>
      <c r="K3" s="631"/>
      <c r="L3" s="121"/>
      <c r="M3" s="122"/>
      <c r="N3" s="121"/>
      <c r="O3" s="123"/>
    </row>
    <row r="4" spans="1:17" ht="14.45" customHeight="1" thickBot="1" x14ac:dyDescent="0.25">
      <c r="A4" s="652"/>
      <c r="B4" s="124">
        <v>2018</v>
      </c>
      <c r="C4" s="125">
        <v>2019</v>
      </c>
      <c r="D4" s="125">
        <v>2020</v>
      </c>
      <c r="E4" s="418" t="s">
        <v>324</v>
      </c>
      <c r="F4" s="419" t="s">
        <v>2</v>
      </c>
      <c r="G4" s="124">
        <v>2018</v>
      </c>
      <c r="H4" s="125">
        <v>2019</v>
      </c>
      <c r="I4" s="125">
        <v>2020</v>
      </c>
      <c r="J4" s="508" t="s">
        <v>324</v>
      </c>
      <c r="K4" s="126" t="s">
        <v>2</v>
      </c>
      <c r="L4" s="121"/>
      <c r="M4" s="121"/>
      <c r="N4" s="127" t="s">
        <v>71</v>
      </c>
      <c r="O4" s="128" t="s">
        <v>72</v>
      </c>
      <c r="P4" s="127" t="s">
        <v>325</v>
      </c>
      <c r="Q4" s="128" t="s">
        <v>326</v>
      </c>
    </row>
    <row r="5" spans="1:17" ht="14.45" hidden="1" customHeight="1" outlineLevel="1" x14ac:dyDescent="0.2">
      <c r="A5" s="440" t="s">
        <v>167</v>
      </c>
      <c r="B5" s="119">
        <v>1188.9690000000001</v>
      </c>
      <c r="C5" s="114">
        <v>1468.8209999999999</v>
      </c>
      <c r="D5" s="114">
        <v>1040.704</v>
      </c>
      <c r="E5" s="424">
        <f>IF(OR(D5=0,B5=0),"",D5/B5)</f>
        <v>0.87529952420963031</v>
      </c>
      <c r="F5" s="129">
        <f>IF(OR(D5=0,C5=0),"",D5/C5)</f>
        <v>0.70853017488175896</v>
      </c>
      <c r="G5" s="130">
        <v>142</v>
      </c>
      <c r="H5" s="114">
        <v>164</v>
      </c>
      <c r="I5" s="114">
        <v>124</v>
      </c>
      <c r="J5" s="424">
        <f>IF(OR(I5=0,G5=0),"",I5/G5)</f>
        <v>0.87323943661971826</v>
      </c>
      <c r="K5" s="131">
        <f>IF(OR(I5=0,H5=0),"",I5/H5)</f>
        <v>0.75609756097560976</v>
      </c>
      <c r="L5" s="121"/>
      <c r="M5" s="121"/>
      <c r="N5" s="7">
        <f>D5-C5</f>
        <v>-428.11699999999996</v>
      </c>
      <c r="O5" s="8">
        <f>I5-H5</f>
        <v>-40</v>
      </c>
      <c r="P5" s="7">
        <f>D5-B5</f>
        <v>-148.2650000000001</v>
      </c>
      <c r="Q5" s="8">
        <f>I5-G5</f>
        <v>-18</v>
      </c>
    </row>
    <row r="6" spans="1:17" ht="14.45" hidden="1" customHeight="1" outlineLevel="1" x14ac:dyDescent="0.2">
      <c r="A6" s="441" t="s">
        <v>168</v>
      </c>
      <c r="B6" s="120">
        <v>158.23099999999999</v>
      </c>
      <c r="C6" s="113">
        <v>141.21700000000001</v>
      </c>
      <c r="D6" s="113">
        <v>167.58</v>
      </c>
      <c r="E6" s="424">
        <f t="shared" ref="E6:E12" si="0">IF(OR(D6=0,B6=0),"",D6/B6)</f>
        <v>1.0590845030366995</v>
      </c>
      <c r="F6" s="129">
        <f t="shared" ref="F6:F12" si="1">IF(OR(D6=0,C6=0),"",D6/C6)</f>
        <v>1.1866843227090222</v>
      </c>
      <c r="G6" s="133">
        <v>23</v>
      </c>
      <c r="H6" s="113">
        <v>21</v>
      </c>
      <c r="I6" s="113">
        <v>22</v>
      </c>
      <c r="J6" s="425">
        <f t="shared" ref="J6:J12" si="2">IF(OR(I6=0,G6=0),"",I6/G6)</f>
        <v>0.95652173913043481</v>
      </c>
      <c r="K6" s="134">
        <f t="shared" ref="K6:K12" si="3">IF(OR(I6=0,H6=0),"",I6/H6)</f>
        <v>1.0476190476190477</v>
      </c>
      <c r="L6" s="121"/>
      <c r="M6" s="121"/>
      <c r="N6" s="5">
        <f t="shared" ref="N6:N13" si="4">D6-C6</f>
        <v>26.363</v>
      </c>
      <c r="O6" s="6">
        <f t="shared" ref="O6:O13" si="5">I6-H6</f>
        <v>1</v>
      </c>
      <c r="P6" s="5">
        <f t="shared" ref="P6:P13" si="6">D6-B6</f>
        <v>9.349000000000018</v>
      </c>
      <c r="Q6" s="6">
        <f t="shared" ref="Q6:Q13" si="7">I6-G6</f>
        <v>-1</v>
      </c>
    </row>
    <row r="7" spans="1:17" ht="14.45" hidden="1" customHeight="1" outlineLevel="1" x14ac:dyDescent="0.2">
      <c r="A7" s="441" t="s">
        <v>169</v>
      </c>
      <c r="B7" s="120">
        <v>494.69499999999999</v>
      </c>
      <c r="C7" s="113">
        <v>538.45699999999999</v>
      </c>
      <c r="D7" s="113">
        <v>445.99700000000001</v>
      </c>
      <c r="E7" s="424">
        <f t="shared" si="0"/>
        <v>0.90155954679145744</v>
      </c>
      <c r="F7" s="129">
        <f t="shared" si="1"/>
        <v>0.82828712413433203</v>
      </c>
      <c r="G7" s="133">
        <v>60</v>
      </c>
      <c r="H7" s="113">
        <v>68</v>
      </c>
      <c r="I7" s="113">
        <v>56</v>
      </c>
      <c r="J7" s="425">
        <f t="shared" si="2"/>
        <v>0.93333333333333335</v>
      </c>
      <c r="K7" s="134">
        <f t="shared" si="3"/>
        <v>0.82352941176470584</v>
      </c>
      <c r="L7" s="121"/>
      <c r="M7" s="121"/>
      <c r="N7" s="5">
        <f t="shared" si="4"/>
        <v>-92.45999999999998</v>
      </c>
      <c r="O7" s="6">
        <f t="shared" si="5"/>
        <v>-12</v>
      </c>
      <c r="P7" s="5">
        <f t="shared" si="6"/>
        <v>-48.697999999999979</v>
      </c>
      <c r="Q7" s="6">
        <f t="shared" si="7"/>
        <v>-4</v>
      </c>
    </row>
    <row r="8" spans="1:17" ht="14.45" hidden="1" customHeight="1" outlineLevel="1" x14ac:dyDescent="0.2">
      <c r="A8" s="441" t="s">
        <v>170</v>
      </c>
      <c r="B8" s="120">
        <v>107.268</v>
      </c>
      <c r="C8" s="113">
        <v>125.804</v>
      </c>
      <c r="D8" s="113">
        <v>39.837000000000003</v>
      </c>
      <c r="E8" s="424">
        <f t="shared" si="0"/>
        <v>0.37137823022709476</v>
      </c>
      <c r="F8" s="129">
        <f t="shared" si="1"/>
        <v>0.31665924771867349</v>
      </c>
      <c r="G8" s="133">
        <v>16</v>
      </c>
      <c r="H8" s="113">
        <v>12</v>
      </c>
      <c r="I8" s="113">
        <v>5</v>
      </c>
      <c r="J8" s="425">
        <f t="shared" si="2"/>
        <v>0.3125</v>
      </c>
      <c r="K8" s="134">
        <f t="shared" si="3"/>
        <v>0.41666666666666669</v>
      </c>
      <c r="L8" s="121"/>
      <c r="M8" s="121"/>
      <c r="N8" s="5">
        <f t="shared" si="4"/>
        <v>-85.966999999999999</v>
      </c>
      <c r="O8" s="6">
        <f t="shared" si="5"/>
        <v>-7</v>
      </c>
      <c r="P8" s="5">
        <f t="shared" si="6"/>
        <v>-67.430999999999997</v>
      </c>
      <c r="Q8" s="6">
        <f t="shared" si="7"/>
        <v>-11</v>
      </c>
    </row>
    <row r="9" spans="1:17" ht="14.45" hidden="1" customHeight="1" outlineLevel="1" x14ac:dyDescent="0.2">
      <c r="A9" s="441" t="s">
        <v>171</v>
      </c>
      <c r="B9" s="120">
        <v>0</v>
      </c>
      <c r="C9" s="113">
        <v>0</v>
      </c>
      <c r="D9" s="113">
        <v>0</v>
      </c>
      <c r="E9" s="424" t="str">
        <f t="shared" si="0"/>
        <v/>
      </c>
      <c r="F9" s="129" t="str">
        <f t="shared" si="1"/>
        <v/>
      </c>
      <c r="G9" s="133">
        <v>0</v>
      </c>
      <c r="H9" s="113">
        <v>0</v>
      </c>
      <c r="I9" s="113">
        <v>0</v>
      </c>
      <c r="J9" s="425" t="str">
        <f t="shared" si="2"/>
        <v/>
      </c>
      <c r="K9" s="134" t="str">
        <f t="shared" si="3"/>
        <v/>
      </c>
      <c r="L9" s="121"/>
      <c r="M9" s="121"/>
      <c r="N9" s="5">
        <f t="shared" si="4"/>
        <v>0</v>
      </c>
      <c r="O9" s="6">
        <f t="shared" si="5"/>
        <v>0</v>
      </c>
      <c r="P9" s="5">
        <f t="shared" si="6"/>
        <v>0</v>
      </c>
      <c r="Q9" s="6">
        <f t="shared" si="7"/>
        <v>0</v>
      </c>
    </row>
    <row r="10" spans="1:17" ht="14.45" hidden="1" customHeight="1" outlineLevel="1" x14ac:dyDescent="0.2">
      <c r="A10" s="441" t="s">
        <v>172</v>
      </c>
      <c r="B10" s="120">
        <v>218.84700000000001</v>
      </c>
      <c r="C10" s="113">
        <v>297.685</v>
      </c>
      <c r="D10" s="113">
        <v>261.65499999999997</v>
      </c>
      <c r="E10" s="424">
        <f t="shared" si="0"/>
        <v>1.1956069765635351</v>
      </c>
      <c r="F10" s="129">
        <f t="shared" si="1"/>
        <v>0.87896602112971756</v>
      </c>
      <c r="G10" s="133">
        <v>28</v>
      </c>
      <c r="H10" s="113">
        <v>38</v>
      </c>
      <c r="I10" s="113">
        <v>34</v>
      </c>
      <c r="J10" s="425">
        <f t="shared" si="2"/>
        <v>1.2142857142857142</v>
      </c>
      <c r="K10" s="134">
        <f t="shared" si="3"/>
        <v>0.89473684210526316</v>
      </c>
      <c r="L10" s="121"/>
      <c r="M10" s="121"/>
      <c r="N10" s="5">
        <f t="shared" si="4"/>
        <v>-36.03000000000003</v>
      </c>
      <c r="O10" s="6">
        <f t="shared" si="5"/>
        <v>-4</v>
      </c>
      <c r="P10" s="5">
        <f t="shared" si="6"/>
        <v>42.807999999999964</v>
      </c>
      <c r="Q10" s="6">
        <f t="shared" si="7"/>
        <v>6</v>
      </c>
    </row>
    <row r="11" spans="1:17" ht="14.45" hidden="1" customHeight="1" outlineLevel="1" x14ac:dyDescent="0.2">
      <c r="A11" s="441" t="s">
        <v>173</v>
      </c>
      <c r="B11" s="120">
        <v>88.953999999999994</v>
      </c>
      <c r="C11" s="113">
        <v>79.313999999999993</v>
      </c>
      <c r="D11" s="113">
        <v>32.256999999999998</v>
      </c>
      <c r="E11" s="424">
        <f t="shared" si="0"/>
        <v>0.36262562672842141</v>
      </c>
      <c r="F11" s="129">
        <f t="shared" si="1"/>
        <v>0.4066999520891646</v>
      </c>
      <c r="G11" s="133">
        <v>9</v>
      </c>
      <c r="H11" s="113">
        <v>10</v>
      </c>
      <c r="I11" s="113">
        <v>6</v>
      </c>
      <c r="J11" s="425">
        <f t="shared" si="2"/>
        <v>0.66666666666666663</v>
      </c>
      <c r="K11" s="134">
        <f t="shared" si="3"/>
        <v>0.6</v>
      </c>
      <c r="L11" s="121"/>
      <c r="M11" s="121"/>
      <c r="N11" s="5">
        <f t="shared" si="4"/>
        <v>-47.056999999999995</v>
      </c>
      <c r="O11" s="6">
        <f t="shared" si="5"/>
        <v>-4</v>
      </c>
      <c r="P11" s="5">
        <f t="shared" si="6"/>
        <v>-56.696999999999996</v>
      </c>
      <c r="Q11" s="6">
        <f t="shared" si="7"/>
        <v>-3</v>
      </c>
    </row>
    <row r="12" spans="1:17" ht="14.45" hidden="1" customHeight="1" outlineLevel="1" thickBot="1" x14ac:dyDescent="0.25">
      <c r="A12" s="442" t="s">
        <v>208</v>
      </c>
      <c r="B12" s="238">
        <v>0</v>
      </c>
      <c r="C12" s="239">
        <v>0</v>
      </c>
      <c r="D12" s="239">
        <v>0</v>
      </c>
      <c r="E12" s="424" t="str">
        <f t="shared" si="0"/>
        <v/>
      </c>
      <c r="F12" s="129" t="str">
        <f t="shared" si="1"/>
        <v/>
      </c>
      <c r="G12" s="241">
        <v>0</v>
      </c>
      <c r="H12" s="239">
        <v>0</v>
      </c>
      <c r="I12" s="239">
        <v>0</v>
      </c>
      <c r="J12" s="426" t="str">
        <f t="shared" si="2"/>
        <v/>
      </c>
      <c r="K12" s="242" t="str">
        <f t="shared" si="3"/>
        <v/>
      </c>
      <c r="L12" s="121"/>
      <c r="M12" s="121"/>
      <c r="N12" s="243">
        <f t="shared" si="4"/>
        <v>0</v>
      </c>
      <c r="O12" s="244">
        <f t="shared" si="5"/>
        <v>0</v>
      </c>
      <c r="P12" s="243">
        <f t="shared" si="6"/>
        <v>0</v>
      </c>
      <c r="Q12" s="244">
        <f t="shared" si="7"/>
        <v>0</v>
      </c>
    </row>
    <row r="13" spans="1:17" ht="14.45" customHeight="1" collapsed="1" thickBot="1" x14ac:dyDescent="0.25">
      <c r="A13" s="117" t="s">
        <v>3</v>
      </c>
      <c r="B13" s="115">
        <f>SUM(B5:B12)</f>
        <v>2256.9640000000004</v>
      </c>
      <c r="C13" s="116">
        <f>SUM(C5:C12)</f>
        <v>2651.2979999999998</v>
      </c>
      <c r="D13" s="116">
        <f>SUM(D5:D12)</f>
        <v>1988.03</v>
      </c>
      <c r="E13" s="420">
        <f>IF(OR(D13=0,B13=0),0,D13/B13)</f>
        <v>0.88084258322241715</v>
      </c>
      <c r="F13" s="135">
        <f>IF(OR(D13=0,C13=0),0,D13/C13)</f>
        <v>0.74983272344338514</v>
      </c>
      <c r="G13" s="136">
        <f>SUM(G5:G12)</f>
        <v>278</v>
      </c>
      <c r="H13" s="116">
        <f>SUM(H5:H12)</f>
        <v>313</v>
      </c>
      <c r="I13" s="116">
        <f>SUM(I5:I12)</f>
        <v>247</v>
      </c>
      <c r="J13" s="420">
        <f>IF(OR(I13=0,G13=0),0,I13/G13)</f>
        <v>0.88848920863309355</v>
      </c>
      <c r="K13" s="137">
        <f>IF(OR(I13=0,H13=0),0,I13/H13)</f>
        <v>0.78913738019169333</v>
      </c>
      <c r="L13" s="121"/>
      <c r="M13" s="121"/>
      <c r="N13" s="127">
        <f t="shared" si="4"/>
        <v>-663.2679999999998</v>
      </c>
      <c r="O13" s="138">
        <f t="shared" si="5"/>
        <v>-66</v>
      </c>
      <c r="P13" s="127">
        <f t="shared" si="6"/>
        <v>-268.93400000000042</v>
      </c>
      <c r="Q13" s="138">
        <f t="shared" si="7"/>
        <v>-31</v>
      </c>
    </row>
    <row r="14" spans="1:17" ht="14.45" customHeight="1" x14ac:dyDescent="0.2">
      <c r="A14" s="139"/>
      <c r="B14" s="653"/>
      <c r="C14" s="653"/>
      <c r="D14" s="653"/>
      <c r="E14" s="654"/>
      <c r="F14" s="653"/>
      <c r="G14" s="653"/>
      <c r="H14" s="653"/>
      <c r="I14" s="653"/>
      <c r="J14" s="654"/>
      <c r="K14" s="653"/>
      <c r="L14" s="121"/>
      <c r="M14" s="121"/>
      <c r="N14" s="121"/>
      <c r="O14" s="123"/>
      <c r="P14" s="121"/>
      <c r="Q14" s="123"/>
    </row>
    <row r="15" spans="1:17" ht="14.45" customHeight="1" thickBot="1" x14ac:dyDescent="0.25">
      <c r="A15" s="139"/>
      <c r="B15" s="354"/>
      <c r="C15" s="355"/>
      <c r="D15" s="355"/>
      <c r="E15" s="355"/>
      <c r="F15" s="355"/>
      <c r="G15" s="354"/>
      <c r="H15" s="355"/>
      <c r="I15" s="355"/>
      <c r="J15" s="355"/>
      <c r="K15" s="355"/>
      <c r="L15" s="121"/>
      <c r="M15" s="121"/>
      <c r="N15" s="121"/>
      <c r="O15" s="123"/>
      <c r="P15" s="121"/>
      <c r="Q15" s="123"/>
    </row>
    <row r="16" spans="1:17" ht="14.45" customHeight="1" thickBot="1" x14ac:dyDescent="0.25">
      <c r="A16" s="655" t="s">
        <v>257</v>
      </c>
      <c r="B16" s="657" t="s">
        <v>70</v>
      </c>
      <c r="C16" s="658"/>
      <c r="D16" s="658"/>
      <c r="E16" s="659"/>
      <c r="F16" s="660"/>
      <c r="G16" s="657" t="s">
        <v>240</v>
      </c>
      <c r="H16" s="658"/>
      <c r="I16" s="658"/>
      <c r="J16" s="659"/>
      <c r="K16" s="660"/>
      <c r="L16" s="676" t="s">
        <v>178</v>
      </c>
      <c r="M16" s="677"/>
      <c r="N16" s="155"/>
      <c r="O16" s="155"/>
      <c r="P16" s="155"/>
      <c r="Q16" s="155"/>
    </row>
    <row r="17" spans="1:17" ht="14.45" customHeight="1" thickBot="1" x14ac:dyDescent="0.25">
      <c r="A17" s="656"/>
      <c r="B17" s="140">
        <v>2018</v>
      </c>
      <c r="C17" s="141">
        <v>2019</v>
      </c>
      <c r="D17" s="141">
        <v>2020</v>
      </c>
      <c r="E17" s="509" t="s">
        <v>324</v>
      </c>
      <c r="F17" s="142" t="s">
        <v>2</v>
      </c>
      <c r="G17" s="140">
        <v>2018</v>
      </c>
      <c r="H17" s="141">
        <v>2019</v>
      </c>
      <c r="I17" s="141">
        <v>2020</v>
      </c>
      <c r="J17" s="509" t="s">
        <v>324</v>
      </c>
      <c r="K17" s="142" t="s">
        <v>2</v>
      </c>
      <c r="L17" s="647" t="s">
        <v>179</v>
      </c>
      <c r="M17" s="648"/>
      <c r="N17" s="143" t="s">
        <v>71</v>
      </c>
      <c r="O17" s="144" t="s">
        <v>72</v>
      </c>
      <c r="P17" s="143" t="s">
        <v>325</v>
      </c>
      <c r="Q17" s="144" t="s">
        <v>326</v>
      </c>
    </row>
    <row r="18" spans="1:17" ht="14.45" hidden="1" customHeight="1" outlineLevel="1" x14ac:dyDescent="0.2">
      <c r="A18" s="440" t="s">
        <v>167</v>
      </c>
      <c r="B18" s="119">
        <v>1159.3579999999999</v>
      </c>
      <c r="C18" s="114">
        <v>1447.1389999999999</v>
      </c>
      <c r="D18" s="114">
        <v>1009.982</v>
      </c>
      <c r="E18" s="424">
        <f>IF(OR(D18=0,B18=0),"",D18/B18)</f>
        <v>0.87115627787102867</v>
      </c>
      <c r="F18" s="129">
        <f>IF(OR(D18=0,C18=0),"",D18/C18)</f>
        <v>0.69791637154412955</v>
      </c>
      <c r="G18" s="119">
        <v>140</v>
      </c>
      <c r="H18" s="114">
        <v>160</v>
      </c>
      <c r="I18" s="114">
        <v>120</v>
      </c>
      <c r="J18" s="424">
        <f>IF(OR(I18=0,G18=0),"",I18/G18)</f>
        <v>0.8571428571428571</v>
      </c>
      <c r="K18" s="131">
        <f>IF(OR(I18=0,H18=0),"",I18/H18)</f>
        <v>0.75</v>
      </c>
      <c r="L18" s="649">
        <v>0.91871999999999998</v>
      </c>
      <c r="M18" s="650"/>
      <c r="N18" s="145">
        <f t="shared" ref="N18:N26" si="8">D18-C18</f>
        <v>-437.15699999999993</v>
      </c>
      <c r="O18" s="146">
        <f t="shared" ref="O18:O26" si="9">I18-H18</f>
        <v>-40</v>
      </c>
      <c r="P18" s="145">
        <f t="shared" ref="P18:P26" si="10">D18-B18</f>
        <v>-149.37599999999998</v>
      </c>
      <c r="Q18" s="146">
        <f t="shared" ref="Q18:Q26" si="11">I18-G18</f>
        <v>-20</v>
      </c>
    </row>
    <row r="19" spans="1:17" ht="14.45" hidden="1" customHeight="1" outlineLevel="1" x14ac:dyDescent="0.2">
      <c r="A19" s="441" t="s">
        <v>168</v>
      </c>
      <c r="B19" s="120">
        <v>144.43199999999999</v>
      </c>
      <c r="C19" s="113">
        <v>141.21700000000001</v>
      </c>
      <c r="D19" s="113">
        <v>166.92099999999999</v>
      </c>
      <c r="E19" s="425">
        <f t="shared" ref="E19:E25" si="12">IF(OR(D19=0,B19=0),"",D19/B19)</f>
        <v>1.1557064916362025</v>
      </c>
      <c r="F19" s="132">
        <f t="shared" ref="F19:F25" si="13">IF(OR(D19=0,C19=0),"",D19/C19)</f>
        <v>1.1820177457388272</v>
      </c>
      <c r="G19" s="120">
        <v>22</v>
      </c>
      <c r="H19" s="113">
        <v>21</v>
      </c>
      <c r="I19" s="113">
        <v>21</v>
      </c>
      <c r="J19" s="425">
        <f t="shared" ref="J19:J25" si="14">IF(OR(I19=0,G19=0),"",I19/G19)</f>
        <v>0.95454545454545459</v>
      </c>
      <c r="K19" s="134">
        <f t="shared" ref="K19:K25" si="15">IF(OR(I19=0,H19=0),"",I19/H19)</f>
        <v>1</v>
      </c>
      <c r="L19" s="649">
        <v>0.99456</v>
      </c>
      <c r="M19" s="650"/>
      <c r="N19" s="147">
        <f t="shared" si="8"/>
        <v>25.703999999999979</v>
      </c>
      <c r="O19" s="148">
        <f t="shared" si="9"/>
        <v>0</v>
      </c>
      <c r="P19" s="147">
        <f t="shared" si="10"/>
        <v>22.489000000000004</v>
      </c>
      <c r="Q19" s="148">
        <f t="shared" si="11"/>
        <v>-1</v>
      </c>
    </row>
    <row r="20" spans="1:17" ht="14.45" hidden="1" customHeight="1" outlineLevel="1" x14ac:dyDescent="0.2">
      <c r="A20" s="441" t="s">
        <v>169</v>
      </c>
      <c r="B20" s="120">
        <v>463.80599999999998</v>
      </c>
      <c r="C20" s="113">
        <v>529.90099999999995</v>
      </c>
      <c r="D20" s="113">
        <v>443.048</v>
      </c>
      <c r="E20" s="425">
        <f t="shared" si="12"/>
        <v>0.95524421848790231</v>
      </c>
      <c r="F20" s="132">
        <f t="shared" si="13"/>
        <v>0.83609579902661069</v>
      </c>
      <c r="G20" s="120">
        <v>58</v>
      </c>
      <c r="H20" s="113">
        <v>66</v>
      </c>
      <c r="I20" s="113">
        <v>55</v>
      </c>
      <c r="J20" s="425">
        <f t="shared" si="14"/>
        <v>0.94827586206896552</v>
      </c>
      <c r="K20" s="134">
        <f t="shared" si="15"/>
        <v>0.83333333333333337</v>
      </c>
      <c r="L20" s="649">
        <v>0.96671999999999991</v>
      </c>
      <c r="M20" s="650"/>
      <c r="N20" s="147">
        <f t="shared" si="8"/>
        <v>-86.852999999999952</v>
      </c>
      <c r="O20" s="148">
        <f t="shared" si="9"/>
        <v>-11</v>
      </c>
      <c r="P20" s="147">
        <f t="shared" si="10"/>
        <v>-20.757999999999981</v>
      </c>
      <c r="Q20" s="148">
        <f t="shared" si="11"/>
        <v>-3</v>
      </c>
    </row>
    <row r="21" spans="1:17" ht="14.45" hidden="1" customHeight="1" outlineLevel="1" x14ac:dyDescent="0.2">
      <c r="A21" s="441" t="s">
        <v>170</v>
      </c>
      <c r="B21" s="120">
        <v>107.268</v>
      </c>
      <c r="C21" s="113">
        <v>125.804</v>
      </c>
      <c r="D21" s="113">
        <v>39.837000000000003</v>
      </c>
      <c r="E21" s="425">
        <f t="shared" si="12"/>
        <v>0.37137823022709476</v>
      </c>
      <c r="F21" s="132">
        <f t="shared" si="13"/>
        <v>0.31665924771867349</v>
      </c>
      <c r="G21" s="120">
        <v>16</v>
      </c>
      <c r="H21" s="113">
        <v>12</v>
      </c>
      <c r="I21" s="113">
        <v>5</v>
      </c>
      <c r="J21" s="425">
        <f t="shared" si="14"/>
        <v>0.3125</v>
      </c>
      <c r="K21" s="134">
        <f t="shared" si="15"/>
        <v>0.41666666666666669</v>
      </c>
      <c r="L21" s="649">
        <v>1.11744</v>
      </c>
      <c r="M21" s="650"/>
      <c r="N21" s="147">
        <f t="shared" si="8"/>
        <v>-85.966999999999999</v>
      </c>
      <c r="O21" s="148">
        <f t="shared" si="9"/>
        <v>-7</v>
      </c>
      <c r="P21" s="147">
        <f t="shared" si="10"/>
        <v>-67.430999999999997</v>
      </c>
      <c r="Q21" s="148">
        <f t="shared" si="11"/>
        <v>-11</v>
      </c>
    </row>
    <row r="22" spans="1:17" ht="14.45" hidden="1" customHeight="1" outlineLevel="1" x14ac:dyDescent="0.2">
      <c r="A22" s="441" t="s">
        <v>171</v>
      </c>
      <c r="B22" s="120">
        <v>0</v>
      </c>
      <c r="C22" s="113">
        <v>0</v>
      </c>
      <c r="D22" s="113">
        <v>0</v>
      </c>
      <c r="E22" s="425" t="str">
        <f t="shared" si="12"/>
        <v/>
      </c>
      <c r="F22" s="132" t="str">
        <f t="shared" si="13"/>
        <v/>
      </c>
      <c r="G22" s="120">
        <v>0</v>
      </c>
      <c r="H22" s="113">
        <v>0</v>
      </c>
      <c r="I22" s="113">
        <v>0</v>
      </c>
      <c r="J22" s="425" t="str">
        <f t="shared" si="14"/>
        <v/>
      </c>
      <c r="K22" s="134" t="str">
        <f t="shared" si="15"/>
        <v/>
      </c>
      <c r="L22" s="649">
        <v>0.96</v>
      </c>
      <c r="M22" s="650"/>
      <c r="N22" s="147">
        <f t="shared" si="8"/>
        <v>0</v>
      </c>
      <c r="O22" s="148">
        <f t="shared" si="9"/>
        <v>0</v>
      </c>
      <c r="P22" s="147">
        <f t="shared" si="10"/>
        <v>0</v>
      </c>
      <c r="Q22" s="148">
        <f t="shared" si="11"/>
        <v>0</v>
      </c>
    </row>
    <row r="23" spans="1:17" ht="14.45" hidden="1" customHeight="1" outlineLevel="1" x14ac:dyDescent="0.2">
      <c r="A23" s="441" t="s">
        <v>172</v>
      </c>
      <c r="B23" s="120">
        <v>204.245</v>
      </c>
      <c r="C23" s="113">
        <v>297.685</v>
      </c>
      <c r="D23" s="113">
        <v>261.65499999999997</v>
      </c>
      <c r="E23" s="425">
        <f t="shared" si="12"/>
        <v>1.2810839922641923</v>
      </c>
      <c r="F23" s="132">
        <f t="shared" si="13"/>
        <v>0.87896602112971756</v>
      </c>
      <c r="G23" s="120">
        <v>27</v>
      </c>
      <c r="H23" s="113">
        <v>38</v>
      </c>
      <c r="I23" s="113">
        <v>34</v>
      </c>
      <c r="J23" s="425">
        <f t="shared" si="14"/>
        <v>1.2592592592592593</v>
      </c>
      <c r="K23" s="134">
        <f t="shared" si="15"/>
        <v>0.89473684210526316</v>
      </c>
      <c r="L23" s="649">
        <v>0.98495999999999995</v>
      </c>
      <c r="M23" s="650"/>
      <c r="N23" s="147">
        <f t="shared" si="8"/>
        <v>-36.03000000000003</v>
      </c>
      <c r="O23" s="148">
        <f t="shared" si="9"/>
        <v>-4</v>
      </c>
      <c r="P23" s="147">
        <f t="shared" si="10"/>
        <v>57.409999999999968</v>
      </c>
      <c r="Q23" s="148">
        <f t="shared" si="11"/>
        <v>7</v>
      </c>
    </row>
    <row r="24" spans="1:17" ht="14.45" hidden="1" customHeight="1" outlineLevel="1" x14ac:dyDescent="0.2">
      <c r="A24" s="441" t="s">
        <v>173</v>
      </c>
      <c r="B24" s="120">
        <v>88.953999999999994</v>
      </c>
      <c r="C24" s="113">
        <v>79.313999999999993</v>
      </c>
      <c r="D24" s="113">
        <v>29.32</v>
      </c>
      <c r="E24" s="425">
        <f t="shared" si="12"/>
        <v>0.32960856172853387</v>
      </c>
      <c r="F24" s="132">
        <f t="shared" si="13"/>
        <v>0.36966991956022899</v>
      </c>
      <c r="G24" s="120">
        <v>9</v>
      </c>
      <c r="H24" s="113">
        <v>10</v>
      </c>
      <c r="I24" s="113">
        <v>5</v>
      </c>
      <c r="J24" s="425">
        <f t="shared" si="14"/>
        <v>0.55555555555555558</v>
      </c>
      <c r="K24" s="134">
        <f t="shared" si="15"/>
        <v>0.5</v>
      </c>
      <c r="L24" s="649">
        <v>1.0147199999999998</v>
      </c>
      <c r="M24" s="650"/>
      <c r="N24" s="147">
        <f t="shared" si="8"/>
        <v>-49.993999999999993</v>
      </c>
      <c r="O24" s="148">
        <f t="shared" si="9"/>
        <v>-5</v>
      </c>
      <c r="P24" s="147">
        <f t="shared" si="10"/>
        <v>-59.633999999999993</v>
      </c>
      <c r="Q24" s="148">
        <f t="shared" si="11"/>
        <v>-4</v>
      </c>
    </row>
    <row r="25" spans="1:17" ht="14.45" hidden="1" customHeight="1" outlineLevel="1" thickBot="1" x14ac:dyDescent="0.25">
      <c r="A25" s="442" t="s">
        <v>208</v>
      </c>
      <c r="B25" s="238">
        <v>0</v>
      </c>
      <c r="C25" s="239">
        <v>0</v>
      </c>
      <c r="D25" s="239">
        <v>0</v>
      </c>
      <c r="E25" s="426" t="str">
        <f t="shared" si="12"/>
        <v/>
      </c>
      <c r="F25" s="240" t="str">
        <f t="shared" si="13"/>
        <v/>
      </c>
      <c r="G25" s="238">
        <v>0</v>
      </c>
      <c r="H25" s="239">
        <v>0</v>
      </c>
      <c r="I25" s="239">
        <v>0</v>
      </c>
      <c r="J25" s="426" t="str">
        <f t="shared" si="14"/>
        <v/>
      </c>
      <c r="K25" s="242" t="str">
        <f t="shared" si="15"/>
        <v/>
      </c>
      <c r="L25" s="356"/>
      <c r="M25" s="357"/>
      <c r="N25" s="245">
        <f t="shared" si="8"/>
        <v>0</v>
      </c>
      <c r="O25" s="246">
        <f t="shared" si="9"/>
        <v>0</v>
      </c>
      <c r="P25" s="245">
        <f t="shared" si="10"/>
        <v>0</v>
      </c>
      <c r="Q25" s="246">
        <f t="shared" si="11"/>
        <v>0</v>
      </c>
    </row>
    <row r="26" spans="1:17" ht="14.45" customHeight="1" collapsed="1" thickBot="1" x14ac:dyDescent="0.25">
      <c r="A26" s="445" t="s">
        <v>3</v>
      </c>
      <c r="B26" s="149">
        <f>SUM(B18:B25)</f>
        <v>2168.0630000000001</v>
      </c>
      <c r="C26" s="150">
        <f>SUM(C18:C25)</f>
        <v>2621.06</v>
      </c>
      <c r="D26" s="150">
        <f>SUM(D18:D25)</f>
        <v>1950.7629999999999</v>
      </c>
      <c r="E26" s="421">
        <f>IF(OR(D26=0,B26=0),0,D26/B26)</f>
        <v>0.89977228521495911</v>
      </c>
      <c r="F26" s="151">
        <f>IF(OR(D26=0,C26=0),0,D26/C26)</f>
        <v>0.74426491572112041</v>
      </c>
      <c r="G26" s="149">
        <f>SUM(G18:G25)</f>
        <v>272</v>
      </c>
      <c r="H26" s="150">
        <f>SUM(H18:H25)</f>
        <v>307</v>
      </c>
      <c r="I26" s="150">
        <f>SUM(I18:I25)</f>
        <v>240</v>
      </c>
      <c r="J26" s="421">
        <f>IF(OR(I26=0,G26=0),0,I26/G26)</f>
        <v>0.88235294117647056</v>
      </c>
      <c r="K26" s="152">
        <f>IF(OR(I26=0,H26=0),0,I26/H26)</f>
        <v>0.78175895765472314</v>
      </c>
      <c r="L26" s="121"/>
      <c r="M26" s="121"/>
      <c r="N26" s="143">
        <f t="shared" si="8"/>
        <v>-670.29700000000003</v>
      </c>
      <c r="O26" s="153">
        <f t="shared" si="9"/>
        <v>-67</v>
      </c>
      <c r="P26" s="143">
        <f t="shared" si="10"/>
        <v>-217.30000000000018</v>
      </c>
      <c r="Q26" s="153">
        <f t="shared" si="11"/>
        <v>-32</v>
      </c>
    </row>
    <row r="27" spans="1:17" ht="14.45" customHeight="1" x14ac:dyDescent="0.2">
      <c r="A27" s="154"/>
      <c r="B27" s="653" t="s">
        <v>206</v>
      </c>
      <c r="C27" s="662"/>
      <c r="D27" s="662"/>
      <c r="E27" s="663"/>
      <c r="F27" s="662"/>
      <c r="G27" s="653" t="s">
        <v>207</v>
      </c>
      <c r="H27" s="662"/>
      <c r="I27" s="662"/>
      <c r="J27" s="663"/>
      <c r="K27" s="662"/>
      <c r="L27" s="155"/>
      <c r="M27" s="155"/>
      <c r="N27" s="155"/>
      <c r="O27" s="156"/>
      <c r="P27" s="155"/>
      <c r="Q27" s="156"/>
    </row>
    <row r="28" spans="1:17" ht="14.45" customHeight="1" thickBot="1" x14ac:dyDescent="0.25">
      <c r="A28" s="154"/>
      <c r="B28" s="354"/>
      <c r="C28" s="355"/>
      <c r="D28" s="355"/>
      <c r="E28" s="355"/>
      <c r="F28" s="355"/>
      <c r="G28" s="354"/>
      <c r="H28" s="355"/>
      <c r="I28" s="355"/>
      <c r="J28" s="355"/>
      <c r="K28" s="355"/>
      <c r="L28" s="155"/>
      <c r="M28" s="155"/>
      <c r="N28" s="155"/>
      <c r="O28" s="156"/>
      <c r="P28" s="155"/>
      <c r="Q28" s="156"/>
    </row>
    <row r="29" spans="1:17" ht="14.45" customHeight="1" thickBot="1" x14ac:dyDescent="0.25">
      <c r="A29" s="670" t="s">
        <v>258</v>
      </c>
      <c r="B29" s="672" t="s">
        <v>70</v>
      </c>
      <c r="C29" s="673"/>
      <c r="D29" s="673"/>
      <c r="E29" s="674"/>
      <c r="F29" s="675"/>
      <c r="G29" s="673" t="s">
        <v>240</v>
      </c>
      <c r="H29" s="673"/>
      <c r="I29" s="673"/>
      <c r="J29" s="674"/>
      <c r="K29" s="675"/>
      <c r="L29" s="155"/>
      <c r="M29" s="155"/>
      <c r="N29" s="155"/>
      <c r="O29" s="156"/>
      <c r="P29" s="155"/>
      <c r="Q29" s="156"/>
    </row>
    <row r="30" spans="1:17" ht="14.45" customHeight="1" thickBot="1" x14ac:dyDescent="0.25">
      <c r="A30" s="671"/>
      <c r="B30" s="157">
        <v>2018</v>
      </c>
      <c r="C30" s="158">
        <v>2019</v>
      </c>
      <c r="D30" s="158">
        <v>2020</v>
      </c>
      <c r="E30" s="510" t="s">
        <v>324</v>
      </c>
      <c r="F30" s="159" t="s">
        <v>2</v>
      </c>
      <c r="G30" s="158">
        <v>2018</v>
      </c>
      <c r="H30" s="158">
        <v>2019</v>
      </c>
      <c r="I30" s="158">
        <v>2020</v>
      </c>
      <c r="J30" s="158" t="s">
        <v>324</v>
      </c>
      <c r="K30" s="159" t="s">
        <v>2</v>
      </c>
      <c r="L30" s="155"/>
      <c r="M30" s="155"/>
      <c r="N30" s="160" t="s">
        <v>71</v>
      </c>
      <c r="O30" s="161" t="s">
        <v>72</v>
      </c>
      <c r="P30" s="160" t="s">
        <v>325</v>
      </c>
      <c r="Q30" s="161" t="s">
        <v>326</v>
      </c>
    </row>
    <row r="31" spans="1:17" ht="14.45" hidden="1" customHeight="1" outlineLevel="1" x14ac:dyDescent="0.2">
      <c r="A31" s="440" t="s">
        <v>167</v>
      </c>
      <c r="B31" s="119">
        <v>29.611000000000001</v>
      </c>
      <c r="C31" s="114">
        <v>21.681999999999999</v>
      </c>
      <c r="D31" s="114">
        <v>30.722000000000001</v>
      </c>
      <c r="E31" s="424">
        <f>IF(OR(D31=0,B31=0),"",D31/B31)</f>
        <v>1.0375198405997772</v>
      </c>
      <c r="F31" s="129">
        <f>IF(OR(D31=0,C31=0),"",D31/C31)</f>
        <v>1.4169357070380963</v>
      </c>
      <c r="G31" s="130">
        <v>2</v>
      </c>
      <c r="H31" s="114">
        <v>4</v>
      </c>
      <c r="I31" s="114">
        <v>4</v>
      </c>
      <c r="J31" s="424">
        <f>IF(OR(I31=0,G31=0),"",I31/G31)</f>
        <v>2</v>
      </c>
      <c r="K31" s="131">
        <f>IF(OR(I31=0,H31=0),"",I31/H31)</f>
        <v>1</v>
      </c>
      <c r="L31" s="155"/>
      <c r="M31" s="155"/>
      <c r="N31" s="145">
        <f t="shared" ref="N31:N39" si="16">D31-C31</f>
        <v>9.0400000000000027</v>
      </c>
      <c r="O31" s="146">
        <f t="shared" ref="O31:O39" si="17">I31-H31</f>
        <v>0</v>
      </c>
      <c r="P31" s="145">
        <f t="shared" ref="P31:P39" si="18">D31-B31</f>
        <v>1.1110000000000007</v>
      </c>
      <c r="Q31" s="146">
        <f t="shared" ref="Q31:Q39" si="19">I31-G31</f>
        <v>2</v>
      </c>
    </row>
    <row r="32" spans="1:17" ht="14.45" hidden="1" customHeight="1" outlineLevel="1" x14ac:dyDescent="0.2">
      <c r="A32" s="441" t="s">
        <v>168</v>
      </c>
      <c r="B32" s="120">
        <v>13.798999999999999</v>
      </c>
      <c r="C32" s="113">
        <v>0</v>
      </c>
      <c r="D32" s="113">
        <v>0.65900000000000003</v>
      </c>
      <c r="E32" s="425">
        <f t="shared" ref="E32:E38" si="20">IF(OR(D32=0,B32=0),"",D32/B32)</f>
        <v>4.7757083846655557E-2</v>
      </c>
      <c r="F32" s="132" t="str">
        <f t="shared" ref="F32:F38" si="21">IF(OR(D32=0,C32=0),"",D32/C32)</f>
        <v/>
      </c>
      <c r="G32" s="133">
        <v>1</v>
      </c>
      <c r="H32" s="113">
        <v>0</v>
      </c>
      <c r="I32" s="113">
        <v>1</v>
      </c>
      <c r="J32" s="425">
        <f t="shared" ref="J32:J38" si="22">IF(OR(I32=0,G32=0),"",I32/G32)</f>
        <v>1</v>
      </c>
      <c r="K32" s="134" t="str">
        <f t="shared" ref="K32:K38" si="23">IF(OR(I32=0,H32=0),"",I32/H32)</f>
        <v/>
      </c>
      <c r="L32" s="155"/>
      <c r="M32" s="155"/>
      <c r="N32" s="147">
        <f t="shared" si="16"/>
        <v>0.65900000000000003</v>
      </c>
      <c r="O32" s="148">
        <f t="shared" si="17"/>
        <v>1</v>
      </c>
      <c r="P32" s="147">
        <f t="shared" si="18"/>
        <v>-13.139999999999999</v>
      </c>
      <c r="Q32" s="148">
        <f t="shared" si="19"/>
        <v>0</v>
      </c>
    </row>
    <row r="33" spans="1:17" ht="14.45" hidden="1" customHeight="1" outlineLevel="1" x14ac:dyDescent="0.2">
      <c r="A33" s="441" t="s">
        <v>169</v>
      </c>
      <c r="B33" s="120">
        <v>30.888999999999999</v>
      </c>
      <c r="C33" s="113">
        <v>8.5559999999999992</v>
      </c>
      <c r="D33" s="113">
        <v>2.9489999999999998</v>
      </c>
      <c r="E33" s="425">
        <f t="shared" si="20"/>
        <v>9.5470879601152511E-2</v>
      </c>
      <c r="F33" s="132">
        <f t="shared" si="21"/>
        <v>0.34467040673211785</v>
      </c>
      <c r="G33" s="133">
        <v>2</v>
      </c>
      <c r="H33" s="113">
        <v>2</v>
      </c>
      <c r="I33" s="113">
        <v>1</v>
      </c>
      <c r="J33" s="425">
        <f t="shared" si="22"/>
        <v>0.5</v>
      </c>
      <c r="K33" s="134">
        <f t="shared" si="23"/>
        <v>0.5</v>
      </c>
      <c r="L33" s="155"/>
      <c r="M33" s="155"/>
      <c r="N33" s="147">
        <f t="shared" si="16"/>
        <v>-5.6069999999999993</v>
      </c>
      <c r="O33" s="148">
        <f t="shared" si="17"/>
        <v>-1</v>
      </c>
      <c r="P33" s="147">
        <f t="shared" si="18"/>
        <v>-27.939999999999998</v>
      </c>
      <c r="Q33" s="148">
        <f t="shared" si="19"/>
        <v>-1</v>
      </c>
    </row>
    <row r="34" spans="1:17" ht="14.45" hidden="1" customHeight="1" outlineLevel="1" x14ac:dyDescent="0.2">
      <c r="A34" s="441" t="s">
        <v>170</v>
      </c>
      <c r="B34" s="120">
        <v>0</v>
      </c>
      <c r="C34" s="113">
        <v>0</v>
      </c>
      <c r="D34" s="113">
        <v>0</v>
      </c>
      <c r="E34" s="425" t="str">
        <f t="shared" si="20"/>
        <v/>
      </c>
      <c r="F34" s="132" t="str">
        <f t="shared" si="21"/>
        <v/>
      </c>
      <c r="G34" s="133">
        <v>0</v>
      </c>
      <c r="H34" s="113">
        <v>0</v>
      </c>
      <c r="I34" s="113">
        <v>0</v>
      </c>
      <c r="J34" s="425" t="str">
        <f t="shared" si="22"/>
        <v/>
      </c>
      <c r="K34" s="134" t="str">
        <f t="shared" si="23"/>
        <v/>
      </c>
      <c r="L34" s="155"/>
      <c r="M34" s="155"/>
      <c r="N34" s="147">
        <f t="shared" si="16"/>
        <v>0</v>
      </c>
      <c r="O34" s="148">
        <f t="shared" si="17"/>
        <v>0</v>
      </c>
      <c r="P34" s="147">
        <f t="shared" si="18"/>
        <v>0</v>
      </c>
      <c r="Q34" s="148">
        <f t="shared" si="19"/>
        <v>0</v>
      </c>
    </row>
    <row r="35" spans="1:17" ht="14.45" hidden="1" customHeight="1" outlineLevel="1" x14ac:dyDescent="0.2">
      <c r="A35" s="441" t="s">
        <v>171</v>
      </c>
      <c r="B35" s="120">
        <v>0</v>
      </c>
      <c r="C35" s="113">
        <v>0</v>
      </c>
      <c r="D35" s="113">
        <v>0</v>
      </c>
      <c r="E35" s="425" t="str">
        <f t="shared" si="20"/>
        <v/>
      </c>
      <c r="F35" s="132" t="str">
        <f t="shared" si="21"/>
        <v/>
      </c>
      <c r="G35" s="133">
        <v>0</v>
      </c>
      <c r="H35" s="113">
        <v>0</v>
      </c>
      <c r="I35" s="113">
        <v>0</v>
      </c>
      <c r="J35" s="425" t="str">
        <f t="shared" si="22"/>
        <v/>
      </c>
      <c r="K35" s="134" t="str">
        <f t="shared" si="23"/>
        <v/>
      </c>
      <c r="L35" s="155"/>
      <c r="M35" s="155"/>
      <c r="N35" s="147">
        <f t="shared" si="16"/>
        <v>0</v>
      </c>
      <c r="O35" s="148">
        <f t="shared" si="17"/>
        <v>0</v>
      </c>
      <c r="P35" s="147">
        <f t="shared" si="18"/>
        <v>0</v>
      </c>
      <c r="Q35" s="148">
        <f t="shared" si="19"/>
        <v>0</v>
      </c>
    </row>
    <row r="36" spans="1:17" ht="14.45" hidden="1" customHeight="1" outlineLevel="1" x14ac:dyDescent="0.2">
      <c r="A36" s="441" t="s">
        <v>172</v>
      </c>
      <c r="B36" s="120">
        <v>14.602</v>
      </c>
      <c r="C36" s="113">
        <v>0</v>
      </c>
      <c r="D36" s="113">
        <v>0</v>
      </c>
      <c r="E36" s="425" t="str">
        <f t="shared" si="20"/>
        <v/>
      </c>
      <c r="F36" s="132" t="str">
        <f t="shared" si="21"/>
        <v/>
      </c>
      <c r="G36" s="133">
        <v>1</v>
      </c>
      <c r="H36" s="113">
        <v>0</v>
      </c>
      <c r="I36" s="113">
        <v>0</v>
      </c>
      <c r="J36" s="425" t="str">
        <f t="shared" si="22"/>
        <v/>
      </c>
      <c r="K36" s="134" t="str">
        <f t="shared" si="23"/>
        <v/>
      </c>
      <c r="L36" s="155"/>
      <c r="M36" s="155"/>
      <c r="N36" s="147">
        <f t="shared" si="16"/>
        <v>0</v>
      </c>
      <c r="O36" s="148">
        <f t="shared" si="17"/>
        <v>0</v>
      </c>
      <c r="P36" s="147">
        <f t="shared" si="18"/>
        <v>-14.602</v>
      </c>
      <c r="Q36" s="148">
        <f t="shared" si="19"/>
        <v>-1</v>
      </c>
    </row>
    <row r="37" spans="1:17" ht="14.45" hidden="1" customHeight="1" outlineLevel="1" x14ac:dyDescent="0.2">
      <c r="A37" s="441" t="s">
        <v>173</v>
      </c>
      <c r="B37" s="120">
        <v>0</v>
      </c>
      <c r="C37" s="113">
        <v>0</v>
      </c>
      <c r="D37" s="113">
        <v>2.9369999999999998</v>
      </c>
      <c r="E37" s="425" t="str">
        <f t="shared" si="20"/>
        <v/>
      </c>
      <c r="F37" s="132" t="str">
        <f t="shared" si="21"/>
        <v/>
      </c>
      <c r="G37" s="133">
        <v>0</v>
      </c>
      <c r="H37" s="113">
        <v>0</v>
      </c>
      <c r="I37" s="113">
        <v>1</v>
      </c>
      <c r="J37" s="425" t="str">
        <f t="shared" si="22"/>
        <v/>
      </c>
      <c r="K37" s="134" t="str">
        <f t="shared" si="23"/>
        <v/>
      </c>
      <c r="L37" s="155"/>
      <c r="M37" s="155"/>
      <c r="N37" s="147">
        <f t="shared" si="16"/>
        <v>2.9369999999999998</v>
      </c>
      <c r="O37" s="148">
        <f t="shared" si="17"/>
        <v>1</v>
      </c>
      <c r="P37" s="147">
        <f t="shared" si="18"/>
        <v>2.9369999999999998</v>
      </c>
      <c r="Q37" s="148">
        <f t="shared" si="19"/>
        <v>1</v>
      </c>
    </row>
    <row r="38" spans="1:17" ht="14.45" hidden="1" customHeight="1" outlineLevel="1" thickBot="1" x14ac:dyDescent="0.25">
      <c r="A38" s="442" t="s">
        <v>208</v>
      </c>
      <c r="B38" s="238">
        <v>0</v>
      </c>
      <c r="C38" s="239">
        <v>0</v>
      </c>
      <c r="D38" s="239">
        <v>0</v>
      </c>
      <c r="E38" s="426" t="str">
        <f t="shared" si="20"/>
        <v/>
      </c>
      <c r="F38" s="240" t="str">
        <f t="shared" si="21"/>
        <v/>
      </c>
      <c r="G38" s="241">
        <v>0</v>
      </c>
      <c r="H38" s="239">
        <v>0</v>
      </c>
      <c r="I38" s="239">
        <v>0</v>
      </c>
      <c r="J38" s="426" t="str">
        <f t="shared" si="22"/>
        <v/>
      </c>
      <c r="K38" s="242" t="str">
        <f t="shared" si="23"/>
        <v/>
      </c>
      <c r="L38" s="155"/>
      <c r="M38" s="155"/>
      <c r="N38" s="245">
        <f t="shared" si="16"/>
        <v>0</v>
      </c>
      <c r="O38" s="246">
        <f t="shared" si="17"/>
        <v>0</v>
      </c>
      <c r="P38" s="245">
        <f t="shared" si="18"/>
        <v>0</v>
      </c>
      <c r="Q38" s="246">
        <f t="shared" si="19"/>
        <v>0</v>
      </c>
    </row>
    <row r="39" spans="1:17" ht="14.45" customHeight="1" collapsed="1" thickBot="1" x14ac:dyDescent="0.25">
      <c r="A39" s="444" t="s">
        <v>3</v>
      </c>
      <c r="B39" s="118">
        <f>SUM(B31:B38)</f>
        <v>88.900999999999996</v>
      </c>
      <c r="C39" s="162">
        <f>SUM(C31:C38)</f>
        <v>30.238</v>
      </c>
      <c r="D39" s="162">
        <f>SUM(D31:D38)</f>
        <v>37.266999999999996</v>
      </c>
      <c r="E39" s="422">
        <f>IF(OR(D39=0,B39=0),0,D39/B39)</f>
        <v>0.41919663445855498</v>
      </c>
      <c r="F39" s="163">
        <f>IF(OR(D39=0,C39=0),0,D39/C39)</f>
        <v>1.2324558502546463</v>
      </c>
      <c r="G39" s="164">
        <f>SUM(G31:G38)</f>
        <v>6</v>
      </c>
      <c r="H39" s="162">
        <f>SUM(H31:H38)</f>
        <v>6</v>
      </c>
      <c r="I39" s="162">
        <f>SUM(I31:I38)</f>
        <v>7</v>
      </c>
      <c r="J39" s="422">
        <f>IF(OR(I39=0,G39=0),0,I39/G39)</f>
        <v>1.1666666666666667</v>
      </c>
      <c r="K39" s="165">
        <f>IF(OR(I39=0,H39=0),0,I39/H39)</f>
        <v>1.1666666666666667</v>
      </c>
      <c r="L39" s="155"/>
      <c r="M39" s="155"/>
      <c r="N39" s="160">
        <f t="shared" si="16"/>
        <v>7.0289999999999964</v>
      </c>
      <c r="O39" s="166">
        <f t="shared" si="17"/>
        <v>1</v>
      </c>
      <c r="P39" s="160">
        <f t="shared" si="18"/>
        <v>-51.634</v>
      </c>
      <c r="Q39" s="166">
        <f t="shared" si="19"/>
        <v>1</v>
      </c>
    </row>
    <row r="40" spans="1:17" ht="14.45" customHeight="1" x14ac:dyDescent="0.2">
      <c r="A40" s="358"/>
      <c r="B40" s="358"/>
      <c r="C40" s="358"/>
      <c r="D40" s="358"/>
      <c r="E40" s="358"/>
      <c r="F40" s="359"/>
      <c r="G40" s="358"/>
      <c r="H40" s="358"/>
      <c r="I40" s="358"/>
      <c r="J40" s="358"/>
      <c r="K40" s="360"/>
      <c r="L40" s="358"/>
      <c r="M40" s="358"/>
      <c r="N40" s="358"/>
      <c r="O40" s="358"/>
      <c r="P40" s="358"/>
      <c r="Q40" s="358"/>
    </row>
    <row r="41" spans="1:17" ht="14.45" customHeight="1" thickBot="1" x14ac:dyDescent="0.25">
      <c r="A41" s="358"/>
      <c r="B41" s="358"/>
      <c r="C41" s="358"/>
      <c r="D41" s="358"/>
      <c r="E41" s="358"/>
      <c r="F41" s="359"/>
      <c r="G41" s="358"/>
      <c r="H41" s="358"/>
      <c r="I41" s="358"/>
      <c r="J41" s="358"/>
      <c r="K41" s="360"/>
      <c r="L41" s="358"/>
      <c r="M41" s="358"/>
      <c r="N41" s="358"/>
      <c r="O41" s="358"/>
      <c r="P41" s="358"/>
      <c r="Q41" s="358"/>
    </row>
    <row r="42" spans="1:17" ht="14.45" customHeight="1" thickBot="1" x14ac:dyDescent="0.25">
      <c r="A42" s="664" t="s">
        <v>259</v>
      </c>
      <c r="B42" s="666" t="s">
        <v>70</v>
      </c>
      <c r="C42" s="667"/>
      <c r="D42" s="667"/>
      <c r="E42" s="668"/>
      <c r="F42" s="669"/>
      <c r="G42" s="667" t="s">
        <v>240</v>
      </c>
      <c r="H42" s="667"/>
      <c r="I42" s="667"/>
      <c r="J42" s="668"/>
      <c r="K42" s="669"/>
      <c r="L42" s="155"/>
      <c r="M42" s="155"/>
      <c r="N42" s="155"/>
      <c r="O42" s="156"/>
      <c r="P42" s="155"/>
      <c r="Q42" s="156"/>
    </row>
    <row r="43" spans="1:17" ht="14.45" customHeight="1" thickBot="1" x14ac:dyDescent="0.25">
      <c r="A43" s="665"/>
      <c r="B43" s="407">
        <v>2018</v>
      </c>
      <c r="C43" s="408">
        <v>2019</v>
      </c>
      <c r="D43" s="408">
        <v>2020</v>
      </c>
      <c r="E43" s="511" t="s">
        <v>324</v>
      </c>
      <c r="F43" s="409" t="s">
        <v>2</v>
      </c>
      <c r="G43" s="408">
        <v>2018</v>
      </c>
      <c r="H43" s="408">
        <v>2019</v>
      </c>
      <c r="I43" s="408">
        <v>2020</v>
      </c>
      <c r="J43" s="408" t="s">
        <v>324</v>
      </c>
      <c r="K43" s="409" t="s">
        <v>2</v>
      </c>
      <c r="L43" s="155"/>
      <c r="M43" s="155"/>
      <c r="N43" s="415" t="s">
        <v>71</v>
      </c>
      <c r="O43" s="417" t="s">
        <v>72</v>
      </c>
      <c r="P43" s="415" t="s">
        <v>325</v>
      </c>
      <c r="Q43" s="417" t="s">
        <v>326</v>
      </c>
    </row>
    <row r="44" spans="1:17" ht="14.45" hidden="1" customHeight="1" outlineLevel="1" x14ac:dyDescent="0.2">
      <c r="A44" s="440" t="s">
        <v>167</v>
      </c>
      <c r="B44" s="119">
        <v>0</v>
      </c>
      <c r="C44" s="114">
        <v>0</v>
      </c>
      <c r="D44" s="114">
        <v>0</v>
      </c>
      <c r="E44" s="424" t="str">
        <f>IF(OR(D44=0,B44=0),"",D44/B44)</f>
        <v/>
      </c>
      <c r="F44" s="129" t="str">
        <f>IF(OR(D44=0,C44=0),"",D44/C44)</f>
        <v/>
      </c>
      <c r="G44" s="130">
        <v>0</v>
      </c>
      <c r="H44" s="114">
        <v>0</v>
      </c>
      <c r="I44" s="114">
        <v>0</v>
      </c>
      <c r="J44" s="424" t="str">
        <f>IF(OR(I44=0,G44=0),"",I44/G44)</f>
        <v/>
      </c>
      <c r="K44" s="131" t="str">
        <f>IF(OR(I44=0,H44=0),"",I44/H44)</f>
        <v/>
      </c>
      <c r="L44" s="155"/>
      <c r="M44" s="155"/>
      <c r="N44" s="145">
        <f t="shared" ref="N44:N52" si="24">D44-C44</f>
        <v>0</v>
      </c>
      <c r="O44" s="146">
        <f t="shared" ref="O44:O52" si="25">I44-H44</f>
        <v>0</v>
      </c>
      <c r="P44" s="145">
        <f t="shared" ref="P44:P52" si="26">D44-B44</f>
        <v>0</v>
      </c>
      <c r="Q44" s="146">
        <f t="shared" ref="Q44:Q52" si="27">I44-G44</f>
        <v>0</v>
      </c>
    </row>
    <row r="45" spans="1:17" ht="14.45" hidden="1" customHeight="1" outlineLevel="1" x14ac:dyDescent="0.2">
      <c r="A45" s="441" t="s">
        <v>168</v>
      </c>
      <c r="B45" s="120">
        <v>0</v>
      </c>
      <c r="C45" s="113">
        <v>0</v>
      </c>
      <c r="D45" s="113">
        <v>0</v>
      </c>
      <c r="E45" s="425" t="str">
        <f t="shared" ref="E45:E51" si="28">IF(OR(D45=0,B45=0),"",D45/B45)</f>
        <v/>
      </c>
      <c r="F45" s="132" t="str">
        <f t="shared" ref="F45:F51" si="29">IF(OR(D45=0,C45=0),"",D45/C45)</f>
        <v/>
      </c>
      <c r="G45" s="133">
        <v>0</v>
      </c>
      <c r="H45" s="113">
        <v>0</v>
      </c>
      <c r="I45" s="113">
        <v>0</v>
      </c>
      <c r="J45" s="425" t="str">
        <f t="shared" ref="J45:J51" si="30">IF(OR(I45=0,G45=0),"",I45/G45)</f>
        <v/>
      </c>
      <c r="K45" s="134" t="str">
        <f t="shared" ref="K45:K51" si="31">IF(OR(I45=0,H45=0),"",I45/H45)</f>
        <v/>
      </c>
      <c r="L45" s="155"/>
      <c r="M45" s="155"/>
      <c r="N45" s="147">
        <f t="shared" si="24"/>
        <v>0</v>
      </c>
      <c r="O45" s="148">
        <f t="shared" si="25"/>
        <v>0</v>
      </c>
      <c r="P45" s="147">
        <f t="shared" si="26"/>
        <v>0</v>
      </c>
      <c r="Q45" s="148">
        <f t="shared" si="27"/>
        <v>0</v>
      </c>
    </row>
    <row r="46" spans="1:17" ht="14.45" hidden="1" customHeight="1" outlineLevel="1" x14ac:dyDescent="0.2">
      <c r="A46" s="441" t="s">
        <v>169</v>
      </c>
      <c r="B46" s="120">
        <v>0</v>
      </c>
      <c r="C46" s="113">
        <v>0</v>
      </c>
      <c r="D46" s="113">
        <v>0</v>
      </c>
      <c r="E46" s="425" t="str">
        <f t="shared" si="28"/>
        <v/>
      </c>
      <c r="F46" s="132" t="str">
        <f t="shared" si="29"/>
        <v/>
      </c>
      <c r="G46" s="133">
        <v>0</v>
      </c>
      <c r="H46" s="113">
        <v>0</v>
      </c>
      <c r="I46" s="113">
        <v>0</v>
      </c>
      <c r="J46" s="425" t="str">
        <f t="shared" si="30"/>
        <v/>
      </c>
      <c r="K46" s="134" t="str">
        <f t="shared" si="31"/>
        <v/>
      </c>
      <c r="L46" s="155"/>
      <c r="M46" s="155"/>
      <c r="N46" s="147">
        <f t="shared" si="24"/>
        <v>0</v>
      </c>
      <c r="O46" s="148">
        <f t="shared" si="25"/>
        <v>0</v>
      </c>
      <c r="P46" s="147">
        <f t="shared" si="26"/>
        <v>0</v>
      </c>
      <c r="Q46" s="148">
        <f t="shared" si="27"/>
        <v>0</v>
      </c>
    </row>
    <row r="47" spans="1:17" ht="14.45" hidden="1" customHeight="1" outlineLevel="1" x14ac:dyDescent="0.2">
      <c r="A47" s="441" t="s">
        <v>170</v>
      </c>
      <c r="B47" s="120">
        <v>0</v>
      </c>
      <c r="C47" s="113">
        <v>0</v>
      </c>
      <c r="D47" s="113">
        <v>0</v>
      </c>
      <c r="E47" s="425" t="str">
        <f t="shared" si="28"/>
        <v/>
      </c>
      <c r="F47" s="132" t="str">
        <f t="shared" si="29"/>
        <v/>
      </c>
      <c r="G47" s="133">
        <v>0</v>
      </c>
      <c r="H47" s="113">
        <v>0</v>
      </c>
      <c r="I47" s="113">
        <v>0</v>
      </c>
      <c r="J47" s="425" t="str">
        <f t="shared" si="30"/>
        <v/>
      </c>
      <c r="K47" s="134" t="str">
        <f t="shared" si="31"/>
        <v/>
      </c>
      <c r="L47" s="155"/>
      <c r="M47" s="155"/>
      <c r="N47" s="147">
        <f t="shared" si="24"/>
        <v>0</v>
      </c>
      <c r="O47" s="148">
        <f t="shared" si="25"/>
        <v>0</v>
      </c>
      <c r="P47" s="147">
        <f t="shared" si="26"/>
        <v>0</v>
      </c>
      <c r="Q47" s="148">
        <f t="shared" si="27"/>
        <v>0</v>
      </c>
    </row>
    <row r="48" spans="1:17" ht="14.45" hidden="1" customHeight="1" outlineLevel="1" x14ac:dyDescent="0.2">
      <c r="A48" s="441" t="s">
        <v>171</v>
      </c>
      <c r="B48" s="120">
        <v>0</v>
      </c>
      <c r="C48" s="113">
        <v>0</v>
      </c>
      <c r="D48" s="113">
        <v>0</v>
      </c>
      <c r="E48" s="425" t="str">
        <f t="shared" si="28"/>
        <v/>
      </c>
      <c r="F48" s="132" t="str">
        <f t="shared" si="29"/>
        <v/>
      </c>
      <c r="G48" s="133">
        <v>0</v>
      </c>
      <c r="H48" s="113">
        <v>0</v>
      </c>
      <c r="I48" s="113">
        <v>0</v>
      </c>
      <c r="J48" s="425" t="str">
        <f t="shared" si="30"/>
        <v/>
      </c>
      <c r="K48" s="134" t="str">
        <f t="shared" si="31"/>
        <v/>
      </c>
      <c r="L48" s="155"/>
      <c r="M48" s="155"/>
      <c r="N48" s="147">
        <f t="shared" si="24"/>
        <v>0</v>
      </c>
      <c r="O48" s="148">
        <f t="shared" si="25"/>
        <v>0</v>
      </c>
      <c r="P48" s="147">
        <f t="shared" si="26"/>
        <v>0</v>
      </c>
      <c r="Q48" s="148">
        <f t="shared" si="27"/>
        <v>0</v>
      </c>
    </row>
    <row r="49" spans="1:17" ht="14.45" hidden="1" customHeight="1" outlineLevel="1" x14ac:dyDescent="0.2">
      <c r="A49" s="441" t="s">
        <v>172</v>
      </c>
      <c r="B49" s="120">
        <v>0</v>
      </c>
      <c r="C49" s="113">
        <v>0</v>
      </c>
      <c r="D49" s="113">
        <v>0</v>
      </c>
      <c r="E49" s="425" t="str">
        <f t="shared" si="28"/>
        <v/>
      </c>
      <c r="F49" s="132" t="str">
        <f t="shared" si="29"/>
        <v/>
      </c>
      <c r="G49" s="133">
        <v>0</v>
      </c>
      <c r="H49" s="113">
        <v>0</v>
      </c>
      <c r="I49" s="113">
        <v>0</v>
      </c>
      <c r="J49" s="425" t="str">
        <f t="shared" si="30"/>
        <v/>
      </c>
      <c r="K49" s="134" t="str">
        <f t="shared" si="31"/>
        <v/>
      </c>
      <c r="L49" s="155"/>
      <c r="M49" s="155"/>
      <c r="N49" s="147">
        <f t="shared" si="24"/>
        <v>0</v>
      </c>
      <c r="O49" s="148">
        <f t="shared" si="25"/>
        <v>0</v>
      </c>
      <c r="P49" s="147">
        <f t="shared" si="26"/>
        <v>0</v>
      </c>
      <c r="Q49" s="148">
        <f t="shared" si="27"/>
        <v>0</v>
      </c>
    </row>
    <row r="50" spans="1:17" ht="14.45" hidden="1" customHeight="1" outlineLevel="1" x14ac:dyDescent="0.2">
      <c r="A50" s="441" t="s">
        <v>173</v>
      </c>
      <c r="B50" s="120">
        <v>0</v>
      </c>
      <c r="C50" s="113">
        <v>0</v>
      </c>
      <c r="D50" s="113">
        <v>0</v>
      </c>
      <c r="E50" s="425" t="str">
        <f t="shared" si="28"/>
        <v/>
      </c>
      <c r="F50" s="132" t="str">
        <f t="shared" si="29"/>
        <v/>
      </c>
      <c r="G50" s="133">
        <v>0</v>
      </c>
      <c r="H50" s="113">
        <v>0</v>
      </c>
      <c r="I50" s="113">
        <v>0</v>
      </c>
      <c r="J50" s="425" t="str">
        <f t="shared" si="30"/>
        <v/>
      </c>
      <c r="K50" s="134" t="str">
        <f t="shared" si="31"/>
        <v/>
      </c>
      <c r="L50" s="155"/>
      <c r="M50" s="155"/>
      <c r="N50" s="147">
        <f t="shared" si="24"/>
        <v>0</v>
      </c>
      <c r="O50" s="148">
        <f t="shared" si="25"/>
        <v>0</v>
      </c>
      <c r="P50" s="147">
        <f t="shared" si="26"/>
        <v>0</v>
      </c>
      <c r="Q50" s="148">
        <f t="shared" si="27"/>
        <v>0</v>
      </c>
    </row>
    <row r="51" spans="1:17" ht="14.45" hidden="1" customHeight="1" outlineLevel="1" thickBot="1" x14ac:dyDescent="0.25">
      <c r="A51" s="442" t="s">
        <v>208</v>
      </c>
      <c r="B51" s="238">
        <v>0</v>
      </c>
      <c r="C51" s="239">
        <v>0</v>
      </c>
      <c r="D51" s="239">
        <v>0</v>
      </c>
      <c r="E51" s="426" t="str">
        <f t="shared" si="28"/>
        <v/>
      </c>
      <c r="F51" s="240" t="str">
        <f t="shared" si="29"/>
        <v/>
      </c>
      <c r="G51" s="241">
        <v>0</v>
      </c>
      <c r="H51" s="239">
        <v>0</v>
      </c>
      <c r="I51" s="239">
        <v>0</v>
      </c>
      <c r="J51" s="426" t="str">
        <f t="shared" si="30"/>
        <v/>
      </c>
      <c r="K51" s="242" t="str">
        <f t="shared" si="31"/>
        <v/>
      </c>
      <c r="L51" s="155"/>
      <c r="M51" s="155"/>
      <c r="N51" s="245">
        <f t="shared" si="24"/>
        <v>0</v>
      </c>
      <c r="O51" s="246">
        <f t="shared" si="25"/>
        <v>0</v>
      </c>
      <c r="P51" s="245">
        <f t="shared" si="26"/>
        <v>0</v>
      </c>
      <c r="Q51" s="246">
        <f t="shared" si="27"/>
        <v>0</v>
      </c>
    </row>
    <row r="52" spans="1:17" ht="14.45" customHeight="1" collapsed="1" thickBot="1" x14ac:dyDescent="0.25">
      <c r="A52" s="443" t="s">
        <v>3</v>
      </c>
      <c r="B52" s="410">
        <f>SUM(B44:B51)</f>
        <v>0</v>
      </c>
      <c r="C52" s="411">
        <f>SUM(C44:C51)</f>
        <v>0</v>
      </c>
      <c r="D52" s="411">
        <f>SUM(D44:D51)</f>
        <v>0</v>
      </c>
      <c r="E52" s="423">
        <f>IF(OR(D52=0,B52=0),0,D52/B52)</f>
        <v>0</v>
      </c>
      <c r="F52" s="412">
        <f>IF(OR(D52=0,C52=0),0,D52/C52)</f>
        <v>0</v>
      </c>
      <c r="G52" s="413">
        <f>SUM(G44:G51)</f>
        <v>0</v>
      </c>
      <c r="H52" s="411">
        <f>SUM(H44:H51)</f>
        <v>0</v>
      </c>
      <c r="I52" s="411">
        <f>SUM(I44:I51)</f>
        <v>0</v>
      </c>
      <c r="J52" s="423">
        <f>IF(OR(I52=0,G52=0),0,I52/G52)</f>
        <v>0</v>
      </c>
      <c r="K52" s="414">
        <f>IF(OR(I52=0,H52=0),0,I52/H52)</f>
        <v>0</v>
      </c>
      <c r="L52" s="155"/>
      <c r="M52" s="155"/>
      <c r="N52" s="415">
        <f t="shared" si="24"/>
        <v>0</v>
      </c>
      <c r="O52" s="416">
        <f t="shared" si="25"/>
        <v>0</v>
      </c>
      <c r="P52" s="415">
        <f t="shared" si="26"/>
        <v>0</v>
      </c>
      <c r="Q52" s="416">
        <f t="shared" si="27"/>
        <v>0</v>
      </c>
    </row>
    <row r="53" spans="1:17" ht="14.45" customHeight="1" x14ac:dyDescent="0.2">
      <c r="A53" s="358"/>
      <c r="B53" s="358"/>
      <c r="C53" s="358"/>
      <c r="D53" s="358"/>
      <c r="E53" s="358"/>
      <c r="F53" s="359"/>
      <c r="G53" s="358"/>
      <c r="H53" s="358"/>
      <c r="I53" s="358"/>
      <c r="J53" s="358"/>
      <c r="K53" s="360"/>
      <c r="L53" s="358"/>
      <c r="M53" s="358"/>
      <c r="N53" s="358"/>
      <c r="O53" s="358"/>
    </row>
    <row r="54" spans="1:17" ht="14.45" customHeight="1" x14ac:dyDescent="0.2">
      <c r="A54" s="255" t="s">
        <v>256</v>
      </c>
      <c r="B54" s="358"/>
      <c r="C54" s="358"/>
      <c r="D54" s="358"/>
      <c r="E54" s="358"/>
      <c r="F54" s="359"/>
      <c r="G54" s="358"/>
      <c r="H54" s="358"/>
      <c r="I54" s="358"/>
      <c r="J54" s="358"/>
      <c r="K54" s="360"/>
      <c r="L54" s="358"/>
      <c r="M54" s="358"/>
      <c r="N54" s="358"/>
      <c r="O54" s="358"/>
    </row>
    <row r="55" spans="1:17" ht="14.45" customHeight="1" x14ac:dyDescent="0.2">
      <c r="A55" s="385" t="s">
        <v>296</v>
      </c>
    </row>
    <row r="56" spans="1:17" ht="14.45" customHeight="1" x14ac:dyDescent="0.2">
      <c r="A56" s="386" t="s">
        <v>297</v>
      </c>
    </row>
    <row r="57" spans="1:17" ht="14.45" customHeight="1" x14ac:dyDescent="0.2">
      <c r="A57" s="385" t="s">
        <v>298</v>
      </c>
    </row>
    <row r="58" spans="1:17" ht="14.45" customHeight="1" x14ac:dyDescent="0.2">
      <c r="A58" s="386" t="s">
        <v>299</v>
      </c>
    </row>
    <row r="59" spans="1:17" ht="14.45" customHeight="1" x14ac:dyDescent="0.2">
      <c r="A59" s="386" t="s">
        <v>262</v>
      </c>
    </row>
  </sheetData>
  <mergeCells count="26">
    <mergeCell ref="A1:Q1"/>
    <mergeCell ref="B27:F27"/>
    <mergeCell ref="G27:K27"/>
    <mergeCell ref="A42:A43"/>
    <mergeCell ref="B42:F42"/>
    <mergeCell ref="G42:K42"/>
    <mergeCell ref="A29:A30"/>
    <mergeCell ref="B29:F29"/>
    <mergeCell ref="G29:K29"/>
    <mergeCell ref="L24:M24"/>
    <mergeCell ref="L19:M19"/>
    <mergeCell ref="L20:M20"/>
    <mergeCell ref="L21:M21"/>
    <mergeCell ref="L22:M22"/>
    <mergeCell ref="L23:M23"/>
    <mergeCell ref="L16:M16"/>
    <mergeCell ref="L17:M17"/>
    <mergeCell ref="L18:M18"/>
    <mergeCell ref="A3:A4"/>
    <mergeCell ref="B3:F3"/>
    <mergeCell ref="G3:K3"/>
    <mergeCell ref="B14:F14"/>
    <mergeCell ref="G14:K14"/>
    <mergeCell ref="A16:A17"/>
    <mergeCell ref="B16:F16"/>
    <mergeCell ref="G16:K16"/>
  </mergeCells>
  <conditionalFormatting sqref="E18:F26">
    <cfRule type="cellIs" dxfId="20" priority="22" stopIfTrue="1" operator="lessThan">
      <formula>1</formula>
    </cfRule>
  </conditionalFormatting>
  <conditionalFormatting sqref="J18:K26">
    <cfRule type="cellIs" dxfId="19" priority="21" stopIfTrue="1" operator="lessThan">
      <formula>0.95</formula>
    </cfRule>
  </conditionalFormatting>
  <conditionalFormatting sqref="N5:O13 N18:O26 N31:O39 N44:O52">
    <cfRule type="cellIs" dxfId="18" priority="20" stopIfTrue="1" operator="lessThan">
      <formula>0</formula>
    </cfRule>
  </conditionalFormatting>
  <conditionalFormatting sqref="I44:I51">
    <cfRule type="dataBar" priority="9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{3618E70B-ADFA-46AD-A9D8-C8FF58F74EFB}</x14:id>
        </ext>
      </extLst>
    </cfRule>
  </conditionalFormatting>
  <conditionalFormatting sqref="D44:D51">
    <cfRule type="dataBar" priority="8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{7F2004AB-4FA4-4720-93C9-312F953BBD90}</x14:id>
        </ext>
      </extLst>
    </cfRule>
  </conditionalFormatting>
  <conditionalFormatting sqref="I31:I38">
    <cfRule type="dataBar" priority="7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{3D075FD4-A7D0-4807-A53E-05C1BA105099}</x14:id>
        </ext>
      </extLst>
    </cfRule>
  </conditionalFormatting>
  <conditionalFormatting sqref="D31:D38">
    <cfRule type="dataBar" priority="6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{19BACB92-4D18-4752-8A25-B7256041DD23}</x14:id>
        </ext>
      </extLst>
    </cfRule>
  </conditionalFormatting>
  <conditionalFormatting sqref="I18:I25">
    <cfRule type="dataBar" priority="5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{A336E448-B8FF-4106-92FC-06D3F5AC9706}</x14:id>
        </ext>
      </extLst>
    </cfRule>
  </conditionalFormatting>
  <conditionalFormatting sqref="D18:D25">
    <cfRule type="dataBar" priority="4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{525EC3E1-9598-4710-8BDC-78E58F1A50D3}</x14:id>
        </ext>
      </extLst>
    </cfRule>
  </conditionalFormatting>
  <conditionalFormatting sqref="I5:I12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{0C99497D-F730-4E0E-A893-E49B929B09C7}</x14:id>
        </ext>
      </extLst>
    </cfRule>
  </conditionalFormatting>
  <conditionalFormatting sqref="D5:D12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{3706E862-9666-4A40-A239-77AD32F9ED0C}</x14:id>
        </ext>
      </extLst>
    </cfRule>
  </conditionalFormatting>
  <conditionalFormatting sqref="P5:Q13 P18:Q26 P31:Q39 P44:Q52">
    <cfRule type="cellIs" dxfId="17" priority="1" stopIfTrue="1" operator="lessThan">
      <formula>0</formula>
    </cfRule>
  </conditionalFormatting>
  <hyperlinks>
    <hyperlink ref="A2" location="Obsah!A1" display="Zpět na Obsah  KL 01  1.-4.měsíc" xr:uid="{99000DDC-84C8-40B6-9AAD-F362B98FEEB0}"/>
  </hyperlinks>
  <pageMargins left="0.25" right="0.25" top="0.75" bottom="0.75" header="0.3" footer="0.3"/>
  <pageSetup paperSize="9" scale="93" fitToHeight="0" orientation="portrait" r:id="rId1"/>
  <headerFooter alignWithMargins="0">
    <oddFooter>&amp;L&amp;F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618E70B-ADFA-46AD-A9D8-C8FF58F74EFB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I44:I51</xm:sqref>
        </x14:conditionalFormatting>
        <x14:conditionalFormatting xmlns:xm="http://schemas.microsoft.com/office/excel/2006/main">
          <x14:cfRule type="dataBar" id="{7F2004AB-4FA4-4720-93C9-312F953BBD9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D44:D51</xm:sqref>
        </x14:conditionalFormatting>
        <x14:conditionalFormatting xmlns:xm="http://schemas.microsoft.com/office/excel/2006/main">
          <x14:cfRule type="dataBar" id="{3D075FD4-A7D0-4807-A53E-05C1BA10509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I31:I38</xm:sqref>
        </x14:conditionalFormatting>
        <x14:conditionalFormatting xmlns:xm="http://schemas.microsoft.com/office/excel/2006/main">
          <x14:cfRule type="dataBar" id="{19BACB92-4D18-4752-8A25-B7256041DD2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D31:D38</xm:sqref>
        </x14:conditionalFormatting>
        <x14:conditionalFormatting xmlns:xm="http://schemas.microsoft.com/office/excel/2006/main">
          <x14:cfRule type="dataBar" id="{A336E448-B8FF-4106-92FC-06D3F5AC970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I18:I25</xm:sqref>
        </x14:conditionalFormatting>
        <x14:conditionalFormatting xmlns:xm="http://schemas.microsoft.com/office/excel/2006/main">
          <x14:cfRule type="dataBar" id="{525EC3E1-9598-4710-8BDC-78E58F1A50D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D18:D25</xm:sqref>
        </x14:conditionalFormatting>
        <x14:conditionalFormatting xmlns:xm="http://schemas.microsoft.com/office/excel/2006/main">
          <x14:cfRule type="dataBar" id="{0C99497D-F730-4E0E-A893-E49B929B09C7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I5:I12</xm:sqref>
        </x14:conditionalFormatting>
        <x14:conditionalFormatting xmlns:xm="http://schemas.microsoft.com/office/excel/2006/main">
          <x14:cfRule type="dataBar" id="{3706E862-9666-4A40-A239-77AD32F9ED0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D5:D12</xm:sqref>
        </x14:conditionalFormatting>
      </x14:conditionalFormattings>
    </ext>
  </extLst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 codeName="List23">
    <tabColor theme="0" tint="-0.249977111117893"/>
    <pageSetUpPr fitToPage="1"/>
  </sheetPr>
  <dimension ref="A1:M45"/>
  <sheetViews>
    <sheetView showGridLines="0" showRowColHeaders="0" zoomScaleNormal="100" workbookViewId="0">
      <selection sqref="A1:M1"/>
    </sheetView>
  </sheetViews>
  <sheetFormatPr defaultColWidth="8.85546875" defaultRowHeight="14.45" customHeight="1" x14ac:dyDescent="0.2"/>
  <cols>
    <col min="1" max="1" width="5.42578125" style="81" bestFit="1" customWidth="1"/>
    <col min="2" max="3" width="7.7109375" style="202" customWidth="1"/>
    <col min="4" max="5" width="7.7109375" style="81" customWidth="1"/>
    <col min="6" max="6" width="14.85546875" style="81" bestFit="1" customWidth="1"/>
    <col min="7" max="7" width="2" style="81" bestFit="1" customWidth="1"/>
    <col min="8" max="8" width="5.28515625" style="81" bestFit="1" customWidth="1"/>
    <col min="9" max="9" width="7.7109375" style="81" bestFit="1" customWidth="1"/>
    <col min="10" max="10" width="6.85546875" style="81" bestFit="1" customWidth="1"/>
    <col min="11" max="11" width="17.28515625" style="81" bestFit="1" customWidth="1"/>
    <col min="12" max="13" width="19.7109375" style="81" bestFit="1" customWidth="1"/>
    <col min="14" max="16384" width="8.85546875" style="81"/>
  </cols>
  <sheetData>
    <row r="1" spans="1:13" ht="18.600000000000001" customHeight="1" thickBot="1" x14ac:dyDescent="0.35">
      <c r="A1" s="547" t="s">
        <v>114</v>
      </c>
      <c r="B1" s="625"/>
      <c r="C1" s="625"/>
      <c r="D1" s="625"/>
      <c r="E1" s="625"/>
      <c r="F1" s="625"/>
      <c r="G1" s="625"/>
      <c r="H1" s="625"/>
      <c r="I1" s="625"/>
      <c r="J1" s="625"/>
      <c r="K1" s="625"/>
      <c r="L1" s="625"/>
      <c r="M1" s="625"/>
    </row>
    <row r="2" spans="1:13" ht="14.45" customHeight="1" x14ac:dyDescent="0.2">
      <c r="A2" s="705" t="s">
        <v>328</v>
      </c>
      <c r="B2" s="198"/>
      <c r="C2" s="198"/>
      <c r="D2" s="82"/>
      <c r="E2" s="82"/>
      <c r="F2" s="82"/>
      <c r="G2" s="82"/>
      <c r="H2" s="82"/>
      <c r="I2" s="82"/>
      <c r="J2" s="82"/>
      <c r="K2" s="82"/>
      <c r="L2" s="82"/>
      <c r="M2" s="82"/>
    </row>
    <row r="3" spans="1:13" ht="14.45" customHeight="1" x14ac:dyDescent="0.2">
      <c r="A3" s="80"/>
      <c r="B3" s="363"/>
      <c r="C3" s="363"/>
      <c r="D3" s="80"/>
      <c r="E3" s="80"/>
      <c r="F3" s="80"/>
      <c r="G3" s="80"/>
      <c r="H3" s="80"/>
      <c r="I3" s="80"/>
      <c r="J3" s="80"/>
      <c r="K3" s="80"/>
      <c r="L3" s="80"/>
      <c r="M3" s="80"/>
    </row>
    <row r="4" spans="1:13" ht="14.45" customHeight="1" x14ac:dyDescent="0.2">
      <c r="A4" s="80"/>
      <c r="B4" s="363"/>
      <c r="C4" s="363"/>
      <c r="D4" s="80"/>
      <c r="E4" s="80"/>
      <c r="F4" s="80"/>
      <c r="G4" s="80"/>
      <c r="H4" s="80"/>
      <c r="I4" s="80"/>
      <c r="J4" s="80"/>
      <c r="K4" s="80"/>
      <c r="L4" s="80"/>
      <c r="M4" s="80"/>
    </row>
    <row r="5" spans="1:13" ht="14.45" customHeight="1" x14ac:dyDescent="0.2">
      <c r="A5" s="80"/>
      <c r="B5" s="363"/>
      <c r="C5" s="363"/>
      <c r="D5" s="80"/>
      <c r="E5" s="80"/>
      <c r="F5" s="80"/>
      <c r="G5" s="80"/>
      <c r="H5" s="80"/>
      <c r="I5" s="80"/>
      <c r="J5" s="80"/>
      <c r="K5" s="80"/>
      <c r="L5" s="80"/>
      <c r="M5" s="80"/>
    </row>
    <row r="6" spans="1:13" ht="14.45" customHeight="1" x14ac:dyDescent="0.2">
      <c r="A6" s="80"/>
      <c r="B6" s="363"/>
      <c r="C6" s="363"/>
      <c r="D6" s="80"/>
      <c r="E6" s="80"/>
      <c r="F6" s="80"/>
      <c r="G6" s="80"/>
      <c r="H6" s="80"/>
      <c r="I6" s="80"/>
      <c r="J6" s="80"/>
      <c r="K6" s="80"/>
      <c r="L6" s="80"/>
      <c r="M6" s="80"/>
    </row>
    <row r="7" spans="1:13" ht="14.45" customHeight="1" x14ac:dyDescent="0.2">
      <c r="A7" s="80"/>
      <c r="B7" s="363"/>
      <c r="C7" s="363"/>
      <c r="D7" s="80"/>
      <c r="E7" s="80"/>
      <c r="F7" s="80"/>
      <c r="G7" s="80"/>
      <c r="H7" s="80"/>
      <c r="I7" s="80"/>
      <c r="J7" s="80"/>
      <c r="K7" s="80"/>
      <c r="L7" s="80"/>
      <c r="M7" s="80"/>
    </row>
    <row r="8" spans="1:13" ht="14.45" customHeight="1" x14ac:dyDescent="0.2">
      <c r="A8" s="80"/>
      <c r="B8" s="363"/>
      <c r="C8" s="363"/>
      <c r="D8" s="80"/>
      <c r="E8" s="80"/>
      <c r="F8" s="80"/>
      <c r="G8" s="80"/>
      <c r="H8" s="80"/>
      <c r="I8" s="80"/>
      <c r="J8" s="80"/>
      <c r="K8" s="80"/>
      <c r="L8" s="80"/>
      <c r="M8" s="80"/>
    </row>
    <row r="9" spans="1:13" ht="14.45" customHeight="1" x14ac:dyDescent="0.2">
      <c r="A9" s="80"/>
      <c r="B9" s="363"/>
      <c r="C9" s="363"/>
      <c r="D9" s="80"/>
      <c r="E9" s="80"/>
      <c r="F9" s="80"/>
      <c r="G9" s="80"/>
      <c r="H9" s="80"/>
      <c r="I9" s="80"/>
      <c r="J9" s="80"/>
      <c r="K9" s="80"/>
      <c r="L9" s="80"/>
      <c r="M9" s="80"/>
    </row>
    <row r="10" spans="1:13" ht="14.45" customHeight="1" x14ac:dyDescent="0.2">
      <c r="A10" s="80"/>
      <c r="B10" s="363"/>
      <c r="C10" s="363"/>
      <c r="D10" s="80"/>
      <c r="E10" s="80"/>
      <c r="F10" s="80"/>
      <c r="G10" s="80"/>
      <c r="H10" s="80"/>
      <c r="I10" s="80"/>
      <c r="J10" s="80"/>
      <c r="K10" s="80"/>
      <c r="L10" s="80"/>
      <c r="M10" s="80"/>
    </row>
    <row r="11" spans="1:13" ht="14.45" customHeight="1" x14ac:dyDescent="0.2">
      <c r="A11" s="80"/>
      <c r="B11" s="363"/>
      <c r="C11" s="363"/>
      <c r="D11" s="80"/>
      <c r="E11" s="80"/>
      <c r="F11" s="80"/>
      <c r="G11" s="80"/>
      <c r="H11" s="80"/>
      <c r="I11" s="80"/>
      <c r="J11" s="80"/>
      <c r="K11" s="80"/>
      <c r="L11" s="80"/>
      <c r="M11" s="80"/>
    </row>
    <row r="12" spans="1:13" ht="14.45" customHeight="1" x14ac:dyDescent="0.2">
      <c r="A12" s="80"/>
      <c r="B12" s="363"/>
      <c r="C12" s="363"/>
      <c r="D12" s="80"/>
      <c r="E12" s="80"/>
      <c r="F12" s="80"/>
      <c r="G12" s="80"/>
      <c r="H12" s="80"/>
      <c r="I12" s="80"/>
      <c r="J12" s="80"/>
      <c r="K12" s="80"/>
      <c r="L12" s="80"/>
      <c r="M12" s="80"/>
    </row>
    <row r="13" spans="1:13" ht="14.45" customHeight="1" x14ac:dyDescent="0.2">
      <c r="A13" s="80"/>
      <c r="B13" s="363"/>
      <c r="C13" s="363"/>
      <c r="D13" s="80"/>
      <c r="E13" s="80"/>
      <c r="F13" s="80"/>
      <c r="G13" s="80"/>
      <c r="H13" s="80"/>
      <c r="I13" s="80"/>
      <c r="J13" s="80"/>
      <c r="K13" s="80"/>
      <c r="L13" s="80"/>
      <c r="M13" s="80"/>
    </row>
    <row r="14" spans="1:13" ht="14.45" customHeight="1" x14ac:dyDescent="0.2">
      <c r="A14" s="80"/>
      <c r="B14" s="363"/>
      <c r="C14" s="363"/>
      <c r="D14" s="80"/>
      <c r="E14" s="80"/>
      <c r="F14" s="80"/>
      <c r="G14" s="80"/>
      <c r="H14" s="80"/>
      <c r="I14" s="80"/>
      <c r="J14" s="80"/>
      <c r="K14" s="80"/>
      <c r="L14" s="80"/>
      <c r="M14" s="80"/>
    </row>
    <row r="15" spans="1:13" ht="14.45" customHeight="1" x14ac:dyDescent="0.2">
      <c r="A15" s="80"/>
      <c r="B15" s="363"/>
      <c r="C15" s="363"/>
      <c r="D15" s="80"/>
      <c r="E15" s="80"/>
      <c r="F15" s="80"/>
      <c r="G15" s="80"/>
      <c r="H15" s="80"/>
      <c r="I15" s="80"/>
      <c r="J15" s="80"/>
      <c r="K15" s="80"/>
      <c r="L15" s="80"/>
      <c r="M15" s="80"/>
    </row>
    <row r="16" spans="1:13" ht="14.45" customHeight="1" x14ac:dyDescent="0.2">
      <c r="A16" s="80"/>
      <c r="B16" s="363"/>
      <c r="C16" s="363"/>
      <c r="D16" s="80"/>
      <c r="E16" s="80"/>
      <c r="F16" s="80"/>
      <c r="G16" s="80"/>
      <c r="H16" s="80"/>
      <c r="I16" s="80"/>
      <c r="J16" s="80"/>
      <c r="K16" s="80"/>
      <c r="L16" s="80"/>
      <c r="M16" s="80"/>
    </row>
    <row r="17" spans="1:13" ht="14.45" customHeight="1" x14ac:dyDescent="0.2">
      <c r="A17" s="80"/>
      <c r="B17" s="363"/>
      <c r="C17" s="363"/>
      <c r="D17" s="80"/>
      <c r="E17" s="80"/>
      <c r="F17" s="80"/>
      <c r="G17" s="80"/>
      <c r="H17" s="80"/>
      <c r="I17" s="80"/>
      <c r="J17" s="80"/>
      <c r="K17" s="80"/>
      <c r="L17" s="80"/>
      <c r="M17" s="80"/>
    </row>
    <row r="18" spans="1:13" ht="14.45" customHeight="1" x14ac:dyDescent="0.2">
      <c r="A18" s="80"/>
      <c r="B18" s="363"/>
      <c r="C18" s="363"/>
      <c r="D18" s="80"/>
      <c r="E18" s="80"/>
      <c r="F18" s="80"/>
      <c r="G18" s="80"/>
      <c r="H18" s="80"/>
      <c r="I18" s="80"/>
      <c r="J18" s="80"/>
      <c r="K18" s="80"/>
      <c r="L18" s="80"/>
      <c r="M18" s="80"/>
    </row>
    <row r="19" spans="1:13" ht="14.45" customHeight="1" x14ac:dyDescent="0.2">
      <c r="A19" s="80"/>
      <c r="B19" s="363"/>
      <c r="C19" s="363"/>
      <c r="D19" s="80"/>
      <c r="E19" s="80"/>
      <c r="F19" s="80"/>
      <c r="G19" s="80"/>
      <c r="H19" s="80"/>
      <c r="I19" s="80"/>
      <c r="J19" s="80"/>
      <c r="K19" s="80"/>
      <c r="L19" s="80"/>
      <c r="M19" s="80"/>
    </row>
    <row r="20" spans="1:13" ht="14.45" customHeight="1" x14ac:dyDescent="0.2">
      <c r="A20" s="80"/>
      <c r="B20" s="363"/>
      <c r="C20" s="363"/>
      <c r="D20" s="80"/>
      <c r="E20" s="80"/>
      <c r="F20" s="80"/>
      <c r="G20" s="80"/>
      <c r="H20" s="80"/>
      <c r="I20" s="80"/>
      <c r="J20" s="80"/>
      <c r="K20" s="80"/>
      <c r="L20" s="80"/>
      <c r="M20" s="80"/>
    </row>
    <row r="21" spans="1:13" ht="14.45" customHeight="1" x14ac:dyDescent="0.2">
      <c r="A21" s="80"/>
      <c r="B21" s="363"/>
      <c r="C21" s="363"/>
      <c r="D21" s="80"/>
      <c r="E21" s="80"/>
      <c r="F21" s="80"/>
      <c r="G21" s="80"/>
      <c r="H21" s="80"/>
      <c r="I21" s="80"/>
      <c r="J21" s="80"/>
      <c r="K21" s="80"/>
      <c r="L21" s="80"/>
      <c r="M21" s="80"/>
    </row>
    <row r="22" spans="1:13" ht="14.45" customHeight="1" x14ac:dyDescent="0.2">
      <c r="A22" s="80"/>
      <c r="B22" s="363"/>
      <c r="C22" s="363"/>
      <c r="D22" s="80"/>
      <c r="E22" s="80"/>
      <c r="F22" s="80"/>
      <c r="G22" s="80"/>
      <c r="H22" s="80"/>
      <c r="I22" s="80"/>
      <c r="J22" s="80"/>
      <c r="K22" s="80"/>
      <c r="L22" s="80"/>
      <c r="M22" s="80"/>
    </row>
    <row r="23" spans="1:13" ht="14.45" customHeight="1" x14ac:dyDescent="0.2">
      <c r="A23" s="80"/>
      <c r="B23" s="363"/>
      <c r="C23" s="363"/>
      <c r="D23" s="80"/>
      <c r="E23" s="80"/>
      <c r="F23" s="80"/>
      <c r="G23" s="80"/>
      <c r="H23" s="80"/>
      <c r="I23" s="80"/>
      <c r="J23" s="80"/>
      <c r="K23" s="80"/>
      <c r="L23" s="80"/>
      <c r="M23" s="80"/>
    </row>
    <row r="24" spans="1:13" ht="14.45" customHeight="1" x14ac:dyDescent="0.2">
      <c r="A24" s="80"/>
      <c r="B24" s="363"/>
      <c r="C24" s="363"/>
      <c r="D24" s="80"/>
      <c r="E24" s="80"/>
      <c r="F24" s="80"/>
      <c r="G24" s="80"/>
      <c r="H24" s="80"/>
      <c r="I24" s="80"/>
      <c r="J24" s="80"/>
      <c r="K24" s="80"/>
      <c r="L24" s="80"/>
      <c r="M24" s="80"/>
    </row>
    <row r="25" spans="1:13" ht="14.45" customHeight="1" x14ac:dyDescent="0.2">
      <c r="A25" s="80"/>
      <c r="B25" s="363"/>
      <c r="C25" s="363"/>
      <c r="D25" s="80"/>
      <c r="E25" s="80"/>
      <c r="F25" s="80"/>
      <c r="G25" s="80"/>
      <c r="H25" s="80"/>
      <c r="I25" s="80"/>
      <c r="J25" s="80"/>
      <c r="K25" s="80"/>
      <c r="L25" s="80"/>
      <c r="M25" s="80"/>
    </row>
    <row r="26" spans="1:13" ht="14.45" customHeight="1" x14ac:dyDescent="0.2">
      <c r="A26" s="80"/>
      <c r="B26" s="363"/>
      <c r="C26" s="363"/>
      <c r="D26" s="80"/>
      <c r="E26" s="80"/>
      <c r="F26" s="80"/>
      <c r="G26" s="80"/>
      <c r="H26" s="80"/>
      <c r="I26" s="80"/>
      <c r="J26" s="80"/>
      <c r="K26" s="80"/>
      <c r="L26" s="80"/>
      <c r="M26" s="80"/>
    </row>
    <row r="27" spans="1:13" ht="14.45" customHeight="1" x14ac:dyDescent="0.2">
      <c r="A27" s="80"/>
      <c r="B27" s="363"/>
      <c r="C27" s="363"/>
      <c r="D27" s="80"/>
      <c r="E27" s="80"/>
      <c r="F27" s="80"/>
      <c r="G27" s="80"/>
      <c r="H27" s="80"/>
      <c r="I27" s="80"/>
      <c r="J27" s="80"/>
      <c r="K27" s="80"/>
      <c r="L27" s="80"/>
      <c r="M27" s="80"/>
    </row>
    <row r="28" spans="1:13" ht="14.45" customHeight="1" x14ac:dyDescent="0.2">
      <c r="A28" s="80"/>
      <c r="B28" s="363"/>
      <c r="C28" s="363"/>
      <c r="D28" s="80"/>
      <c r="E28" s="80"/>
      <c r="F28" s="80"/>
      <c r="G28" s="80"/>
      <c r="H28" s="80"/>
      <c r="I28" s="80"/>
      <c r="J28" s="80"/>
      <c r="K28" s="80"/>
      <c r="L28" s="80"/>
      <c r="M28" s="80"/>
    </row>
    <row r="29" spans="1:13" ht="14.45" customHeight="1" x14ac:dyDescent="0.2">
      <c r="A29" s="80"/>
      <c r="B29" s="363"/>
      <c r="C29" s="363"/>
      <c r="D29" s="80"/>
      <c r="E29" s="80"/>
      <c r="F29" s="80"/>
      <c r="G29" s="80"/>
      <c r="H29" s="80"/>
      <c r="I29" s="80"/>
      <c r="J29" s="80"/>
      <c r="K29" s="80"/>
      <c r="L29" s="80"/>
      <c r="M29" s="80"/>
    </row>
    <row r="30" spans="1:13" ht="14.45" customHeight="1" thickBot="1" x14ac:dyDescent="0.25">
      <c r="A30" s="80"/>
      <c r="B30" s="363"/>
      <c r="C30" s="363"/>
      <c r="D30" s="80"/>
      <c r="E30" s="80"/>
      <c r="F30" s="80"/>
      <c r="G30" s="80"/>
      <c r="H30" s="80"/>
      <c r="I30" s="80"/>
      <c r="J30" s="80"/>
      <c r="K30" s="80"/>
      <c r="L30" s="80"/>
      <c r="M30" s="80"/>
    </row>
    <row r="31" spans="1:13" ht="14.45" customHeight="1" x14ac:dyDescent="0.2">
      <c r="A31" s="175"/>
      <c r="B31" s="678" t="s">
        <v>82</v>
      </c>
      <c r="C31" s="679"/>
      <c r="D31" s="679"/>
      <c r="E31" s="680"/>
      <c r="F31" s="167" t="s">
        <v>82</v>
      </c>
      <c r="G31" s="83"/>
      <c r="H31" s="83"/>
      <c r="I31" s="80"/>
      <c r="J31" s="80"/>
      <c r="K31" s="80"/>
      <c r="L31" s="80"/>
      <c r="M31" s="80"/>
    </row>
    <row r="32" spans="1:13" ht="14.45" customHeight="1" thickBot="1" x14ac:dyDescent="0.25">
      <c r="A32" s="176" t="s">
        <v>67</v>
      </c>
      <c r="B32" s="168" t="s">
        <v>85</v>
      </c>
      <c r="C32" s="169" t="s">
        <v>86</v>
      </c>
      <c r="D32" s="169" t="s">
        <v>87</v>
      </c>
      <c r="E32" s="170" t="s">
        <v>2</v>
      </c>
      <c r="F32" s="171" t="s">
        <v>88</v>
      </c>
      <c r="G32" s="364"/>
      <c r="H32" s="364" t="s">
        <v>115</v>
      </c>
      <c r="I32" s="80"/>
      <c r="J32" s="80"/>
      <c r="K32" s="80"/>
      <c r="L32" s="80"/>
      <c r="M32" s="80"/>
    </row>
    <row r="33" spans="1:13" ht="14.45" customHeight="1" x14ac:dyDescent="0.2">
      <c r="A33" s="172" t="s">
        <v>102</v>
      </c>
      <c r="B33" s="199">
        <v>612</v>
      </c>
      <c r="C33" s="199">
        <v>516</v>
      </c>
      <c r="D33" s="84">
        <f>IF(C33="","",C33-B33)</f>
        <v>-96</v>
      </c>
      <c r="E33" s="85">
        <f>IF(C33="","",C33/B33)</f>
        <v>0.84313725490196079</v>
      </c>
      <c r="F33" s="86">
        <v>34</v>
      </c>
      <c r="G33" s="364">
        <v>0</v>
      </c>
      <c r="H33" s="365">
        <v>1</v>
      </c>
      <c r="I33" s="80"/>
      <c r="J33" s="80"/>
      <c r="K33" s="80"/>
      <c r="L33" s="80"/>
      <c r="M33" s="80"/>
    </row>
    <row r="34" spans="1:13" ht="14.45" customHeight="1" x14ac:dyDescent="0.2">
      <c r="A34" s="173" t="s">
        <v>103</v>
      </c>
      <c r="B34" s="200">
        <v>1244</v>
      </c>
      <c r="C34" s="200">
        <v>1078</v>
      </c>
      <c r="D34" s="87">
        <f t="shared" ref="D34:D45" si="0">IF(C34="","",C34-B34)</f>
        <v>-166</v>
      </c>
      <c r="E34" s="88">
        <f t="shared" ref="E34:E45" si="1">IF(C34="","",C34/B34)</f>
        <v>0.86655948553054662</v>
      </c>
      <c r="F34" s="89">
        <v>70</v>
      </c>
      <c r="G34" s="364">
        <v>1</v>
      </c>
      <c r="H34" s="365">
        <v>1</v>
      </c>
      <c r="I34" s="80"/>
      <c r="J34" s="80"/>
      <c r="K34" s="80"/>
      <c r="L34" s="80"/>
      <c r="M34" s="80"/>
    </row>
    <row r="35" spans="1:13" ht="14.45" customHeight="1" x14ac:dyDescent="0.2">
      <c r="A35" s="173" t="s">
        <v>104</v>
      </c>
      <c r="B35" s="200">
        <v>1854</v>
      </c>
      <c r="C35" s="200">
        <v>1677</v>
      </c>
      <c r="D35" s="87">
        <f t="shared" si="0"/>
        <v>-177</v>
      </c>
      <c r="E35" s="88">
        <f t="shared" si="1"/>
        <v>0.90453074433656955</v>
      </c>
      <c r="F35" s="89">
        <v>172</v>
      </c>
      <c r="G35" s="366"/>
      <c r="H35" s="366"/>
      <c r="I35" s="80"/>
      <c r="J35" s="80"/>
      <c r="K35" s="80"/>
      <c r="L35" s="80"/>
      <c r="M35" s="80"/>
    </row>
    <row r="36" spans="1:13" ht="14.45" customHeight="1" x14ac:dyDescent="0.2">
      <c r="A36" s="173" t="s">
        <v>105</v>
      </c>
      <c r="B36" s="200">
        <v>2204</v>
      </c>
      <c r="C36" s="200">
        <v>2032</v>
      </c>
      <c r="D36" s="87">
        <f t="shared" si="0"/>
        <v>-172</v>
      </c>
      <c r="E36" s="88">
        <f t="shared" si="1"/>
        <v>0.92196007259528134</v>
      </c>
      <c r="F36" s="89">
        <v>260</v>
      </c>
      <c r="G36" s="366"/>
      <c r="H36" s="366"/>
      <c r="I36" s="80"/>
      <c r="J36" s="80"/>
      <c r="K36" s="80"/>
      <c r="L36" s="80"/>
      <c r="M36" s="80"/>
    </row>
    <row r="37" spans="1:13" ht="14.45" customHeight="1" x14ac:dyDescent="0.2">
      <c r="A37" s="173" t="s">
        <v>106</v>
      </c>
      <c r="B37" s="200">
        <v>2990</v>
      </c>
      <c r="C37" s="200">
        <v>2704</v>
      </c>
      <c r="D37" s="87">
        <f t="shared" si="0"/>
        <v>-286</v>
      </c>
      <c r="E37" s="88">
        <f t="shared" si="1"/>
        <v>0.90434782608695652</v>
      </c>
      <c r="F37" s="89">
        <v>307</v>
      </c>
      <c r="G37" s="366"/>
      <c r="H37" s="366"/>
      <c r="I37" s="80"/>
      <c r="J37" s="80"/>
      <c r="K37" s="80"/>
      <c r="L37" s="80"/>
      <c r="M37" s="80"/>
    </row>
    <row r="38" spans="1:13" ht="14.45" customHeight="1" x14ac:dyDescent="0.2">
      <c r="A38" s="173" t="s">
        <v>107</v>
      </c>
      <c r="B38" s="200"/>
      <c r="C38" s="200"/>
      <c r="D38" s="87" t="str">
        <f t="shared" si="0"/>
        <v/>
      </c>
      <c r="E38" s="88" t="str">
        <f t="shared" si="1"/>
        <v/>
      </c>
      <c r="F38" s="89"/>
      <c r="G38" s="366"/>
      <c r="H38" s="366"/>
      <c r="I38" s="80"/>
      <c r="J38" s="80"/>
      <c r="K38" s="80"/>
      <c r="L38" s="80"/>
      <c r="M38" s="80"/>
    </row>
    <row r="39" spans="1:13" ht="14.45" customHeight="1" x14ac:dyDescent="0.2">
      <c r="A39" s="173" t="s">
        <v>108</v>
      </c>
      <c r="B39" s="200"/>
      <c r="C39" s="200"/>
      <c r="D39" s="87" t="str">
        <f t="shared" si="0"/>
        <v/>
      </c>
      <c r="E39" s="88" t="str">
        <f t="shared" si="1"/>
        <v/>
      </c>
      <c r="F39" s="89"/>
      <c r="G39" s="366"/>
      <c r="H39" s="366"/>
      <c r="I39" s="80"/>
      <c r="J39" s="80"/>
      <c r="K39" s="80"/>
      <c r="L39" s="80"/>
      <c r="M39" s="80"/>
    </row>
    <row r="40" spans="1:13" ht="14.45" customHeight="1" x14ac:dyDescent="0.2">
      <c r="A40" s="173" t="s">
        <v>109</v>
      </c>
      <c r="B40" s="200"/>
      <c r="C40" s="200"/>
      <c r="D40" s="87" t="str">
        <f t="shared" si="0"/>
        <v/>
      </c>
      <c r="E40" s="88" t="str">
        <f t="shared" si="1"/>
        <v/>
      </c>
      <c r="F40" s="89"/>
      <c r="G40" s="366"/>
      <c r="H40" s="366"/>
      <c r="I40" s="80"/>
      <c r="J40" s="80"/>
      <c r="K40" s="80"/>
      <c r="L40" s="80"/>
      <c r="M40" s="80"/>
    </row>
    <row r="41" spans="1:13" ht="14.45" customHeight="1" x14ac:dyDescent="0.2">
      <c r="A41" s="173" t="s">
        <v>110</v>
      </c>
      <c r="B41" s="200"/>
      <c r="C41" s="200"/>
      <c r="D41" s="87" t="str">
        <f t="shared" si="0"/>
        <v/>
      </c>
      <c r="E41" s="88" t="str">
        <f t="shared" si="1"/>
        <v/>
      </c>
      <c r="F41" s="89"/>
      <c r="G41" s="366"/>
      <c r="H41" s="366"/>
      <c r="I41" s="80"/>
      <c r="J41" s="80"/>
      <c r="K41" s="80"/>
      <c r="L41" s="80"/>
      <c r="M41" s="80"/>
    </row>
    <row r="42" spans="1:13" ht="14.45" customHeight="1" x14ac:dyDescent="0.2">
      <c r="A42" s="173" t="s">
        <v>111</v>
      </c>
      <c r="B42" s="200"/>
      <c r="C42" s="200"/>
      <c r="D42" s="87" t="str">
        <f t="shared" si="0"/>
        <v/>
      </c>
      <c r="E42" s="88" t="str">
        <f t="shared" si="1"/>
        <v/>
      </c>
      <c r="F42" s="89"/>
      <c r="G42" s="366"/>
      <c r="H42" s="366"/>
      <c r="I42" s="80"/>
      <c r="J42" s="80"/>
      <c r="K42" s="80"/>
      <c r="L42" s="80"/>
      <c r="M42" s="80"/>
    </row>
    <row r="43" spans="1:13" ht="14.45" customHeight="1" x14ac:dyDescent="0.2">
      <c r="A43" s="173" t="s">
        <v>112</v>
      </c>
      <c r="B43" s="200"/>
      <c r="C43" s="200"/>
      <c r="D43" s="87" t="str">
        <f t="shared" si="0"/>
        <v/>
      </c>
      <c r="E43" s="88" t="str">
        <f t="shared" si="1"/>
        <v/>
      </c>
      <c r="F43" s="89"/>
      <c r="G43" s="366"/>
      <c r="H43" s="366"/>
      <c r="I43" s="80"/>
      <c r="J43" s="80"/>
      <c r="K43" s="80"/>
      <c r="L43" s="80"/>
      <c r="M43" s="80"/>
    </row>
    <row r="44" spans="1:13" ht="14.45" customHeight="1" x14ac:dyDescent="0.2">
      <c r="A44" s="173" t="s">
        <v>113</v>
      </c>
      <c r="B44" s="200"/>
      <c r="C44" s="200"/>
      <c r="D44" s="87" t="str">
        <f t="shared" si="0"/>
        <v/>
      </c>
      <c r="E44" s="88" t="str">
        <f t="shared" si="1"/>
        <v/>
      </c>
      <c r="F44" s="89"/>
      <c r="G44" s="366"/>
      <c r="H44" s="366"/>
      <c r="I44" s="80"/>
      <c r="J44" s="80"/>
      <c r="K44" s="80"/>
      <c r="L44" s="80"/>
      <c r="M44" s="80"/>
    </row>
    <row r="45" spans="1:13" ht="14.45" customHeight="1" thickBot="1" x14ac:dyDescent="0.25">
      <c r="A45" s="174" t="s">
        <v>116</v>
      </c>
      <c r="B45" s="201"/>
      <c r="C45" s="201"/>
      <c r="D45" s="90" t="str">
        <f t="shared" si="0"/>
        <v/>
      </c>
      <c r="E45" s="91" t="str">
        <f t="shared" si="1"/>
        <v/>
      </c>
      <c r="F45" s="92"/>
      <c r="G45" s="366"/>
      <c r="H45" s="366"/>
      <c r="I45" s="80"/>
      <c r="J45" s="80"/>
      <c r="K45" s="80"/>
      <c r="L45" s="80"/>
      <c r="M45" s="80"/>
    </row>
  </sheetData>
  <mergeCells count="2">
    <mergeCell ref="A1:M1"/>
    <mergeCell ref="B31:E31"/>
  </mergeCells>
  <conditionalFormatting sqref="E33:E45">
    <cfRule type="cellIs" dxfId="16" priority="2" operator="greaterThan">
      <formula>1</formula>
    </cfRule>
  </conditionalFormatting>
  <conditionalFormatting sqref="F33:F45">
    <cfRule type="cellIs" dxfId="15" priority="1" operator="greaterThan">
      <formula>0</formula>
    </cfRule>
  </conditionalFormatting>
  <hyperlinks>
    <hyperlink ref="A2" location="Obsah!A1" display="Zpět na Obsah  KL 01  1.-4.měsíc" xr:uid="{307C2185-6E27-4C56-8C4A-82D427364DBA}"/>
  </hyperlinks>
  <pageMargins left="0.25" right="0.25" top="0.75" bottom="0.75" header="0.3" footer="0.3"/>
  <pageSetup paperSize="9" scale="77" fitToHeight="0" orientation="portrait" r:id="rId1"/>
  <headerFooter alignWithMargins="0"/>
  <ignoredErrors>
    <ignoredError sqref="A45" twoDigitTextYear="1"/>
  </ignoredErrors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 codeName="List24">
    <tabColor theme="0" tint="-0.249977111117893"/>
    <pageSetUpPr fitToPage="1"/>
  </sheetPr>
  <dimension ref="A1:Y71"/>
  <sheetViews>
    <sheetView showGridLines="0" showRowColHeaders="0" zoomScaleNormal="100" workbookViewId="0">
      <pane ySplit="4" topLeftCell="A5" activePane="bottomLeft" state="frozen"/>
      <selection sqref="A1:N1"/>
      <selection pane="bottomLeft" sqref="A1:Y1"/>
    </sheetView>
  </sheetViews>
  <sheetFormatPr defaultColWidth="8.85546875" defaultRowHeight="14.45" customHeight="1" outlineLevelCol="1" x14ac:dyDescent="0.2"/>
  <cols>
    <col min="1" max="1" width="6.140625" style="96" customWidth="1"/>
    <col min="2" max="2" width="6.5703125" style="213" hidden="1" customWidth="1" outlineLevel="1"/>
    <col min="3" max="3" width="5.85546875" style="213" hidden="1" customWidth="1" outlineLevel="1"/>
    <col min="4" max="4" width="7.7109375" style="213" hidden="1" customWidth="1" outlineLevel="1"/>
    <col min="5" max="5" width="6.5703125" style="99" customWidth="1" collapsed="1"/>
    <col min="6" max="6" width="5.85546875" style="99" customWidth="1"/>
    <col min="7" max="7" width="7.7109375" style="99" customWidth="1"/>
    <col min="8" max="8" width="6.5703125" style="99" customWidth="1"/>
    <col min="9" max="9" width="5.85546875" style="99" customWidth="1"/>
    <col min="10" max="10" width="7.7109375" style="99" customWidth="1"/>
    <col min="11" max="11" width="9.140625" style="99" customWidth="1"/>
    <col min="12" max="12" width="3.85546875" style="99" customWidth="1"/>
    <col min="13" max="13" width="4.28515625" style="99" customWidth="1"/>
    <col min="14" max="14" width="5.42578125" style="99" customWidth="1"/>
    <col min="15" max="15" width="4" style="99" customWidth="1"/>
    <col min="16" max="16" width="55.5703125" style="93" customWidth="1"/>
    <col min="17" max="17" width="7.7109375" style="97" hidden="1" customWidth="1" outlineLevel="1"/>
    <col min="18" max="18" width="5.85546875" style="97" hidden="1" customWidth="1" outlineLevel="1"/>
    <col min="19" max="19" width="7.7109375" style="97" customWidth="1" collapsed="1"/>
    <col min="20" max="20" width="6" style="97" customWidth="1"/>
    <col min="21" max="22" width="9.7109375" style="213" customWidth="1"/>
    <col min="23" max="23" width="7.7109375" style="213" customWidth="1"/>
    <col min="24" max="24" width="6.140625" style="100" customWidth="1"/>
    <col min="25" max="25" width="17.140625" style="98" bestFit="1" customWidth="1"/>
    <col min="26" max="16384" width="8.85546875" style="93"/>
  </cols>
  <sheetData>
    <row r="1" spans="1:25" s="312" customFormat="1" ht="18.600000000000001" customHeight="1" thickBot="1" x14ac:dyDescent="0.35">
      <c r="A1" s="602" t="s">
        <v>6279</v>
      </c>
      <c r="B1" s="517"/>
      <c r="C1" s="517"/>
      <c r="D1" s="517"/>
      <c r="E1" s="517"/>
      <c r="F1" s="517"/>
      <c r="G1" s="517"/>
      <c r="H1" s="517"/>
      <c r="I1" s="517"/>
      <c r="J1" s="517"/>
      <c r="K1" s="517"/>
      <c r="L1" s="517"/>
      <c r="M1" s="517"/>
      <c r="N1" s="517"/>
      <c r="O1" s="517"/>
      <c r="P1" s="517"/>
      <c r="Q1" s="517"/>
      <c r="R1" s="517"/>
      <c r="S1" s="517"/>
      <c r="T1" s="517"/>
      <c r="U1" s="517"/>
      <c r="V1" s="517"/>
      <c r="W1" s="517"/>
      <c r="X1" s="517"/>
      <c r="Y1" s="517"/>
    </row>
    <row r="2" spans="1:25" ht="14.45" customHeight="1" thickBot="1" x14ac:dyDescent="0.25">
      <c r="A2" s="705" t="s">
        <v>328</v>
      </c>
      <c r="B2" s="368"/>
      <c r="C2" s="368"/>
      <c r="D2" s="368"/>
      <c r="E2" s="368"/>
      <c r="F2" s="368"/>
      <c r="G2" s="368"/>
      <c r="H2" s="368"/>
      <c r="I2" s="368"/>
      <c r="J2" s="368"/>
      <c r="K2" s="368"/>
      <c r="L2" s="368"/>
      <c r="M2" s="368"/>
      <c r="N2" s="368"/>
      <c r="O2" s="368"/>
      <c r="P2" s="367"/>
      <c r="Q2" s="367"/>
      <c r="R2" s="367"/>
      <c r="S2" s="367"/>
      <c r="T2" s="367"/>
      <c r="U2" s="368"/>
      <c r="V2" s="368"/>
      <c r="W2" s="368"/>
      <c r="X2" s="367"/>
      <c r="Y2" s="369"/>
    </row>
    <row r="3" spans="1:25" s="94" customFormat="1" ht="14.45" customHeight="1" x14ac:dyDescent="0.2">
      <c r="A3" s="689" t="s">
        <v>74</v>
      </c>
      <c r="B3" s="691">
        <v>2018</v>
      </c>
      <c r="C3" s="692"/>
      <c r="D3" s="693"/>
      <c r="E3" s="691">
        <v>2019</v>
      </c>
      <c r="F3" s="692"/>
      <c r="G3" s="693"/>
      <c r="H3" s="691">
        <v>2020</v>
      </c>
      <c r="I3" s="692"/>
      <c r="J3" s="693"/>
      <c r="K3" s="694" t="s">
        <v>75</v>
      </c>
      <c r="L3" s="683" t="s">
        <v>76</v>
      </c>
      <c r="M3" s="683" t="s">
        <v>77</v>
      </c>
      <c r="N3" s="683" t="s">
        <v>78</v>
      </c>
      <c r="O3" s="263" t="s">
        <v>79</v>
      </c>
      <c r="P3" s="685" t="s">
        <v>80</v>
      </c>
      <c r="Q3" s="687" t="s">
        <v>327</v>
      </c>
      <c r="R3" s="688"/>
      <c r="S3" s="687" t="s">
        <v>81</v>
      </c>
      <c r="T3" s="688"/>
      <c r="U3" s="681" t="s">
        <v>82</v>
      </c>
      <c r="V3" s="682"/>
      <c r="W3" s="682"/>
      <c r="X3" s="682"/>
      <c r="Y3" s="214" t="s">
        <v>82</v>
      </c>
    </row>
    <row r="4" spans="1:25" s="95" customFormat="1" ht="14.45" customHeight="1" thickBot="1" x14ac:dyDescent="0.3">
      <c r="A4" s="690"/>
      <c r="B4" s="448" t="s">
        <v>83</v>
      </c>
      <c r="C4" s="446" t="s">
        <v>71</v>
      </c>
      <c r="D4" s="449" t="s">
        <v>84</v>
      </c>
      <c r="E4" s="448" t="s">
        <v>83</v>
      </c>
      <c r="F4" s="446" t="s">
        <v>71</v>
      </c>
      <c r="G4" s="449" t="s">
        <v>84</v>
      </c>
      <c r="H4" s="448" t="s">
        <v>83</v>
      </c>
      <c r="I4" s="446" t="s">
        <v>71</v>
      </c>
      <c r="J4" s="449" t="s">
        <v>84</v>
      </c>
      <c r="K4" s="695"/>
      <c r="L4" s="684"/>
      <c r="M4" s="684"/>
      <c r="N4" s="684"/>
      <c r="O4" s="450"/>
      <c r="P4" s="686"/>
      <c r="Q4" s="451" t="s">
        <v>72</v>
      </c>
      <c r="R4" s="452" t="s">
        <v>71</v>
      </c>
      <c r="S4" s="451" t="s">
        <v>72</v>
      </c>
      <c r="T4" s="452" t="s">
        <v>71</v>
      </c>
      <c r="U4" s="453" t="s">
        <v>85</v>
      </c>
      <c r="V4" s="447" t="s">
        <v>86</v>
      </c>
      <c r="W4" s="447" t="s">
        <v>87</v>
      </c>
      <c r="X4" s="454" t="s">
        <v>2</v>
      </c>
      <c r="Y4" s="455" t="s">
        <v>88</v>
      </c>
    </row>
    <row r="5" spans="1:25" s="456" customFormat="1" ht="14.45" customHeight="1" x14ac:dyDescent="0.2">
      <c r="A5" s="926" t="s">
        <v>6146</v>
      </c>
      <c r="B5" s="927"/>
      <c r="C5" s="928"/>
      <c r="D5" s="929"/>
      <c r="E5" s="930"/>
      <c r="F5" s="931"/>
      <c r="G5" s="932"/>
      <c r="H5" s="933">
        <v>2</v>
      </c>
      <c r="I5" s="934">
        <v>15.72</v>
      </c>
      <c r="J5" s="935">
        <v>8</v>
      </c>
      <c r="K5" s="936">
        <v>7.77</v>
      </c>
      <c r="L5" s="937">
        <v>5</v>
      </c>
      <c r="M5" s="937">
        <v>45</v>
      </c>
      <c r="N5" s="938">
        <v>15</v>
      </c>
      <c r="O5" s="937" t="s">
        <v>6147</v>
      </c>
      <c r="P5" s="939" t="s">
        <v>6148</v>
      </c>
      <c r="Q5" s="940">
        <f>H5-B5</f>
        <v>2</v>
      </c>
      <c r="R5" s="955">
        <f>I5-C5</f>
        <v>15.72</v>
      </c>
      <c r="S5" s="940">
        <f>H5-E5</f>
        <v>2</v>
      </c>
      <c r="T5" s="955">
        <f>I5-F5</f>
        <v>15.72</v>
      </c>
      <c r="U5" s="965">
        <v>30</v>
      </c>
      <c r="V5" s="927">
        <v>16</v>
      </c>
      <c r="W5" s="927">
        <v>-14</v>
      </c>
      <c r="X5" s="966">
        <v>0.53333333333333333</v>
      </c>
      <c r="Y5" s="967"/>
    </row>
    <row r="6" spans="1:25" ht="14.45" customHeight="1" x14ac:dyDescent="0.2">
      <c r="A6" s="924" t="s">
        <v>6149</v>
      </c>
      <c r="B6" s="905">
        <v>1</v>
      </c>
      <c r="C6" s="906">
        <v>33.15</v>
      </c>
      <c r="D6" s="907">
        <v>22</v>
      </c>
      <c r="E6" s="890">
        <v>4</v>
      </c>
      <c r="F6" s="891">
        <v>146.74</v>
      </c>
      <c r="G6" s="892">
        <v>38.799999999999997</v>
      </c>
      <c r="H6" s="894"/>
      <c r="I6" s="888"/>
      <c r="J6" s="889"/>
      <c r="K6" s="893">
        <v>33.15</v>
      </c>
      <c r="L6" s="894">
        <v>22</v>
      </c>
      <c r="M6" s="894">
        <v>135</v>
      </c>
      <c r="N6" s="895">
        <v>45</v>
      </c>
      <c r="O6" s="894" t="s">
        <v>6147</v>
      </c>
      <c r="P6" s="909" t="s">
        <v>6150</v>
      </c>
      <c r="Q6" s="896">
        <f t="shared" ref="Q6:R69" si="0">H6-B6</f>
        <v>-1</v>
      </c>
      <c r="R6" s="956">
        <f t="shared" si="0"/>
        <v>-33.15</v>
      </c>
      <c r="S6" s="896">
        <f t="shared" ref="S6:S69" si="1">H6-E6</f>
        <v>-4</v>
      </c>
      <c r="T6" s="956">
        <f t="shared" ref="T6:T69" si="2">I6-F6</f>
        <v>-146.74</v>
      </c>
      <c r="U6" s="963" t="s">
        <v>329</v>
      </c>
      <c r="V6" s="905" t="s">
        <v>329</v>
      </c>
      <c r="W6" s="905" t="s">
        <v>329</v>
      </c>
      <c r="X6" s="961" t="s">
        <v>329</v>
      </c>
      <c r="Y6" s="959"/>
    </row>
    <row r="7" spans="1:25" ht="14.45" customHeight="1" x14ac:dyDescent="0.2">
      <c r="A7" s="924" t="s">
        <v>6151</v>
      </c>
      <c r="B7" s="905">
        <v>4</v>
      </c>
      <c r="C7" s="906">
        <v>83.24</v>
      </c>
      <c r="D7" s="907">
        <v>19.8</v>
      </c>
      <c r="E7" s="890">
        <v>5</v>
      </c>
      <c r="F7" s="891">
        <v>104.45</v>
      </c>
      <c r="G7" s="892">
        <v>20.6</v>
      </c>
      <c r="H7" s="894">
        <v>1</v>
      </c>
      <c r="I7" s="888">
        <v>20.58</v>
      </c>
      <c r="J7" s="889">
        <v>16</v>
      </c>
      <c r="K7" s="893">
        <v>20.34</v>
      </c>
      <c r="L7" s="894">
        <v>11</v>
      </c>
      <c r="M7" s="894">
        <v>87</v>
      </c>
      <c r="N7" s="895">
        <v>29</v>
      </c>
      <c r="O7" s="894" t="s">
        <v>6147</v>
      </c>
      <c r="P7" s="909" t="s">
        <v>6152</v>
      </c>
      <c r="Q7" s="896">
        <f t="shared" si="0"/>
        <v>-3</v>
      </c>
      <c r="R7" s="956">
        <f t="shared" si="0"/>
        <v>-62.66</v>
      </c>
      <c r="S7" s="896">
        <f t="shared" si="1"/>
        <v>-4</v>
      </c>
      <c r="T7" s="956">
        <f t="shared" si="2"/>
        <v>-83.87</v>
      </c>
      <c r="U7" s="963">
        <v>29</v>
      </c>
      <c r="V7" s="905">
        <v>16</v>
      </c>
      <c r="W7" s="905">
        <v>-13</v>
      </c>
      <c r="X7" s="961">
        <v>0.55172413793103448</v>
      </c>
      <c r="Y7" s="959"/>
    </row>
    <row r="8" spans="1:25" ht="14.45" customHeight="1" x14ac:dyDescent="0.2">
      <c r="A8" s="924" t="s">
        <v>6153</v>
      </c>
      <c r="B8" s="905"/>
      <c r="C8" s="906"/>
      <c r="D8" s="907"/>
      <c r="E8" s="908">
        <v>2</v>
      </c>
      <c r="F8" s="888">
        <v>26.31</v>
      </c>
      <c r="G8" s="889">
        <v>8</v>
      </c>
      <c r="H8" s="890">
        <v>2</v>
      </c>
      <c r="I8" s="891">
        <v>29.28</v>
      </c>
      <c r="J8" s="892">
        <v>8.5</v>
      </c>
      <c r="K8" s="893">
        <v>12.65</v>
      </c>
      <c r="L8" s="894">
        <v>5</v>
      </c>
      <c r="M8" s="894">
        <v>60</v>
      </c>
      <c r="N8" s="895">
        <v>20</v>
      </c>
      <c r="O8" s="894" t="s">
        <v>6147</v>
      </c>
      <c r="P8" s="909" t="s">
        <v>6154</v>
      </c>
      <c r="Q8" s="896">
        <f t="shared" si="0"/>
        <v>2</v>
      </c>
      <c r="R8" s="956">
        <f t="shared" si="0"/>
        <v>29.28</v>
      </c>
      <c r="S8" s="896">
        <f t="shared" si="1"/>
        <v>0</v>
      </c>
      <c r="T8" s="956">
        <f t="shared" si="2"/>
        <v>2.9700000000000024</v>
      </c>
      <c r="U8" s="963">
        <v>40</v>
      </c>
      <c r="V8" s="905">
        <v>17</v>
      </c>
      <c r="W8" s="905">
        <v>-23</v>
      </c>
      <c r="X8" s="961">
        <v>0.42499999999999999</v>
      </c>
      <c r="Y8" s="959"/>
    </row>
    <row r="9" spans="1:25" ht="14.45" customHeight="1" x14ac:dyDescent="0.2">
      <c r="A9" s="924" t="s">
        <v>6155</v>
      </c>
      <c r="B9" s="897">
        <v>1</v>
      </c>
      <c r="C9" s="898">
        <v>4.1900000000000004</v>
      </c>
      <c r="D9" s="899">
        <v>9</v>
      </c>
      <c r="E9" s="908"/>
      <c r="F9" s="888"/>
      <c r="G9" s="889"/>
      <c r="H9" s="894"/>
      <c r="I9" s="888"/>
      <c r="J9" s="889"/>
      <c r="K9" s="893">
        <v>4.13</v>
      </c>
      <c r="L9" s="894">
        <v>4</v>
      </c>
      <c r="M9" s="894">
        <v>36</v>
      </c>
      <c r="N9" s="895">
        <v>12</v>
      </c>
      <c r="O9" s="894" t="s">
        <v>6147</v>
      </c>
      <c r="P9" s="909" t="s">
        <v>6156</v>
      </c>
      <c r="Q9" s="896">
        <f t="shared" si="0"/>
        <v>-1</v>
      </c>
      <c r="R9" s="956">
        <f t="shared" si="0"/>
        <v>-4.1900000000000004</v>
      </c>
      <c r="S9" s="896">
        <f t="shared" si="1"/>
        <v>0</v>
      </c>
      <c r="T9" s="956">
        <f t="shared" si="2"/>
        <v>0</v>
      </c>
      <c r="U9" s="963" t="s">
        <v>329</v>
      </c>
      <c r="V9" s="905" t="s">
        <v>329</v>
      </c>
      <c r="W9" s="905" t="s">
        <v>329</v>
      </c>
      <c r="X9" s="961" t="s">
        <v>329</v>
      </c>
      <c r="Y9" s="959"/>
    </row>
    <row r="10" spans="1:25" ht="14.45" customHeight="1" x14ac:dyDescent="0.2">
      <c r="A10" s="924" t="s">
        <v>6157</v>
      </c>
      <c r="B10" s="897">
        <v>1</v>
      </c>
      <c r="C10" s="898">
        <v>1.0900000000000001</v>
      </c>
      <c r="D10" s="899">
        <v>13</v>
      </c>
      <c r="E10" s="908"/>
      <c r="F10" s="888"/>
      <c r="G10" s="889"/>
      <c r="H10" s="894"/>
      <c r="I10" s="888"/>
      <c r="J10" s="889"/>
      <c r="K10" s="893">
        <v>0.93</v>
      </c>
      <c r="L10" s="894">
        <v>4</v>
      </c>
      <c r="M10" s="894">
        <v>33</v>
      </c>
      <c r="N10" s="895">
        <v>11</v>
      </c>
      <c r="O10" s="894" t="s">
        <v>6147</v>
      </c>
      <c r="P10" s="909" t="s">
        <v>6158</v>
      </c>
      <c r="Q10" s="896">
        <f t="shared" si="0"/>
        <v>-1</v>
      </c>
      <c r="R10" s="956">
        <f t="shared" si="0"/>
        <v>-1.0900000000000001</v>
      </c>
      <c r="S10" s="896">
        <f t="shared" si="1"/>
        <v>0</v>
      </c>
      <c r="T10" s="956">
        <f t="shared" si="2"/>
        <v>0</v>
      </c>
      <c r="U10" s="963" t="s">
        <v>329</v>
      </c>
      <c r="V10" s="905" t="s">
        <v>329</v>
      </c>
      <c r="W10" s="905" t="s">
        <v>329</v>
      </c>
      <c r="X10" s="961" t="s">
        <v>329</v>
      </c>
      <c r="Y10" s="959"/>
    </row>
    <row r="11" spans="1:25" ht="14.45" customHeight="1" x14ac:dyDescent="0.2">
      <c r="A11" s="924" t="s">
        <v>6159</v>
      </c>
      <c r="B11" s="905"/>
      <c r="C11" s="906"/>
      <c r="D11" s="907"/>
      <c r="E11" s="908"/>
      <c r="F11" s="888"/>
      <c r="G11" s="889"/>
      <c r="H11" s="890">
        <v>1</v>
      </c>
      <c r="I11" s="891">
        <v>0.42</v>
      </c>
      <c r="J11" s="892">
        <v>3</v>
      </c>
      <c r="K11" s="893">
        <v>0.42</v>
      </c>
      <c r="L11" s="894">
        <v>2</v>
      </c>
      <c r="M11" s="894">
        <v>15</v>
      </c>
      <c r="N11" s="895">
        <v>5</v>
      </c>
      <c r="O11" s="894" t="s">
        <v>6147</v>
      </c>
      <c r="P11" s="909" t="s">
        <v>6160</v>
      </c>
      <c r="Q11" s="896">
        <f t="shared" si="0"/>
        <v>1</v>
      </c>
      <c r="R11" s="956">
        <f t="shared" si="0"/>
        <v>0.42</v>
      </c>
      <c r="S11" s="896">
        <f t="shared" si="1"/>
        <v>1</v>
      </c>
      <c r="T11" s="956">
        <f t="shared" si="2"/>
        <v>0.42</v>
      </c>
      <c r="U11" s="963">
        <v>5</v>
      </c>
      <c r="V11" s="905">
        <v>3</v>
      </c>
      <c r="W11" s="905">
        <v>-2</v>
      </c>
      <c r="X11" s="961">
        <v>0.6</v>
      </c>
      <c r="Y11" s="959"/>
    </row>
    <row r="12" spans="1:25" ht="14.45" customHeight="1" x14ac:dyDescent="0.2">
      <c r="A12" s="925" t="s">
        <v>6161</v>
      </c>
      <c r="B12" s="911"/>
      <c r="C12" s="912"/>
      <c r="D12" s="910"/>
      <c r="E12" s="913">
        <v>1</v>
      </c>
      <c r="F12" s="914">
        <v>0.56000000000000005</v>
      </c>
      <c r="G12" s="900">
        <v>4</v>
      </c>
      <c r="H12" s="915"/>
      <c r="I12" s="916"/>
      <c r="J12" s="901"/>
      <c r="K12" s="917">
        <v>0.56000000000000005</v>
      </c>
      <c r="L12" s="918">
        <v>2</v>
      </c>
      <c r="M12" s="918">
        <v>21</v>
      </c>
      <c r="N12" s="919">
        <v>7</v>
      </c>
      <c r="O12" s="918" t="s">
        <v>6147</v>
      </c>
      <c r="P12" s="920" t="s">
        <v>6162</v>
      </c>
      <c r="Q12" s="921">
        <f t="shared" si="0"/>
        <v>0</v>
      </c>
      <c r="R12" s="957">
        <f t="shared" si="0"/>
        <v>0</v>
      </c>
      <c r="S12" s="921">
        <f t="shared" si="1"/>
        <v>-1</v>
      </c>
      <c r="T12" s="957">
        <f t="shared" si="2"/>
        <v>-0.56000000000000005</v>
      </c>
      <c r="U12" s="964" t="s">
        <v>329</v>
      </c>
      <c r="V12" s="911" t="s">
        <v>329</v>
      </c>
      <c r="W12" s="911" t="s">
        <v>329</v>
      </c>
      <c r="X12" s="962" t="s">
        <v>329</v>
      </c>
      <c r="Y12" s="960"/>
    </row>
    <row r="13" spans="1:25" ht="14.45" customHeight="1" x14ac:dyDescent="0.2">
      <c r="A13" s="924" t="s">
        <v>6163</v>
      </c>
      <c r="B13" s="897">
        <v>3</v>
      </c>
      <c r="C13" s="898">
        <v>1.28</v>
      </c>
      <c r="D13" s="899">
        <v>2</v>
      </c>
      <c r="E13" s="908"/>
      <c r="F13" s="888"/>
      <c r="G13" s="889"/>
      <c r="H13" s="894">
        <v>2</v>
      </c>
      <c r="I13" s="888">
        <v>0.84</v>
      </c>
      <c r="J13" s="902">
        <v>2.5</v>
      </c>
      <c r="K13" s="893">
        <v>0.42</v>
      </c>
      <c r="L13" s="894">
        <v>1</v>
      </c>
      <c r="M13" s="894">
        <v>5</v>
      </c>
      <c r="N13" s="895">
        <v>2</v>
      </c>
      <c r="O13" s="894" t="s">
        <v>6147</v>
      </c>
      <c r="P13" s="909" t="s">
        <v>6164</v>
      </c>
      <c r="Q13" s="896">
        <f t="shared" si="0"/>
        <v>-1</v>
      </c>
      <c r="R13" s="956">
        <f t="shared" si="0"/>
        <v>-0.44000000000000006</v>
      </c>
      <c r="S13" s="896">
        <f t="shared" si="1"/>
        <v>2</v>
      </c>
      <c r="T13" s="956">
        <f t="shared" si="2"/>
        <v>0.84</v>
      </c>
      <c r="U13" s="963">
        <v>4</v>
      </c>
      <c r="V13" s="905">
        <v>5</v>
      </c>
      <c r="W13" s="905">
        <v>1</v>
      </c>
      <c r="X13" s="961">
        <v>1.25</v>
      </c>
      <c r="Y13" s="959">
        <v>1</v>
      </c>
    </row>
    <row r="14" spans="1:25" ht="14.45" customHeight="1" x14ac:dyDescent="0.2">
      <c r="A14" s="924" t="s">
        <v>6165</v>
      </c>
      <c r="B14" s="897">
        <v>2</v>
      </c>
      <c r="C14" s="898">
        <v>28.4</v>
      </c>
      <c r="D14" s="899">
        <v>18</v>
      </c>
      <c r="E14" s="908">
        <v>1</v>
      </c>
      <c r="F14" s="888">
        <v>13.67</v>
      </c>
      <c r="G14" s="889">
        <v>14</v>
      </c>
      <c r="H14" s="894"/>
      <c r="I14" s="888"/>
      <c r="J14" s="889"/>
      <c r="K14" s="893">
        <v>13.4</v>
      </c>
      <c r="L14" s="894">
        <v>1</v>
      </c>
      <c r="M14" s="894">
        <v>12</v>
      </c>
      <c r="N14" s="895">
        <v>4</v>
      </c>
      <c r="O14" s="894" t="s">
        <v>5355</v>
      </c>
      <c r="P14" s="909" t="s">
        <v>6166</v>
      </c>
      <c r="Q14" s="896">
        <f t="shared" si="0"/>
        <v>-2</v>
      </c>
      <c r="R14" s="956">
        <f t="shared" si="0"/>
        <v>-28.4</v>
      </c>
      <c r="S14" s="896">
        <f t="shared" si="1"/>
        <v>-1</v>
      </c>
      <c r="T14" s="956">
        <f t="shared" si="2"/>
        <v>-13.67</v>
      </c>
      <c r="U14" s="963" t="s">
        <v>329</v>
      </c>
      <c r="V14" s="905" t="s">
        <v>329</v>
      </c>
      <c r="W14" s="905" t="s">
        <v>329</v>
      </c>
      <c r="X14" s="961" t="s">
        <v>329</v>
      </c>
      <c r="Y14" s="959"/>
    </row>
    <row r="15" spans="1:25" ht="14.45" customHeight="1" x14ac:dyDescent="0.2">
      <c r="A15" s="925" t="s">
        <v>6167</v>
      </c>
      <c r="B15" s="922">
        <v>2</v>
      </c>
      <c r="C15" s="923">
        <v>26.1</v>
      </c>
      <c r="D15" s="903">
        <v>9</v>
      </c>
      <c r="E15" s="913"/>
      <c r="F15" s="914"/>
      <c r="G15" s="900"/>
      <c r="H15" s="918">
        <v>2</v>
      </c>
      <c r="I15" s="914">
        <v>10.16</v>
      </c>
      <c r="J15" s="900">
        <v>3</v>
      </c>
      <c r="K15" s="917">
        <v>14.17</v>
      </c>
      <c r="L15" s="918">
        <v>2</v>
      </c>
      <c r="M15" s="918">
        <v>18</v>
      </c>
      <c r="N15" s="919">
        <v>6</v>
      </c>
      <c r="O15" s="918" t="s">
        <v>5355</v>
      </c>
      <c r="P15" s="920" t="s">
        <v>6168</v>
      </c>
      <c r="Q15" s="921">
        <f t="shared" si="0"/>
        <v>0</v>
      </c>
      <c r="R15" s="957">
        <f t="shared" si="0"/>
        <v>-15.940000000000001</v>
      </c>
      <c r="S15" s="921">
        <f t="shared" si="1"/>
        <v>2</v>
      </c>
      <c r="T15" s="957">
        <f t="shared" si="2"/>
        <v>10.16</v>
      </c>
      <c r="U15" s="964">
        <v>12</v>
      </c>
      <c r="V15" s="911">
        <v>6</v>
      </c>
      <c r="W15" s="911">
        <v>-6</v>
      </c>
      <c r="X15" s="962">
        <v>0.5</v>
      </c>
      <c r="Y15" s="960"/>
    </row>
    <row r="16" spans="1:25" ht="14.45" customHeight="1" x14ac:dyDescent="0.2">
      <c r="A16" s="925" t="s">
        <v>6169</v>
      </c>
      <c r="B16" s="922">
        <v>2</v>
      </c>
      <c r="C16" s="923">
        <v>34.4</v>
      </c>
      <c r="D16" s="903">
        <v>21</v>
      </c>
      <c r="E16" s="913"/>
      <c r="F16" s="914"/>
      <c r="G16" s="900"/>
      <c r="H16" s="918">
        <v>1</v>
      </c>
      <c r="I16" s="914">
        <v>17.2</v>
      </c>
      <c r="J16" s="904">
        <v>16</v>
      </c>
      <c r="K16" s="917">
        <v>17.2</v>
      </c>
      <c r="L16" s="918">
        <v>4</v>
      </c>
      <c r="M16" s="918">
        <v>39</v>
      </c>
      <c r="N16" s="919">
        <v>13</v>
      </c>
      <c r="O16" s="918" t="s">
        <v>5355</v>
      </c>
      <c r="P16" s="920" t="s">
        <v>6170</v>
      </c>
      <c r="Q16" s="921">
        <f t="shared" si="0"/>
        <v>-1</v>
      </c>
      <c r="R16" s="957">
        <f t="shared" si="0"/>
        <v>-17.2</v>
      </c>
      <c r="S16" s="921">
        <f t="shared" si="1"/>
        <v>1</v>
      </c>
      <c r="T16" s="957">
        <f t="shared" si="2"/>
        <v>17.2</v>
      </c>
      <c r="U16" s="964">
        <v>13</v>
      </c>
      <c r="V16" s="911">
        <v>16</v>
      </c>
      <c r="W16" s="911">
        <v>3</v>
      </c>
      <c r="X16" s="962">
        <v>1.2307692307692308</v>
      </c>
      <c r="Y16" s="960">
        <v>3</v>
      </c>
    </row>
    <row r="17" spans="1:25" ht="14.45" customHeight="1" x14ac:dyDescent="0.2">
      <c r="A17" s="924" t="s">
        <v>6171</v>
      </c>
      <c r="B17" s="905">
        <v>4</v>
      </c>
      <c r="C17" s="906">
        <v>52.28</v>
      </c>
      <c r="D17" s="907">
        <v>13</v>
      </c>
      <c r="E17" s="890">
        <v>6</v>
      </c>
      <c r="F17" s="891">
        <v>75.75</v>
      </c>
      <c r="G17" s="892">
        <v>13.5</v>
      </c>
      <c r="H17" s="894">
        <v>2</v>
      </c>
      <c r="I17" s="888">
        <v>15.23</v>
      </c>
      <c r="J17" s="889">
        <v>12.5</v>
      </c>
      <c r="K17" s="893">
        <v>13.07</v>
      </c>
      <c r="L17" s="894">
        <v>6</v>
      </c>
      <c r="M17" s="894">
        <v>54</v>
      </c>
      <c r="N17" s="895">
        <v>18</v>
      </c>
      <c r="O17" s="894" t="s">
        <v>6147</v>
      </c>
      <c r="P17" s="909" t="s">
        <v>6172</v>
      </c>
      <c r="Q17" s="896">
        <f t="shared" si="0"/>
        <v>-2</v>
      </c>
      <c r="R17" s="956">
        <f t="shared" si="0"/>
        <v>-37.049999999999997</v>
      </c>
      <c r="S17" s="896">
        <f t="shared" si="1"/>
        <v>-4</v>
      </c>
      <c r="T17" s="956">
        <f t="shared" si="2"/>
        <v>-60.519999999999996</v>
      </c>
      <c r="U17" s="963">
        <v>36</v>
      </c>
      <c r="V17" s="905">
        <v>25</v>
      </c>
      <c r="W17" s="905">
        <v>-11</v>
      </c>
      <c r="X17" s="961">
        <v>0.69444444444444442</v>
      </c>
      <c r="Y17" s="959"/>
    </row>
    <row r="18" spans="1:25" ht="14.45" customHeight="1" x14ac:dyDescent="0.2">
      <c r="A18" s="925" t="s">
        <v>6173</v>
      </c>
      <c r="B18" s="911">
        <v>5</v>
      </c>
      <c r="C18" s="912">
        <v>65.349999999999994</v>
      </c>
      <c r="D18" s="910">
        <v>13.8</v>
      </c>
      <c r="E18" s="915">
        <v>6</v>
      </c>
      <c r="F18" s="916">
        <v>74.989999999999995</v>
      </c>
      <c r="G18" s="901">
        <v>11.8</v>
      </c>
      <c r="H18" s="918">
        <v>6</v>
      </c>
      <c r="I18" s="914">
        <v>72.14</v>
      </c>
      <c r="J18" s="900">
        <v>16</v>
      </c>
      <c r="K18" s="917">
        <v>13.07</v>
      </c>
      <c r="L18" s="918">
        <v>6</v>
      </c>
      <c r="M18" s="918">
        <v>54</v>
      </c>
      <c r="N18" s="919">
        <v>18</v>
      </c>
      <c r="O18" s="918" t="s">
        <v>6147</v>
      </c>
      <c r="P18" s="920" t="s">
        <v>6174</v>
      </c>
      <c r="Q18" s="921">
        <f t="shared" si="0"/>
        <v>1</v>
      </c>
      <c r="R18" s="957">
        <f t="shared" si="0"/>
        <v>6.7900000000000063</v>
      </c>
      <c r="S18" s="921">
        <f t="shared" si="1"/>
        <v>0</v>
      </c>
      <c r="T18" s="957">
        <f t="shared" si="2"/>
        <v>-2.8499999999999943</v>
      </c>
      <c r="U18" s="964">
        <v>108</v>
      </c>
      <c r="V18" s="911">
        <v>96</v>
      </c>
      <c r="W18" s="911">
        <v>-12</v>
      </c>
      <c r="X18" s="962">
        <v>0.88888888888888884</v>
      </c>
      <c r="Y18" s="960">
        <v>10</v>
      </c>
    </row>
    <row r="19" spans="1:25" ht="14.45" customHeight="1" x14ac:dyDescent="0.2">
      <c r="A19" s="925" t="s">
        <v>6175</v>
      </c>
      <c r="B19" s="911">
        <v>2</v>
      </c>
      <c r="C19" s="912">
        <v>32.200000000000003</v>
      </c>
      <c r="D19" s="910">
        <v>35.5</v>
      </c>
      <c r="E19" s="915">
        <v>1</v>
      </c>
      <c r="F19" s="916">
        <v>8.32</v>
      </c>
      <c r="G19" s="901">
        <v>2</v>
      </c>
      <c r="H19" s="918">
        <v>4</v>
      </c>
      <c r="I19" s="914">
        <v>53.74</v>
      </c>
      <c r="J19" s="900">
        <v>12</v>
      </c>
      <c r="K19" s="917">
        <v>16.100000000000001</v>
      </c>
      <c r="L19" s="918">
        <v>7</v>
      </c>
      <c r="M19" s="918">
        <v>63</v>
      </c>
      <c r="N19" s="919">
        <v>21</v>
      </c>
      <c r="O19" s="918" t="s">
        <v>6147</v>
      </c>
      <c r="P19" s="920" t="s">
        <v>6176</v>
      </c>
      <c r="Q19" s="921">
        <f t="shared" si="0"/>
        <v>2</v>
      </c>
      <c r="R19" s="957">
        <f t="shared" si="0"/>
        <v>21.54</v>
      </c>
      <c r="S19" s="921">
        <f t="shared" si="1"/>
        <v>3</v>
      </c>
      <c r="T19" s="957">
        <f t="shared" si="2"/>
        <v>45.42</v>
      </c>
      <c r="U19" s="964">
        <v>84</v>
      </c>
      <c r="V19" s="911">
        <v>48</v>
      </c>
      <c r="W19" s="911">
        <v>-36</v>
      </c>
      <c r="X19" s="962">
        <v>0.5714285714285714</v>
      </c>
      <c r="Y19" s="960">
        <v>3</v>
      </c>
    </row>
    <row r="20" spans="1:25" ht="14.45" customHeight="1" x14ac:dyDescent="0.2">
      <c r="A20" s="924" t="s">
        <v>6177</v>
      </c>
      <c r="B20" s="905">
        <v>37</v>
      </c>
      <c r="C20" s="906">
        <v>362.74</v>
      </c>
      <c r="D20" s="907">
        <v>10.199999999999999</v>
      </c>
      <c r="E20" s="890">
        <v>35</v>
      </c>
      <c r="F20" s="891">
        <v>343.01</v>
      </c>
      <c r="G20" s="892">
        <v>9.8000000000000007</v>
      </c>
      <c r="H20" s="894">
        <v>39</v>
      </c>
      <c r="I20" s="888">
        <v>341.91</v>
      </c>
      <c r="J20" s="889">
        <v>10.9</v>
      </c>
      <c r="K20" s="893">
        <v>9.8000000000000007</v>
      </c>
      <c r="L20" s="894">
        <v>4</v>
      </c>
      <c r="M20" s="894">
        <v>33</v>
      </c>
      <c r="N20" s="895">
        <v>11</v>
      </c>
      <c r="O20" s="894" t="s">
        <v>6147</v>
      </c>
      <c r="P20" s="909" t="s">
        <v>6178</v>
      </c>
      <c r="Q20" s="896">
        <f t="shared" si="0"/>
        <v>2</v>
      </c>
      <c r="R20" s="956">
        <f t="shared" si="0"/>
        <v>-20.829999999999984</v>
      </c>
      <c r="S20" s="896">
        <f t="shared" si="1"/>
        <v>4</v>
      </c>
      <c r="T20" s="956">
        <f t="shared" si="2"/>
        <v>-1.0999999999999659</v>
      </c>
      <c r="U20" s="963">
        <v>429</v>
      </c>
      <c r="V20" s="905">
        <v>425.1</v>
      </c>
      <c r="W20" s="905">
        <v>-3.8999999999999773</v>
      </c>
      <c r="X20" s="961">
        <v>0.99090909090909096</v>
      </c>
      <c r="Y20" s="959">
        <v>41</v>
      </c>
    </row>
    <row r="21" spans="1:25" ht="14.45" customHeight="1" x14ac:dyDescent="0.2">
      <c r="A21" s="925" t="s">
        <v>6179</v>
      </c>
      <c r="B21" s="911">
        <v>31</v>
      </c>
      <c r="C21" s="912">
        <v>333.49</v>
      </c>
      <c r="D21" s="910">
        <v>11.3</v>
      </c>
      <c r="E21" s="915">
        <v>46</v>
      </c>
      <c r="F21" s="916">
        <v>494.86</v>
      </c>
      <c r="G21" s="901">
        <v>12.1</v>
      </c>
      <c r="H21" s="918">
        <v>29</v>
      </c>
      <c r="I21" s="914">
        <v>303.56</v>
      </c>
      <c r="J21" s="904">
        <v>14.3</v>
      </c>
      <c r="K21" s="917">
        <v>10.76</v>
      </c>
      <c r="L21" s="918">
        <v>5</v>
      </c>
      <c r="M21" s="918">
        <v>42</v>
      </c>
      <c r="N21" s="919">
        <v>14</v>
      </c>
      <c r="O21" s="918" t="s">
        <v>6147</v>
      </c>
      <c r="P21" s="920" t="s">
        <v>6180</v>
      </c>
      <c r="Q21" s="921">
        <f t="shared" si="0"/>
        <v>-2</v>
      </c>
      <c r="R21" s="957">
        <f t="shared" si="0"/>
        <v>-29.930000000000007</v>
      </c>
      <c r="S21" s="921">
        <f t="shared" si="1"/>
        <v>-17</v>
      </c>
      <c r="T21" s="957">
        <f t="shared" si="2"/>
        <v>-191.3</v>
      </c>
      <c r="U21" s="964">
        <v>406</v>
      </c>
      <c r="V21" s="911">
        <v>414.70000000000005</v>
      </c>
      <c r="W21" s="911">
        <v>8.7000000000000455</v>
      </c>
      <c r="X21" s="962">
        <v>1.0214285714285716</v>
      </c>
      <c r="Y21" s="960">
        <v>83</v>
      </c>
    </row>
    <row r="22" spans="1:25" ht="14.45" customHeight="1" x14ac:dyDescent="0.2">
      <c r="A22" s="925" t="s">
        <v>6181</v>
      </c>
      <c r="B22" s="911">
        <v>4</v>
      </c>
      <c r="C22" s="912">
        <v>52.69</v>
      </c>
      <c r="D22" s="910">
        <v>16.5</v>
      </c>
      <c r="E22" s="915">
        <v>10</v>
      </c>
      <c r="F22" s="916">
        <v>131.72999999999999</v>
      </c>
      <c r="G22" s="901">
        <v>19.7</v>
      </c>
      <c r="H22" s="918">
        <v>9</v>
      </c>
      <c r="I22" s="914">
        <v>111.67</v>
      </c>
      <c r="J22" s="904">
        <v>18.8</v>
      </c>
      <c r="K22" s="917">
        <v>13.17</v>
      </c>
      <c r="L22" s="918">
        <v>6</v>
      </c>
      <c r="M22" s="918">
        <v>54</v>
      </c>
      <c r="N22" s="919">
        <v>18</v>
      </c>
      <c r="O22" s="918" t="s">
        <v>6147</v>
      </c>
      <c r="P22" s="920" t="s">
        <v>6182</v>
      </c>
      <c r="Q22" s="921">
        <f t="shared" si="0"/>
        <v>5</v>
      </c>
      <c r="R22" s="957">
        <f t="shared" si="0"/>
        <v>58.980000000000004</v>
      </c>
      <c r="S22" s="921">
        <f t="shared" si="1"/>
        <v>-1</v>
      </c>
      <c r="T22" s="957">
        <f t="shared" si="2"/>
        <v>-20.059999999999988</v>
      </c>
      <c r="U22" s="964">
        <v>162</v>
      </c>
      <c r="V22" s="911">
        <v>169.20000000000002</v>
      </c>
      <c r="W22" s="911">
        <v>7.2000000000000171</v>
      </c>
      <c r="X22" s="962">
        <v>1.0444444444444445</v>
      </c>
      <c r="Y22" s="960">
        <v>54</v>
      </c>
    </row>
    <row r="23" spans="1:25" ht="14.45" customHeight="1" x14ac:dyDescent="0.2">
      <c r="A23" s="924" t="s">
        <v>6183</v>
      </c>
      <c r="B23" s="905">
        <v>19</v>
      </c>
      <c r="C23" s="906">
        <v>164.26</v>
      </c>
      <c r="D23" s="907">
        <v>12.8</v>
      </c>
      <c r="E23" s="890">
        <v>18</v>
      </c>
      <c r="F23" s="891">
        <v>148.06</v>
      </c>
      <c r="G23" s="892">
        <v>11.4</v>
      </c>
      <c r="H23" s="894">
        <v>20</v>
      </c>
      <c r="I23" s="888">
        <v>161.43</v>
      </c>
      <c r="J23" s="889">
        <v>10.199999999999999</v>
      </c>
      <c r="K23" s="893">
        <v>8.65</v>
      </c>
      <c r="L23" s="894">
        <v>4</v>
      </c>
      <c r="M23" s="894">
        <v>39</v>
      </c>
      <c r="N23" s="895">
        <v>13</v>
      </c>
      <c r="O23" s="894" t="s">
        <v>6147</v>
      </c>
      <c r="P23" s="909" t="s">
        <v>6184</v>
      </c>
      <c r="Q23" s="896">
        <f t="shared" si="0"/>
        <v>1</v>
      </c>
      <c r="R23" s="956">
        <f t="shared" si="0"/>
        <v>-2.8299999999999841</v>
      </c>
      <c r="S23" s="896">
        <f t="shared" si="1"/>
        <v>2</v>
      </c>
      <c r="T23" s="956">
        <f t="shared" si="2"/>
        <v>13.370000000000005</v>
      </c>
      <c r="U23" s="963">
        <v>260</v>
      </c>
      <c r="V23" s="905">
        <v>204</v>
      </c>
      <c r="W23" s="905">
        <v>-56</v>
      </c>
      <c r="X23" s="961">
        <v>0.7846153846153846</v>
      </c>
      <c r="Y23" s="959">
        <v>7</v>
      </c>
    </row>
    <row r="24" spans="1:25" ht="14.45" customHeight="1" x14ac:dyDescent="0.2">
      <c r="A24" s="925" t="s">
        <v>6185</v>
      </c>
      <c r="B24" s="911">
        <v>7</v>
      </c>
      <c r="C24" s="912">
        <v>65.349999999999994</v>
      </c>
      <c r="D24" s="910">
        <v>11.7</v>
      </c>
      <c r="E24" s="915">
        <v>14</v>
      </c>
      <c r="F24" s="916">
        <v>130.69999999999999</v>
      </c>
      <c r="G24" s="901">
        <v>14.4</v>
      </c>
      <c r="H24" s="918">
        <v>5</v>
      </c>
      <c r="I24" s="914">
        <v>43.11</v>
      </c>
      <c r="J24" s="900">
        <v>11.4</v>
      </c>
      <c r="K24" s="917">
        <v>9.34</v>
      </c>
      <c r="L24" s="918">
        <v>5</v>
      </c>
      <c r="M24" s="918">
        <v>48</v>
      </c>
      <c r="N24" s="919">
        <v>16</v>
      </c>
      <c r="O24" s="918" t="s">
        <v>6147</v>
      </c>
      <c r="P24" s="920" t="s">
        <v>6186</v>
      </c>
      <c r="Q24" s="921">
        <f t="shared" si="0"/>
        <v>-2</v>
      </c>
      <c r="R24" s="957">
        <f t="shared" si="0"/>
        <v>-22.239999999999995</v>
      </c>
      <c r="S24" s="921">
        <f t="shared" si="1"/>
        <v>-9</v>
      </c>
      <c r="T24" s="957">
        <f t="shared" si="2"/>
        <v>-87.589999999999989</v>
      </c>
      <c r="U24" s="964">
        <v>80</v>
      </c>
      <c r="V24" s="911">
        <v>57</v>
      </c>
      <c r="W24" s="911">
        <v>-23</v>
      </c>
      <c r="X24" s="962">
        <v>0.71250000000000002</v>
      </c>
      <c r="Y24" s="960"/>
    </row>
    <row r="25" spans="1:25" ht="14.45" customHeight="1" x14ac:dyDescent="0.2">
      <c r="A25" s="925" t="s">
        <v>6187</v>
      </c>
      <c r="B25" s="911">
        <v>9</v>
      </c>
      <c r="C25" s="912">
        <v>94.88</v>
      </c>
      <c r="D25" s="910">
        <v>13.8</v>
      </c>
      <c r="E25" s="915">
        <v>10</v>
      </c>
      <c r="F25" s="916">
        <v>105.71</v>
      </c>
      <c r="G25" s="901">
        <v>14.8</v>
      </c>
      <c r="H25" s="918">
        <v>5</v>
      </c>
      <c r="I25" s="914">
        <v>56.05</v>
      </c>
      <c r="J25" s="900">
        <v>16.2</v>
      </c>
      <c r="K25" s="917">
        <v>11.21</v>
      </c>
      <c r="L25" s="918">
        <v>6</v>
      </c>
      <c r="M25" s="918">
        <v>54</v>
      </c>
      <c r="N25" s="919">
        <v>18</v>
      </c>
      <c r="O25" s="918" t="s">
        <v>6147</v>
      </c>
      <c r="P25" s="920" t="s">
        <v>6188</v>
      </c>
      <c r="Q25" s="921">
        <f t="shared" si="0"/>
        <v>-4</v>
      </c>
      <c r="R25" s="957">
        <f t="shared" si="0"/>
        <v>-38.83</v>
      </c>
      <c r="S25" s="921">
        <f t="shared" si="1"/>
        <v>-5</v>
      </c>
      <c r="T25" s="957">
        <f t="shared" si="2"/>
        <v>-49.66</v>
      </c>
      <c r="U25" s="964">
        <v>90</v>
      </c>
      <c r="V25" s="911">
        <v>81</v>
      </c>
      <c r="W25" s="911">
        <v>-9</v>
      </c>
      <c r="X25" s="962">
        <v>0.9</v>
      </c>
      <c r="Y25" s="960">
        <v>3</v>
      </c>
    </row>
    <row r="26" spans="1:25" ht="14.45" customHeight="1" x14ac:dyDescent="0.2">
      <c r="A26" s="924" t="s">
        <v>6189</v>
      </c>
      <c r="B26" s="905">
        <v>76</v>
      </c>
      <c r="C26" s="906">
        <v>551.80999999999995</v>
      </c>
      <c r="D26" s="907">
        <v>9.5</v>
      </c>
      <c r="E26" s="890">
        <v>86</v>
      </c>
      <c r="F26" s="891">
        <v>620.41</v>
      </c>
      <c r="G26" s="892">
        <v>9.5</v>
      </c>
      <c r="H26" s="894">
        <v>60</v>
      </c>
      <c r="I26" s="888">
        <v>435.64</v>
      </c>
      <c r="J26" s="889">
        <v>9.6999999999999993</v>
      </c>
      <c r="K26" s="893">
        <v>7.26</v>
      </c>
      <c r="L26" s="894">
        <v>3</v>
      </c>
      <c r="M26" s="894">
        <v>30</v>
      </c>
      <c r="N26" s="895">
        <v>10</v>
      </c>
      <c r="O26" s="894" t="s">
        <v>6147</v>
      </c>
      <c r="P26" s="909" t="s">
        <v>6190</v>
      </c>
      <c r="Q26" s="896">
        <f t="shared" si="0"/>
        <v>-16</v>
      </c>
      <c r="R26" s="956">
        <f t="shared" si="0"/>
        <v>-116.16999999999996</v>
      </c>
      <c r="S26" s="896">
        <f t="shared" si="1"/>
        <v>-26</v>
      </c>
      <c r="T26" s="956">
        <f t="shared" si="2"/>
        <v>-184.76999999999998</v>
      </c>
      <c r="U26" s="963">
        <v>600</v>
      </c>
      <c r="V26" s="905">
        <v>582</v>
      </c>
      <c r="W26" s="905">
        <v>-18</v>
      </c>
      <c r="X26" s="961">
        <v>0.97</v>
      </c>
      <c r="Y26" s="959">
        <v>30</v>
      </c>
    </row>
    <row r="27" spans="1:25" ht="14.45" customHeight="1" x14ac:dyDescent="0.2">
      <c r="A27" s="925" t="s">
        <v>6191</v>
      </c>
      <c r="B27" s="911">
        <v>10</v>
      </c>
      <c r="C27" s="912">
        <v>73.73</v>
      </c>
      <c r="D27" s="910">
        <v>10.4</v>
      </c>
      <c r="E27" s="915">
        <v>11</v>
      </c>
      <c r="F27" s="916">
        <v>81.099999999999994</v>
      </c>
      <c r="G27" s="901">
        <v>11.8</v>
      </c>
      <c r="H27" s="918">
        <v>12</v>
      </c>
      <c r="I27" s="914">
        <v>88.47</v>
      </c>
      <c r="J27" s="900">
        <v>10.6</v>
      </c>
      <c r="K27" s="917">
        <v>7.37</v>
      </c>
      <c r="L27" s="918">
        <v>4</v>
      </c>
      <c r="M27" s="918">
        <v>36</v>
      </c>
      <c r="N27" s="919">
        <v>12</v>
      </c>
      <c r="O27" s="918" t="s">
        <v>6147</v>
      </c>
      <c r="P27" s="920" t="s">
        <v>6192</v>
      </c>
      <c r="Q27" s="921">
        <f t="shared" si="0"/>
        <v>2</v>
      </c>
      <c r="R27" s="957">
        <f t="shared" si="0"/>
        <v>14.739999999999995</v>
      </c>
      <c r="S27" s="921">
        <f t="shared" si="1"/>
        <v>1</v>
      </c>
      <c r="T27" s="957">
        <f t="shared" si="2"/>
        <v>7.3700000000000045</v>
      </c>
      <c r="U27" s="964">
        <v>144</v>
      </c>
      <c r="V27" s="911">
        <v>127.19999999999999</v>
      </c>
      <c r="W27" s="911">
        <v>-16.800000000000011</v>
      </c>
      <c r="X27" s="962">
        <v>0.8833333333333333</v>
      </c>
      <c r="Y27" s="960">
        <v>6</v>
      </c>
    </row>
    <row r="28" spans="1:25" ht="14.45" customHeight="1" x14ac:dyDescent="0.2">
      <c r="A28" s="925" t="s">
        <v>6193</v>
      </c>
      <c r="B28" s="911">
        <v>6</v>
      </c>
      <c r="C28" s="912">
        <v>51.85</v>
      </c>
      <c r="D28" s="910">
        <v>15.5</v>
      </c>
      <c r="E28" s="915">
        <v>5</v>
      </c>
      <c r="F28" s="916">
        <v>43.62</v>
      </c>
      <c r="G28" s="901">
        <v>10.8</v>
      </c>
      <c r="H28" s="918">
        <v>6</v>
      </c>
      <c r="I28" s="914">
        <v>50.96</v>
      </c>
      <c r="J28" s="900">
        <v>13.5</v>
      </c>
      <c r="K28" s="917">
        <v>8.49</v>
      </c>
      <c r="L28" s="918">
        <v>5</v>
      </c>
      <c r="M28" s="918">
        <v>45</v>
      </c>
      <c r="N28" s="919">
        <v>15</v>
      </c>
      <c r="O28" s="918" t="s">
        <v>6147</v>
      </c>
      <c r="P28" s="920" t="s">
        <v>6194</v>
      </c>
      <c r="Q28" s="921">
        <f t="shared" si="0"/>
        <v>0</v>
      </c>
      <c r="R28" s="957">
        <f t="shared" si="0"/>
        <v>-0.89000000000000057</v>
      </c>
      <c r="S28" s="921">
        <f t="shared" si="1"/>
        <v>1</v>
      </c>
      <c r="T28" s="957">
        <f t="shared" si="2"/>
        <v>7.3400000000000034</v>
      </c>
      <c r="U28" s="964">
        <v>90</v>
      </c>
      <c r="V28" s="911">
        <v>81</v>
      </c>
      <c r="W28" s="911">
        <v>-9</v>
      </c>
      <c r="X28" s="962">
        <v>0.9</v>
      </c>
      <c r="Y28" s="960">
        <v>5</v>
      </c>
    </row>
    <row r="29" spans="1:25" ht="14.45" customHeight="1" x14ac:dyDescent="0.2">
      <c r="A29" s="924" t="s">
        <v>6195</v>
      </c>
      <c r="B29" s="905">
        <v>1</v>
      </c>
      <c r="C29" s="906">
        <v>11.14</v>
      </c>
      <c r="D29" s="907">
        <v>9</v>
      </c>
      <c r="E29" s="908">
        <v>1</v>
      </c>
      <c r="F29" s="888">
        <v>7.04</v>
      </c>
      <c r="G29" s="889">
        <v>8</v>
      </c>
      <c r="H29" s="890">
        <v>2</v>
      </c>
      <c r="I29" s="891">
        <v>22.13</v>
      </c>
      <c r="J29" s="892">
        <v>10.5</v>
      </c>
      <c r="K29" s="893">
        <v>5.41</v>
      </c>
      <c r="L29" s="894">
        <v>4</v>
      </c>
      <c r="M29" s="894">
        <v>33</v>
      </c>
      <c r="N29" s="895">
        <v>11</v>
      </c>
      <c r="O29" s="894" t="s">
        <v>6147</v>
      </c>
      <c r="P29" s="909" t="s">
        <v>6196</v>
      </c>
      <c r="Q29" s="896">
        <f t="shared" si="0"/>
        <v>1</v>
      </c>
      <c r="R29" s="956">
        <f t="shared" si="0"/>
        <v>10.989999999999998</v>
      </c>
      <c r="S29" s="896">
        <f t="shared" si="1"/>
        <v>1</v>
      </c>
      <c r="T29" s="956">
        <f t="shared" si="2"/>
        <v>15.09</v>
      </c>
      <c r="U29" s="963">
        <v>22</v>
      </c>
      <c r="V29" s="905">
        <v>21</v>
      </c>
      <c r="W29" s="905">
        <v>-1</v>
      </c>
      <c r="X29" s="961">
        <v>0.95454545454545459</v>
      </c>
      <c r="Y29" s="959">
        <v>2</v>
      </c>
    </row>
    <row r="30" spans="1:25" ht="14.45" customHeight="1" x14ac:dyDescent="0.2">
      <c r="A30" s="925" t="s">
        <v>6197</v>
      </c>
      <c r="B30" s="911">
        <v>1</v>
      </c>
      <c r="C30" s="912">
        <v>7.26</v>
      </c>
      <c r="D30" s="910">
        <v>10</v>
      </c>
      <c r="E30" s="913"/>
      <c r="F30" s="914"/>
      <c r="G30" s="900"/>
      <c r="H30" s="915">
        <v>1</v>
      </c>
      <c r="I30" s="916">
        <v>10.4</v>
      </c>
      <c r="J30" s="901">
        <v>10</v>
      </c>
      <c r="K30" s="917">
        <v>7.26</v>
      </c>
      <c r="L30" s="918">
        <v>4</v>
      </c>
      <c r="M30" s="918">
        <v>39</v>
      </c>
      <c r="N30" s="919">
        <v>13</v>
      </c>
      <c r="O30" s="918" t="s">
        <v>6147</v>
      </c>
      <c r="P30" s="920" t="s">
        <v>6198</v>
      </c>
      <c r="Q30" s="921">
        <f t="shared" si="0"/>
        <v>0</v>
      </c>
      <c r="R30" s="957">
        <f t="shared" si="0"/>
        <v>3.1400000000000006</v>
      </c>
      <c r="S30" s="921">
        <f t="shared" si="1"/>
        <v>1</v>
      </c>
      <c r="T30" s="957">
        <f t="shared" si="2"/>
        <v>10.4</v>
      </c>
      <c r="U30" s="964">
        <v>13</v>
      </c>
      <c r="V30" s="911">
        <v>10</v>
      </c>
      <c r="W30" s="911">
        <v>-3</v>
      </c>
      <c r="X30" s="962">
        <v>0.76923076923076927</v>
      </c>
      <c r="Y30" s="960"/>
    </row>
    <row r="31" spans="1:25" ht="14.45" customHeight="1" x14ac:dyDescent="0.2">
      <c r="A31" s="925" t="s">
        <v>6199</v>
      </c>
      <c r="B31" s="911"/>
      <c r="C31" s="912"/>
      <c r="D31" s="910"/>
      <c r="E31" s="913"/>
      <c r="F31" s="914"/>
      <c r="G31" s="900"/>
      <c r="H31" s="915">
        <v>1</v>
      </c>
      <c r="I31" s="916">
        <v>12.77</v>
      </c>
      <c r="J31" s="904">
        <v>24</v>
      </c>
      <c r="K31" s="917">
        <v>9.31</v>
      </c>
      <c r="L31" s="918">
        <v>5</v>
      </c>
      <c r="M31" s="918">
        <v>48</v>
      </c>
      <c r="N31" s="919">
        <v>16</v>
      </c>
      <c r="O31" s="918" t="s">
        <v>6147</v>
      </c>
      <c r="P31" s="920" t="s">
        <v>6200</v>
      </c>
      <c r="Q31" s="921">
        <f t="shared" si="0"/>
        <v>1</v>
      </c>
      <c r="R31" s="957">
        <f t="shared" si="0"/>
        <v>12.77</v>
      </c>
      <c r="S31" s="921">
        <f t="shared" si="1"/>
        <v>1</v>
      </c>
      <c r="T31" s="957">
        <f t="shared" si="2"/>
        <v>12.77</v>
      </c>
      <c r="U31" s="964">
        <v>16</v>
      </c>
      <c r="V31" s="911">
        <v>24</v>
      </c>
      <c r="W31" s="911">
        <v>8</v>
      </c>
      <c r="X31" s="962">
        <v>1.5</v>
      </c>
      <c r="Y31" s="960">
        <v>8</v>
      </c>
    </row>
    <row r="32" spans="1:25" ht="14.45" customHeight="1" x14ac:dyDescent="0.2">
      <c r="A32" s="924" t="s">
        <v>6201</v>
      </c>
      <c r="B32" s="905"/>
      <c r="C32" s="906"/>
      <c r="D32" s="907"/>
      <c r="E32" s="908"/>
      <c r="F32" s="888"/>
      <c r="G32" s="889"/>
      <c r="H32" s="890">
        <v>1</v>
      </c>
      <c r="I32" s="891">
        <v>2.58</v>
      </c>
      <c r="J32" s="892">
        <v>2</v>
      </c>
      <c r="K32" s="893">
        <v>4.2300000000000004</v>
      </c>
      <c r="L32" s="894">
        <v>2</v>
      </c>
      <c r="M32" s="894">
        <v>21</v>
      </c>
      <c r="N32" s="895">
        <v>7</v>
      </c>
      <c r="O32" s="894" t="s">
        <v>6147</v>
      </c>
      <c r="P32" s="909" t="s">
        <v>6202</v>
      </c>
      <c r="Q32" s="896">
        <f t="shared" si="0"/>
        <v>1</v>
      </c>
      <c r="R32" s="956">
        <f t="shared" si="0"/>
        <v>2.58</v>
      </c>
      <c r="S32" s="896">
        <f t="shared" si="1"/>
        <v>1</v>
      </c>
      <c r="T32" s="956">
        <f t="shared" si="2"/>
        <v>2.58</v>
      </c>
      <c r="U32" s="963">
        <v>7</v>
      </c>
      <c r="V32" s="905">
        <v>2</v>
      </c>
      <c r="W32" s="905">
        <v>-5</v>
      </c>
      <c r="X32" s="961">
        <v>0.2857142857142857</v>
      </c>
      <c r="Y32" s="959"/>
    </row>
    <row r="33" spans="1:25" ht="14.45" customHeight="1" x14ac:dyDescent="0.2">
      <c r="A33" s="924" t="s">
        <v>6203</v>
      </c>
      <c r="B33" s="905"/>
      <c r="C33" s="906"/>
      <c r="D33" s="907"/>
      <c r="E33" s="908"/>
      <c r="F33" s="888"/>
      <c r="G33" s="889"/>
      <c r="H33" s="890">
        <v>1</v>
      </c>
      <c r="I33" s="891">
        <v>2.95</v>
      </c>
      <c r="J33" s="892">
        <v>3</v>
      </c>
      <c r="K33" s="893">
        <v>2.95</v>
      </c>
      <c r="L33" s="894">
        <v>1</v>
      </c>
      <c r="M33" s="894">
        <v>12</v>
      </c>
      <c r="N33" s="895">
        <v>4</v>
      </c>
      <c r="O33" s="894" t="s">
        <v>5355</v>
      </c>
      <c r="P33" s="909" t="s">
        <v>6204</v>
      </c>
      <c r="Q33" s="896">
        <f t="shared" si="0"/>
        <v>1</v>
      </c>
      <c r="R33" s="956">
        <f t="shared" si="0"/>
        <v>2.95</v>
      </c>
      <c r="S33" s="896">
        <f t="shared" si="1"/>
        <v>1</v>
      </c>
      <c r="T33" s="956">
        <f t="shared" si="2"/>
        <v>2.95</v>
      </c>
      <c r="U33" s="963">
        <v>4</v>
      </c>
      <c r="V33" s="905">
        <v>3</v>
      </c>
      <c r="W33" s="905">
        <v>-1</v>
      </c>
      <c r="X33" s="961">
        <v>0.75</v>
      </c>
      <c r="Y33" s="959"/>
    </row>
    <row r="34" spans="1:25" ht="14.45" customHeight="1" x14ac:dyDescent="0.2">
      <c r="A34" s="924" t="s">
        <v>6205</v>
      </c>
      <c r="B34" s="905">
        <v>6</v>
      </c>
      <c r="C34" s="906">
        <v>36.549999999999997</v>
      </c>
      <c r="D34" s="907">
        <v>12</v>
      </c>
      <c r="E34" s="908">
        <v>6</v>
      </c>
      <c r="F34" s="888">
        <v>39.6</v>
      </c>
      <c r="G34" s="889">
        <v>8.1999999999999993</v>
      </c>
      <c r="H34" s="890">
        <v>6</v>
      </c>
      <c r="I34" s="891">
        <v>34.26</v>
      </c>
      <c r="J34" s="892">
        <v>9</v>
      </c>
      <c r="K34" s="893">
        <v>6.66</v>
      </c>
      <c r="L34" s="894">
        <v>3</v>
      </c>
      <c r="M34" s="894">
        <v>30</v>
      </c>
      <c r="N34" s="895">
        <v>10</v>
      </c>
      <c r="O34" s="894" t="s">
        <v>6147</v>
      </c>
      <c r="P34" s="909" t="s">
        <v>6206</v>
      </c>
      <c r="Q34" s="896">
        <f t="shared" si="0"/>
        <v>0</v>
      </c>
      <c r="R34" s="956">
        <f t="shared" si="0"/>
        <v>-2.2899999999999991</v>
      </c>
      <c r="S34" s="896">
        <f t="shared" si="1"/>
        <v>0</v>
      </c>
      <c r="T34" s="956">
        <f t="shared" si="2"/>
        <v>-5.3400000000000034</v>
      </c>
      <c r="U34" s="963">
        <v>60</v>
      </c>
      <c r="V34" s="905">
        <v>54</v>
      </c>
      <c r="W34" s="905">
        <v>-6</v>
      </c>
      <c r="X34" s="961">
        <v>0.9</v>
      </c>
      <c r="Y34" s="959"/>
    </row>
    <row r="35" spans="1:25" ht="14.45" customHeight="1" x14ac:dyDescent="0.2">
      <c r="A35" s="925" t="s">
        <v>6207</v>
      </c>
      <c r="B35" s="911">
        <v>2</v>
      </c>
      <c r="C35" s="912">
        <v>14.02</v>
      </c>
      <c r="D35" s="910">
        <v>10</v>
      </c>
      <c r="E35" s="913">
        <v>1</v>
      </c>
      <c r="F35" s="914">
        <v>7.01</v>
      </c>
      <c r="G35" s="900">
        <v>18</v>
      </c>
      <c r="H35" s="915">
        <v>2</v>
      </c>
      <c r="I35" s="916">
        <v>12.41</v>
      </c>
      <c r="J35" s="901">
        <v>8</v>
      </c>
      <c r="K35" s="917">
        <v>7.01</v>
      </c>
      <c r="L35" s="918">
        <v>5</v>
      </c>
      <c r="M35" s="918">
        <v>42</v>
      </c>
      <c r="N35" s="919">
        <v>14</v>
      </c>
      <c r="O35" s="918" t="s">
        <v>6147</v>
      </c>
      <c r="P35" s="920" t="s">
        <v>6208</v>
      </c>
      <c r="Q35" s="921">
        <f t="shared" si="0"/>
        <v>0</v>
      </c>
      <c r="R35" s="957">
        <f t="shared" si="0"/>
        <v>-1.6099999999999994</v>
      </c>
      <c r="S35" s="921">
        <f t="shared" si="1"/>
        <v>1</v>
      </c>
      <c r="T35" s="957">
        <f t="shared" si="2"/>
        <v>5.4</v>
      </c>
      <c r="U35" s="964">
        <v>28</v>
      </c>
      <c r="V35" s="911">
        <v>16</v>
      </c>
      <c r="W35" s="911">
        <v>-12</v>
      </c>
      <c r="X35" s="962">
        <v>0.5714285714285714</v>
      </c>
      <c r="Y35" s="960"/>
    </row>
    <row r="36" spans="1:25" ht="14.45" customHeight="1" x14ac:dyDescent="0.2">
      <c r="A36" s="925" t="s">
        <v>6209</v>
      </c>
      <c r="B36" s="911">
        <v>3</v>
      </c>
      <c r="C36" s="912">
        <v>31.51</v>
      </c>
      <c r="D36" s="910">
        <v>20</v>
      </c>
      <c r="E36" s="913">
        <v>1</v>
      </c>
      <c r="F36" s="914">
        <v>8.06</v>
      </c>
      <c r="G36" s="900">
        <v>9</v>
      </c>
      <c r="H36" s="915">
        <v>4</v>
      </c>
      <c r="I36" s="916">
        <v>37.92</v>
      </c>
      <c r="J36" s="901">
        <v>9.5</v>
      </c>
      <c r="K36" s="917">
        <v>10.38</v>
      </c>
      <c r="L36" s="918">
        <v>6</v>
      </c>
      <c r="M36" s="918">
        <v>51</v>
      </c>
      <c r="N36" s="919">
        <v>17</v>
      </c>
      <c r="O36" s="918" t="s">
        <v>6147</v>
      </c>
      <c r="P36" s="920" t="s">
        <v>6210</v>
      </c>
      <c r="Q36" s="921">
        <f t="shared" si="0"/>
        <v>1</v>
      </c>
      <c r="R36" s="957">
        <f t="shared" si="0"/>
        <v>6.41</v>
      </c>
      <c r="S36" s="921">
        <f t="shared" si="1"/>
        <v>3</v>
      </c>
      <c r="T36" s="957">
        <f t="shared" si="2"/>
        <v>29.86</v>
      </c>
      <c r="U36" s="964">
        <v>68</v>
      </c>
      <c r="V36" s="911">
        <v>38</v>
      </c>
      <c r="W36" s="911">
        <v>-30</v>
      </c>
      <c r="X36" s="962">
        <v>0.55882352941176472</v>
      </c>
      <c r="Y36" s="960"/>
    </row>
    <row r="37" spans="1:25" ht="14.45" customHeight="1" x14ac:dyDescent="0.2">
      <c r="A37" s="924" t="s">
        <v>6211</v>
      </c>
      <c r="B37" s="905"/>
      <c r="C37" s="906"/>
      <c r="D37" s="907"/>
      <c r="E37" s="908">
        <v>1</v>
      </c>
      <c r="F37" s="888">
        <v>6.2</v>
      </c>
      <c r="G37" s="889">
        <v>14</v>
      </c>
      <c r="H37" s="890"/>
      <c r="I37" s="891"/>
      <c r="J37" s="892"/>
      <c r="K37" s="893">
        <v>6.2</v>
      </c>
      <c r="L37" s="894">
        <v>2</v>
      </c>
      <c r="M37" s="894">
        <v>15</v>
      </c>
      <c r="N37" s="895">
        <v>5</v>
      </c>
      <c r="O37" s="894" t="s">
        <v>5355</v>
      </c>
      <c r="P37" s="909" t="s">
        <v>6212</v>
      </c>
      <c r="Q37" s="896">
        <f t="shared" si="0"/>
        <v>0</v>
      </c>
      <c r="R37" s="956">
        <f t="shared" si="0"/>
        <v>0</v>
      </c>
      <c r="S37" s="896">
        <f t="shared" si="1"/>
        <v>-1</v>
      </c>
      <c r="T37" s="956">
        <f t="shared" si="2"/>
        <v>-6.2</v>
      </c>
      <c r="U37" s="963" t="s">
        <v>329</v>
      </c>
      <c r="V37" s="905" t="s">
        <v>329</v>
      </c>
      <c r="W37" s="905" t="s">
        <v>329</v>
      </c>
      <c r="X37" s="961" t="s">
        <v>329</v>
      </c>
      <c r="Y37" s="959"/>
    </row>
    <row r="38" spans="1:25" ht="14.45" customHeight="1" x14ac:dyDescent="0.2">
      <c r="A38" s="925" t="s">
        <v>6213</v>
      </c>
      <c r="B38" s="911"/>
      <c r="C38" s="912"/>
      <c r="D38" s="910"/>
      <c r="E38" s="913"/>
      <c r="F38" s="914"/>
      <c r="G38" s="900"/>
      <c r="H38" s="915">
        <v>1</v>
      </c>
      <c r="I38" s="916">
        <v>3.36</v>
      </c>
      <c r="J38" s="901">
        <v>7</v>
      </c>
      <c r="K38" s="917">
        <v>9.6199999999999992</v>
      </c>
      <c r="L38" s="918">
        <v>4</v>
      </c>
      <c r="M38" s="918">
        <v>33</v>
      </c>
      <c r="N38" s="919">
        <v>11</v>
      </c>
      <c r="O38" s="918" t="s">
        <v>5355</v>
      </c>
      <c r="P38" s="920" t="s">
        <v>6212</v>
      </c>
      <c r="Q38" s="921">
        <f t="shared" si="0"/>
        <v>1</v>
      </c>
      <c r="R38" s="957">
        <f t="shared" si="0"/>
        <v>3.36</v>
      </c>
      <c r="S38" s="921">
        <f t="shared" si="1"/>
        <v>1</v>
      </c>
      <c r="T38" s="957">
        <f t="shared" si="2"/>
        <v>3.36</v>
      </c>
      <c r="U38" s="964">
        <v>11</v>
      </c>
      <c r="V38" s="911">
        <v>7</v>
      </c>
      <c r="W38" s="911">
        <v>-4</v>
      </c>
      <c r="X38" s="962">
        <v>0.63636363636363635</v>
      </c>
      <c r="Y38" s="960"/>
    </row>
    <row r="39" spans="1:25" ht="14.45" customHeight="1" x14ac:dyDescent="0.2">
      <c r="A39" s="924" t="s">
        <v>6214</v>
      </c>
      <c r="B39" s="905"/>
      <c r="C39" s="906"/>
      <c r="D39" s="907"/>
      <c r="E39" s="890">
        <v>4</v>
      </c>
      <c r="F39" s="891">
        <v>10.38</v>
      </c>
      <c r="G39" s="892">
        <v>3</v>
      </c>
      <c r="H39" s="894">
        <v>2</v>
      </c>
      <c r="I39" s="888">
        <v>3.6</v>
      </c>
      <c r="J39" s="889">
        <v>2</v>
      </c>
      <c r="K39" s="893">
        <v>2.94</v>
      </c>
      <c r="L39" s="894">
        <v>1</v>
      </c>
      <c r="M39" s="894">
        <v>9</v>
      </c>
      <c r="N39" s="895">
        <v>3</v>
      </c>
      <c r="O39" s="894" t="s">
        <v>5355</v>
      </c>
      <c r="P39" s="909" t="s">
        <v>6215</v>
      </c>
      <c r="Q39" s="896">
        <f t="shared" si="0"/>
        <v>2</v>
      </c>
      <c r="R39" s="956">
        <f t="shared" si="0"/>
        <v>3.6</v>
      </c>
      <c r="S39" s="896">
        <f t="shared" si="1"/>
        <v>-2</v>
      </c>
      <c r="T39" s="956">
        <f t="shared" si="2"/>
        <v>-6.7800000000000011</v>
      </c>
      <c r="U39" s="963">
        <v>6</v>
      </c>
      <c r="V39" s="905">
        <v>4</v>
      </c>
      <c r="W39" s="905">
        <v>-2</v>
      </c>
      <c r="X39" s="961">
        <v>0.66666666666666663</v>
      </c>
      <c r="Y39" s="959"/>
    </row>
    <row r="40" spans="1:25" ht="14.45" customHeight="1" x14ac:dyDescent="0.2">
      <c r="A40" s="924" t="s">
        <v>6216</v>
      </c>
      <c r="B40" s="905"/>
      <c r="C40" s="906"/>
      <c r="D40" s="907"/>
      <c r="E40" s="890">
        <v>1</v>
      </c>
      <c r="F40" s="891">
        <v>0.73</v>
      </c>
      <c r="G40" s="892">
        <v>5</v>
      </c>
      <c r="H40" s="894"/>
      <c r="I40" s="888"/>
      <c r="J40" s="889"/>
      <c r="K40" s="893">
        <v>0.73</v>
      </c>
      <c r="L40" s="894">
        <v>1</v>
      </c>
      <c r="M40" s="894">
        <v>12</v>
      </c>
      <c r="N40" s="895">
        <v>4</v>
      </c>
      <c r="O40" s="894" t="s">
        <v>6147</v>
      </c>
      <c r="P40" s="909" t="s">
        <v>6217</v>
      </c>
      <c r="Q40" s="896">
        <f t="shared" si="0"/>
        <v>0</v>
      </c>
      <c r="R40" s="956">
        <f t="shared" si="0"/>
        <v>0</v>
      </c>
      <c r="S40" s="896">
        <f t="shared" si="1"/>
        <v>-1</v>
      </c>
      <c r="T40" s="956">
        <f t="shared" si="2"/>
        <v>-0.73</v>
      </c>
      <c r="U40" s="963" t="s">
        <v>329</v>
      </c>
      <c r="V40" s="905" t="s">
        <v>329</v>
      </c>
      <c r="W40" s="905" t="s">
        <v>329</v>
      </c>
      <c r="X40" s="961" t="s">
        <v>329</v>
      </c>
      <c r="Y40" s="959"/>
    </row>
    <row r="41" spans="1:25" ht="14.45" customHeight="1" x14ac:dyDescent="0.2">
      <c r="A41" s="924" t="s">
        <v>6218</v>
      </c>
      <c r="B41" s="905">
        <v>2</v>
      </c>
      <c r="C41" s="906">
        <v>1.6</v>
      </c>
      <c r="D41" s="907">
        <v>2</v>
      </c>
      <c r="E41" s="890">
        <v>5</v>
      </c>
      <c r="F41" s="891">
        <v>2.09</v>
      </c>
      <c r="G41" s="892">
        <v>2</v>
      </c>
      <c r="H41" s="894"/>
      <c r="I41" s="888"/>
      <c r="J41" s="889"/>
      <c r="K41" s="893">
        <v>0.42</v>
      </c>
      <c r="L41" s="894">
        <v>1</v>
      </c>
      <c r="M41" s="894">
        <v>6</v>
      </c>
      <c r="N41" s="895">
        <v>2</v>
      </c>
      <c r="O41" s="894" t="s">
        <v>6147</v>
      </c>
      <c r="P41" s="909" t="s">
        <v>6219</v>
      </c>
      <c r="Q41" s="896">
        <f t="shared" si="0"/>
        <v>-2</v>
      </c>
      <c r="R41" s="956">
        <f t="shared" si="0"/>
        <v>-1.6</v>
      </c>
      <c r="S41" s="896">
        <f t="shared" si="1"/>
        <v>-5</v>
      </c>
      <c r="T41" s="956">
        <f t="shared" si="2"/>
        <v>-2.09</v>
      </c>
      <c r="U41" s="963" t="s">
        <v>329</v>
      </c>
      <c r="V41" s="905" t="s">
        <v>329</v>
      </c>
      <c r="W41" s="905" t="s">
        <v>329</v>
      </c>
      <c r="X41" s="961" t="s">
        <v>329</v>
      </c>
      <c r="Y41" s="959"/>
    </row>
    <row r="42" spans="1:25" ht="14.45" customHeight="1" x14ac:dyDescent="0.2">
      <c r="A42" s="925" t="s">
        <v>6220</v>
      </c>
      <c r="B42" s="911"/>
      <c r="C42" s="912"/>
      <c r="D42" s="910"/>
      <c r="E42" s="915">
        <v>1</v>
      </c>
      <c r="F42" s="916">
        <v>0.55000000000000004</v>
      </c>
      <c r="G42" s="901">
        <v>2</v>
      </c>
      <c r="H42" s="918"/>
      <c r="I42" s="914"/>
      <c r="J42" s="900"/>
      <c r="K42" s="917">
        <v>0.55000000000000004</v>
      </c>
      <c r="L42" s="918">
        <v>1</v>
      </c>
      <c r="M42" s="918">
        <v>9</v>
      </c>
      <c r="N42" s="919">
        <v>3</v>
      </c>
      <c r="O42" s="918" t="s">
        <v>6147</v>
      </c>
      <c r="P42" s="920" t="s">
        <v>6221</v>
      </c>
      <c r="Q42" s="921">
        <f t="shared" si="0"/>
        <v>0</v>
      </c>
      <c r="R42" s="957">
        <f t="shared" si="0"/>
        <v>0</v>
      </c>
      <c r="S42" s="921">
        <f t="shared" si="1"/>
        <v>-1</v>
      </c>
      <c r="T42" s="957">
        <f t="shared" si="2"/>
        <v>-0.55000000000000004</v>
      </c>
      <c r="U42" s="964" t="s">
        <v>329</v>
      </c>
      <c r="V42" s="911" t="s">
        <v>329</v>
      </c>
      <c r="W42" s="911" t="s">
        <v>329</v>
      </c>
      <c r="X42" s="962" t="s">
        <v>329</v>
      </c>
      <c r="Y42" s="960"/>
    </row>
    <row r="43" spans="1:25" ht="14.45" customHeight="1" x14ac:dyDescent="0.2">
      <c r="A43" s="924" t="s">
        <v>6222</v>
      </c>
      <c r="B43" s="897">
        <v>5</v>
      </c>
      <c r="C43" s="898">
        <v>2.4700000000000002</v>
      </c>
      <c r="D43" s="899">
        <v>2.4</v>
      </c>
      <c r="E43" s="908">
        <v>2</v>
      </c>
      <c r="F43" s="888">
        <v>0.99</v>
      </c>
      <c r="G43" s="889">
        <v>2.5</v>
      </c>
      <c r="H43" s="894">
        <v>1</v>
      </c>
      <c r="I43" s="888">
        <v>1.04</v>
      </c>
      <c r="J43" s="902">
        <v>14</v>
      </c>
      <c r="K43" s="893">
        <v>0.49</v>
      </c>
      <c r="L43" s="894">
        <v>1</v>
      </c>
      <c r="M43" s="894">
        <v>9</v>
      </c>
      <c r="N43" s="895">
        <v>3</v>
      </c>
      <c r="O43" s="894" t="s">
        <v>6147</v>
      </c>
      <c r="P43" s="909" t="s">
        <v>6223</v>
      </c>
      <c r="Q43" s="896">
        <f t="shared" si="0"/>
        <v>-4</v>
      </c>
      <c r="R43" s="956">
        <f t="shared" si="0"/>
        <v>-1.4300000000000002</v>
      </c>
      <c r="S43" s="896">
        <f t="shared" si="1"/>
        <v>-1</v>
      </c>
      <c r="T43" s="956">
        <f t="shared" si="2"/>
        <v>5.0000000000000044E-2</v>
      </c>
      <c r="U43" s="963">
        <v>3</v>
      </c>
      <c r="V43" s="905">
        <v>14</v>
      </c>
      <c r="W43" s="905">
        <v>11</v>
      </c>
      <c r="X43" s="961">
        <v>4.666666666666667</v>
      </c>
      <c r="Y43" s="959">
        <v>11</v>
      </c>
    </row>
    <row r="44" spans="1:25" ht="14.45" customHeight="1" x14ac:dyDescent="0.2">
      <c r="A44" s="925" t="s">
        <v>6224</v>
      </c>
      <c r="B44" s="922"/>
      <c r="C44" s="923"/>
      <c r="D44" s="903"/>
      <c r="E44" s="913">
        <v>1</v>
      </c>
      <c r="F44" s="914">
        <v>0.79</v>
      </c>
      <c r="G44" s="900">
        <v>3</v>
      </c>
      <c r="H44" s="918"/>
      <c r="I44" s="914"/>
      <c r="J44" s="900"/>
      <c r="K44" s="917">
        <v>0.79</v>
      </c>
      <c r="L44" s="918">
        <v>2</v>
      </c>
      <c r="M44" s="918">
        <v>15</v>
      </c>
      <c r="N44" s="919">
        <v>5</v>
      </c>
      <c r="O44" s="918" t="s">
        <v>6147</v>
      </c>
      <c r="P44" s="920" t="s">
        <v>6225</v>
      </c>
      <c r="Q44" s="921">
        <f t="shared" si="0"/>
        <v>0</v>
      </c>
      <c r="R44" s="957">
        <f t="shared" si="0"/>
        <v>0</v>
      </c>
      <c r="S44" s="921">
        <f t="shared" si="1"/>
        <v>-1</v>
      </c>
      <c r="T44" s="957">
        <f t="shared" si="2"/>
        <v>-0.79</v>
      </c>
      <c r="U44" s="964" t="s">
        <v>329</v>
      </c>
      <c r="V44" s="911" t="s">
        <v>329</v>
      </c>
      <c r="W44" s="911" t="s">
        <v>329</v>
      </c>
      <c r="X44" s="962" t="s">
        <v>329</v>
      </c>
      <c r="Y44" s="960"/>
    </row>
    <row r="45" spans="1:25" ht="14.45" customHeight="1" x14ac:dyDescent="0.2">
      <c r="A45" s="925" t="s">
        <v>6226</v>
      </c>
      <c r="B45" s="922">
        <v>1</v>
      </c>
      <c r="C45" s="923">
        <v>12.25</v>
      </c>
      <c r="D45" s="903">
        <v>15</v>
      </c>
      <c r="E45" s="913"/>
      <c r="F45" s="914"/>
      <c r="G45" s="900"/>
      <c r="H45" s="918"/>
      <c r="I45" s="914"/>
      <c r="J45" s="900"/>
      <c r="K45" s="917">
        <v>1.63</v>
      </c>
      <c r="L45" s="918">
        <v>3</v>
      </c>
      <c r="M45" s="918">
        <v>27</v>
      </c>
      <c r="N45" s="919">
        <v>9</v>
      </c>
      <c r="O45" s="918" t="s">
        <v>6147</v>
      </c>
      <c r="P45" s="920" t="s">
        <v>6225</v>
      </c>
      <c r="Q45" s="921">
        <f t="shared" si="0"/>
        <v>-1</v>
      </c>
      <c r="R45" s="957">
        <f t="shared" si="0"/>
        <v>-12.25</v>
      </c>
      <c r="S45" s="921">
        <f t="shared" si="1"/>
        <v>0</v>
      </c>
      <c r="T45" s="957">
        <f t="shared" si="2"/>
        <v>0</v>
      </c>
      <c r="U45" s="964" t="s">
        <v>329</v>
      </c>
      <c r="V45" s="911" t="s">
        <v>329</v>
      </c>
      <c r="W45" s="911" t="s">
        <v>329</v>
      </c>
      <c r="X45" s="962" t="s">
        <v>329</v>
      </c>
      <c r="Y45" s="960"/>
    </row>
    <row r="46" spans="1:25" ht="14.45" customHeight="1" x14ac:dyDescent="0.2">
      <c r="A46" s="924" t="s">
        <v>6227</v>
      </c>
      <c r="B46" s="905"/>
      <c r="C46" s="906"/>
      <c r="D46" s="907"/>
      <c r="E46" s="908"/>
      <c r="F46" s="888"/>
      <c r="G46" s="889"/>
      <c r="H46" s="890">
        <v>1</v>
      </c>
      <c r="I46" s="891">
        <v>3.11</v>
      </c>
      <c r="J46" s="902">
        <v>43</v>
      </c>
      <c r="K46" s="893">
        <v>3.11</v>
      </c>
      <c r="L46" s="894">
        <v>7</v>
      </c>
      <c r="M46" s="894">
        <v>63</v>
      </c>
      <c r="N46" s="895">
        <v>21</v>
      </c>
      <c r="O46" s="894" t="s">
        <v>6147</v>
      </c>
      <c r="P46" s="909" t="s">
        <v>6228</v>
      </c>
      <c r="Q46" s="896">
        <f t="shared" si="0"/>
        <v>1</v>
      </c>
      <c r="R46" s="956">
        <f t="shared" si="0"/>
        <v>3.11</v>
      </c>
      <c r="S46" s="896">
        <f t="shared" si="1"/>
        <v>1</v>
      </c>
      <c r="T46" s="956">
        <f t="shared" si="2"/>
        <v>3.11</v>
      </c>
      <c r="U46" s="963">
        <v>21</v>
      </c>
      <c r="V46" s="905">
        <v>43</v>
      </c>
      <c r="W46" s="905">
        <v>22</v>
      </c>
      <c r="X46" s="961">
        <v>2.0476190476190474</v>
      </c>
      <c r="Y46" s="959">
        <v>22</v>
      </c>
    </row>
    <row r="47" spans="1:25" ht="14.45" customHeight="1" x14ac:dyDescent="0.2">
      <c r="A47" s="924" t="s">
        <v>6229</v>
      </c>
      <c r="B47" s="905"/>
      <c r="C47" s="906"/>
      <c r="D47" s="907"/>
      <c r="E47" s="908"/>
      <c r="F47" s="888"/>
      <c r="G47" s="889"/>
      <c r="H47" s="890">
        <v>1</v>
      </c>
      <c r="I47" s="891">
        <v>1.04</v>
      </c>
      <c r="J47" s="892">
        <v>9</v>
      </c>
      <c r="K47" s="893">
        <v>1.04</v>
      </c>
      <c r="L47" s="894">
        <v>4</v>
      </c>
      <c r="M47" s="894">
        <v>36</v>
      </c>
      <c r="N47" s="895">
        <v>12</v>
      </c>
      <c r="O47" s="894" t="s">
        <v>6147</v>
      </c>
      <c r="P47" s="909" t="s">
        <v>6230</v>
      </c>
      <c r="Q47" s="896">
        <f t="shared" si="0"/>
        <v>1</v>
      </c>
      <c r="R47" s="956">
        <f t="shared" si="0"/>
        <v>1.04</v>
      </c>
      <c r="S47" s="896">
        <f t="shared" si="1"/>
        <v>1</v>
      </c>
      <c r="T47" s="956">
        <f t="shared" si="2"/>
        <v>1.04</v>
      </c>
      <c r="U47" s="963">
        <v>12</v>
      </c>
      <c r="V47" s="905">
        <v>9</v>
      </c>
      <c r="W47" s="905">
        <v>-3</v>
      </c>
      <c r="X47" s="961">
        <v>0.75</v>
      </c>
      <c r="Y47" s="959"/>
    </row>
    <row r="48" spans="1:25" ht="14.45" customHeight="1" x14ac:dyDescent="0.2">
      <c r="A48" s="924" t="s">
        <v>6231</v>
      </c>
      <c r="B48" s="897">
        <v>3</v>
      </c>
      <c r="C48" s="898">
        <v>1.26</v>
      </c>
      <c r="D48" s="899">
        <v>4.7</v>
      </c>
      <c r="E48" s="908"/>
      <c r="F48" s="888"/>
      <c r="G48" s="889"/>
      <c r="H48" s="894">
        <v>1</v>
      </c>
      <c r="I48" s="888">
        <v>0.49</v>
      </c>
      <c r="J48" s="902">
        <v>11</v>
      </c>
      <c r="K48" s="893">
        <v>0.42</v>
      </c>
      <c r="L48" s="894">
        <v>2</v>
      </c>
      <c r="M48" s="894">
        <v>18</v>
      </c>
      <c r="N48" s="895">
        <v>6</v>
      </c>
      <c r="O48" s="894" t="s">
        <v>6147</v>
      </c>
      <c r="P48" s="909" t="s">
        <v>6232</v>
      </c>
      <c r="Q48" s="896">
        <f t="shared" si="0"/>
        <v>-2</v>
      </c>
      <c r="R48" s="956">
        <f t="shared" si="0"/>
        <v>-0.77</v>
      </c>
      <c r="S48" s="896">
        <f t="shared" si="1"/>
        <v>1</v>
      </c>
      <c r="T48" s="956">
        <f t="shared" si="2"/>
        <v>0.49</v>
      </c>
      <c r="U48" s="963">
        <v>6</v>
      </c>
      <c r="V48" s="905">
        <v>11</v>
      </c>
      <c r="W48" s="905">
        <v>5</v>
      </c>
      <c r="X48" s="961">
        <v>1.8333333333333333</v>
      </c>
      <c r="Y48" s="959">
        <v>5</v>
      </c>
    </row>
    <row r="49" spans="1:25" ht="14.45" customHeight="1" x14ac:dyDescent="0.2">
      <c r="A49" s="925" t="s">
        <v>6233</v>
      </c>
      <c r="B49" s="922"/>
      <c r="C49" s="923"/>
      <c r="D49" s="903"/>
      <c r="E49" s="913">
        <v>2</v>
      </c>
      <c r="F49" s="914">
        <v>1.02</v>
      </c>
      <c r="G49" s="900">
        <v>11.5</v>
      </c>
      <c r="H49" s="918"/>
      <c r="I49" s="914"/>
      <c r="J49" s="900"/>
      <c r="K49" s="917">
        <v>0.54</v>
      </c>
      <c r="L49" s="918">
        <v>3</v>
      </c>
      <c r="M49" s="918">
        <v>24</v>
      </c>
      <c r="N49" s="919">
        <v>8</v>
      </c>
      <c r="O49" s="918" t="s">
        <v>6147</v>
      </c>
      <c r="P49" s="920" t="s">
        <v>6234</v>
      </c>
      <c r="Q49" s="921">
        <f t="shared" si="0"/>
        <v>0</v>
      </c>
      <c r="R49" s="957">
        <f t="shared" si="0"/>
        <v>0</v>
      </c>
      <c r="S49" s="921">
        <f t="shared" si="1"/>
        <v>-2</v>
      </c>
      <c r="T49" s="957">
        <f t="shared" si="2"/>
        <v>-1.02</v>
      </c>
      <c r="U49" s="964" t="s">
        <v>329</v>
      </c>
      <c r="V49" s="911" t="s">
        <v>329</v>
      </c>
      <c r="W49" s="911" t="s">
        <v>329</v>
      </c>
      <c r="X49" s="962" t="s">
        <v>329</v>
      </c>
      <c r="Y49" s="960"/>
    </row>
    <row r="50" spans="1:25" ht="14.45" customHeight="1" x14ac:dyDescent="0.2">
      <c r="A50" s="925" t="s">
        <v>6235</v>
      </c>
      <c r="B50" s="922">
        <v>1</v>
      </c>
      <c r="C50" s="923">
        <v>0.62</v>
      </c>
      <c r="D50" s="903">
        <v>10</v>
      </c>
      <c r="E50" s="913"/>
      <c r="F50" s="914"/>
      <c r="G50" s="900"/>
      <c r="H50" s="918"/>
      <c r="I50" s="914"/>
      <c r="J50" s="900"/>
      <c r="K50" s="917">
        <v>0.62</v>
      </c>
      <c r="L50" s="918">
        <v>2</v>
      </c>
      <c r="M50" s="918">
        <v>21</v>
      </c>
      <c r="N50" s="919">
        <v>7</v>
      </c>
      <c r="O50" s="918" t="s">
        <v>6147</v>
      </c>
      <c r="P50" s="920" t="s">
        <v>6236</v>
      </c>
      <c r="Q50" s="921">
        <f t="shared" si="0"/>
        <v>-1</v>
      </c>
      <c r="R50" s="957">
        <f t="shared" si="0"/>
        <v>-0.62</v>
      </c>
      <c r="S50" s="921">
        <f t="shared" si="1"/>
        <v>0</v>
      </c>
      <c r="T50" s="957">
        <f t="shared" si="2"/>
        <v>0</v>
      </c>
      <c r="U50" s="964" t="s">
        <v>329</v>
      </c>
      <c r="V50" s="911" t="s">
        <v>329</v>
      </c>
      <c r="W50" s="911" t="s">
        <v>329</v>
      </c>
      <c r="X50" s="962" t="s">
        <v>329</v>
      </c>
      <c r="Y50" s="960"/>
    </row>
    <row r="51" spans="1:25" ht="14.45" customHeight="1" x14ac:dyDescent="0.2">
      <c r="A51" s="924" t="s">
        <v>6237</v>
      </c>
      <c r="B51" s="905">
        <v>2</v>
      </c>
      <c r="C51" s="906">
        <v>0.71</v>
      </c>
      <c r="D51" s="907">
        <v>2.5</v>
      </c>
      <c r="E51" s="890">
        <v>4</v>
      </c>
      <c r="F51" s="891">
        <v>1.43</v>
      </c>
      <c r="G51" s="892">
        <v>2.5</v>
      </c>
      <c r="H51" s="894">
        <v>3</v>
      </c>
      <c r="I51" s="888">
        <v>1.07</v>
      </c>
      <c r="J51" s="889">
        <v>2.2999999999999998</v>
      </c>
      <c r="K51" s="893">
        <v>0.36</v>
      </c>
      <c r="L51" s="894">
        <v>2</v>
      </c>
      <c r="M51" s="894">
        <v>15</v>
      </c>
      <c r="N51" s="895">
        <v>5</v>
      </c>
      <c r="O51" s="894" t="s">
        <v>6147</v>
      </c>
      <c r="P51" s="909" t="s">
        <v>6238</v>
      </c>
      <c r="Q51" s="896">
        <f t="shared" si="0"/>
        <v>1</v>
      </c>
      <c r="R51" s="956">
        <f t="shared" si="0"/>
        <v>0.3600000000000001</v>
      </c>
      <c r="S51" s="896">
        <f t="shared" si="1"/>
        <v>-1</v>
      </c>
      <c r="T51" s="956">
        <f t="shared" si="2"/>
        <v>-0.35999999999999988</v>
      </c>
      <c r="U51" s="963">
        <v>15</v>
      </c>
      <c r="V51" s="905">
        <v>6.8999999999999995</v>
      </c>
      <c r="W51" s="905">
        <v>-8.1000000000000014</v>
      </c>
      <c r="X51" s="961">
        <v>0.45999999999999996</v>
      </c>
      <c r="Y51" s="959"/>
    </row>
    <row r="52" spans="1:25" ht="14.45" customHeight="1" x14ac:dyDescent="0.2">
      <c r="A52" s="925" t="s">
        <v>6239</v>
      </c>
      <c r="B52" s="911"/>
      <c r="C52" s="912"/>
      <c r="D52" s="910"/>
      <c r="E52" s="915">
        <v>2</v>
      </c>
      <c r="F52" s="916">
        <v>0.95</v>
      </c>
      <c r="G52" s="901">
        <v>6</v>
      </c>
      <c r="H52" s="918"/>
      <c r="I52" s="914"/>
      <c r="J52" s="900"/>
      <c r="K52" s="917">
        <v>0.48</v>
      </c>
      <c r="L52" s="918">
        <v>2</v>
      </c>
      <c r="M52" s="918">
        <v>21</v>
      </c>
      <c r="N52" s="919">
        <v>7</v>
      </c>
      <c r="O52" s="918" t="s">
        <v>6147</v>
      </c>
      <c r="P52" s="920" t="s">
        <v>6240</v>
      </c>
      <c r="Q52" s="921">
        <f t="shared" si="0"/>
        <v>0</v>
      </c>
      <c r="R52" s="957">
        <f t="shared" si="0"/>
        <v>0</v>
      </c>
      <c r="S52" s="921">
        <f t="shared" si="1"/>
        <v>-2</v>
      </c>
      <c r="T52" s="957">
        <f t="shared" si="2"/>
        <v>-0.95</v>
      </c>
      <c r="U52" s="964" t="s">
        <v>329</v>
      </c>
      <c r="V52" s="911" t="s">
        <v>329</v>
      </c>
      <c r="W52" s="911" t="s">
        <v>329</v>
      </c>
      <c r="X52" s="962" t="s">
        <v>329</v>
      </c>
      <c r="Y52" s="960"/>
    </row>
    <row r="53" spans="1:25" ht="14.45" customHeight="1" x14ac:dyDescent="0.2">
      <c r="A53" s="924" t="s">
        <v>6241</v>
      </c>
      <c r="B53" s="897">
        <v>6</v>
      </c>
      <c r="C53" s="898">
        <v>2.34</v>
      </c>
      <c r="D53" s="899">
        <v>2.8</v>
      </c>
      <c r="E53" s="908">
        <v>3</v>
      </c>
      <c r="F53" s="888">
        <v>1.17</v>
      </c>
      <c r="G53" s="889">
        <v>2.7</v>
      </c>
      <c r="H53" s="894">
        <v>4</v>
      </c>
      <c r="I53" s="888">
        <v>1.37</v>
      </c>
      <c r="J53" s="889">
        <v>1.8</v>
      </c>
      <c r="K53" s="893">
        <v>0.39</v>
      </c>
      <c r="L53" s="894">
        <v>2</v>
      </c>
      <c r="M53" s="894">
        <v>15</v>
      </c>
      <c r="N53" s="895">
        <v>5</v>
      </c>
      <c r="O53" s="894" t="s">
        <v>6147</v>
      </c>
      <c r="P53" s="909" t="s">
        <v>6242</v>
      </c>
      <c r="Q53" s="896">
        <f t="shared" si="0"/>
        <v>-2</v>
      </c>
      <c r="R53" s="956">
        <f t="shared" si="0"/>
        <v>-0.96999999999999975</v>
      </c>
      <c r="S53" s="896">
        <f t="shared" si="1"/>
        <v>1</v>
      </c>
      <c r="T53" s="956">
        <f t="shared" si="2"/>
        <v>0.20000000000000018</v>
      </c>
      <c r="U53" s="963">
        <v>20</v>
      </c>
      <c r="V53" s="905">
        <v>7.2</v>
      </c>
      <c r="W53" s="905">
        <v>-12.8</v>
      </c>
      <c r="X53" s="961">
        <v>0.36</v>
      </c>
      <c r="Y53" s="959"/>
    </row>
    <row r="54" spans="1:25" ht="14.45" customHeight="1" x14ac:dyDescent="0.2">
      <c r="A54" s="925" t="s">
        <v>6243</v>
      </c>
      <c r="B54" s="922">
        <v>1</v>
      </c>
      <c r="C54" s="923">
        <v>0.53</v>
      </c>
      <c r="D54" s="903">
        <v>2</v>
      </c>
      <c r="E54" s="913">
        <v>1</v>
      </c>
      <c r="F54" s="914">
        <v>0.53</v>
      </c>
      <c r="G54" s="900">
        <v>7</v>
      </c>
      <c r="H54" s="918"/>
      <c r="I54" s="914"/>
      <c r="J54" s="900"/>
      <c r="K54" s="917">
        <v>0.53</v>
      </c>
      <c r="L54" s="918">
        <v>2</v>
      </c>
      <c r="M54" s="918">
        <v>21</v>
      </c>
      <c r="N54" s="919">
        <v>7</v>
      </c>
      <c r="O54" s="918" t="s">
        <v>6147</v>
      </c>
      <c r="P54" s="920" t="s">
        <v>6244</v>
      </c>
      <c r="Q54" s="921">
        <f t="shared" si="0"/>
        <v>-1</v>
      </c>
      <c r="R54" s="957">
        <f t="shared" si="0"/>
        <v>-0.53</v>
      </c>
      <c r="S54" s="921">
        <f t="shared" si="1"/>
        <v>-1</v>
      </c>
      <c r="T54" s="957">
        <f t="shared" si="2"/>
        <v>-0.53</v>
      </c>
      <c r="U54" s="964" t="s">
        <v>329</v>
      </c>
      <c r="V54" s="911" t="s">
        <v>329</v>
      </c>
      <c r="W54" s="911" t="s">
        <v>329</v>
      </c>
      <c r="X54" s="962" t="s">
        <v>329</v>
      </c>
      <c r="Y54" s="960"/>
    </row>
    <row r="55" spans="1:25" ht="14.45" customHeight="1" x14ac:dyDescent="0.2">
      <c r="A55" s="924" t="s">
        <v>6245</v>
      </c>
      <c r="B55" s="905">
        <v>6</v>
      </c>
      <c r="C55" s="906">
        <v>2.2000000000000002</v>
      </c>
      <c r="D55" s="907">
        <v>2</v>
      </c>
      <c r="E55" s="890">
        <v>6</v>
      </c>
      <c r="F55" s="891">
        <v>2.2000000000000002</v>
      </c>
      <c r="G55" s="892">
        <v>2.2999999999999998</v>
      </c>
      <c r="H55" s="894">
        <v>2</v>
      </c>
      <c r="I55" s="888">
        <v>0.73</v>
      </c>
      <c r="J55" s="889">
        <v>2.5</v>
      </c>
      <c r="K55" s="893">
        <v>0.37</v>
      </c>
      <c r="L55" s="894">
        <v>1</v>
      </c>
      <c r="M55" s="894">
        <v>12</v>
      </c>
      <c r="N55" s="895">
        <v>4</v>
      </c>
      <c r="O55" s="894" t="s">
        <v>6147</v>
      </c>
      <c r="P55" s="909" t="s">
        <v>6246</v>
      </c>
      <c r="Q55" s="896">
        <f t="shared" si="0"/>
        <v>-4</v>
      </c>
      <c r="R55" s="956">
        <f t="shared" si="0"/>
        <v>-1.4700000000000002</v>
      </c>
      <c r="S55" s="896">
        <f t="shared" si="1"/>
        <v>-4</v>
      </c>
      <c r="T55" s="956">
        <f t="shared" si="2"/>
        <v>-1.4700000000000002</v>
      </c>
      <c r="U55" s="963">
        <v>8</v>
      </c>
      <c r="V55" s="905">
        <v>5</v>
      </c>
      <c r="W55" s="905">
        <v>-3</v>
      </c>
      <c r="X55" s="961">
        <v>0.625</v>
      </c>
      <c r="Y55" s="959"/>
    </row>
    <row r="56" spans="1:25" ht="14.45" customHeight="1" x14ac:dyDescent="0.2">
      <c r="A56" s="925" t="s">
        <v>6247</v>
      </c>
      <c r="B56" s="911">
        <v>1</v>
      </c>
      <c r="C56" s="912">
        <v>0.56000000000000005</v>
      </c>
      <c r="D56" s="910">
        <v>6</v>
      </c>
      <c r="E56" s="915">
        <v>2</v>
      </c>
      <c r="F56" s="916">
        <v>1.1200000000000001</v>
      </c>
      <c r="G56" s="901">
        <v>2</v>
      </c>
      <c r="H56" s="918">
        <v>1</v>
      </c>
      <c r="I56" s="914">
        <v>0.56000000000000005</v>
      </c>
      <c r="J56" s="900">
        <v>2</v>
      </c>
      <c r="K56" s="917">
        <v>0.56000000000000005</v>
      </c>
      <c r="L56" s="918">
        <v>2</v>
      </c>
      <c r="M56" s="918">
        <v>18</v>
      </c>
      <c r="N56" s="919">
        <v>6</v>
      </c>
      <c r="O56" s="918" t="s">
        <v>6147</v>
      </c>
      <c r="P56" s="920" t="s">
        <v>6248</v>
      </c>
      <c r="Q56" s="921">
        <f t="shared" si="0"/>
        <v>0</v>
      </c>
      <c r="R56" s="957">
        <f t="shared" si="0"/>
        <v>0</v>
      </c>
      <c r="S56" s="921">
        <f t="shared" si="1"/>
        <v>-1</v>
      </c>
      <c r="T56" s="957">
        <f t="shared" si="2"/>
        <v>-0.56000000000000005</v>
      </c>
      <c r="U56" s="964">
        <v>6</v>
      </c>
      <c r="V56" s="911">
        <v>2</v>
      </c>
      <c r="W56" s="911">
        <v>-4</v>
      </c>
      <c r="X56" s="962">
        <v>0.33333333333333331</v>
      </c>
      <c r="Y56" s="960"/>
    </row>
    <row r="57" spans="1:25" ht="14.45" customHeight="1" x14ac:dyDescent="0.2">
      <c r="A57" s="924" t="s">
        <v>6249</v>
      </c>
      <c r="B57" s="897">
        <v>1</v>
      </c>
      <c r="C57" s="898">
        <v>0.56000000000000005</v>
      </c>
      <c r="D57" s="899">
        <v>3</v>
      </c>
      <c r="E57" s="908"/>
      <c r="F57" s="888"/>
      <c r="G57" s="889"/>
      <c r="H57" s="894"/>
      <c r="I57" s="888"/>
      <c r="J57" s="889"/>
      <c r="K57" s="893">
        <v>0.56000000000000005</v>
      </c>
      <c r="L57" s="894">
        <v>2</v>
      </c>
      <c r="M57" s="894">
        <v>18</v>
      </c>
      <c r="N57" s="895">
        <v>6</v>
      </c>
      <c r="O57" s="894" t="s">
        <v>6147</v>
      </c>
      <c r="P57" s="909" t="s">
        <v>6250</v>
      </c>
      <c r="Q57" s="896">
        <f t="shared" si="0"/>
        <v>-1</v>
      </c>
      <c r="R57" s="956">
        <f t="shared" si="0"/>
        <v>-0.56000000000000005</v>
      </c>
      <c r="S57" s="896">
        <f t="shared" si="1"/>
        <v>0</v>
      </c>
      <c r="T57" s="956">
        <f t="shared" si="2"/>
        <v>0</v>
      </c>
      <c r="U57" s="963" t="s">
        <v>329</v>
      </c>
      <c r="V57" s="905" t="s">
        <v>329</v>
      </c>
      <c r="W57" s="905" t="s">
        <v>329</v>
      </c>
      <c r="X57" s="961" t="s">
        <v>329</v>
      </c>
      <c r="Y57" s="959"/>
    </row>
    <row r="58" spans="1:25" ht="14.45" customHeight="1" x14ac:dyDescent="0.2">
      <c r="A58" s="924" t="s">
        <v>6251</v>
      </c>
      <c r="B58" s="905"/>
      <c r="C58" s="906"/>
      <c r="D58" s="907"/>
      <c r="E58" s="890">
        <v>2</v>
      </c>
      <c r="F58" s="891">
        <v>0.95</v>
      </c>
      <c r="G58" s="892">
        <v>7</v>
      </c>
      <c r="H58" s="894">
        <v>1</v>
      </c>
      <c r="I58" s="888">
        <v>0.49</v>
      </c>
      <c r="J58" s="902">
        <v>9</v>
      </c>
      <c r="K58" s="893">
        <v>0.45</v>
      </c>
      <c r="L58" s="894">
        <v>2</v>
      </c>
      <c r="M58" s="894">
        <v>18</v>
      </c>
      <c r="N58" s="895">
        <v>6</v>
      </c>
      <c r="O58" s="894" t="s">
        <v>6147</v>
      </c>
      <c r="P58" s="909" t="s">
        <v>6252</v>
      </c>
      <c r="Q58" s="896">
        <f t="shared" si="0"/>
        <v>1</v>
      </c>
      <c r="R58" s="956">
        <f t="shared" si="0"/>
        <v>0.49</v>
      </c>
      <c r="S58" s="896">
        <f t="shared" si="1"/>
        <v>-1</v>
      </c>
      <c r="T58" s="956">
        <f t="shared" si="2"/>
        <v>-0.45999999999999996</v>
      </c>
      <c r="U58" s="963">
        <v>6</v>
      </c>
      <c r="V58" s="905">
        <v>9</v>
      </c>
      <c r="W58" s="905">
        <v>3</v>
      </c>
      <c r="X58" s="961">
        <v>1.5</v>
      </c>
      <c r="Y58" s="959">
        <v>3</v>
      </c>
    </row>
    <row r="59" spans="1:25" ht="14.45" customHeight="1" x14ac:dyDescent="0.2">
      <c r="A59" s="924" t="s">
        <v>6253</v>
      </c>
      <c r="B59" s="897">
        <v>1</v>
      </c>
      <c r="C59" s="898">
        <v>2.0499999999999998</v>
      </c>
      <c r="D59" s="899">
        <v>5</v>
      </c>
      <c r="E59" s="908"/>
      <c r="F59" s="888"/>
      <c r="G59" s="889"/>
      <c r="H59" s="894"/>
      <c r="I59" s="888"/>
      <c r="J59" s="889"/>
      <c r="K59" s="893">
        <v>2.0499999999999998</v>
      </c>
      <c r="L59" s="894">
        <v>2</v>
      </c>
      <c r="M59" s="894">
        <v>15</v>
      </c>
      <c r="N59" s="895">
        <v>5</v>
      </c>
      <c r="O59" s="894" t="s">
        <v>6147</v>
      </c>
      <c r="P59" s="909" t="s">
        <v>6254</v>
      </c>
      <c r="Q59" s="896">
        <f t="shared" si="0"/>
        <v>-1</v>
      </c>
      <c r="R59" s="956">
        <f t="shared" si="0"/>
        <v>-2.0499999999999998</v>
      </c>
      <c r="S59" s="896">
        <f t="shared" si="1"/>
        <v>0</v>
      </c>
      <c r="T59" s="956">
        <f t="shared" si="2"/>
        <v>0</v>
      </c>
      <c r="U59" s="963" t="s">
        <v>329</v>
      </c>
      <c r="V59" s="905" t="s">
        <v>329</v>
      </c>
      <c r="W59" s="905" t="s">
        <v>329</v>
      </c>
      <c r="X59" s="961" t="s">
        <v>329</v>
      </c>
      <c r="Y59" s="959"/>
    </row>
    <row r="60" spans="1:25" ht="14.45" customHeight="1" x14ac:dyDescent="0.2">
      <c r="A60" s="924" t="s">
        <v>6255</v>
      </c>
      <c r="B60" s="897">
        <v>1</v>
      </c>
      <c r="C60" s="898">
        <v>0.67</v>
      </c>
      <c r="D60" s="899">
        <v>4</v>
      </c>
      <c r="E60" s="908"/>
      <c r="F60" s="888"/>
      <c r="G60" s="889"/>
      <c r="H60" s="894"/>
      <c r="I60" s="888"/>
      <c r="J60" s="889"/>
      <c r="K60" s="893">
        <v>0.66</v>
      </c>
      <c r="L60" s="894">
        <v>1</v>
      </c>
      <c r="M60" s="894">
        <v>12</v>
      </c>
      <c r="N60" s="895">
        <v>4</v>
      </c>
      <c r="O60" s="894" t="s">
        <v>6147</v>
      </c>
      <c r="P60" s="909" t="s">
        <v>6256</v>
      </c>
      <c r="Q60" s="896">
        <f t="shared" si="0"/>
        <v>-1</v>
      </c>
      <c r="R60" s="956">
        <f t="shared" si="0"/>
        <v>-0.67</v>
      </c>
      <c r="S60" s="896">
        <f t="shared" si="1"/>
        <v>0</v>
      </c>
      <c r="T60" s="956">
        <f t="shared" si="2"/>
        <v>0</v>
      </c>
      <c r="U60" s="963" t="s">
        <v>329</v>
      </c>
      <c r="V60" s="905" t="s">
        <v>329</v>
      </c>
      <c r="W60" s="905" t="s">
        <v>329</v>
      </c>
      <c r="X60" s="961" t="s">
        <v>329</v>
      </c>
      <c r="Y60" s="959"/>
    </row>
    <row r="61" spans="1:25" ht="14.45" customHeight="1" x14ac:dyDescent="0.2">
      <c r="A61" s="924" t="s">
        <v>6257</v>
      </c>
      <c r="B61" s="897">
        <v>1</v>
      </c>
      <c r="C61" s="898">
        <v>0.54</v>
      </c>
      <c r="D61" s="899">
        <v>3</v>
      </c>
      <c r="E61" s="908"/>
      <c r="F61" s="888"/>
      <c r="G61" s="889"/>
      <c r="H61" s="894"/>
      <c r="I61" s="888"/>
      <c r="J61" s="889"/>
      <c r="K61" s="893">
        <v>0.54</v>
      </c>
      <c r="L61" s="894">
        <v>1</v>
      </c>
      <c r="M61" s="894">
        <v>12</v>
      </c>
      <c r="N61" s="895">
        <v>4</v>
      </c>
      <c r="O61" s="894" t="s">
        <v>6147</v>
      </c>
      <c r="P61" s="909" t="s">
        <v>6258</v>
      </c>
      <c r="Q61" s="896">
        <f t="shared" si="0"/>
        <v>-1</v>
      </c>
      <c r="R61" s="956">
        <f t="shared" si="0"/>
        <v>-0.54</v>
      </c>
      <c r="S61" s="896">
        <f t="shared" si="1"/>
        <v>0</v>
      </c>
      <c r="T61" s="956">
        <f t="shared" si="2"/>
        <v>0</v>
      </c>
      <c r="U61" s="963" t="s">
        <v>329</v>
      </c>
      <c r="V61" s="905" t="s">
        <v>329</v>
      </c>
      <c r="W61" s="905" t="s">
        <v>329</v>
      </c>
      <c r="X61" s="961" t="s">
        <v>329</v>
      </c>
      <c r="Y61" s="959"/>
    </row>
    <row r="62" spans="1:25" ht="14.45" customHeight="1" x14ac:dyDescent="0.2">
      <c r="A62" s="925" t="s">
        <v>6259</v>
      </c>
      <c r="B62" s="922">
        <v>1</v>
      </c>
      <c r="C62" s="923">
        <v>0.8</v>
      </c>
      <c r="D62" s="903">
        <v>7</v>
      </c>
      <c r="E62" s="913"/>
      <c r="F62" s="914"/>
      <c r="G62" s="900"/>
      <c r="H62" s="918"/>
      <c r="I62" s="914"/>
      <c r="J62" s="900"/>
      <c r="K62" s="917">
        <v>0.8</v>
      </c>
      <c r="L62" s="918">
        <v>2</v>
      </c>
      <c r="M62" s="918">
        <v>21</v>
      </c>
      <c r="N62" s="919">
        <v>7</v>
      </c>
      <c r="O62" s="918" t="s">
        <v>6147</v>
      </c>
      <c r="P62" s="920" t="s">
        <v>6260</v>
      </c>
      <c r="Q62" s="921">
        <f t="shared" si="0"/>
        <v>-1</v>
      </c>
      <c r="R62" s="957">
        <f t="shared" si="0"/>
        <v>-0.8</v>
      </c>
      <c r="S62" s="921">
        <f t="shared" si="1"/>
        <v>0</v>
      </c>
      <c r="T62" s="957">
        <f t="shared" si="2"/>
        <v>0</v>
      </c>
      <c r="U62" s="964" t="s">
        <v>329</v>
      </c>
      <c r="V62" s="911" t="s">
        <v>329</v>
      </c>
      <c r="W62" s="911" t="s">
        <v>329</v>
      </c>
      <c r="X62" s="962" t="s">
        <v>329</v>
      </c>
      <c r="Y62" s="960"/>
    </row>
    <row r="63" spans="1:25" ht="14.45" customHeight="1" x14ac:dyDescent="0.2">
      <c r="A63" s="924" t="s">
        <v>6261</v>
      </c>
      <c r="B63" s="905"/>
      <c r="C63" s="906"/>
      <c r="D63" s="907"/>
      <c r="E63" s="908"/>
      <c r="F63" s="888"/>
      <c r="G63" s="889"/>
      <c r="H63" s="890">
        <v>1</v>
      </c>
      <c r="I63" s="891">
        <v>0.32</v>
      </c>
      <c r="J63" s="892">
        <v>2</v>
      </c>
      <c r="K63" s="893">
        <v>0.32</v>
      </c>
      <c r="L63" s="894">
        <v>1</v>
      </c>
      <c r="M63" s="894">
        <v>9</v>
      </c>
      <c r="N63" s="895">
        <v>3</v>
      </c>
      <c r="O63" s="894" t="s">
        <v>6147</v>
      </c>
      <c r="P63" s="909" t="s">
        <v>6262</v>
      </c>
      <c r="Q63" s="896">
        <f t="shared" si="0"/>
        <v>1</v>
      </c>
      <c r="R63" s="956">
        <f t="shared" si="0"/>
        <v>0.32</v>
      </c>
      <c r="S63" s="896">
        <f t="shared" si="1"/>
        <v>1</v>
      </c>
      <c r="T63" s="956">
        <f t="shared" si="2"/>
        <v>0.32</v>
      </c>
      <c r="U63" s="963">
        <v>3</v>
      </c>
      <c r="V63" s="905">
        <v>2</v>
      </c>
      <c r="W63" s="905">
        <v>-1</v>
      </c>
      <c r="X63" s="961">
        <v>0.66666666666666663</v>
      </c>
      <c r="Y63" s="959"/>
    </row>
    <row r="64" spans="1:25" ht="14.45" customHeight="1" x14ac:dyDescent="0.2">
      <c r="A64" s="924" t="s">
        <v>6263</v>
      </c>
      <c r="B64" s="905"/>
      <c r="C64" s="906"/>
      <c r="D64" s="907"/>
      <c r="E64" s="890">
        <v>1</v>
      </c>
      <c r="F64" s="891">
        <v>0.46</v>
      </c>
      <c r="G64" s="892">
        <v>3</v>
      </c>
      <c r="H64" s="894"/>
      <c r="I64" s="888"/>
      <c r="J64" s="889"/>
      <c r="K64" s="893">
        <v>0.46</v>
      </c>
      <c r="L64" s="894">
        <v>2</v>
      </c>
      <c r="M64" s="894">
        <v>18</v>
      </c>
      <c r="N64" s="895">
        <v>6</v>
      </c>
      <c r="O64" s="894" t="s">
        <v>6147</v>
      </c>
      <c r="P64" s="909" t="s">
        <v>6264</v>
      </c>
      <c r="Q64" s="896">
        <f t="shared" si="0"/>
        <v>0</v>
      </c>
      <c r="R64" s="956">
        <f t="shared" si="0"/>
        <v>0</v>
      </c>
      <c r="S64" s="896">
        <f t="shared" si="1"/>
        <v>-1</v>
      </c>
      <c r="T64" s="956">
        <f t="shared" si="2"/>
        <v>-0.46</v>
      </c>
      <c r="U64" s="963" t="s">
        <v>329</v>
      </c>
      <c r="V64" s="905" t="s">
        <v>329</v>
      </c>
      <c r="W64" s="905" t="s">
        <v>329</v>
      </c>
      <c r="X64" s="961" t="s">
        <v>329</v>
      </c>
      <c r="Y64" s="959"/>
    </row>
    <row r="65" spans="1:25" ht="14.45" customHeight="1" x14ac:dyDescent="0.2">
      <c r="A65" s="924" t="s">
        <v>6265</v>
      </c>
      <c r="B65" s="905"/>
      <c r="C65" s="906"/>
      <c r="D65" s="907"/>
      <c r="E65" s="908"/>
      <c r="F65" s="888"/>
      <c r="G65" s="889"/>
      <c r="H65" s="890">
        <v>1</v>
      </c>
      <c r="I65" s="891">
        <v>3.22</v>
      </c>
      <c r="J65" s="902">
        <v>20</v>
      </c>
      <c r="K65" s="893">
        <v>1.83</v>
      </c>
      <c r="L65" s="894">
        <v>3</v>
      </c>
      <c r="M65" s="894">
        <v>30</v>
      </c>
      <c r="N65" s="895">
        <v>10</v>
      </c>
      <c r="O65" s="894" t="s">
        <v>6147</v>
      </c>
      <c r="P65" s="909" t="s">
        <v>6266</v>
      </c>
      <c r="Q65" s="896">
        <f t="shared" si="0"/>
        <v>1</v>
      </c>
      <c r="R65" s="956">
        <f t="shared" si="0"/>
        <v>3.22</v>
      </c>
      <c r="S65" s="896">
        <f t="shared" si="1"/>
        <v>1</v>
      </c>
      <c r="T65" s="956">
        <f t="shared" si="2"/>
        <v>3.22</v>
      </c>
      <c r="U65" s="963">
        <v>10</v>
      </c>
      <c r="V65" s="905">
        <v>20</v>
      </c>
      <c r="W65" s="905">
        <v>10</v>
      </c>
      <c r="X65" s="961">
        <v>2</v>
      </c>
      <c r="Y65" s="959">
        <v>10</v>
      </c>
    </row>
    <row r="66" spans="1:25" ht="14.45" customHeight="1" x14ac:dyDescent="0.2">
      <c r="A66" s="924" t="s">
        <v>6267</v>
      </c>
      <c r="B66" s="897">
        <v>1</v>
      </c>
      <c r="C66" s="898">
        <v>1.54</v>
      </c>
      <c r="D66" s="899">
        <v>16</v>
      </c>
      <c r="E66" s="908">
        <v>1</v>
      </c>
      <c r="F66" s="888">
        <v>1.43</v>
      </c>
      <c r="G66" s="889">
        <v>7</v>
      </c>
      <c r="H66" s="894"/>
      <c r="I66" s="888"/>
      <c r="J66" s="889"/>
      <c r="K66" s="893">
        <v>1.43</v>
      </c>
      <c r="L66" s="894">
        <v>4</v>
      </c>
      <c r="M66" s="894">
        <v>36</v>
      </c>
      <c r="N66" s="895">
        <v>12</v>
      </c>
      <c r="O66" s="894" t="s">
        <v>6147</v>
      </c>
      <c r="P66" s="909" t="s">
        <v>6268</v>
      </c>
      <c r="Q66" s="896">
        <f t="shared" si="0"/>
        <v>-1</v>
      </c>
      <c r="R66" s="956">
        <f t="shared" si="0"/>
        <v>-1.54</v>
      </c>
      <c r="S66" s="896">
        <f t="shared" si="1"/>
        <v>-1</v>
      </c>
      <c r="T66" s="956">
        <f t="shared" si="2"/>
        <v>-1.43</v>
      </c>
      <c r="U66" s="963" t="s">
        <v>329</v>
      </c>
      <c r="V66" s="905" t="s">
        <v>329</v>
      </c>
      <c r="W66" s="905" t="s">
        <v>329</v>
      </c>
      <c r="X66" s="961" t="s">
        <v>329</v>
      </c>
      <c r="Y66" s="959"/>
    </row>
    <row r="67" spans="1:25" ht="14.45" customHeight="1" x14ac:dyDescent="0.2">
      <c r="A67" s="925" t="s">
        <v>6269</v>
      </c>
      <c r="B67" s="922">
        <v>1</v>
      </c>
      <c r="C67" s="923">
        <v>2.23</v>
      </c>
      <c r="D67" s="903">
        <v>29</v>
      </c>
      <c r="E67" s="913">
        <v>1</v>
      </c>
      <c r="F67" s="914">
        <v>1.81</v>
      </c>
      <c r="G67" s="900">
        <v>12</v>
      </c>
      <c r="H67" s="918"/>
      <c r="I67" s="914"/>
      <c r="J67" s="900"/>
      <c r="K67" s="917">
        <v>1.81</v>
      </c>
      <c r="L67" s="918">
        <v>5</v>
      </c>
      <c r="M67" s="918">
        <v>45</v>
      </c>
      <c r="N67" s="919">
        <v>15</v>
      </c>
      <c r="O67" s="918" t="s">
        <v>6147</v>
      </c>
      <c r="P67" s="920" t="s">
        <v>6270</v>
      </c>
      <c r="Q67" s="921">
        <f t="shared" si="0"/>
        <v>-1</v>
      </c>
      <c r="R67" s="957">
        <f t="shared" si="0"/>
        <v>-2.23</v>
      </c>
      <c r="S67" s="921">
        <f t="shared" si="1"/>
        <v>-1</v>
      </c>
      <c r="T67" s="957">
        <f t="shared" si="2"/>
        <v>-1.81</v>
      </c>
      <c r="U67" s="964" t="s">
        <v>329</v>
      </c>
      <c r="V67" s="911" t="s">
        <v>329</v>
      </c>
      <c r="W67" s="911" t="s">
        <v>329</v>
      </c>
      <c r="X67" s="962" t="s">
        <v>329</v>
      </c>
      <c r="Y67" s="960"/>
    </row>
    <row r="68" spans="1:25" ht="14.45" customHeight="1" x14ac:dyDescent="0.2">
      <c r="A68" s="925" t="s">
        <v>6271</v>
      </c>
      <c r="B68" s="922">
        <v>2</v>
      </c>
      <c r="C68" s="923">
        <v>7.45</v>
      </c>
      <c r="D68" s="903">
        <v>29</v>
      </c>
      <c r="E68" s="913"/>
      <c r="F68" s="914"/>
      <c r="G68" s="900"/>
      <c r="H68" s="918">
        <v>1</v>
      </c>
      <c r="I68" s="914">
        <v>4.07</v>
      </c>
      <c r="J68" s="900">
        <v>13</v>
      </c>
      <c r="K68" s="917">
        <v>3.72</v>
      </c>
      <c r="L68" s="918">
        <v>8</v>
      </c>
      <c r="M68" s="918">
        <v>69</v>
      </c>
      <c r="N68" s="919">
        <v>23</v>
      </c>
      <c r="O68" s="918" t="s">
        <v>6147</v>
      </c>
      <c r="P68" s="920" t="s">
        <v>6272</v>
      </c>
      <c r="Q68" s="921">
        <f t="shared" si="0"/>
        <v>-1</v>
      </c>
      <c r="R68" s="957">
        <f t="shared" si="0"/>
        <v>-3.38</v>
      </c>
      <c r="S68" s="921">
        <f t="shared" si="1"/>
        <v>1</v>
      </c>
      <c r="T68" s="957">
        <f t="shared" si="2"/>
        <v>4.07</v>
      </c>
      <c r="U68" s="964">
        <v>23</v>
      </c>
      <c r="V68" s="911">
        <v>13</v>
      </c>
      <c r="W68" s="911">
        <v>-10</v>
      </c>
      <c r="X68" s="962">
        <v>0.56521739130434778</v>
      </c>
      <c r="Y68" s="960"/>
    </row>
    <row r="69" spans="1:25" ht="14.45" customHeight="1" x14ac:dyDescent="0.2">
      <c r="A69" s="924" t="s">
        <v>6273</v>
      </c>
      <c r="B69" s="905"/>
      <c r="C69" s="906"/>
      <c r="D69" s="907"/>
      <c r="E69" s="890">
        <v>1</v>
      </c>
      <c r="F69" s="891">
        <v>0.6</v>
      </c>
      <c r="G69" s="892">
        <v>6</v>
      </c>
      <c r="H69" s="894"/>
      <c r="I69" s="888"/>
      <c r="J69" s="889"/>
      <c r="K69" s="893">
        <v>0.6</v>
      </c>
      <c r="L69" s="894">
        <v>2</v>
      </c>
      <c r="M69" s="894">
        <v>18</v>
      </c>
      <c r="N69" s="895">
        <v>6</v>
      </c>
      <c r="O69" s="894" t="s">
        <v>6147</v>
      </c>
      <c r="P69" s="909" t="s">
        <v>6274</v>
      </c>
      <c r="Q69" s="896">
        <f t="shared" si="0"/>
        <v>0</v>
      </c>
      <c r="R69" s="956">
        <f t="shared" si="0"/>
        <v>0</v>
      </c>
      <c r="S69" s="896">
        <f t="shared" si="1"/>
        <v>-1</v>
      </c>
      <c r="T69" s="956">
        <f t="shared" si="2"/>
        <v>-0.6</v>
      </c>
      <c r="U69" s="963" t="s">
        <v>329</v>
      </c>
      <c r="V69" s="905" t="s">
        <v>329</v>
      </c>
      <c r="W69" s="905" t="s">
        <v>329</v>
      </c>
      <c r="X69" s="961" t="s">
        <v>329</v>
      </c>
      <c r="Y69" s="959"/>
    </row>
    <row r="70" spans="1:25" ht="14.45" customHeight="1" x14ac:dyDescent="0.2">
      <c r="A70" s="924" t="s">
        <v>6275</v>
      </c>
      <c r="B70" s="897">
        <v>2</v>
      </c>
      <c r="C70" s="898">
        <v>3.61</v>
      </c>
      <c r="D70" s="899">
        <v>5.5</v>
      </c>
      <c r="E70" s="908">
        <v>1</v>
      </c>
      <c r="F70" s="888">
        <v>3.54</v>
      </c>
      <c r="G70" s="889">
        <v>15</v>
      </c>
      <c r="H70" s="894"/>
      <c r="I70" s="888"/>
      <c r="J70" s="889"/>
      <c r="K70" s="893">
        <v>1.28</v>
      </c>
      <c r="L70" s="894">
        <v>3</v>
      </c>
      <c r="M70" s="894">
        <v>24</v>
      </c>
      <c r="N70" s="895">
        <v>8</v>
      </c>
      <c r="O70" s="894" t="s">
        <v>6147</v>
      </c>
      <c r="P70" s="909" t="s">
        <v>6276</v>
      </c>
      <c r="Q70" s="896">
        <f t="shared" ref="Q70:R71" si="3">H70-B70</f>
        <v>-2</v>
      </c>
      <c r="R70" s="956">
        <f t="shared" si="3"/>
        <v>-3.61</v>
      </c>
      <c r="S70" s="896">
        <f t="shared" ref="S70:S71" si="4">H70-E70</f>
        <v>-1</v>
      </c>
      <c r="T70" s="956">
        <f t="shared" ref="T70:T71" si="5">I70-F70</f>
        <v>-3.54</v>
      </c>
      <c r="U70" s="963" t="s">
        <v>329</v>
      </c>
      <c r="V70" s="905" t="s">
        <v>329</v>
      </c>
      <c r="W70" s="905" t="s">
        <v>329</v>
      </c>
      <c r="X70" s="961" t="s">
        <v>329</v>
      </c>
      <c r="Y70" s="959"/>
    </row>
    <row r="71" spans="1:25" ht="14.45" customHeight="1" thickBot="1" x14ac:dyDescent="0.25">
      <c r="A71" s="941" t="s">
        <v>6277</v>
      </c>
      <c r="B71" s="942"/>
      <c r="C71" s="943"/>
      <c r="D71" s="944"/>
      <c r="E71" s="945">
        <v>1</v>
      </c>
      <c r="F71" s="946">
        <v>0.64</v>
      </c>
      <c r="G71" s="947">
        <v>3</v>
      </c>
      <c r="H71" s="948"/>
      <c r="I71" s="949"/>
      <c r="J71" s="950"/>
      <c r="K71" s="951">
        <v>0.64</v>
      </c>
      <c r="L71" s="948">
        <v>2</v>
      </c>
      <c r="M71" s="948">
        <v>21</v>
      </c>
      <c r="N71" s="952">
        <v>7</v>
      </c>
      <c r="O71" s="948" t="s">
        <v>6147</v>
      </c>
      <c r="P71" s="953" t="s">
        <v>6278</v>
      </c>
      <c r="Q71" s="954">
        <f t="shared" si="3"/>
        <v>0</v>
      </c>
      <c r="R71" s="958">
        <f t="shared" si="3"/>
        <v>0</v>
      </c>
      <c r="S71" s="954">
        <f t="shared" si="4"/>
        <v>-1</v>
      </c>
      <c r="T71" s="958">
        <f t="shared" si="5"/>
        <v>-0.64</v>
      </c>
      <c r="U71" s="968" t="s">
        <v>329</v>
      </c>
      <c r="V71" s="942" t="s">
        <v>329</v>
      </c>
      <c r="W71" s="942" t="s">
        <v>329</v>
      </c>
      <c r="X71" s="969" t="s">
        <v>329</v>
      </c>
      <c r="Y71" s="970"/>
    </row>
  </sheetData>
  <autoFilter ref="A4:Y4" xr:uid="{00000000-0009-0000-0000-00002C000000}"/>
  <mergeCells count="13">
    <mergeCell ref="U3:X3"/>
    <mergeCell ref="A1:Y1"/>
    <mergeCell ref="L3:L4"/>
    <mergeCell ref="M3:M4"/>
    <mergeCell ref="N3:N4"/>
    <mergeCell ref="P3:P4"/>
    <mergeCell ref="Q3:R3"/>
    <mergeCell ref="A3:A4"/>
    <mergeCell ref="B3:D3"/>
    <mergeCell ref="E3:G3"/>
    <mergeCell ref="H3:J3"/>
    <mergeCell ref="K3:K4"/>
    <mergeCell ref="S3:T3"/>
  </mergeCells>
  <conditionalFormatting sqref="Q72:Q1048576">
    <cfRule type="cellIs" dxfId="14" priority="11" stopIfTrue="1" operator="lessThan">
      <formula>0</formula>
    </cfRule>
  </conditionalFormatting>
  <conditionalFormatting sqref="W72:W1048576">
    <cfRule type="cellIs" dxfId="13" priority="10" stopIfTrue="1" operator="greaterThan">
      <formula>0</formula>
    </cfRule>
  </conditionalFormatting>
  <conditionalFormatting sqref="X72:X1048576">
    <cfRule type="cellIs" dxfId="12" priority="9" stopIfTrue="1" operator="greaterThan">
      <formula>1</formula>
    </cfRule>
  </conditionalFormatting>
  <conditionalFormatting sqref="X72:X1048576">
    <cfRule type="cellIs" dxfId="11" priority="6" stopIfTrue="1" operator="greaterThan">
      <formula>1</formula>
    </cfRule>
  </conditionalFormatting>
  <conditionalFormatting sqref="W72:W1048576">
    <cfRule type="cellIs" dxfId="10" priority="7" stopIfTrue="1" operator="greaterThan">
      <formula>0</formula>
    </cfRule>
  </conditionalFormatting>
  <conditionalFormatting sqref="Q72:Q1048576">
    <cfRule type="cellIs" dxfId="9" priority="8" stopIfTrue="1" operator="lessThan">
      <formula>0</formula>
    </cfRule>
  </conditionalFormatting>
  <conditionalFormatting sqref="T5:T1048576">
    <cfRule type="cellIs" dxfId="8" priority="5" operator="lessThan">
      <formula>0</formula>
    </cfRule>
  </conditionalFormatting>
  <conditionalFormatting sqref="Q5:Q71">
    <cfRule type="cellIs" dxfId="7" priority="4" stopIfTrue="1" operator="lessThan">
      <formula>0</formula>
    </cfRule>
  </conditionalFormatting>
  <conditionalFormatting sqref="X5:X71">
    <cfRule type="cellIs" dxfId="6" priority="2" stopIfTrue="1" operator="greaterThan">
      <formula>1</formula>
    </cfRule>
  </conditionalFormatting>
  <conditionalFormatting sqref="W5:W71">
    <cfRule type="cellIs" dxfId="5" priority="3" stopIfTrue="1" operator="greaterThan">
      <formula>0</formula>
    </cfRule>
  </conditionalFormatting>
  <conditionalFormatting sqref="S5:S71">
    <cfRule type="cellIs" dxfId="4" priority="1" stopIfTrue="1" operator="lessThan">
      <formula>0</formula>
    </cfRule>
  </conditionalFormatting>
  <hyperlinks>
    <hyperlink ref="A2" location="Obsah!A1" display="Zpět na Obsah  KL 01  1.-4.měsíc" xr:uid="{CE4990A7-7EA8-4765-831C-4F4BFB63B785}"/>
  </hyperlinks>
  <printOptions gridLines="1"/>
  <pageMargins left="0.25" right="0.25" top="0.75" bottom="0.75" header="0.3" footer="0.3"/>
  <pageSetup paperSize="9" scale="68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ColWidth="8.85546875" defaultRowHeight="14.45" customHeight="1" outlineLevelCol="1" x14ac:dyDescent="0.2"/>
  <cols>
    <col min="1" max="1" width="34.28515625" style="247" bestFit="1" customWidth="1"/>
    <col min="2" max="2" width="9.5703125" style="247" hidden="1" customWidth="1" outlineLevel="1"/>
    <col min="3" max="3" width="9.5703125" style="247" customWidth="1" collapsed="1"/>
    <col min="4" max="4" width="2.28515625" style="247" customWidth="1"/>
    <col min="5" max="8" width="9.5703125" style="247" customWidth="1"/>
    <col min="9" max="10" width="9.7109375" style="247" hidden="1" customWidth="1" outlineLevel="1"/>
    <col min="11" max="11" width="8.85546875" style="247" collapsed="1"/>
    <col min="12" max="16384" width="8.85546875" style="247"/>
  </cols>
  <sheetData>
    <row r="1" spans="1:10" ht="18.600000000000001" customHeight="1" thickBot="1" x14ac:dyDescent="0.35">
      <c r="A1" s="527" t="s">
        <v>174</v>
      </c>
      <c r="B1" s="527"/>
      <c r="C1" s="527"/>
      <c r="D1" s="527"/>
      <c r="E1" s="527"/>
      <c r="F1" s="527"/>
      <c r="G1" s="527"/>
      <c r="H1" s="527"/>
      <c r="I1" s="527"/>
      <c r="J1" s="527"/>
    </row>
    <row r="2" spans="1:10" ht="14.45" customHeight="1" thickBot="1" x14ac:dyDescent="0.25">
      <c r="A2" s="705" t="s">
        <v>328</v>
      </c>
      <c r="B2" s="220"/>
      <c r="C2" s="220"/>
      <c r="D2" s="220"/>
      <c r="E2" s="220"/>
      <c r="F2" s="220"/>
    </row>
    <row r="3" spans="1:10" ht="14.45" customHeight="1" x14ac:dyDescent="0.2">
      <c r="A3" s="518"/>
      <c r="B3" s="216">
        <v>2018</v>
      </c>
      <c r="C3" s="44">
        <v>2019</v>
      </c>
      <c r="D3" s="11"/>
      <c r="E3" s="522">
        <v>2020</v>
      </c>
      <c r="F3" s="523"/>
      <c r="G3" s="523"/>
      <c r="H3" s="524"/>
      <c r="I3" s="525">
        <v>2017</v>
      </c>
      <c r="J3" s="526"/>
    </row>
    <row r="4" spans="1:10" ht="14.45" customHeight="1" thickBot="1" x14ac:dyDescent="0.25">
      <c r="A4" s="519"/>
      <c r="B4" s="520" t="s">
        <v>93</v>
      </c>
      <c r="C4" s="521"/>
      <c r="D4" s="11"/>
      <c r="E4" s="237" t="s">
        <v>93</v>
      </c>
      <c r="F4" s="218" t="s">
        <v>94</v>
      </c>
      <c r="G4" s="218" t="s">
        <v>68</v>
      </c>
      <c r="H4" s="219" t="s">
        <v>95</v>
      </c>
      <c r="I4" s="433" t="s">
        <v>322</v>
      </c>
      <c r="J4" s="434" t="s">
        <v>323</v>
      </c>
    </row>
    <row r="5" spans="1:10" ht="14.45" customHeight="1" x14ac:dyDescent="0.2">
      <c r="A5" s="221" t="str">
        <f>HYPERLINK("#'Léky Žádanky'!A1","Léky (Kč)")</f>
        <v>Léky (Kč)</v>
      </c>
      <c r="B5" s="31">
        <v>4819.702659999999</v>
      </c>
      <c r="C5" s="33">
        <v>5284.422340000001</v>
      </c>
      <c r="D5" s="12"/>
      <c r="E5" s="226">
        <v>3735.4323600000007</v>
      </c>
      <c r="F5" s="32">
        <v>0</v>
      </c>
      <c r="G5" s="225">
        <f>E5-F5</f>
        <v>3735.4323600000007</v>
      </c>
      <c r="H5" s="231" t="str">
        <f>IF(F5&lt;0.00000001,"",E5/F5)</f>
        <v/>
      </c>
    </row>
    <row r="6" spans="1:10" ht="14.45" customHeight="1" x14ac:dyDescent="0.2">
      <c r="A6" s="221" t="str">
        <f>HYPERLINK("#'Materiál Žádanky'!A1","Materiál - SZM (Kč)")</f>
        <v>Materiál - SZM (Kč)</v>
      </c>
      <c r="B6" s="14">
        <v>16027.164850000003</v>
      </c>
      <c r="C6" s="35">
        <v>19242.607100000001</v>
      </c>
      <c r="D6" s="12"/>
      <c r="E6" s="227">
        <v>15542.692749999997</v>
      </c>
      <c r="F6" s="34">
        <v>0</v>
      </c>
      <c r="G6" s="228">
        <f>E6-F6</f>
        <v>15542.692749999997</v>
      </c>
      <c r="H6" s="232" t="str">
        <f>IF(F6&lt;0.00000001,"",E6/F6)</f>
        <v/>
      </c>
    </row>
    <row r="7" spans="1:10" ht="14.45" customHeight="1" x14ac:dyDescent="0.2">
      <c r="A7" s="221" t="str">
        <f>HYPERLINK("#'Osobní náklady'!A1","Osobní náklady (Kč) *")</f>
        <v>Osobní náklady (Kč) *</v>
      </c>
      <c r="B7" s="14">
        <v>36168.745200000005</v>
      </c>
      <c r="C7" s="35">
        <v>40298.17308</v>
      </c>
      <c r="D7" s="12"/>
      <c r="E7" s="227">
        <v>41732.966399999998</v>
      </c>
      <c r="F7" s="34">
        <v>0</v>
      </c>
      <c r="G7" s="228">
        <f>E7-F7</f>
        <v>41732.966399999998</v>
      </c>
      <c r="H7" s="232" t="str">
        <f>IF(F7&lt;0.00000001,"",E7/F7)</f>
        <v/>
      </c>
    </row>
    <row r="8" spans="1:10" ht="14.45" customHeight="1" thickBot="1" x14ac:dyDescent="0.25">
      <c r="A8" s="1" t="s">
        <v>96</v>
      </c>
      <c r="B8" s="15">
        <v>13070.246309999997</v>
      </c>
      <c r="C8" s="37">
        <v>14775.136399999996</v>
      </c>
      <c r="D8" s="12"/>
      <c r="E8" s="229">
        <v>12227.548840000009</v>
      </c>
      <c r="F8" s="36">
        <v>0</v>
      </c>
      <c r="G8" s="230">
        <f>E8-F8</f>
        <v>12227.548840000009</v>
      </c>
      <c r="H8" s="233" t="str">
        <f>IF(F8&lt;0.00000001,"",E8/F8)</f>
        <v/>
      </c>
    </row>
    <row r="9" spans="1:10" ht="14.45" customHeight="1" thickBot="1" x14ac:dyDescent="0.25">
      <c r="A9" s="2" t="s">
        <v>97</v>
      </c>
      <c r="B9" s="3">
        <v>70085.859020000004</v>
      </c>
      <c r="C9" s="39">
        <v>79600.338920000009</v>
      </c>
      <c r="D9" s="12"/>
      <c r="E9" s="3">
        <v>73238.640350000001</v>
      </c>
      <c r="F9" s="38">
        <v>0</v>
      </c>
      <c r="G9" s="38">
        <f>E9-F9</f>
        <v>73238.640350000001</v>
      </c>
      <c r="H9" s="234" t="str">
        <f>IF(F9&lt;0.00000001,"",E9/F9)</f>
        <v/>
      </c>
    </row>
    <row r="10" spans="1:10" ht="14.45" customHeight="1" thickBot="1" x14ac:dyDescent="0.25">
      <c r="A10" s="16"/>
      <c r="B10" s="16"/>
      <c r="C10" s="217"/>
      <c r="D10" s="12"/>
      <c r="E10" s="16"/>
      <c r="F10" s="17"/>
    </row>
    <row r="11" spans="1:10" ht="14.45" customHeight="1" x14ac:dyDescent="0.2">
      <c r="A11" s="250" t="str">
        <f>HYPERLINK("#'ZV Vykáz.-A'!A1","Ambulance *")</f>
        <v>Ambulance *</v>
      </c>
      <c r="B11" s="13">
        <f>IF(ISERROR(VLOOKUP("Celkem:",'ZV Vykáz.-A'!A:H,2,0)),0,VLOOKUP("Celkem:",'ZV Vykáz.-A'!A:H,2,0)/1000)</f>
        <v>674.2333000000001</v>
      </c>
      <c r="C11" s="33">
        <f>IF(ISERROR(VLOOKUP("Celkem:",'ZV Vykáz.-A'!A:H,5,0)),0,VLOOKUP("Celkem:",'ZV Vykáz.-A'!A:H,5,0)/1000)</f>
        <v>650.86696999999992</v>
      </c>
      <c r="D11" s="12"/>
      <c r="E11" s="226">
        <f>IF(ISERROR(VLOOKUP("Celkem:",'ZV Vykáz.-A'!A:H,8,0)),0,VLOOKUP("Celkem:",'ZV Vykáz.-A'!A:H,8,0)/1000)</f>
        <v>613.84262000000012</v>
      </c>
      <c r="F11" s="32">
        <f>C11</f>
        <v>650.86696999999992</v>
      </c>
      <c r="G11" s="225">
        <f>E11-F11</f>
        <v>-37.024349999999799</v>
      </c>
      <c r="H11" s="231">
        <f>IF(F11&lt;0.00000001,"",E11/F11)</f>
        <v>0.94311533430556505</v>
      </c>
      <c r="I11" s="225">
        <f>E11-B11</f>
        <v>-60.390679999999975</v>
      </c>
      <c r="J11" s="231">
        <f>IF(B11&lt;0.00000001,"",E11/B11)</f>
        <v>0.91043058834382706</v>
      </c>
    </row>
    <row r="12" spans="1:10" ht="14.45" customHeight="1" thickBot="1" x14ac:dyDescent="0.25">
      <c r="A12" s="251" t="str">
        <f>HYPERLINK("#CaseMix!A1","Hospitalizace *")</f>
        <v>Hospitalizace *</v>
      </c>
      <c r="B12" s="15">
        <f>IF(ISERROR(VLOOKUP("Celkem",CaseMix!A:D,2,0)),0,VLOOKUP("Celkem",CaseMix!A:D,2,0)*30)</f>
        <v>67708.920000000013</v>
      </c>
      <c r="C12" s="37">
        <f>IF(ISERROR(VLOOKUP("Celkem",CaseMix!A:D,3,0)),0,VLOOKUP("Celkem",CaseMix!A:D,3,0)*30)</f>
        <v>79538.939999999988</v>
      </c>
      <c r="D12" s="12"/>
      <c r="E12" s="229">
        <f>IF(ISERROR(VLOOKUP("Celkem",CaseMix!A:D,4,0)),0,VLOOKUP("Celkem",CaseMix!A:D,4,0)*30)</f>
        <v>59640.9</v>
      </c>
      <c r="F12" s="36">
        <f>C12</f>
        <v>79538.939999999988</v>
      </c>
      <c r="G12" s="230">
        <f>E12-F12</f>
        <v>-19898.039999999986</v>
      </c>
      <c r="H12" s="233">
        <f>IF(F12&lt;0.00000001,"",E12/F12)</f>
        <v>0.74983272344338525</v>
      </c>
      <c r="I12" s="230">
        <f>E12-B12</f>
        <v>-8068.0200000000114</v>
      </c>
      <c r="J12" s="233">
        <f>IF(B12&lt;0.00000001,"",E12/B12)</f>
        <v>0.88084258322241726</v>
      </c>
    </row>
    <row r="13" spans="1:10" ht="14.45" customHeight="1" thickBot="1" x14ac:dyDescent="0.25">
      <c r="A13" s="4" t="s">
        <v>100</v>
      </c>
      <c r="B13" s="9">
        <f>SUM(B11:B12)</f>
        <v>68383.15330000002</v>
      </c>
      <c r="C13" s="41">
        <f>SUM(C11:C12)</f>
        <v>80189.806969999991</v>
      </c>
      <c r="D13" s="12"/>
      <c r="E13" s="9">
        <f>SUM(E11:E12)</f>
        <v>60254.742620000005</v>
      </c>
      <c r="F13" s="40">
        <f>SUM(F11:F12)</f>
        <v>80189.806969999991</v>
      </c>
      <c r="G13" s="40">
        <f>E13-F13</f>
        <v>-19935.064349999986</v>
      </c>
      <c r="H13" s="235">
        <f>IF(F13&lt;0.00000001,"",E13/F13)</f>
        <v>0.75140151718462245</v>
      </c>
      <c r="I13" s="40">
        <f>SUM(I11:I12)</f>
        <v>-8128.4106800000118</v>
      </c>
      <c r="J13" s="235">
        <f>IF(B13&lt;0.00000001,"",E13/B13)</f>
        <v>0.88113431031265399</v>
      </c>
    </row>
    <row r="14" spans="1:10" ht="14.45" customHeight="1" thickBot="1" x14ac:dyDescent="0.25">
      <c r="A14" s="16"/>
      <c r="B14" s="16"/>
      <c r="C14" s="217"/>
      <c r="D14" s="12"/>
      <c r="E14" s="16"/>
      <c r="F14" s="17"/>
    </row>
    <row r="15" spans="1:10" ht="14.45" customHeight="1" thickBot="1" x14ac:dyDescent="0.25">
      <c r="A15" s="252" t="str">
        <f>HYPERLINK("#'HI Graf'!A1","Hospodářský index (Výnosy / Náklady) *")</f>
        <v>Hospodářský index (Výnosy / Náklady) *</v>
      </c>
      <c r="B15" s="10">
        <f>IF(B9=0,"",B13/B9)</f>
        <v>0.97570543125519671</v>
      </c>
      <c r="C15" s="43">
        <f>IF(C9=0,"",C13/C9)</f>
        <v>1.0074053459821624</v>
      </c>
      <c r="D15" s="12"/>
      <c r="E15" s="10">
        <f>IF(E9=0,"",E13/E9)</f>
        <v>0.82271793048107844</v>
      </c>
      <c r="F15" s="42" t="str">
        <f>IF(F9=0,"",F13/F9)</f>
        <v/>
      </c>
      <c r="G15" s="42" t="str">
        <f>IF(ISERROR(F15-E15),"",E15-F15)</f>
        <v/>
      </c>
      <c r="H15" s="236" t="str">
        <f>IF(ISERROR(F15-E15),"",IF(F15&lt;0.00000001,"",E15/F15))</f>
        <v/>
      </c>
    </row>
    <row r="17" spans="1:8" ht="14.45" customHeight="1" x14ac:dyDescent="0.2">
      <c r="A17" s="222" t="s">
        <v>201</v>
      </c>
    </row>
    <row r="18" spans="1:8" ht="14.45" customHeight="1" x14ac:dyDescent="0.25">
      <c r="A18" s="374" t="s">
        <v>232</v>
      </c>
      <c r="B18" s="375"/>
      <c r="C18" s="375"/>
      <c r="D18" s="375"/>
      <c r="E18" s="375"/>
      <c r="F18" s="375"/>
      <c r="G18" s="375"/>
      <c r="H18" s="375"/>
    </row>
    <row r="19" spans="1:8" ht="15" x14ac:dyDescent="0.25">
      <c r="A19" s="373" t="s">
        <v>231</v>
      </c>
      <c r="B19" s="375"/>
      <c r="C19" s="375"/>
      <c r="D19" s="375"/>
      <c r="E19" s="375"/>
      <c r="F19" s="375"/>
      <c r="G19" s="375"/>
      <c r="H19" s="375"/>
    </row>
    <row r="20" spans="1:8" ht="14.45" customHeight="1" x14ac:dyDescent="0.2">
      <c r="A20" s="223" t="s">
        <v>252</v>
      </c>
    </row>
    <row r="21" spans="1:8" ht="14.45" customHeight="1" x14ac:dyDescent="0.2">
      <c r="A21" s="223" t="s">
        <v>202</v>
      </c>
    </row>
    <row r="22" spans="1:8" ht="14.45" customHeight="1" x14ac:dyDescent="0.2">
      <c r="A22" s="224" t="s">
        <v>301</v>
      </c>
    </row>
    <row r="23" spans="1:8" ht="14.45" customHeight="1" x14ac:dyDescent="0.2">
      <c r="A23" s="224" t="s">
        <v>203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85" priority="8" operator="greaterThan">
      <formula>0</formula>
    </cfRule>
  </conditionalFormatting>
  <conditionalFormatting sqref="G11:G13 G15">
    <cfRule type="cellIs" dxfId="84" priority="7" operator="lessThan">
      <formula>0</formula>
    </cfRule>
  </conditionalFormatting>
  <conditionalFormatting sqref="H5:H9">
    <cfRule type="cellIs" dxfId="83" priority="6" operator="greaterThan">
      <formula>1</formula>
    </cfRule>
  </conditionalFormatting>
  <conditionalFormatting sqref="H11:H13 H15">
    <cfRule type="cellIs" dxfId="82" priority="5" operator="lessThan">
      <formula>1</formula>
    </cfRule>
  </conditionalFormatting>
  <conditionalFormatting sqref="I11:I13">
    <cfRule type="cellIs" dxfId="81" priority="4" operator="lessThan">
      <formula>0</formula>
    </cfRule>
  </conditionalFormatting>
  <conditionalFormatting sqref="J11:J13">
    <cfRule type="cellIs" dxfId="80" priority="3" operator="lessThan">
      <formula>1</formula>
    </cfRule>
  </conditionalFormatting>
  <hyperlinks>
    <hyperlink ref="A2" location="Obsah!A1" display="Zpět na Obsah  KL 01  1.-4.měsíc" xr:uid="{F8FD4467-A58E-4B83-ABF7-9CB7D60D2E20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sheetPr codeName="List4">
    <tabColor theme="0" tint="-0.249977111117893"/>
    <outlinePr summaryRight="0"/>
    <pageSetUpPr fitToPage="1"/>
  </sheetPr>
  <dimension ref="A1:M14"/>
  <sheetViews>
    <sheetView showGridLines="0" showRowColHeaders="0" workbookViewId="0">
      <pane ySplit="5" topLeftCell="A6" activePane="bottomLeft" state="frozen"/>
      <selection sqref="A1:N1"/>
      <selection pane="bottomLeft" sqref="A1:M1"/>
    </sheetView>
  </sheetViews>
  <sheetFormatPr defaultColWidth="8.85546875" defaultRowHeight="14.45" customHeight="1" outlineLevelCol="1" x14ac:dyDescent="0.2"/>
  <cols>
    <col min="1" max="1" width="43.28515625" style="247" customWidth="1" collapsed="1"/>
    <col min="2" max="2" width="7.7109375" style="215" hidden="1" customWidth="1" outlineLevel="1"/>
    <col min="3" max="3" width="7.28515625" style="247" hidden="1" customWidth="1"/>
    <col min="4" max="4" width="7.7109375" style="215" customWidth="1"/>
    <col min="5" max="5" width="7.28515625" style="247" hidden="1" customWidth="1"/>
    <col min="6" max="6" width="7.7109375" style="215" customWidth="1"/>
    <col min="7" max="7" width="7.7109375" style="332" customWidth="1" collapsed="1"/>
    <col min="8" max="8" width="7.7109375" style="215" hidden="1" customWidth="1" outlineLevel="1"/>
    <col min="9" max="9" width="7.28515625" style="247" hidden="1" customWidth="1"/>
    <col min="10" max="10" width="7.7109375" style="215" customWidth="1"/>
    <col min="11" max="11" width="7.28515625" style="247" hidden="1" customWidth="1"/>
    <col min="12" max="12" width="7.7109375" style="215" customWidth="1"/>
    <col min="13" max="13" width="7.7109375" style="332" customWidth="1"/>
    <col min="14" max="16384" width="8.85546875" style="247"/>
  </cols>
  <sheetData>
    <row r="1" spans="1:13" ht="18.600000000000001" customHeight="1" thickBot="1" x14ac:dyDescent="0.35">
      <c r="A1" s="528" t="s">
        <v>157</v>
      </c>
      <c r="B1" s="516"/>
      <c r="C1" s="516"/>
      <c r="D1" s="516"/>
      <c r="E1" s="516"/>
      <c r="F1" s="516"/>
      <c r="G1" s="516"/>
      <c r="H1" s="516"/>
      <c r="I1" s="516"/>
      <c r="J1" s="516"/>
      <c r="K1" s="516"/>
      <c r="L1" s="516"/>
      <c r="M1" s="516"/>
    </row>
    <row r="2" spans="1:13" ht="14.45" customHeight="1" thickBot="1" x14ac:dyDescent="0.25">
      <c r="A2" s="705" t="s">
        <v>328</v>
      </c>
      <c r="B2" s="348"/>
      <c r="C2" s="220"/>
      <c r="D2" s="348"/>
      <c r="E2" s="220"/>
      <c r="F2" s="348"/>
      <c r="G2" s="349"/>
      <c r="H2" s="348"/>
      <c r="I2" s="220"/>
      <c r="J2" s="348"/>
      <c r="K2" s="220"/>
      <c r="L2" s="348"/>
      <c r="M2" s="349"/>
    </row>
    <row r="3" spans="1:13" ht="14.45" customHeight="1" thickBot="1" x14ac:dyDescent="0.25">
      <c r="A3" s="342" t="s">
        <v>158</v>
      </c>
      <c r="B3" s="343">
        <f>SUBTOTAL(9,B6:B1048576)</f>
        <v>3577026.44</v>
      </c>
      <c r="C3" s="344">
        <f t="shared" ref="C3:L3" si="0">SUBTOTAL(9,C6:C1048576)</f>
        <v>18.384784186117798</v>
      </c>
      <c r="D3" s="344">
        <f t="shared" si="0"/>
        <v>3811654.44</v>
      </c>
      <c r="E3" s="344">
        <f t="shared" si="0"/>
        <v>8</v>
      </c>
      <c r="F3" s="344">
        <f t="shared" si="0"/>
        <v>3160088</v>
      </c>
      <c r="G3" s="347">
        <f>IF(D3&lt;&gt;0,F3/D3,"")</f>
        <v>0.82905941494528557</v>
      </c>
      <c r="H3" s="343">
        <f t="shared" si="0"/>
        <v>634436.56000000017</v>
      </c>
      <c r="I3" s="344">
        <f t="shared" si="0"/>
        <v>13.163719490982306</v>
      </c>
      <c r="J3" s="344">
        <f t="shared" si="0"/>
        <v>200022.41</v>
      </c>
      <c r="K3" s="344">
        <f t="shared" si="0"/>
        <v>2</v>
      </c>
      <c r="L3" s="344">
        <f t="shared" si="0"/>
        <v>1048852.3899999999</v>
      </c>
      <c r="M3" s="345">
        <f>IF(J3&lt;&gt;0,L3/J3,"")</f>
        <v>5.2436743962838959</v>
      </c>
    </row>
    <row r="4" spans="1:13" ht="14.45" customHeight="1" x14ac:dyDescent="0.2">
      <c r="A4" s="696" t="s">
        <v>117</v>
      </c>
      <c r="B4" s="628" t="s">
        <v>122</v>
      </c>
      <c r="C4" s="629"/>
      <c r="D4" s="629"/>
      <c r="E4" s="629"/>
      <c r="F4" s="629"/>
      <c r="G4" s="631"/>
      <c r="H4" s="628" t="s">
        <v>123</v>
      </c>
      <c r="I4" s="629"/>
      <c r="J4" s="629"/>
      <c r="K4" s="629"/>
      <c r="L4" s="629"/>
      <c r="M4" s="631"/>
    </row>
    <row r="5" spans="1:13" s="330" customFormat="1" ht="14.45" customHeight="1" thickBot="1" x14ac:dyDescent="0.25">
      <c r="A5" s="971"/>
      <c r="B5" s="972">
        <v>2018</v>
      </c>
      <c r="C5" s="973"/>
      <c r="D5" s="973">
        <v>2019</v>
      </c>
      <c r="E5" s="973"/>
      <c r="F5" s="973">
        <v>2020</v>
      </c>
      <c r="G5" s="882" t="s">
        <v>2</v>
      </c>
      <c r="H5" s="972">
        <v>2018</v>
      </c>
      <c r="I5" s="973"/>
      <c r="J5" s="973">
        <v>2019</v>
      </c>
      <c r="K5" s="973"/>
      <c r="L5" s="973">
        <v>2020</v>
      </c>
      <c r="M5" s="882" t="s">
        <v>2</v>
      </c>
    </row>
    <row r="6" spans="1:13" ht="14.45" customHeight="1" x14ac:dyDescent="0.2">
      <c r="A6" s="836" t="s">
        <v>6280</v>
      </c>
      <c r="B6" s="864">
        <v>23533</v>
      </c>
      <c r="C6" s="808">
        <v>10.403625110521663</v>
      </c>
      <c r="D6" s="864">
        <v>2262</v>
      </c>
      <c r="E6" s="808">
        <v>1</v>
      </c>
      <c r="F6" s="864">
        <v>19138</v>
      </c>
      <c r="G6" s="813">
        <v>8.4606542882404945</v>
      </c>
      <c r="H6" s="864">
        <v>22604.14</v>
      </c>
      <c r="I6" s="808">
        <v>10.070184348631864</v>
      </c>
      <c r="J6" s="864">
        <v>2244.66</v>
      </c>
      <c r="K6" s="808">
        <v>1</v>
      </c>
      <c r="L6" s="864">
        <v>12547.08</v>
      </c>
      <c r="M6" s="231">
        <v>5.5897463312929352</v>
      </c>
    </row>
    <row r="7" spans="1:13" ht="14.45" customHeight="1" x14ac:dyDescent="0.2">
      <c r="A7" s="837" t="s">
        <v>5455</v>
      </c>
      <c r="B7" s="866">
        <v>211234.44</v>
      </c>
      <c r="C7" s="823">
        <v>0.63526013931822434</v>
      </c>
      <c r="D7" s="866">
        <v>332516.44</v>
      </c>
      <c r="E7" s="823">
        <v>1</v>
      </c>
      <c r="F7" s="866">
        <v>158070</v>
      </c>
      <c r="G7" s="828">
        <v>0.47537499198535865</v>
      </c>
      <c r="H7" s="866"/>
      <c r="I7" s="823"/>
      <c r="J7" s="866"/>
      <c r="K7" s="823"/>
      <c r="L7" s="866"/>
      <c r="M7" s="829"/>
    </row>
    <row r="8" spans="1:13" ht="14.45" customHeight="1" x14ac:dyDescent="0.2">
      <c r="A8" s="837" t="s">
        <v>6281</v>
      </c>
      <c r="B8" s="866">
        <v>2020878</v>
      </c>
      <c r="C8" s="823">
        <v>0.9359721220014432</v>
      </c>
      <c r="D8" s="866">
        <v>2159122</v>
      </c>
      <c r="E8" s="823">
        <v>1</v>
      </c>
      <c r="F8" s="866">
        <v>1612000</v>
      </c>
      <c r="G8" s="828">
        <v>0.74659977527902543</v>
      </c>
      <c r="H8" s="866"/>
      <c r="I8" s="823"/>
      <c r="J8" s="866"/>
      <c r="K8" s="823"/>
      <c r="L8" s="866"/>
      <c r="M8" s="829"/>
    </row>
    <row r="9" spans="1:13" ht="14.45" customHeight="1" x14ac:dyDescent="0.2">
      <c r="A9" s="837" t="s">
        <v>6282</v>
      </c>
      <c r="B9" s="866">
        <v>527814</v>
      </c>
      <c r="C9" s="823">
        <v>1.2513578935639045</v>
      </c>
      <c r="D9" s="866">
        <v>421793</v>
      </c>
      <c r="E9" s="823">
        <v>1</v>
      </c>
      <c r="F9" s="866">
        <v>517123</v>
      </c>
      <c r="G9" s="828">
        <v>1.2260113373147492</v>
      </c>
      <c r="H9" s="866">
        <v>611832.42000000016</v>
      </c>
      <c r="I9" s="823">
        <v>3.0935351423504422</v>
      </c>
      <c r="J9" s="866">
        <v>197777.75</v>
      </c>
      <c r="K9" s="823">
        <v>1</v>
      </c>
      <c r="L9" s="866">
        <v>1036305.3099999999</v>
      </c>
      <c r="M9" s="829">
        <v>5.2397466853576802</v>
      </c>
    </row>
    <row r="10" spans="1:13" ht="14.45" customHeight="1" x14ac:dyDescent="0.2">
      <c r="A10" s="837" t="s">
        <v>6283</v>
      </c>
      <c r="B10" s="866">
        <v>508524</v>
      </c>
      <c r="C10" s="823">
        <v>0.83761703024832479</v>
      </c>
      <c r="D10" s="866">
        <v>607108</v>
      </c>
      <c r="E10" s="823">
        <v>1</v>
      </c>
      <c r="F10" s="866">
        <v>543470</v>
      </c>
      <c r="G10" s="828">
        <v>0.89517845259821971</v>
      </c>
      <c r="H10" s="866"/>
      <c r="I10" s="823"/>
      <c r="J10" s="866"/>
      <c r="K10" s="823"/>
      <c r="L10" s="866"/>
      <c r="M10" s="829"/>
    </row>
    <row r="11" spans="1:13" ht="14.45" customHeight="1" x14ac:dyDescent="0.2">
      <c r="A11" s="837" t="s">
        <v>6284</v>
      </c>
      <c r="B11" s="866">
        <v>74168</v>
      </c>
      <c r="C11" s="823">
        <v>0.86598323330920302</v>
      </c>
      <c r="D11" s="866">
        <v>85646</v>
      </c>
      <c r="E11" s="823">
        <v>1</v>
      </c>
      <c r="F11" s="866">
        <v>124875</v>
      </c>
      <c r="G11" s="828">
        <v>1.4580365691334096</v>
      </c>
      <c r="H11" s="866"/>
      <c r="I11" s="823"/>
      <c r="J11" s="866"/>
      <c r="K11" s="823"/>
      <c r="L11" s="866"/>
      <c r="M11" s="829"/>
    </row>
    <row r="12" spans="1:13" ht="14.45" customHeight="1" x14ac:dyDescent="0.2">
      <c r="A12" s="837" t="s">
        <v>6285</v>
      </c>
      <c r="B12" s="866">
        <v>195979</v>
      </c>
      <c r="C12" s="823">
        <v>0.99404019193118065</v>
      </c>
      <c r="D12" s="866">
        <v>197154</v>
      </c>
      <c r="E12" s="823">
        <v>1</v>
      </c>
      <c r="F12" s="866">
        <v>133202</v>
      </c>
      <c r="G12" s="828">
        <v>0.67562413138967503</v>
      </c>
      <c r="H12" s="866"/>
      <c r="I12" s="823"/>
      <c r="J12" s="866"/>
      <c r="K12" s="823"/>
      <c r="L12" s="866"/>
      <c r="M12" s="829"/>
    </row>
    <row r="13" spans="1:13" ht="14.45" customHeight="1" x14ac:dyDescent="0.2">
      <c r="A13" s="837" t="s">
        <v>6286</v>
      </c>
      <c r="B13" s="866">
        <v>14896</v>
      </c>
      <c r="C13" s="823">
        <v>2.4609284652238559</v>
      </c>
      <c r="D13" s="866">
        <v>6053</v>
      </c>
      <c r="E13" s="823">
        <v>1</v>
      </c>
      <c r="F13" s="866">
        <v>13201</v>
      </c>
      <c r="G13" s="828">
        <v>2.180902032050223</v>
      </c>
      <c r="H13" s="866"/>
      <c r="I13" s="823"/>
      <c r="J13" s="866"/>
      <c r="K13" s="823"/>
      <c r="L13" s="866"/>
      <c r="M13" s="829"/>
    </row>
    <row r="14" spans="1:13" ht="14.45" customHeight="1" thickBot="1" x14ac:dyDescent="0.25">
      <c r="A14" s="870" t="s">
        <v>6287</v>
      </c>
      <c r="B14" s="868"/>
      <c r="C14" s="815"/>
      <c r="D14" s="868"/>
      <c r="E14" s="815"/>
      <c r="F14" s="868">
        <v>39009</v>
      </c>
      <c r="G14" s="820"/>
      <c r="H14" s="868"/>
      <c r="I14" s="815"/>
      <c r="J14" s="868"/>
      <c r="K14" s="815"/>
      <c r="L14" s="868"/>
      <c r="M14" s="821"/>
    </row>
  </sheetData>
  <mergeCells count="4">
    <mergeCell ref="A4:A5"/>
    <mergeCell ref="B4:G4"/>
    <mergeCell ref="H4:M4"/>
    <mergeCell ref="A1:M1"/>
  </mergeCells>
  <conditionalFormatting sqref="F6:F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{B0D7810C-1ECB-49F3-AEA4-0F83D5AE3D8E}</x14:id>
        </ext>
      </extLst>
    </cfRule>
  </conditionalFormatting>
  <conditionalFormatting sqref="L6:L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{62A185C8-0356-41DC-9157-C12418624882}</x14:id>
        </ext>
      </extLst>
    </cfRule>
  </conditionalFormatting>
  <hyperlinks>
    <hyperlink ref="A2" location="Obsah!A1" display="Zpět na Obsah  KL 01  1.-4.měsíc" xr:uid="{59538639-05AC-4769-8BFC-E753B8551514}"/>
  </hyperlinks>
  <pageMargins left="0.25" right="0.25" top="0.75" bottom="0.75" header="0.3" footer="0.3"/>
  <pageSetup paperSize="9" scale="80" fitToHeight="0" orientation="portrait" r:id="rId1"/>
  <ignoredErrors>
    <ignoredError sqref="B3 D3 F3 H3 J3 L3" formulaRange="1"/>
    <ignoredError sqref="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0D7810C-1ECB-49F3-AEA4-0F83D5AE3D8E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62A185C8-0356-41DC-9157-C1241862488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</x14:conditionalFormattings>
    </ext>
  </extLst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sheetPr codeName="List1">
    <tabColor theme="0" tint="-0.249977111117893"/>
    <outlinePr summaryRight="0"/>
    <pageSetUpPr fitToPage="1"/>
  </sheetPr>
  <dimension ref="A1:Q299"/>
  <sheetViews>
    <sheetView showGridLines="0" showRowColHeaders="0" workbookViewId="0">
      <pane ySplit="5" topLeftCell="A6" activePane="bottomLeft" state="frozen"/>
      <selection sqref="A1:N1"/>
      <selection pane="bottomLeft" sqref="A1:Q1"/>
    </sheetView>
  </sheetViews>
  <sheetFormatPr defaultColWidth="8.85546875" defaultRowHeight="14.45" customHeight="1" outlineLevelCol="1" x14ac:dyDescent="0.2"/>
  <cols>
    <col min="1" max="1" width="3" style="247" bestFit="1" customWidth="1"/>
    <col min="2" max="2" width="8.7109375" style="247" bestFit="1" customWidth="1"/>
    <col min="3" max="3" width="2.140625" style="247" bestFit="1" customWidth="1"/>
    <col min="4" max="4" width="8" style="247" bestFit="1" customWidth="1"/>
    <col min="5" max="5" width="52.85546875" style="247" bestFit="1" customWidth="1" collapsed="1"/>
    <col min="6" max="7" width="11.140625" style="329" hidden="1" customWidth="1" outlineLevel="1"/>
    <col min="8" max="9" width="9.28515625" style="329" hidden="1" customWidth="1"/>
    <col min="10" max="11" width="11.140625" style="329" customWidth="1"/>
    <col min="12" max="13" width="9.28515625" style="329" hidden="1" customWidth="1"/>
    <col min="14" max="15" width="11.140625" style="329" customWidth="1"/>
    <col min="16" max="16" width="11.140625" style="332" customWidth="1"/>
    <col min="17" max="17" width="11.140625" style="329" customWidth="1"/>
    <col min="18" max="16384" width="8.85546875" style="247"/>
  </cols>
  <sheetData>
    <row r="1" spans="1:17" ht="18.600000000000001" customHeight="1" thickBot="1" x14ac:dyDescent="0.35">
      <c r="A1" s="528" t="s">
        <v>6845</v>
      </c>
      <c r="B1" s="516"/>
      <c r="C1" s="516"/>
      <c r="D1" s="516"/>
      <c r="E1" s="516"/>
      <c r="F1" s="516"/>
      <c r="G1" s="516"/>
      <c r="H1" s="516"/>
      <c r="I1" s="516"/>
      <c r="J1" s="516"/>
      <c r="K1" s="516"/>
      <c r="L1" s="516"/>
      <c r="M1" s="516"/>
      <c r="N1" s="516"/>
      <c r="O1" s="516"/>
      <c r="P1" s="516"/>
      <c r="Q1" s="516"/>
    </row>
    <row r="2" spans="1:17" ht="14.45" customHeight="1" thickBot="1" x14ac:dyDescent="0.25">
      <c r="A2" s="705" t="s">
        <v>328</v>
      </c>
      <c r="B2" s="220"/>
      <c r="C2" s="220"/>
      <c r="D2" s="220"/>
      <c r="E2" s="220"/>
      <c r="F2" s="352"/>
      <c r="G2" s="352"/>
      <c r="H2" s="352"/>
      <c r="I2" s="352"/>
      <c r="J2" s="352"/>
      <c r="K2" s="352"/>
      <c r="L2" s="352"/>
      <c r="M2" s="352"/>
      <c r="N2" s="352"/>
      <c r="O2" s="352"/>
      <c r="P2" s="349"/>
      <c r="Q2" s="352"/>
    </row>
    <row r="3" spans="1:17" ht="14.45" customHeight="1" thickBot="1" x14ac:dyDescent="0.25">
      <c r="E3" s="112" t="s">
        <v>158</v>
      </c>
      <c r="F3" s="207">
        <f t="shared" ref="F3:O3" si="0">SUBTOTAL(9,F6:F1048576)</f>
        <v>55168.49</v>
      </c>
      <c r="G3" s="211">
        <f t="shared" si="0"/>
        <v>4211463</v>
      </c>
      <c r="H3" s="212"/>
      <c r="I3" s="212"/>
      <c r="J3" s="207">
        <f t="shared" si="0"/>
        <v>55197.81</v>
      </c>
      <c r="K3" s="211">
        <f t="shared" si="0"/>
        <v>4011676.85</v>
      </c>
      <c r="L3" s="212"/>
      <c r="M3" s="212"/>
      <c r="N3" s="207">
        <f t="shared" si="0"/>
        <v>43159.210000000006</v>
      </c>
      <c r="O3" s="211">
        <f t="shared" si="0"/>
        <v>4208940.3899999997</v>
      </c>
      <c r="P3" s="177">
        <f>IF(K3=0,"",O3/K3)</f>
        <v>1.0491723404889901</v>
      </c>
      <c r="Q3" s="209">
        <f>IF(N3=0,"",O3/N3)</f>
        <v>97.52125652902356</v>
      </c>
    </row>
    <row r="4" spans="1:17" ht="14.45" customHeight="1" x14ac:dyDescent="0.2">
      <c r="A4" s="636" t="s">
        <v>73</v>
      </c>
      <c r="B4" s="634" t="s">
        <v>118</v>
      </c>
      <c r="C4" s="636" t="s">
        <v>119</v>
      </c>
      <c r="D4" s="645" t="s">
        <v>89</v>
      </c>
      <c r="E4" s="637" t="s">
        <v>11</v>
      </c>
      <c r="F4" s="643">
        <v>2018</v>
      </c>
      <c r="G4" s="644"/>
      <c r="H4" s="210"/>
      <c r="I4" s="210"/>
      <c r="J4" s="643">
        <v>2019</v>
      </c>
      <c r="K4" s="644"/>
      <c r="L4" s="210"/>
      <c r="M4" s="210"/>
      <c r="N4" s="643">
        <v>2020</v>
      </c>
      <c r="O4" s="644"/>
      <c r="P4" s="646" t="s">
        <v>2</v>
      </c>
      <c r="Q4" s="635" t="s">
        <v>121</v>
      </c>
    </row>
    <row r="5" spans="1:17" ht="14.45" customHeight="1" thickBot="1" x14ac:dyDescent="0.25">
      <c r="A5" s="873"/>
      <c r="B5" s="871"/>
      <c r="C5" s="873"/>
      <c r="D5" s="883"/>
      <c r="E5" s="875"/>
      <c r="F5" s="884" t="s">
        <v>90</v>
      </c>
      <c r="G5" s="885" t="s">
        <v>14</v>
      </c>
      <c r="H5" s="886"/>
      <c r="I5" s="886"/>
      <c r="J5" s="884" t="s">
        <v>90</v>
      </c>
      <c r="K5" s="885" t="s">
        <v>14</v>
      </c>
      <c r="L5" s="886"/>
      <c r="M5" s="886"/>
      <c r="N5" s="884" t="s">
        <v>90</v>
      </c>
      <c r="O5" s="885" t="s">
        <v>14</v>
      </c>
      <c r="P5" s="887"/>
      <c r="Q5" s="880"/>
    </row>
    <row r="6" spans="1:17" ht="14.45" customHeight="1" x14ac:dyDescent="0.2">
      <c r="A6" s="807" t="s">
        <v>6288</v>
      </c>
      <c r="B6" s="808" t="s">
        <v>6289</v>
      </c>
      <c r="C6" s="808" t="s">
        <v>5639</v>
      </c>
      <c r="D6" s="808" t="s">
        <v>6290</v>
      </c>
      <c r="E6" s="808" t="s">
        <v>6291</v>
      </c>
      <c r="F6" s="225"/>
      <c r="G6" s="225"/>
      <c r="H6" s="225"/>
      <c r="I6" s="225"/>
      <c r="J6" s="225"/>
      <c r="K6" s="225"/>
      <c r="L6" s="225"/>
      <c r="M6" s="225"/>
      <c r="N6" s="225">
        <v>164</v>
      </c>
      <c r="O6" s="225">
        <v>1172.5999999999999</v>
      </c>
      <c r="P6" s="813"/>
      <c r="Q6" s="831">
        <v>7.1499999999999995</v>
      </c>
    </row>
    <row r="7" spans="1:17" ht="14.45" customHeight="1" x14ac:dyDescent="0.2">
      <c r="A7" s="822" t="s">
        <v>6288</v>
      </c>
      <c r="B7" s="823" t="s">
        <v>6289</v>
      </c>
      <c r="C7" s="823" t="s">
        <v>5639</v>
      </c>
      <c r="D7" s="823" t="s">
        <v>6292</v>
      </c>
      <c r="E7" s="823" t="s">
        <v>6293</v>
      </c>
      <c r="F7" s="832">
        <v>1906</v>
      </c>
      <c r="G7" s="832">
        <v>10158.98</v>
      </c>
      <c r="H7" s="832">
        <v>4.5258435575989235</v>
      </c>
      <c r="I7" s="832">
        <v>5.33</v>
      </c>
      <c r="J7" s="832">
        <v>418</v>
      </c>
      <c r="K7" s="832">
        <v>2244.66</v>
      </c>
      <c r="L7" s="832">
        <v>1</v>
      </c>
      <c r="M7" s="832">
        <v>5.3699999999999992</v>
      </c>
      <c r="N7" s="832">
        <v>372</v>
      </c>
      <c r="O7" s="832">
        <v>1923.24</v>
      </c>
      <c r="P7" s="828">
        <v>0.85680682152308152</v>
      </c>
      <c r="Q7" s="833">
        <v>5.17</v>
      </c>
    </row>
    <row r="8" spans="1:17" ht="14.45" customHeight="1" x14ac:dyDescent="0.2">
      <c r="A8" s="822" t="s">
        <v>6288</v>
      </c>
      <c r="B8" s="823" t="s">
        <v>6289</v>
      </c>
      <c r="C8" s="823" t="s">
        <v>5639</v>
      </c>
      <c r="D8" s="823" t="s">
        <v>6294</v>
      </c>
      <c r="E8" s="823" t="s">
        <v>6295</v>
      </c>
      <c r="F8" s="832">
        <v>364</v>
      </c>
      <c r="G8" s="832">
        <v>12445.16</v>
      </c>
      <c r="H8" s="832"/>
      <c r="I8" s="832">
        <v>34.19</v>
      </c>
      <c r="J8" s="832"/>
      <c r="K8" s="832"/>
      <c r="L8" s="832"/>
      <c r="M8" s="832"/>
      <c r="N8" s="832">
        <v>277</v>
      </c>
      <c r="O8" s="832">
        <v>9451.24</v>
      </c>
      <c r="P8" s="828"/>
      <c r="Q8" s="833">
        <v>34.119999999999997</v>
      </c>
    </row>
    <row r="9" spans="1:17" ht="14.45" customHeight="1" x14ac:dyDescent="0.2">
      <c r="A9" s="822" t="s">
        <v>6288</v>
      </c>
      <c r="B9" s="823" t="s">
        <v>6289</v>
      </c>
      <c r="C9" s="823" t="s">
        <v>5355</v>
      </c>
      <c r="D9" s="823" t="s">
        <v>6296</v>
      </c>
      <c r="E9" s="823" t="s">
        <v>6297</v>
      </c>
      <c r="F9" s="832">
        <v>4</v>
      </c>
      <c r="G9" s="832">
        <v>7304</v>
      </c>
      <c r="H9" s="832">
        <v>3.9890770070999455</v>
      </c>
      <c r="I9" s="832">
        <v>1826</v>
      </c>
      <c r="J9" s="832">
        <v>1</v>
      </c>
      <c r="K9" s="832">
        <v>1831</v>
      </c>
      <c r="L9" s="832">
        <v>1</v>
      </c>
      <c r="M9" s="832">
        <v>1831</v>
      </c>
      <c r="N9" s="832">
        <v>2</v>
      </c>
      <c r="O9" s="832">
        <v>3670</v>
      </c>
      <c r="P9" s="828">
        <v>2.0043691971600217</v>
      </c>
      <c r="Q9" s="833">
        <v>1835</v>
      </c>
    </row>
    <row r="10" spans="1:17" ht="14.45" customHeight="1" x14ac:dyDescent="0.2">
      <c r="A10" s="822" t="s">
        <v>6288</v>
      </c>
      <c r="B10" s="823" t="s">
        <v>6289</v>
      </c>
      <c r="C10" s="823" t="s">
        <v>5355</v>
      </c>
      <c r="D10" s="823" t="s">
        <v>6298</v>
      </c>
      <c r="E10" s="823" t="s">
        <v>6299</v>
      </c>
      <c r="F10" s="832">
        <v>4</v>
      </c>
      <c r="G10" s="832">
        <v>1720</v>
      </c>
      <c r="H10" s="832">
        <v>3.9907192575406034</v>
      </c>
      <c r="I10" s="832">
        <v>430</v>
      </c>
      <c r="J10" s="832">
        <v>1</v>
      </c>
      <c r="K10" s="832">
        <v>431</v>
      </c>
      <c r="L10" s="832">
        <v>1</v>
      </c>
      <c r="M10" s="832">
        <v>431</v>
      </c>
      <c r="N10" s="832">
        <v>1</v>
      </c>
      <c r="O10" s="832">
        <v>433</v>
      </c>
      <c r="P10" s="828">
        <v>1.0046403712296983</v>
      </c>
      <c r="Q10" s="833">
        <v>433</v>
      </c>
    </row>
    <row r="11" spans="1:17" ht="14.45" customHeight="1" x14ac:dyDescent="0.2">
      <c r="A11" s="822" t="s">
        <v>6288</v>
      </c>
      <c r="B11" s="823" t="s">
        <v>6289</v>
      </c>
      <c r="C11" s="823" t="s">
        <v>5355</v>
      </c>
      <c r="D11" s="823" t="s">
        <v>6300</v>
      </c>
      <c r="E11" s="823" t="s">
        <v>6301</v>
      </c>
      <c r="F11" s="832">
        <v>1</v>
      </c>
      <c r="G11" s="832">
        <v>14509</v>
      </c>
      <c r="H11" s="832"/>
      <c r="I11" s="832">
        <v>14509</v>
      </c>
      <c r="J11" s="832"/>
      <c r="K11" s="832"/>
      <c r="L11" s="832"/>
      <c r="M11" s="832"/>
      <c r="N11" s="832">
        <v>1</v>
      </c>
      <c r="O11" s="832">
        <v>14521</v>
      </c>
      <c r="P11" s="828"/>
      <c r="Q11" s="833">
        <v>14521</v>
      </c>
    </row>
    <row r="12" spans="1:17" ht="14.45" customHeight="1" x14ac:dyDescent="0.2">
      <c r="A12" s="822" t="s">
        <v>6288</v>
      </c>
      <c r="B12" s="823" t="s">
        <v>6289</v>
      </c>
      <c r="C12" s="823" t="s">
        <v>5355</v>
      </c>
      <c r="D12" s="823" t="s">
        <v>6302</v>
      </c>
      <c r="E12" s="823" t="s">
        <v>6303</v>
      </c>
      <c r="F12" s="832"/>
      <c r="G12" s="832"/>
      <c r="H12" s="832"/>
      <c r="I12" s="832"/>
      <c r="J12" s="832"/>
      <c r="K12" s="832"/>
      <c r="L12" s="832"/>
      <c r="M12" s="832"/>
      <c r="N12" s="832">
        <v>1</v>
      </c>
      <c r="O12" s="832">
        <v>514</v>
      </c>
      <c r="P12" s="828"/>
      <c r="Q12" s="833">
        <v>514</v>
      </c>
    </row>
    <row r="13" spans="1:17" ht="14.45" customHeight="1" x14ac:dyDescent="0.2">
      <c r="A13" s="822" t="s">
        <v>5487</v>
      </c>
      <c r="B13" s="823" t="s">
        <v>6304</v>
      </c>
      <c r="C13" s="823" t="s">
        <v>5355</v>
      </c>
      <c r="D13" s="823" t="s">
        <v>6305</v>
      </c>
      <c r="E13" s="823" t="s">
        <v>6306</v>
      </c>
      <c r="F13" s="832">
        <v>1</v>
      </c>
      <c r="G13" s="832">
        <v>1610</v>
      </c>
      <c r="H13" s="832">
        <v>1</v>
      </c>
      <c r="I13" s="832">
        <v>1610</v>
      </c>
      <c r="J13" s="832">
        <v>1</v>
      </c>
      <c r="K13" s="832">
        <v>1610</v>
      </c>
      <c r="L13" s="832">
        <v>1</v>
      </c>
      <c r="M13" s="832">
        <v>1610</v>
      </c>
      <c r="N13" s="832"/>
      <c r="O13" s="832"/>
      <c r="P13" s="828"/>
      <c r="Q13" s="833"/>
    </row>
    <row r="14" spans="1:17" ht="14.45" customHeight="1" x14ac:dyDescent="0.2">
      <c r="A14" s="822" t="s">
        <v>5487</v>
      </c>
      <c r="B14" s="823" t="s">
        <v>6304</v>
      </c>
      <c r="C14" s="823" t="s">
        <v>5355</v>
      </c>
      <c r="D14" s="823" t="s">
        <v>6307</v>
      </c>
      <c r="E14" s="823" t="s">
        <v>6308</v>
      </c>
      <c r="F14" s="832">
        <v>1</v>
      </c>
      <c r="G14" s="832">
        <v>1610</v>
      </c>
      <c r="H14" s="832">
        <v>1</v>
      </c>
      <c r="I14" s="832">
        <v>1610</v>
      </c>
      <c r="J14" s="832">
        <v>1</v>
      </c>
      <c r="K14" s="832">
        <v>1610</v>
      </c>
      <c r="L14" s="832">
        <v>1</v>
      </c>
      <c r="M14" s="832">
        <v>1610</v>
      </c>
      <c r="N14" s="832"/>
      <c r="O14" s="832"/>
      <c r="P14" s="828"/>
      <c r="Q14" s="833"/>
    </row>
    <row r="15" spans="1:17" ht="14.45" customHeight="1" x14ac:dyDescent="0.2">
      <c r="A15" s="822" t="s">
        <v>5487</v>
      </c>
      <c r="B15" s="823" t="s">
        <v>6304</v>
      </c>
      <c r="C15" s="823" t="s">
        <v>5355</v>
      </c>
      <c r="D15" s="823" t="s">
        <v>6309</v>
      </c>
      <c r="E15" s="823" t="s">
        <v>6310</v>
      </c>
      <c r="F15" s="832">
        <v>1</v>
      </c>
      <c r="G15" s="832">
        <v>1084.44</v>
      </c>
      <c r="H15" s="832">
        <v>1</v>
      </c>
      <c r="I15" s="832">
        <v>1084.44</v>
      </c>
      <c r="J15" s="832">
        <v>1</v>
      </c>
      <c r="K15" s="832">
        <v>1084.44</v>
      </c>
      <c r="L15" s="832">
        <v>1</v>
      </c>
      <c r="M15" s="832">
        <v>1084.44</v>
      </c>
      <c r="N15" s="832"/>
      <c r="O15" s="832"/>
      <c r="P15" s="828"/>
      <c r="Q15" s="833"/>
    </row>
    <row r="16" spans="1:17" ht="14.45" customHeight="1" x14ac:dyDescent="0.2">
      <c r="A16" s="822" t="s">
        <v>5487</v>
      </c>
      <c r="B16" s="823" t="s">
        <v>6311</v>
      </c>
      <c r="C16" s="823" t="s">
        <v>5355</v>
      </c>
      <c r="D16" s="823" t="s">
        <v>6312</v>
      </c>
      <c r="E16" s="823" t="s">
        <v>6313</v>
      </c>
      <c r="F16" s="832"/>
      <c r="G16" s="832"/>
      <c r="H16" s="832"/>
      <c r="I16" s="832"/>
      <c r="J16" s="832">
        <v>13</v>
      </c>
      <c r="K16" s="832">
        <v>2899</v>
      </c>
      <c r="L16" s="832">
        <v>1</v>
      </c>
      <c r="M16" s="832">
        <v>223</v>
      </c>
      <c r="N16" s="832"/>
      <c r="O16" s="832"/>
      <c r="P16" s="828"/>
      <c r="Q16" s="833"/>
    </row>
    <row r="17" spans="1:17" ht="14.45" customHeight="1" x14ac:dyDescent="0.2">
      <c r="A17" s="822" t="s">
        <v>5487</v>
      </c>
      <c r="B17" s="823" t="s">
        <v>6311</v>
      </c>
      <c r="C17" s="823" t="s">
        <v>5355</v>
      </c>
      <c r="D17" s="823" t="s">
        <v>6314</v>
      </c>
      <c r="E17" s="823" t="s">
        <v>6315</v>
      </c>
      <c r="F17" s="832"/>
      <c r="G17" s="832"/>
      <c r="H17" s="832"/>
      <c r="I17" s="832"/>
      <c r="J17" s="832">
        <v>13</v>
      </c>
      <c r="K17" s="832">
        <v>6669</v>
      </c>
      <c r="L17" s="832">
        <v>1</v>
      </c>
      <c r="M17" s="832">
        <v>513</v>
      </c>
      <c r="N17" s="832"/>
      <c r="O17" s="832"/>
      <c r="P17" s="828"/>
      <c r="Q17" s="833"/>
    </row>
    <row r="18" spans="1:17" ht="14.45" customHeight="1" x14ac:dyDescent="0.2">
      <c r="A18" s="822" t="s">
        <v>5487</v>
      </c>
      <c r="B18" s="823" t="s">
        <v>6311</v>
      </c>
      <c r="C18" s="823" t="s">
        <v>5355</v>
      </c>
      <c r="D18" s="823" t="s">
        <v>6316</v>
      </c>
      <c r="E18" s="823" t="s">
        <v>6317</v>
      </c>
      <c r="F18" s="832">
        <v>12</v>
      </c>
      <c r="G18" s="832">
        <v>4248</v>
      </c>
      <c r="H18" s="832">
        <v>0.74788732394366197</v>
      </c>
      <c r="I18" s="832">
        <v>354</v>
      </c>
      <c r="J18" s="832">
        <v>16</v>
      </c>
      <c r="K18" s="832">
        <v>5680</v>
      </c>
      <c r="L18" s="832">
        <v>1</v>
      </c>
      <c r="M18" s="832">
        <v>355</v>
      </c>
      <c r="N18" s="832">
        <v>7</v>
      </c>
      <c r="O18" s="832">
        <v>2485</v>
      </c>
      <c r="P18" s="828">
        <v>0.4375</v>
      </c>
      <c r="Q18" s="833">
        <v>355</v>
      </c>
    </row>
    <row r="19" spans="1:17" ht="14.45" customHeight="1" x14ac:dyDescent="0.2">
      <c r="A19" s="822" t="s">
        <v>5487</v>
      </c>
      <c r="B19" s="823" t="s">
        <v>6311</v>
      </c>
      <c r="C19" s="823" t="s">
        <v>5355</v>
      </c>
      <c r="D19" s="823" t="s">
        <v>6318</v>
      </c>
      <c r="E19" s="823" t="s">
        <v>6319</v>
      </c>
      <c r="F19" s="832">
        <v>32</v>
      </c>
      <c r="G19" s="832">
        <v>2080</v>
      </c>
      <c r="H19" s="832">
        <v>0.72727272727272729</v>
      </c>
      <c r="I19" s="832">
        <v>65</v>
      </c>
      <c r="J19" s="832">
        <v>44</v>
      </c>
      <c r="K19" s="832">
        <v>2860</v>
      </c>
      <c r="L19" s="832">
        <v>1</v>
      </c>
      <c r="M19" s="832">
        <v>65</v>
      </c>
      <c r="N19" s="832">
        <v>36</v>
      </c>
      <c r="O19" s="832">
        <v>2376</v>
      </c>
      <c r="P19" s="828">
        <v>0.83076923076923082</v>
      </c>
      <c r="Q19" s="833">
        <v>66</v>
      </c>
    </row>
    <row r="20" spans="1:17" ht="14.45" customHeight="1" x14ac:dyDescent="0.2">
      <c r="A20" s="822" t="s">
        <v>5487</v>
      </c>
      <c r="B20" s="823" t="s">
        <v>6311</v>
      </c>
      <c r="C20" s="823" t="s">
        <v>5355</v>
      </c>
      <c r="D20" s="823" t="s">
        <v>6320</v>
      </c>
      <c r="E20" s="823" t="s">
        <v>6321</v>
      </c>
      <c r="F20" s="832">
        <v>1</v>
      </c>
      <c r="G20" s="832">
        <v>592</v>
      </c>
      <c r="H20" s="832">
        <v>0.99663299663299665</v>
      </c>
      <c r="I20" s="832">
        <v>592</v>
      </c>
      <c r="J20" s="832">
        <v>1</v>
      </c>
      <c r="K20" s="832">
        <v>594</v>
      </c>
      <c r="L20" s="832">
        <v>1</v>
      </c>
      <c r="M20" s="832">
        <v>594</v>
      </c>
      <c r="N20" s="832"/>
      <c r="O20" s="832"/>
      <c r="P20" s="828"/>
      <c r="Q20" s="833"/>
    </row>
    <row r="21" spans="1:17" ht="14.45" customHeight="1" x14ac:dyDescent="0.2">
      <c r="A21" s="822" t="s">
        <v>5487</v>
      </c>
      <c r="B21" s="823" t="s">
        <v>6311</v>
      </c>
      <c r="C21" s="823" t="s">
        <v>5355</v>
      </c>
      <c r="D21" s="823" t="s">
        <v>6322</v>
      </c>
      <c r="E21" s="823" t="s">
        <v>6323</v>
      </c>
      <c r="F21" s="832">
        <v>1</v>
      </c>
      <c r="G21" s="832">
        <v>617</v>
      </c>
      <c r="H21" s="832">
        <v>0.99838187702265369</v>
      </c>
      <c r="I21" s="832">
        <v>617</v>
      </c>
      <c r="J21" s="832">
        <v>1</v>
      </c>
      <c r="K21" s="832">
        <v>618</v>
      </c>
      <c r="L21" s="832">
        <v>1</v>
      </c>
      <c r="M21" s="832">
        <v>618</v>
      </c>
      <c r="N21" s="832"/>
      <c r="O21" s="832"/>
      <c r="P21" s="828"/>
      <c r="Q21" s="833"/>
    </row>
    <row r="22" spans="1:17" ht="14.45" customHeight="1" x14ac:dyDescent="0.2">
      <c r="A22" s="822" t="s">
        <v>5487</v>
      </c>
      <c r="B22" s="823" t="s">
        <v>6311</v>
      </c>
      <c r="C22" s="823" t="s">
        <v>5355</v>
      </c>
      <c r="D22" s="823" t="s">
        <v>6324</v>
      </c>
      <c r="E22" s="823" t="s">
        <v>6325</v>
      </c>
      <c r="F22" s="832">
        <v>44</v>
      </c>
      <c r="G22" s="832">
        <v>6732</v>
      </c>
      <c r="H22" s="832">
        <v>0.6428571428571429</v>
      </c>
      <c r="I22" s="832">
        <v>153</v>
      </c>
      <c r="J22" s="832">
        <v>68</v>
      </c>
      <c r="K22" s="832">
        <v>10472</v>
      </c>
      <c r="L22" s="832">
        <v>1</v>
      </c>
      <c r="M22" s="832">
        <v>154</v>
      </c>
      <c r="N22" s="832"/>
      <c r="O22" s="832"/>
      <c r="P22" s="828"/>
      <c r="Q22" s="833"/>
    </row>
    <row r="23" spans="1:17" ht="14.45" customHeight="1" x14ac:dyDescent="0.2">
      <c r="A23" s="822" t="s">
        <v>5487</v>
      </c>
      <c r="B23" s="823" t="s">
        <v>6311</v>
      </c>
      <c r="C23" s="823" t="s">
        <v>5355</v>
      </c>
      <c r="D23" s="823" t="s">
        <v>6326</v>
      </c>
      <c r="E23" s="823" t="s">
        <v>6327</v>
      </c>
      <c r="F23" s="832">
        <v>10</v>
      </c>
      <c r="G23" s="832">
        <v>240</v>
      </c>
      <c r="H23" s="832">
        <v>0.36923076923076925</v>
      </c>
      <c r="I23" s="832">
        <v>24</v>
      </c>
      <c r="J23" s="832">
        <v>25</v>
      </c>
      <c r="K23" s="832">
        <v>650</v>
      </c>
      <c r="L23" s="832">
        <v>1</v>
      </c>
      <c r="M23" s="832">
        <v>26</v>
      </c>
      <c r="N23" s="832">
        <v>14</v>
      </c>
      <c r="O23" s="832">
        <v>364</v>
      </c>
      <c r="P23" s="828">
        <v>0.56000000000000005</v>
      </c>
      <c r="Q23" s="833">
        <v>26</v>
      </c>
    </row>
    <row r="24" spans="1:17" ht="14.45" customHeight="1" x14ac:dyDescent="0.2">
      <c r="A24" s="822" t="s">
        <v>5487</v>
      </c>
      <c r="B24" s="823" t="s">
        <v>6311</v>
      </c>
      <c r="C24" s="823" t="s">
        <v>5355</v>
      </c>
      <c r="D24" s="823" t="s">
        <v>6328</v>
      </c>
      <c r="E24" s="823" t="s">
        <v>6329</v>
      </c>
      <c r="F24" s="832">
        <v>46</v>
      </c>
      <c r="G24" s="832">
        <v>2530</v>
      </c>
      <c r="H24" s="832">
        <v>0.63888888888888884</v>
      </c>
      <c r="I24" s="832">
        <v>55</v>
      </c>
      <c r="J24" s="832">
        <v>72</v>
      </c>
      <c r="K24" s="832">
        <v>3960</v>
      </c>
      <c r="L24" s="832">
        <v>1</v>
      </c>
      <c r="M24" s="832">
        <v>55</v>
      </c>
      <c r="N24" s="832">
        <v>41</v>
      </c>
      <c r="O24" s="832">
        <v>2255</v>
      </c>
      <c r="P24" s="828">
        <v>0.56944444444444442</v>
      </c>
      <c r="Q24" s="833">
        <v>55</v>
      </c>
    </row>
    <row r="25" spans="1:17" ht="14.45" customHeight="1" x14ac:dyDescent="0.2">
      <c r="A25" s="822" t="s">
        <v>5487</v>
      </c>
      <c r="B25" s="823" t="s">
        <v>6311</v>
      </c>
      <c r="C25" s="823" t="s">
        <v>5355</v>
      </c>
      <c r="D25" s="823" t="s">
        <v>6330</v>
      </c>
      <c r="E25" s="823" t="s">
        <v>6331</v>
      </c>
      <c r="F25" s="832">
        <v>1012</v>
      </c>
      <c r="G25" s="832">
        <v>77924</v>
      </c>
      <c r="H25" s="832">
        <v>0.9842617152961981</v>
      </c>
      <c r="I25" s="832">
        <v>77</v>
      </c>
      <c r="J25" s="832">
        <v>1015</v>
      </c>
      <c r="K25" s="832">
        <v>79170</v>
      </c>
      <c r="L25" s="832">
        <v>1</v>
      </c>
      <c r="M25" s="832">
        <v>78</v>
      </c>
      <c r="N25" s="832">
        <v>796</v>
      </c>
      <c r="O25" s="832">
        <v>62088</v>
      </c>
      <c r="P25" s="828">
        <v>0.78423645320197044</v>
      </c>
      <c r="Q25" s="833">
        <v>78</v>
      </c>
    </row>
    <row r="26" spans="1:17" ht="14.45" customHeight="1" x14ac:dyDescent="0.2">
      <c r="A26" s="822" t="s">
        <v>5487</v>
      </c>
      <c r="B26" s="823" t="s">
        <v>6311</v>
      </c>
      <c r="C26" s="823" t="s">
        <v>5355</v>
      </c>
      <c r="D26" s="823" t="s">
        <v>6332</v>
      </c>
      <c r="E26" s="823" t="s">
        <v>6333</v>
      </c>
      <c r="F26" s="832">
        <v>12</v>
      </c>
      <c r="G26" s="832">
        <v>288</v>
      </c>
      <c r="H26" s="832">
        <v>0.375</v>
      </c>
      <c r="I26" s="832">
        <v>24</v>
      </c>
      <c r="J26" s="832">
        <v>32</v>
      </c>
      <c r="K26" s="832">
        <v>768</v>
      </c>
      <c r="L26" s="832">
        <v>1</v>
      </c>
      <c r="M26" s="832">
        <v>24</v>
      </c>
      <c r="N26" s="832">
        <v>21</v>
      </c>
      <c r="O26" s="832">
        <v>525</v>
      </c>
      <c r="P26" s="828">
        <v>0.68359375</v>
      </c>
      <c r="Q26" s="833">
        <v>25</v>
      </c>
    </row>
    <row r="27" spans="1:17" ht="14.45" customHeight="1" x14ac:dyDescent="0.2">
      <c r="A27" s="822" t="s">
        <v>5487</v>
      </c>
      <c r="B27" s="823" t="s">
        <v>6311</v>
      </c>
      <c r="C27" s="823" t="s">
        <v>5355</v>
      </c>
      <c r="D27" s="823" t="s">
        <v>6334</v>
      </c>
      <c r="E27" s="823" t="s">
        <v>6335</v>
      </c>
      <c r="F27" s="832">
        <v>3</v>
      </c>
      <c r="G27" s="832">
        <v>198</v>
      </c>
      <c r="H27" s="832">
        <v>4.6153846153846156E-2</v>
      </c>
      <c r="I27" s="832">
        <v>66</v>
      </c>
      <c r="J27" s="832">
        <v>65</v>
      </c>
      <c r="K27" s="832">
        <v>4290</v>
      </c>
      <c r="L27" s="832">
        <v>1</v>
      </c>
      <c r="M27" s="832">
        <v>66</v>
      </c>
      <c r="N27" s="832">
        <v>35</v>
      </c>
      <c r="O27" s="832">
        <v>2310</v>
      </c>
      <c r="P27" s="828">
        <v>0.53846153846153844</v>
      </c>
      <c r="Q27" s="833">
        <v>66</v>
      </c>
    </row>
    <row r="28" spans="1:17" ht="14.45" customHeight="1" x14ac:dyDescent="0.2">
      <c r="A28" s="822" t="s">
        <v>5487</v>
      </c>
      <c r="B28" s="823" t="s">
        <v>6311</v>
      </c>
      <c r="C28" s="823" t="s">
        <v>5355</v>
      </c>
      <c r="D28" s="823" t="s">
        <v>6336</v>
      </c>
      <c r="E28" s="823" t="s">
        <v>6337</v>
      </c>
      <c r="F28" s="832"/>
      <c r="G28" s="832"/>
      <c r="H28" s="832"/>
      <c r="I28" s="832"/>
      <c r="J28" s="832">
        <v>2</v>
      </c>
      <c r="K28" s="832">
        <v>602</v>
      </c>
      <c r="L28" s="832">
        <v>1</v>
      </c>
      <c r="M28" s="832">
        <v>301</v>
      </c>
      <c r="N28" s="832"/>
      <c r="O28" s="832"/>
      <c r="P28" s="828"/>
      <c r="Q28" s="833"/>
    </row>
    <row r="29" spans="1:17" ht="14.45" customHeight="1" x14ac:dyDescent="0.2">
      <c r="A29" s="822" t="s">
        <v>5487</v>
      </c>
      <c r="B29" s="823" t="s">
        <v>6311</v>
      </c>
      <c r="C29" s="823" t="s">
        <v>5355</v>
      </c>
      <c r="D29" s="823" t="s">
        <v>6338</v>
      </c>
      <c r="E29" s="823" t="s">
        <v>6339</v>
      </c>
      <c r="F29" s="832">
        <v>16</v>
      </c>
      <c r="G29" s="832">
        <v>5600</v>
      </c>
      <c r="H29" s="832">
        <v>7.5973409306742637E-2</v>
      </c>
      <c r="I29" s="832">
        <v>350</v>
      </c>
      <c r="J29" s="832">
        <v>210</v>
      </c>
      <c r="K29" s="832">
        <v>73710</v>
      </c>
      <c r="L29" s="832">
        <v>1</v>
      </c>
      <c r="M29" s="832">
        <v>351</v>
      </c>
      <c r="N29" s="832">
        <v>5</v>
      </c>
      <c r="O29" s="832">
        <v>1760</v>
      </c>
      <c r="P29" s="828">
        <v>2.3877357210690543E-2</v>
      </c>
      <c r="Q29" s="833">
        <v>352</v>
      </c>
    </row>
    <row r="30" spans="1:17" ht="14.45" customHeight="1" x14ac:dyDescent="0.2">
      <c r="A30" s="822" t="s">
        <v>5487</v>
      </c>
      <c r="B30" s="823" t="s">
        <v>6311</v>
      </c>
      <c r="C30" s="823" t="s">
        <v>5355</v>
      </c>
      <c r="D30" s="823" t="s">
        <v>6340</v>
      </c>
      <c r="E30" s="823" t="s">
        <v>6341</v>
      </c>
      <c r="F30" s="832">
        <v>2</v>
      </c>
      <c r="G30" s="832">
        <v>50</v>
      </c>
      <c r="H30" s="832">
        <v>0.33333333333333331</v>
      </c>
      <c r="I30" s="832">
        <v>25</v>
      </c>
      <c r="J30" s="832">
        <v>6</v>
      </c>
      <c r="K30" s="832">
        <v>150</v>
      </c>
      <c r="L30" s="832">
        <v>1</v>
      </c>
      <c r="M30" s="832">
        <v>25</v>
      </c>
      <c r="N30" s="832">
        <v>7</v>
      </c>
      <c r="O30" s="832">
        <v>182</v>
      </c>
      <c r="P30" s="828">
        <v>1.2133333333333334</v>
      </c>
      <c r="Q30" s="833">
        <v>26</v>
      </c>
    </row>
    <row r="31" spans="1:17" ht="14.45" customHeight="1" x14ac:dyDescent="0.2">
      <c r="A31" s="822" t="s">
        <v>5487</v>
      </c>
      <c r="B31" s="823" t="s">
        <v>6311</v>
      </c>
      <c r="C31" s="823" t="s">
        <v>5355</v>
      </c>
      <c r="D31" s="823" t="s">
        <v>6342</v>
      </c>
      <c r="E31" s="823" t="s">
        <v>6343</v>
      </c>
      <c r="F31" s="832">
        <v>1</v>
      </c>
      <c r="G31" s="832">
        <v>742</v>
      </c>
      <c r="H31" s="832">
        <v>1</v>
      </c>
      <c r="I31" s="832">
        <v>742</v>
      </c>
      <c r="J31" s="832">
        <v>1</v>
      </c>
      <c r="K31" s="832">
        <v>742</v>
      </c>
      <c r="L31" s="832">
        <v>1</v>
      </c>
      <c r="M31" s="832">
        <v>742</v>
      </c>
      <c r="N31" s="832"/>
      <c r="O31" s="832"/>
      <c r="P31" s="828"/>
      <c r="Q31" s="833"/>
    </row>
    <row r="32" spans="1:17" ht="14.45" customHeight="1" x14ac:dyDescent="0.2">
      <c r="A32" s="822" t="s">
        <v>5487</v>
      </c>
      <c r="B32" s="823" t="s">
        <v>6311</v>
      </c>
      <c r="C32" s="823" t="s">
        <v>5355</v>
      </c>
      <c r="D32" s="823" t="s">
        <v>6344</v>
      </c>
      <c r="E32" s="823" t="s">
        <v>6345</v>
      </c>
      <c r="F32" s="832">
        <v>54</v>
      </c>
      <c r="G32" s="832">
        <v>9774</v>
      </c>
      <c r="H32" s="832">
        <v>0.49090909090909091</v>
      </c>
      <c r="I32" s="832">
        <v>181</v>
      </c>
      <c r="J32" s="832">
        <v>110</v>
      </c>
      <c r="K32" s="832">
        <v>19910</v>
      </c>
      <c r="L32" s="832">
        <v>1</v>
      </c>
      <c r="M32" s="832">
        <v>181</v>
      </c>
      <c r="N32" s="832">
        <v>46</v>
      </c>
      <c r="O32" s="832">
        <v>8326</v>
      </c>
      <c r="P32" s="828">
        <v>0.41818181818181815</v>
      </c>
      <c r="Q32" s="833">
        <v>181</v>
      </c>
    </row>
    <row r="33" spans="1:17" ht="14.45" customHeight="1" x14ac:dyDescent="0.2">
      <c r="A33" s="822" t="s">
        <v>5487</v>
      </c>
      <c r="B33" s="823" t="s">
        <v>6311</v>
      </c>
      <c r="C33" s="823" t="s">
        <v>5355</v>
      </c>
      <c r="D33" s="823" t="s">
        <v>6346</v>
      </c>
      <c r="E33" s="823" t="s">
        <v>6347</v>
      </c>
      <c r="F33" s="832">
        <v>43</v>
      </c>
      <c r="G33" s="832">
        <v>10922</v>
      </c>
      <c r="H33" s="832">
        <v>0.82692307692307687</v>
      </c>
      <c r="I33" s="832">
        <v>254</v>
      </c>
      <c r="J33" s="832">
        <v>52</v>
      </c>
      <c r="K33" s="832">
        <v>13208</v>
      </c>
      <c r="L33" s="832">
        <v>1</v>
      </c>
      <c r="M33" s="832">
        <v>254</v>
      </c>
      <c r="N33" s="832">
        <v>37</v>
      </c>
      <c r="O33" s="832">
        <v>9398</v>
      </c>
      <c r="P33" s="828">
        <v>0.71153846153846156</v>
      </c>
      <c r="Q33" s="833">
        <v>254</v>
      </c>
    </row>
    <row r="34" spans="1:17" ht="14.45" customHeight="1" x14ac:dyDescent="0.2">
      <c r="A34" s="822" t="s">
        <v>5487</v>
      </c>
      <c r="B34" s="823" t="s">
        <v>6311</v>
      </c>
      <c r="C34" s="823" t="s">
        <v>5355</v>
      </c>
      <c r="D34" s="823" t="s">
        <v>6348</v>
      </c>
      <c r="E34" s="823" t="s">
        <v>6349</v>
      </c>
      <c r="F34" s="832">
        <v>1</v>
      </c>
      <c r="G34" s="832">
        <v>268</v>
      </c>
      <c r="H34" s="832">
        <v>0.99628252788104088</v>
      </c>
      <c r="I34" s="832">
        <v>268</v>
      </c>
      <c r="J34" s="832">
        <v>1</v>
      </c>
      <c r="K34" s="832">
        <v>269</v>
      </c>
      <c r="L34" s="832">
        <v>1</v>
      </c>
      <c r="M34" s="832">
        <v>269</v>
      </c>
      <c r="N34" s="832"/>
      <c r="O34" s="832"/>
      <c r="P34" s="828"/>
      <c r="Q34" s="833"/>
    </row>
    <row r="35" spans="1:17" ht="14.45" customHeight="1" x14ac:dyDescent="0.2">
      <c r="A35" s="822" t="s">
        <v>5487</v>
      </c>
      <c r="B35" s="823" t="s">
        <v>6311</v>
      </c>
      <c r="C35" s="823" t="s">
        <v>5355</v>
      </c>
      <c r="D35" s="823" t="s">
        <v>6350</v>
      </c>
      <c r="E35" s="823" t="s">
        <v>6351</v>
      </c>
      <c r="F35" s="832">
        <v>343</v>
      </c>
      <c r="G35" s="832">
        <v>74431</v>
      </c>
      <c r="H35" s="832">
        <v>0.84691358024691354</v>
      </c>
      <c r="I35" s="832">
        <v>217</v>
      </c>
      <c r="J35" s="832">
        <v>405</v>
      </c>
      <c r="K35" s="832">
        <v>87885</v>
      </c>
      <c r="L35" s="832">
        <v>1</v>
      </c>
      <c r="M35" s="832">
        <v>217</v>
      </c>
      <c r="N35" s="832">
        <v>303</v>
      </c>
      <c r="O35" s="832">
        <v>65751</v>
      </c>
      <c r="P35" s="828">
        <v>0.74814814814814812</v>
      </c>
      <c r="Q35" s="833">
        <v>217</v>
      </c>
    </row>
    <row r="36" spans="1:17" ht="14.45" customHeight="1" x14ac:dyDescent="0.2">
      <c r="A36" s="822" t="s">
        <v>5487</v>
      </c>
      <c r="B36" s="823" t="s">
        <v>6311</v>
      </c>
      <c r="C36" s="823" t="s">
        <v>5355</v>
      </c>
      <c r="D36" s="823" t="s">
        <v>6352</v>
      </c>
      <c r="E36" s="823" t="s">
        <v>6353</v>
      </c>
      <c r="F36" s="832"/>
      <c r="G36" s="832"/>
      <c r="H36" s="832"/>
      <c r="I36" s="832"/>
      <c r="J36" s="832">
        <v>1</v>
      </c>
      <c r="K36" s="832">
        <v>37</v>
      </c>
      <c r="L36" s="832">
        <v>1</v>
      </c>
      <c r="M36" s="832">
        <v>37</v>
      </c>
      <c r="N36" s="832"/>
      <c r="O36" s="832"/>
      <c r="P36" s="828"/>
      <c r="Q36" s="833"/>
    </row>
    <row r="37" spans="1:17" ht="14.45" customHeight="1" x14ac:dyDescent="0.2">
      <c r="A37" s="822" t="s">
        <v>5487</v>
      </c>
      <c r="B37" s="823" t="s">
        <v>6311</v>
      </c>
      <c r="C37" s="823" t="s">
        <v>5355</v>
      </c>
      <c r="D37" s="823" t="s">
        <v>6354</v>
      </c>
      <c r="E37" s="823" t="s">
        <v>6355</v>
      </c>
      <c r="F37" s="832">
        <v>1</v>
      </c>
      <c r="G37" s="832">
        <v>592</v>
      </c>
      <c r="H37" s="832">
        <v>0.99663299663299665</v>
      </c>
      <c r="I37" s="832">
        <v>592</v>
      </c>
      <c r="J37" s="832">
        <v>1</v>
      </c>
      <c r="K37" s="832">
        <v>594</v>
      </c>
      <c r="L37" s="832">
        <v>1</v>
      </c>
      <c r="M37" s="832">
        <v>594</v>
      </c>
      <c r="N37" s="832"/>
      <c r="O37" s="832"/>
      <c r="P37" s="828"/>
      <c r="Q37" s="833"/>
    </row>
    <row r="38" spans="1:17" ht="14.45" customHeight="1" x14ac:dyDescent="0.2">
      <c r="A38" s="822" t="s">
        <v>5487</v>
      </c>
      <c r="B38" s="823" t="s">
        <v>6311</v>
      </c>
      <c r="C38" s="823" t="s">
        <v>5355</v>
      </c>
      <c r="D38" s="823" t="s">
        <v>6356</v>
      </c>
      <c r="E38" s="823" t="s">
        <v>6357</v>
      </c>
      <c r="F38" s="832">
        <v>6</v>
      </c>
      <c r="G38" s="832">
        <v>300</v>
      </c>
      <c r="H38" s="832">
        <v>1.5</v>
      </c>
      <c r="I38" s="832">
        <v>50</v>
      </c>
      <c r="J38" s="832">
        <v>4</v>
      </c>
      <c r="K38" s="832">
        <v>200</v>
      </c>
      <c r="L38" s="832">
        <v>1</v>
      </c>
      <c r="M38" s="832">
        <v>50</v>
      </c>
      <c r="N38" s="832">
        <v>5</v>
      </c>
      <c r="O38" s="832">
        <v>250</v>
      </c>
      <c r="P38" s="828">
        <v>1.25</v>
      </c>
      <c r="Q38" s="833">
        <v>50</v>
      </c>
    </row>
    <row r="39" spans="1:17" ht="14.45" customHeight="1" x14ac:dyDescent="0.2">
      <c r="A39" s="822" t="s">
        <v>5487</v>
      </c>
      <c r="B39" s="823" t="s">
        <v>6311</v>
      </c>
      <c r="C39" s="823" t="s">
        <v>5355</v>
      </c>
      <c r="D39" s="823" t="s">
        <v>6358</v>
      </c>
      <c r="E39" s="823" t="s">
        <v>6359</v>
      </c>
      <c r="F39" s="832">
        <v>1</v>
      </c>
      <c r="G39" s="832">
        <v>547</v>
      </c>
      <c r="H39" s="832">
        <v>0.99817518248175185</v>
      </c>
      <c r="I39" s="832">
        <v>547</v>
      </c>
      <c r="J39" s="832">
        <v>1</v>
      </c>
      <c r="K39" s="832">
        <v>548</v>
      </c>
      <c r="L39" s="832">
        <v>1</v>
      </c>
      <c r="M39" s="832">
        <v>548</v>
      </c>
      <c r="N39" s="832"/>
      <c r="O39" s="832"/>
      <c r="P39" s="828"/>
      <c r="Q39" s="833"/>
    </row>
    <row r="40" spans="1:17" ht="14.45" customHeight="1" x14ac:dyDescent="0.2">
      <c r="A40" s="822" t="s">
        <v>5487</v>
      </c>
      <c r="B40" s="823" t="s">
        <v>6311</v>
      </c>
      <c r="C40" s="823" t="s">
        <v>5355</v>
      </c>
      <c r="D40" s="823" t="s">
        <v>6360</v>
      </c>
      <c r="E40" s="823" t="s">
        <v>6361</v>
      </c>
      <c r="F40" s="832">
        <v>1</v>
      </c>
      <c r="G40" s="832">
        <v>736</v>
      </c>
      <c r="H40" s="832">
        <v>0.99864314789687925</v>
      </c>
      <c r="I40" s="832">
        <v>736</v>
      </c>
      <c r="J40" s="832">
        <v>1</v>
      </c>
      <c r="K40" s="832">
        <v>737</v>
      </c>
      <c r="L40" s="832">
        <v>1</v>
      </c>
      <c r="M40" s="832">
        <v>737</v>
      </c>
      <c r="N40" s="832"/>
      <c r="O40" s="832"/>
      <c r="P40" s="828"/>
      <c r="Q40" s="833"/>
    </row>
    <row r="41" spans="1:17" ht="14.45" customHeight="1" x14ac:dyDescent="0.2">
      <c r="A41" s="822" t="s">
        <v>5487</v>
      </c>
      <c r="B41" s="823" t="s">
        <v>6311</v>
      </c>
      <c r="C41" s="823" t="s">
        <v>5355</v>
      </c>
      <c r="D41" s="823" t="s">
        <v>6362</v>
      </c>
      <c r="E41" s="823" t="s">
        <v>6363</v>
      </c>
      <c r="F41" s="832">
        <v>1</v>
      </c>
      <c r="G41" s="832">
        <v>346</v>
      </c>
      <c r="H41" s="832">
        <v>0.99711815561959649</v>
      </c>
      <c r="I41" s="832">
        <v>346</v>
      </c>
      <c r="J41" s="832">
        <v>1</v>
      </c>
      <c r="K41" s="832">
        <v>347</v>
      </c>
      <c r="L41" s="832">
        <v>1</v>
      </c>
      <c r="M41" s="832">
        <v>347</v>
      </c>
      <c r="N41" s="832"/>
      <c r="O41" s="832"/>
      <c r="P41" s="828"/>
      <c r="Q41" s="833"/>
    </row>
    <row r="42" spans="1:17" ht="14.45" customHeight="1" x14ac:dyDescent="0.2">
      <c r="A42" s="822" t="s">
        <v>5487</v>
      </c>
      <c r="B42" s="823" t="s">
        <v>6311</v>
      </c>
      <c r="C42" s="823" t="s">
        <v>5355</v>
      </c>
      <c r="D42" s="823" t="s">
        <v>6364</v>
      </c>
      <c r="E42" s="823" t="s">
        <v>6365</v>
      </c>
      <c r="F42" s="832">
        <v>1</v>
      </c>
      <c r="G42" s="832">
        <v>232</v>
      </c>
      <c r="H42" s="832">
        <v>0.5</v>
      </c>
      <c r="I42" s="832">
        <v>232</v>
      </c>
      <c r="J42" s="832">
        <v>2</v>
      </c>
      <c r="K42" s="832">
        <v>464</v>
      </c>
      <c r="L42" s="832">
        <v>1</v>
      </c>
      <c r="M42" s="832">
        <v>232</v>
      </c>
      <c r="N42" s="832"/>
      <c r="O42" s="832"/>
      <c r="P42" s="828"/>
      <c r="Q42" s="833"/>
    </row>
    <row r="43" spans="1:17" ht="14.45" customHeight="1" x14ac:dyDescent="0.2">
      <c r="A43" s="822" t="s">
        <v>5487</v>
      </c>
      <c r="B43" s="823" t="s">
        <v>6311</v>
      </c>
      <c r="C43" s="823" t="s">
        <v>5355</v>
      </c>
      <c r="D43" s="823" t="s">
        <v>6366</v>
      </c>
      <c r="E43" s="823" t="s">
        <v>6367</v>
      </c>
      <c r="F43" s="832">
        <v>22</v>
      </c>
      <c r="G43" s="832">
        <v>5126</v>
      </c>
      <c r="H43" s="832">
        <v>0.64429361488185022</v>
      </c>
      <c r="I43" s="832">
        <v>233</v>
      </c>
      <c r="J43" s="832">
        <v>34</v>
      </c>
      <c r="K43" s="832">
        <v>7956</v>
      </c>
      <c r="L43" s="832">
        <v>1</v>
      </c>
      <c r="M43" s="832">
        <v>234</v>
      </c>
      <c r="N43" s="832"/>
      <c r="O43" s="832"/>
      <c r="P43" s="828"/>
      <c r="Q43" s="833"/>
    </row>
    <row r="44" spans="1:17" ht="14.45" customHeight="1" x14ac:dyDescent="0.2">
      <c r="A44" s="822" t="s">
        <v>5487</v>
      </c>
      <c r="B44" s="823" t="s">
        <v>6311</v>
      </c>
      <c r="C44" s="823" t="s">
        <v>5355</v>
      </c>
      <c r="D44" s="823" t="s">
        <v>6368</v>
      </c>
      <c r="E44" s="823" t="s">
        <v>6369</v>
      </c>
      <c r="F44" s="832">
        <v>1</v>
      </c>
      <c r="G44" s="832">
        <v>919</v>
      </c>
      <c r="H44" s="832">
        <v>0.99891304347826082</v>
      </c>
      <c r="I44" s="832">
        <v>919</v>
      </c>
      <c r="J44" s="832">
        <v>1</v>
      </c>
      <c r="K44" s="832">
        <v>920</v>
      </c>
      <c r="L44" s="832">
        <v>1</v>
      </c>
      <c r="M44" s="832">
        <v>920</v>
      </c>
      <c r="N44" s="832"/>
      <c r="O44" s="832"/>
      <c r="P44" s="828"/>
      <c r="Q44" s="833"/>
    </row>
    <row r="45" spans="1:17" ht="14.45" customHeight="1" x14ac:dyDescent="0.2">
      <c r="A45" s="822" t="s">
        <v>5487</v>
      </c>
      <c r="B45" s="823" t="s">
        <v>6311</v>
      </c>
      <c r="C45" s="823" t="s">
        <v>5355</v>
      </c>
      <c r="D45" s="823" t="s">
        <v>6370</v>
      </c>
      <c r="E45" s="823" t="s">
        <v>6371</v>
      </c>
      <c r="F45" s="832">
        <v>1</v>
      </c>
      <c r="G45" s="832">
        <v>896</v>
      </c>
      <c r="H45" s="832">
        <v>0.99888517279821631</v>
      </c>
      <c r="I45" s="832">
        <v>896</v>
      </c>
      <c r="J45" s="832">
        <v>1</v>
      </c>
      <c r="K45" s="832">
        <v>897</v>
      </c>
      <c r="L45" s="832">
        <v>1</v>
      </c>
      <c r="M45" s="832">
        <v>897</v>
      </c>
      <c r="N45" s="832"/>
      <c r="O45" s="832"/>
      <c r="P45" s="828"/>
      <c r="Q45" s="833"/>
    </row>
    <row r="46" spans="1:17" ht="14.45" customHeight="1" x14ac:dyDescent="0.2">
      <c r="A46" s="822" t="s">
        <v>5487</v>
      </c>
      <c r="B46" s="823" t="s">
        <v>6311</v>
      </c>
      <c r="C46" s="823" t="s">
        <v>5355</v>
      </c>
      <c r="D46" s="823" t="s">
        <v>6372</v>
      </c>
      <c r="E46" s="823" t="s">
        <v>6373</v>
      </c>
      <c r="F46" s="832"/>
      <c r="G46" s="832"/>
      <c r="H46" s="832"/>
      <c r="I46" s="832"/>
      <c r="J46" s="832">
        <v>2</v>
      </c>
      <c r="K46" s="832">
        <v>406</v>
      </c>
      <c r="L46" s="832">
        <v>1</v>
      </c>
      <c r="M46" s="832">
        <v>203</v>
      </c>
      <c r="N46" s="832"/>
      <c r="O46" s="832"/>
      <c r="P46" s="828"/>
      <c r="Q46" s="833"/>
    </row>
    <row r="47" spans="1:17" ht="14.45" customHeight="1" x14ac:dyDescent="0.2">
      <c r="A47" s="822" t="s">
        <v>6374</v>
      </c>
      <c r="B47" s="823" t="s">
        <v>6375</v>
      </c>
      <c r="C47" s="823" t="s">
        <v>5355</v>
      </c>
      <c r="D47" s="823" t="s">
        <v>6376</v>
      </c>
      <c r="E47" s="823" t="s">
        <v>6377</v>
      </c>
      <c r="F47" s="832">
        <v>724</v>
      </c>
      <c r="G47" s="832">
        <v>19548</v>
      </c>
      <c r="H47" s="832">
        <v>0.88149350649350644</v>
      </c>
      <c r="I47" s="832">
        <v>27</v>
      </c>
      <c r="J47" s="832">
        <v>792</v>
      </c>
      <c r="K47" s="832">
        <v>22176</v>
      </c>
      <c r="L47" s="832">
        <v>1</v>
      </c>
      <c r="M47" s="832">
        <v>28</v>
      </c>
      <c r="N47" s="832">
        <v>595</v>
      </c>
      <c r="O47" s="832">
        <v>16660</v>
      </c>
      <c r="P47" s="828">
        <v>0.7512626262626263</v>
      </c>
      <c r="Q47" s="833">
        <v>28</v>
      </c>
    </row>
    <row r="48" spans="1:17" ht="14.45" customHeight="1" x14ac:dyDescent="0.2">
      <c r="A48" s="822" t="s">
        <v>6374</v>
      </c>
      <c r="B48" s="823" t="s">
        <v>6375</v>
      </c>
      <c r="C48" s="823" t="s">
        <v>5355</v>
      </c>
      <c r="D48" s="823" t="s">
        <v>6378</v>
      </c>
      <c r="E48" s="823" t="s">
        <v>6379</v>
      </c>
      <c r="F48" s="832">
        <v>9</v>
      </c>
      <c r="G48" s="832">
        <v>486</v>
      </c>
      <c r="H48" s="832">
        <v>1.5</v>
      </c>
      <c r="I48" s="832">
        <v>54</v>
      </c>
      <c r="J48" s="832">
        <v>6</v>
      </c>
      <c r="K48" s="832">
        <v>324</v>
      </c>
      <c r="L48" s="832">
        <v>1</v>
      </c>
      <c r="M48" s="832">
        <v>54</v>
      </c>
      <c r="N48" s="832">
        <v>18</v>
      </c>
      <c r="O48" s="832">
        <v>972</v>
      </c>
      <c r="P48" s="828">
        <v>3</v>
      </c>
      <c r="Q48" s="833">
        <v>54</v>
      </c>
    </row>
    <row r="49" spans="1:17" ht="14.45" customHeight="1" x14ac:dyDescent="0.2">
      <c r="A49" s="822" t="s">
        <v>6374</v>
      </c>
      <c r="B49" s="823" t="s">
        <v>6375</v>
      </c>
      <c r="C49" s="823" t="s">
        <v>5355</v>
      </c>
      <c r="D49" s="823" t="s">
        <v>6380</v>
      </c>
      <c r="E49" s="823" t="s">
        <v>6381</v>
      </c>
      <c r="F49" s="832">
        <v>711</v>
      </c>
      <c r="G49" s="832">
        <v>17064</v>
      </c>
      <c r="H49" s="832">
        <v>0.94172185430463573</v>
      </c>
      <c r="I49" s="832">
        <v>24</v>
      </c>
      <c r="J49" s="832">
        <v>755</v>
      </c>
      <c r="K49" s="832">
        <v>18120</v>
      </c>
      <c r="L49" s="832">
        <v>1</v>
      </c>
      <c r="M49" s="832">
        <v>24</v>
      </c>
      <c r="N49" s="832">
        <v>580</v>
      </c>
      <c r="O49" s="832">
        <v>13920</v>
      </c>
      <c r="P49" s="828">
        <v>0.76821192052980136</v>
      </c>
      <c r="Q49" s="833">
        <v>24</v>
      </c>
    </row>
    <row r="50" spans="1:17" ht="14.45" customHeight="1" x14ac:dyDescent="0.2">
      <c r="A50" s="822" t="s">
        <v>6374</v>
      </c>
      <c r="B50" s="823" t="s">
        <v>6375</v>
      </c>
      <c r="C50" s="823" t="s">
        <v>5355</v>
      </c>
      <c r="D50" s="823" t="s">
        <v>6382</v>
      </c>
      <c r="E50" s="823" t="s">
        <v>6383</v>
      </c>
      <c r="F50" s="832">
        <v>1506</v>
      </c>
      <c r="G50" s="832">
        <v>40662</v>
      </c>
      <c r="H50" s="832">
        <v>0.98948751642575561</v>
      </c>
      <c r="I50" s="832">
        <v>27</v>
      </c>
      <c r="J50" s="832">
        <v>1522</v>
      </c>
      <c r="K50" s="832">
        <v>41094</v>
      </c>
      <c r="L50" s="832">
        <v>1</v>
      </c>
      <c r="M50" s="832">
        <v>27</v>
      </c>
      <c r="N50" s="832">
        <v>1177</v>
      </c>
      <c r="O50" s="832">
        <v>31779</v>
      </c>
      <c r="P50" s="828">
        <v>0.77332457293035484</v>
      </c>
      <c r="Q50" s="833">
        <v>27</v>
      </c>
    </row>
    <row r="51" spans="1:17" ht="14.45" customHeight="1" x14ac:dyDescent="0.2">
      <c r="A51" s="822" t="s">
        <v>6374</v>
      </c>
      <c r="B51" s="823" t="s">
        <v>6375</v>
      </c>
      <c r="C51" s="823" t="s">
        <v>5355</v>
      </c>
      <c r="D51" s="823" t="s">
        <v>6384</v>
      </c>
      <c r="E51" s="823" t="s">
        <v>6385</v>
      </c>
      <c r="F51" s="832">
        <v>96</v>
      </c>
      <c r="G51" s="832">
        <v>2592</v>
      </c>
      <c r="H51" s="832">
        <v>1.0105263157894737</v>
      </c>
      <c r="I51" s="832">
        <v>27</v>
      </c>
      <c r="J51" s="832">
        <v>95</v>
      </c>
      <c r="K51" s="832">
        <v>2565</v>
      </c>
      <c r="L51" s="832">
        <v>1</v>
      </c>
      <c r="M51" s="832">
        <v>27</v>
      </c>
      <c r="N51" s="832">
        <v>68</v>
      </c>
      <c r="O51" s="832">
        <v>1836</v>
      </c>
      <c r="P51" s="828">
        <v>0.71578947368421053</v>
      </c>
      <c r="Q51" s="833">
        <v>27</v>
      </c>
    </row>
    <row r="52" spans="1:17" ht="14.45" customHeight="1" x14ac:dyDescent="0.2">
      <c r="A52" s="822" t="s">
        <v>6374</v>
      </c>
      <c r="B52" s="823" t="s">
        <v>6375</v>
      </c>
      <c r="C52" s="823" t="s">
        <v>5355</v>
      </c>
      <c r="D52" s="823" t="s">
        <v>6386</v>
      </c>
      <c r="E52" s="823" t="s">
        <v>6387</v>
      </c>
      <c r="F52" s="832">
        <v>4581</v>
      </c>
      <c r="G52" s="832">
        <v>100782</v>
      </c>
      <c r="H52" s="832">
        <v>0.97634271099744241</v>
      </c>
      <c r="I52" s="832">
        <v>22</v>
      </c>
      <c r="J52" s="832">
        <v>4488</v>
      </c>
      <c r="K52" s="832">
        <v>103224</v>
      </c>
      <c r="L52" s="832">
        <v>1</v>
      </c>
      <c r="M52" s="832">
        <v>23</v>
      </c>
      <c r="N52" s="832">
        <v>3535</v>
      </c>
      <c r="O52" s="832">
        <v>81305</v>
      </c>
      <c r="P52" s="828">
        <v>0.78765597147950084</v>
      </c>
      <c r="Q52" s="833">
        <v>23</v>
      </c>
    </row>
    <row r="53" spans="1:17" ht="14.45" customHeight="1" x14ac:dyDescent="0.2">
      <c r="A53" s="822" t="s">
        <v>6374</v>
      </c>
      <c r="B53" s="823" t="s">
        <v>6375</v>
      </c>
      <c r="C53" s="823" t="s">
        <v>5355</v>
      </c>
      <c r="D53" s="823" t="s">
        <v>6388</v>
      </c>
      <c r="E53" s="823" t="s">
        <v>6389</v>
      </c>
      <c r="F53" s="832">
        <v>2</v>
      </c>
      <c r="G53" s="832">
        <v>136</v>
      </c>
      <c r="H53" s="832">
        <v>0.39420289855072466</v>
      </c>
      <c r="I53" s="832">
        <v>68</v>
      </c>
      <c r="J53" s="832">
        <v>5</v>
      </c>
      <c r="K53" s="832">
        <v>345</v>
      </c>
      <c r="L53" s="832">
        <v>1</v>
      </c>
      <c r="M53" s="832">
        <v>69</v>
      </c>
      <c r="N53" s="832">
        <v>13</v>
      </c>
      <c r="O53" s="832">
        <v>897</v>
      </c>
      <c r="P53" s="828">
        <v>2.6</v>
      </c>
      <c r="Q53" s="833">
        <v>69</v>
      </c>
    </row>
    <row r="54" spans="1:17" ht="14.45" customHeight="1" x14ac:dyDescent="0.2">
      <c r="A54" s="822" t="s">
        <v>6374</v>
      </c>
      <c r="B54" s="823" t="s">
        <v>6375</v>
      </c>
      <c r="C54" s="823" t="s">
        <v>5355</v>
      </c>
      <c r="D54" s="823" t="s">
        <v>6390</v>
      </c>
      <c r="E54" s="823" t="s">
        <v>6391</v>
      </c>
      <c r="F54" s="832">
        <v>5448</v>
      </c>
      <c r="G54" s="832">
        <v>337776</v>
      </c>
      <c r="H54" s="832">
        <v>1.0090757547694018</v>
      </c>
      <c r="I54" s="832">
        <v>62</v>
      </c>
      <c r="J54" s="832">
        <v>5399</v>
      </c>
      <c r="K54" s="832">
        <v>334738</v>
      </c>
      <c r="L54" s="832">
        <v>1</v>
      </c>
      <c r="M54" s="832">
        <v>62</v>
      </c>
      <c r="N54" s="832">
        <v>4210</v>
      </c>
      <c r="O54" s="832">
        <v>265230</v>
      </c>
      <c r="P54" s="828">
        <v>0.79235103274799989</v>
      </c>
      <c r="Q54" s="833">
        <v>63</v>
      </c>
    </row>
    <row r="55" spans="1:17" ht="14.45" customHeight="1" x14ac:dyDescent="0.2">
      <c r="A55" s="822" t="s">
        <v>6374</v>
      </c>
      <c r="B55" s="823" t="s">
        <v>6375</v>
      </c>
      <c r="C55" s="823" t="s">
        <v>5355</v>
      </c>
      <c r="D55" s="823" t="s">
        <v>6392</v>
      </c>
      <c r="E55" s="823" t="s">
        <v>6393</v>
      </c>
      <c r="F55" s="832">
        <v>1</v>
      </c>
      <c r="G55" s="832">
        <v>394</v>
      </c>
      <c r="H55" s="832"/>
      <c r="I55" s="832">
        <v>394</v>
      </c>
      <c r="J55" s="832"/>
      <c r="K55" s="832"/>
      <c r="L55" s="832"/>
      <c r="M55" s="832"/>
      <c r="N55" s="832"/>
      <c r="O55" s="832"/>
      <c r="P55" s="828"/>
      <c r="Q55" s="833"/>
    </row>
    <row r="56" spans="1:17" ht="14.45" customHeight="1" x14ac:dyDescent="0.2">
      <c r="A56" s="822" t="s">
        <v>6374</v>
      </c>
      <c r="B56" s="823" t="s">
        <v>6375</v>
      </c>
      <c r="C56" s="823" t="s">
        <v>5355</v>
      </c>
      <c r="D56" s="823" t="s">
        <v>6394</v>
      </c>
      <c r="E56" s="823" t="s">
        <v>6395</v>
      </c>
      <c r="F56" s="832"/>
      <c r="G56" s="832"/>
      <c r="H56" s="832"/>
      <c r="I56" s="832"/>
      <c r="J56" s="832"/>
      <c r="K56" s="832"/>
      <c r="L56" s="832"/>
      <c r="M56" s="832"/>
      <c r="N56" s="832">
        <v>1</v>
      </c>
      <c r="O56" s="832">
        <v>85</v>
      </c>
      <c r="P56" s="828"/>
      <c r="Q56" s="833">
        <v>85</v>
      </c>
    </row>
    <row r="57" spans="1:17" ht="14.45" customHeight="1" x14ac:dyDescent="0.2">
      <c r="A57" s="822" t="s">
        <v>6374</v>
      </c>
      <c r="B57" s="823" t="s">
        <v>6375</v>
      </c>
      <c r="C57" s="823" t="s">
        <v>5355</v>
      </c>
      <c r="D57" s="823" t="s">
        <v>6396</v>
      </c>
      <c r="E57" s="823" t="s">
        <v>6397</v>
      </c>
      <c r="F57" s="832">
        <v>201</v>
      </c>
      <c r="G57" s="832">
        <v>198588</v>
      </c>
      <c r="H57" s="832">
        <v>0.81376518218623484</v>
      </c>
      <c r="I57" s="832">
        <v>988</v>
      </c>
      <c r="J57" s="832">
        <v>247</v>
      </c>
      <c r="K57" s="832">
        <v>244036</v>
      </c>
      <c r="L57" s="832">
        <v>1</v>
      </c>
      <c r="M57" s="832">
        <v>988</v>
      </c>
      <c r="N57" s="832">
        <v>111</v>
      </c>
      <c r="O57" s="832">
        <v>109668</v>
      </c>
      <c r="P57" s="828">
        <v>0.44939271255060731</v>
      </c>
      <c r="Q57" s="833">
        <v>988</v>
      </c>
    </row>
    <row r="58" spans="1:17" ht="14.45" customHeight="1" x14ac:dyDescent="0.2">
      <c r="A58" s="822" t="s">
        <v>6374</v>
      </c>
      <c r="B58" s="823" t="s">
        <v>6375</v>
      </c>
      <c r="C58" s="823" t="s">
        <v>5355</v>
      </c>
      <c r="D58" s="823" t="s">
        <v>6398</v>
      </c>
      <c r="E58" s="823" t="s">
        <v>6399</v>
      </c>
      <c r="F58" s="832">
        <v>1</v>
      </c>
      <c r="G58" s="832">
        <v>63</v>
      </c>
      <c r="H58" s="832">
        <v>0.984375</v>
      </c>
      <c r="I58" s="832">
        <v>63</v>
      </c>
      <c r="J58" s="832">
        <v>1</v>
      </c>
      <c r="K58" s="832">
        <v>64</v>
      </c>
      <c r="L58" s="832">
        <v>1</v>
      </c>
      <c r="M58" s="832">
        <v>64</v>
      </c>
      <c r="N58" s="832"/>
      <c r="O58" s="832"/>
      <c r="P58" s="828"/>
      <c r="Q58" s="833"/>
    </row>
    <row r="59" spans="1:17" ht="14.45" customHeight="1" x14ac:dyDescent="0.2">
      <c r="A59" s="822" t="s">
        <v>6374</v>
      </c>
      <c r="B59" s="823" t="s">
        <v>6375</v>
      </c>
      <c r="C59" s="823" t="s">
        <v>5355</v>
      </c>
      <c r="D59" s="823" t="s">
        <v>6400</v>
      </c>
      <c r="E59" s="823" t="s">
        <v>6401</v>
      </c>
      <c r="F59" s="832">
        <v>1</v>
      </c>
      <c r="G59" s="832">
        <v>17</v>
      </c>
      <c r="H59" s="832"/>
      <c r="I59" s="832">
        <v>17</v>
      </c>
      <c r="J59" s="832"/>
      <c r="K59" s="832"/>
      <c r="L59" s="832"/>
      <c r="M59" s="832"/>
      <c r="N59" s="832">
        <v>2</v>
      </c>
      <c r="O59" s="832">
        <v>34</v>
      </c>
      <c r="P59" s="828"/>
      <c r="Q59" s="833">
        <v>17</v>
      </c>
    </row>
    <row r="60" spans="1:17" ht="14.45" customHeight="1" x14ac:dyDescent="0.2">
      <c r="A60" s="822" t="s">
        <v>6374</v>
      </c>
      <c r="B60" s="823" t="s">
        <v>6375</v>
      </c>
      <c r="C60" s="823" t="s">
        <v>5355</v>
      </c>
      <c r="D60" s="823" t="s">
        <v>6402</v>
      </c>
      <c r="E60" s="823" t="s">
        <v>6403</v>
      </c>
      <c r="F60" s="832">
        <v>1</v>
      </c>
      <c r="G60" s="832">
        <v>64</v>
      </c>
      <c r="H60" s="832">
        <v>0.49230769230769234</v>
      </c>
      <c r="I60" s="832">
        <v>64</v>
      </c>
      <c r="J60" s="832">
        <v>2</v>
      </c>
      <c r="K60" s="832">
        <v>130</v>
      </c>
      <c r="L60" s="832">
        <v>1</v>
      </c>
      <c r="M60" s="832">
        <v>65</v>
      </c>
      <c r="N60" s="832">
        <v>2</v>
      </c>
      <c r="O60" s="832">
        <v>132</v>
      </c>
      <c r="P60" s="828">
        <v>1.0153846153846153</v>
      </c>
      <c r="Q60" s="833">
        <v>66</v>
      </c>
    </row>
    <row r="61" spans="1:17" ht="14.45" customHeight="1" x14ac:dyDescent="0.2">
      <c r="A61" s="822" t="s">
        <v>6374</v>
      </c>
      <c r="B61" s="823" t="s">
        <v>6375</v>
      </c>
      <c r="C61" s="823" t="s">
        <v>5355</v>
      </c>
      <c r="D61" s="823" t="s">
        <v>6404</v>
      </c>
      <c r="E61" s="823" t="s">
        <v>6405</v>
      </c>
      <c r="F61" s="832"/>
      <c r="G61" s="832"/>
      <c r="H61" s="832"/>
      <c r="I61" s="832"/>
      <c r="J61" s="832">
        <v>7</v>
      </c>
      <c r="K61" s="832">
        <v>329</v>
      </c>
      <c r="L61" s="832">
        <v>1</v>
      </c>
      <c r="M61" s="832">
        <v>47</v>
      </c>
      <c r="N61" s="832">
        <v>5</v>
      </c>
      <c r="O61" s="832">
        <v>235</v>
      </c>
      <c r="P61" s="828">
        <v>0.7142857142857143</v>
      </c>
      <c r="Q61" s="833">
        <v>47</v>
      </c>
    </row>
    <row r="62" spans="1:17" ht="14.45" customHeight="1" x14ac:dyDescent="0.2">
      <c r="A62" s="822" t="s">
        <v>6374</v>
      </c>
      <c r="B62" s="823" t="s">
        <v>6375</v>
      </c>
      <c r="C62" s="823" t="s">
        <v>5355</v>
      </c>
      <c r="D62" s="823" t="s">
        <v>6406</v>
      </c>
      <c r="E62" s="823" t="s">
        <v>6407</v>
      </c>
      <c r="F62" s="832">
        <v>287</v>
      </c>
      <c r="G62" s="832">
        <v>17220</v>
      </c>
      <c r="H62" s="832">
        <v>0.95369960124058484</v>
      </c>
      <c r="I62" s="832">
        <v>60</v>
      </c>
      <c r="J62" s="832">
        <v>296</v>
      </c>
      <c r="K62" s="832">
        <v>18056</v>
      </c>
      <c r="L62" s="832">
        <v>1</v>
      </c>
      <c r="M62" s="832">
        <v>61</v>
      </c>
      <c r="N62" s="832">
        <v>237</v>
      </c>
      <c r="O62" s="832">
        <v>14457</v>
      </c>
      <c r="P62" s="828">
        <v>0.80067567567567566</v>
      </c>
      <c r="Q62" s="833">
        <v>61</v>
      </c>
    </row>
    <row r="63" spans="1:17" ht="14.45" customHeight="1" x14ac:dyDescent="0.2">
      <c r="A63" s="822" t="s">
        <v>6374</v>
      </c>
      <c r="B63" s="823" t="s">
        <v>6375</v>
      </c>
      <c r="C63" s="823" t="s">
        <v>5355</v>
      </c>
      <c r="D63" s="823" t="s">
        <v>6408</v>
      </c>
      <c r="E63" s="823" t="s">
        <v>6409</v>
      </c>
      <c r="F63" s="832"/>
      <c r="G63" s="832"/>
      <c r="H63" s="832"/>
      <c r="I63" s="832"/>
      <c r="J63" s="832">
        <v>3</v>
      </c>
      <c r="K63" s="832">
        <v>57</v>
      </c>
      <c r="L63" s="832">
        <v>1</v>
      </c>
      <c r="M63" s="832">
        <v>19</v>
      </c>
      <c r="N63" s="832">
        <v>5</v>
      </c>
      <c r="O63" s="832">
        <v>95</v>
      </c>
      <c r="P63" s="828">
        <v>1.6666666666666667</v>
      </c>
      <c r="Q63" s="833">
        <v>19</v>
      </c>
    </row>
    <row r="64" spans="1:17" ht="14.45" customHeight="1" x14ac:dyDescent="0.2">
      <c r="A64" s="822" t="s">
        <v>6374</v>
      </c>
      <c r="B64" s="823" t="s">
        <v>6375</v>
      </c>
      <c r="C64" s="823" t="s">
        <v>5355</v>
      </c>
      <c r="D64" s="823" t="s">
        <v>6410</v>
      </c>
      <c r="E64" s="823" t="s">
        <v>6411</v>
      </c>
      <c r="F64" s="832"/>
      <c r="G64" s="832"/>
      <c r="H64" s="832"/>
      <c r="I64" s="832"/>
      <c r="J64" s="832"/>
      <c r="K64" s="832"/>
      <c r="L64" s="832"/>
      <c r="M64" s="832"/>
      <c r="N64" s="832">
        <v>1</v>
      </c>
      <c r="O64" s="832">
        <v>392</v>
      </c>
      <c r="P64" s="828"/>
      <c r="Q64" s="833">
        <v>392</v>
      </c>
    </row>
    <row r="65" spans="1:17" ht="14.45" customHeight="1" x14ac:dyDescent="0.2">
      <c r="A65" s="822" t="s">
        <v>6374</v>
      </c>
      <c r="B65" s="823" t="s">
        <v>6375</v>
      </c>
      <c r="C65" s="823" t="s">
        <v>5355</v>
      </c>
      <c r="D65" s="823" t="s">
        <v>6412</v>
      </c>
      <c r="E65" s="823" t="s">
        <v>6413</v>
      </c>
      <c r="F65" s="832">
        <v>2</v>
      </c>
      <c r="G65" s="832">
        <v>928</v>
      </c>
      <c r="H65" s="832"/>
      <c r="I65" s="832">
        <v>464</v>
      </c>
      <c r="J65" s="832"/>
      <c r="K65" s="832"/>
      <c r="L65" s="832"/>
      <c r="M65" s="832"/>
      <c r="N65" s="832"/>
      <c r="O65" s="832"/>
      <c r="P65" s="828"/>
      <c r="Q65" s="833"/>
    </row>
    <row r="66" spans="1:17" ht="14.45" customHeight="1" x14ac:dyDescent="0.2">
      <c r="A66" s="822" t="s">
        <v>6374</v>
      </c>
      <c r="B66" s="823" t="s">
        <v>6375</v>
      </c>
      <c r="C66" s="823" t="s">
        <v>5355</v>
      </c>
      <c r="D66" s="823" t="s">
        <v>6414</v>
      </c>
      <c r="E66" s="823" t="s">
        <v>6415</v>
      </c>
      <c r="F66" s="832"/>
      <c r="G66" s="832"/>
      <c r="H66" s="832"/>
      <c r="I66" s="832"/>
      <c r="J66" s="832">
        <v>1</v>
      </c>
      <c r="K66" s="832">
        <v>313</v>
      </c>
      <c r="L66" s="832">
        <v>1</v>
      </c>
      <c r="M66" s="832">
        <v>313</v>
      </c>
      <c r="N66" s="832"/>
      <c r="O66" s="832"/>
      <c r="P66" s="828"/>
      <c r="Q66" s="833"/>
    </row>
    <row r="67" spans="1:17" ht="14.45" customHeight="1" x14ac:dyDescent="0.2">
      <c r="A67" s="822" t="s">
        <v>6374</v>
      </c>
      <c r="B67" s="823" t="s">
        <v>6375</v>
      </c>
      <c r="C67" s="823" t="s">
        <v>5355</v>
      </c>
      <c r="D67" s="823" t="s">
        <v>6416</v>
      </c>
      <c r="E67" s="823" t="s">
        <v>6417</v>
      </c>
      <c r="F67" s="832">
        <v>17</v>
      </c>
      <c r="G67" s="832">
        <v>14501</v>
      </c>
      <c r="H67" s="832">
        <v>1.1320062451209991</v>
      </c>
      <c r="I67" s="832">
        <v>853</v>
      </c>
      <c r="J67" s="832">
        <v>15</v>
      </c>
      <c r="K67" s="832">
        <v>12810</v>
      </c>
      <c r="L67" s="832">
        <v>1</v>
      </c>
      <c r="M67" s="832">
        <v>854</v>
      </c>
      <c r="N67" s="832">
        <v>22</v>
      </c>
      <c r="O67" s="832">
        <v>18810</v>
      </c>
      <c r="P67" s="828">
        <v>1.4683840749414521</v>
      </c>
      <c r="Q67" s="833">
        <v>855</v>
      </c>
    </row>
    <row r="68" spans="1:17" ht="14.45" customHeight="1" x14ac:dyDescent="0.2">
      <c r="A68" s="822" t="s">
        <v>6374</v>
      </c>
      <c r="B68" s="823" t="s">
        <v>6375</v>
      </c>
      <c r="C68" s="823" t="s">
        <v>5355</v>
      </c>
      <c r="D68" s="823" t="s">
        <v>6418</v>
      </c>
      <c r="E68" s="823" t="s">
        <v>6419</v>
      </c>
      <c r="F68" s="832">
        <v>1</v>
      </c>
      <c r="G68" s="832">
        <v>187</v>
      </c>
      <c r="H68" s="832">
        <v>0.19893617021276597</v>
      </c>
      <c r="I68" s="832">
        <v>187</v>
      </c>
      <c r="J68" s="832">
        <v>5</v>
      </c>
      <c r="K68" s="832">
        <v>940</v>
      </c>
      <c r="L68" s="832">
        <v>1</v>
      </c>
      <c r="M68" s="832">
        <v>188</v>
      </c>
      <c r="N68" s="832">
        <v>7</v>
      </c>
      <c r="O68" s="832">
        <v>1316</v>
      </c>
      <c r="P68" s="828">
        <v>1.4</v>
      </c>
      <c r="Q68" s="833">
        <v>188</v>
      </c>
    </row>
    <row r="69" spans="1:17" ht="14.45" customHeight="1" x14ac:dyDescent="0.2">
      <c r="A69" s="822" t="s">
        <v>6374</v>
      </c>
      <c r="B69" s="823" t="s">
        <v>6375</v>
      </c>
      <c r="C69" s="823" t="s">
        <v>5355</v>
      </c>
      <c r="D69" s="823" t="s">
        <v>6420</v>
      </c>
      <c r="E69" s="823" t="s">
        <v>6421</v>
      </c>
      <c r="F69" s="832"/>
      <c r="G69" s="832"/>
      <c r="H69" s="832"/>
      <c r="I69" s="832"/>
      <c r="J69" s="832">
        <v>1</v>
      </c>
      <c r="K69" s="832">
        <v>167</v>
      </c>
      <c r="L69" s="832">
        <v>1</v>
      </c>
      <c r="M69" s="832">
        <v>167</v>
      </c>
      <c r="N69" s="832"/>
      <c r="O69" s="832"/>
      <c r="P69" s="828"/>
      <c r="Q69" s="833"/>
    </row>
    <row r="70" spans="1:17" ht="14.45" customHeight="1" x14ac:dyDescent="0.2">
      <c r="A70" s="822" t="s">
        <v>6374</v>
      </c>
      <c r="B70" s="823" t="s">
        <v>6375</v>
      </c>
      <c r="C70" s="823" t="s">
        <v>5355</v>
      </c>
      <c r="D70" s="823" t="s">
        <v>6422</v>
      </c>
      <c r="E70" s="823" t="s">
        <v>6423</v>
      </c>
      <c r="F70" s="832"/>
      <c r="G70" s="832"/>
      <c r="H70" s="832"/>
      <c r="I70" s="832"/>
      <c r="J70" s="832">
        <v>1</v>
      </c>
      <c r="K70" s="832">
        <v>310</v>
      </c>
      <c r="L70" s="832">
        <v>1</v>
      </c>
      <c r="M70" s="832">
        <v>310</v>
      </c>
      <c r="N70" s="832"/>
      <c r="O70" s="832"/>
      <c r="P70" s="828"/>
      <c r="Q70" s="833"/>
    </row>
    <row r="71" spans="1:17" ht="14.45" customHeight="1" x14ac:dyDescent="0.2">
      <c r="A71" s="822" t="s">
        <v>6374</v>
      </c>
      <c r="B71" s="823" t="s">
        <v>6375</v>
      </c>
      <c r="C71" s="823" t="s">
        <v>5355</v>
      </c>
      <c r="D71" s="823" t="s">
        <v>6424</v>
      </c>
      <c r="E71" s="823" t="s">
        <v>6425</v>
      </c>
      <c r="F71" s="832"/>
      <c r="G71" s="832"/>
      <c r="H71" s="832"/>
      <c r="I71" s="832"/>
      <c r="J71" s="832">
        <v>1</v>
      </c>
      <c r="K71" s="832">
        <v>1227</v>
      </c>
      <c r="L71" s="832">
        <v>1</v>
      </c>
      <c r="M71" s="832">
        <v>1227</v>
      </c>
      <c r="N71" s="832"/>
      <c r="O71" s="832"/>
      <c r="P71" s="828"/>
      <c r="Q71" s="833"/>
    </row>
    <row r="72" spans="1:17" ht="14.45" customHeight="1" x14ac:dyDescent="0.2">
      <c r="A72" s="822" t="s">
        <v>6374</v>
      </c>
      <c r="B72" s="823" t="s">
        <v>6375</v>
      </c>
      <c r="C72" s="823" t="s">
        <v>5355</v>
      </c>
      <c r="D72" s="823" t="s">
        <v>6426</v>
      </c>
      <c r="E72" s="823" t="s">
        <v>6427</v>
      </c>
      <c r="F72" s="832">
        <v>25</v>
      </c>
      <c r="G72" s="832">
        <v>19700</v>
      </c>
      <c r="H72" s="832">
        <v>0.3374096529990066</v>
      </c>
      <c r="I72" s="832">
        <v>788</v>
      </c>
      <c r="J72" s="832">
        <v>74</v>
      </c>
      <c r="K72" s="832">
        <v>58386</v>
      </c>
      <c r="L72" s="832">
        <v>1</v>
      </c>
      <c r="M72" s="832">
        <v>789</v>
      </c>
      <c r="N72" s="832">
        <v>42</v>
      </c>
      <c r="O72" s="832">
        <v>33222</v>
      </c>
      <c r="P72" s="828">
        <v>0.56900626862604053</v>
      </c>
      <c r="Q72" s="833">
        <v>791</v>
      </c>
    </row>
    <row r="73" spans="1:17" ht="14.45" customHeight="1" x14ac:dyDescent="0.2">
      <c r="A73" s="822" t="s">
        <v>6374</v>
      </c>
      <c r="B73" s="823" t="s">
        <v>6375</v>
      </c>
      <c r="C73" s="823" t="s">
        <v>5355</v>
      </c>
      <c r="D73" s="823" t="s">
        <v>6428</v>
      </c>
      <c r="E73" s="823" t="s">
        <v>6429</v>
      </c>
      <c r="F73" s="832"/>
      <c r="G73" s="832"/>
      <c r="H73" s="832"/>
      <c r="I73" s="832"/>
      <c r="J73" s="832">
        <v>1</v>
      </c>
      <c r="K73" s="832">
        <v>190</v>
      </c>
      <c r="L73" s="832">
        <v>1</v>
      </c>
      <c r="M73" s="832">
        <v>190</v>
      </c>
      <c r="N73" s="832">
        <v>1</v>
      </c>
      <c r="O73" s="832">
        <v>191</v>
      </c>
      <c r="P73" s="828">
        <v>1.0052631578947369</v>
      </c>
      <c r="Q73" s="833">
        <v>191</v>
      </c>
    </row>
    <row r="74" spans="1:17" ht="14.45" customHeight="1" x14ac:dyDescent="0.2">
      <c r="A74" s="822" t="s">
        <v>6374</v>
      </c>
      <c r="B74" s="823" t="s">
        <v>6375</v>
      </c>
      <c r="C74" s="823" t="s">
        <v>5355</v>
      </c>
      <c r="D74" s="823" t="s">
        <v>6430</v>
      </c>
      <c r="E74" s="823" t="s">
        <v>6431</v>
      </c>
      <c r="F74" s="832"/>
      <c r="G74" s="832"/>
      <c r="H74" s="832"/>
      <c r="I74" s="832"/>
      <c r="J74" s="832">
        <v>2</v>
      </c>
      <c r="K74" s="832">
        <v>458</v>
      </c>
      <c r="L74" s="832">
        <v>1</v>
      </c>
      <c r="M74" s="832">
        <v>229</v>
      </c>
      <c r="N74" s="832">
        <v>2</v>
      </c>
      <c r="O74" s="832">
        <v>460</v>
      </c>
      <c r="P74" s="828">
        <v>1.0043668122270741</v>
      </c>
      <c r="Q74" s="833">
        <v>230</v>
      </c>
    </row>
    <row r="75" spans="1:17" ht="14.45" customHeight="1" x14ac:dyDescent="0.2">
      <c r="A75" s="822" t="s">
        <v>6374</v>
      </c>
      <c r="B75" s="823" t="s">
        <v>6375</v>
      </c>
      <c r="C75" s="823" t="s">
        <v>5355</v>
      </c>
      <c r="D75" s="823" t="s">
        <v>6432</v>
      </c>
      <c r="E75" s="823" t="s">
        <v>6433</v>
      </c>
      <c r="F75" s="832">
        <v>1</v>
      </c>
      <c r="G75" s="832">
        <v>133</v>
      </c>
      <c r="H75" s="832">
        <v>0.9925373134328358</v>
      </c>
      <c r="I75" s="832">
        <v>133</v>
      </c>
      <c r="J75" s="832">
        <v>1</v>
      </c>
      <c r="K75" s="832">
        <v>134</v>
      </c>
      <c r="L75" s="832">
        <v>1</v>
      </c>
      <c r="M75" s="832">
        <v>134</v>
      </c>
      <c r="N75" s="832">
        <v>2</v>
      </c>
      <c r="O75" s="832">
        <v>270</v>
      </c>
      <c r="P75" s="828">
        <v>2.0149253731343282</v>
      </c>
      <c r="Q75" s="833">
        <v>135</v>
      </c>
    </row>
    <row r="76" spans="1:17" ht="14.45" customHeight="1" x14ac:dyDescent="0.2">
      <c r="A76" s="822" t="s">
        <v>6374</v>
      </c>
      <c r="B76" s="823" t="s">
        <v>6375</v>
      </c>
      <c r="C76" s="823" t="s">
        <v>5355</v>
      </c>
      <c r="D76" s="823" t="s">
        <v>6434</v>
      </c>
      <c r="E76" s="823" t="s">
        <v>6435</v>
      </c>
      <c r="F76" s="832">
        <v>2</v>
      </c>
      <c r="G76" s="832">
        <v>828</v>
      </c>
      <c r="H76" s="832"/>
      <c r="I76" s="832">
        <v>414</v>
      </c>
      <c r="J76" s="832"/>
      <c r="K76" s="832"/>
      <c r="L76" s="832"/>
      <c r="M76" s="832"/>
      <c r="N76" s="832">
        <v>1</v>
      </c>
      <c r="O76" s="832">
        <v>416</v>
      </c>
      <c r="P76" s="828"/>
      <c r="Q76" s="833">
        <v>416</v>
      </c>
    </row>
    <row r="77" spans="1:17" ht="14.45" customHeight="1" x14ac:dyDescent="0.2">
      <c r="A77" s="822" t="s">
        <v>6374</v>
      </c>
      <c r="B77" s="823" t="s">
        <v>6375</v>
      </c>
      <c r="C77" s="823" t="s">
        <v>5355</v>
      </c>
      <c r="D77" s="823" t="s">
        <v>6436</v>
      </c>
      <c r="E77" s="823" t="s">
        <v>6437</v>
      </c>
      <c r="F77" s="832">
        <v>2</v>
      </c>
      <c r="G77" s="832">
        <v>792</v>
      </c>
      <c r="H77" s="832"/>
      <c r="I77" s="832">
        <v>396</v>
      </c>
      <c r="J77" s="832"/>
      <c r="K77" s="832"/>
      <c r="L77" s="832"/>
      <c r="M77" s="832"/>
      <c r="N77" s="832">
        <v>1</v>
      </c>
      <c r="O77" s="832">
        <v>398</v>
      </c>
      <c r="P77" s="828"/>
      <c r="Q77" s="833">
        <v>398</v>
      </c>
    </row>
    <row r="78" spans="1:17" ht="14.45" customHeight="1" x14ac:dyDescent="0.2">
      <c r="A78" s="822" t="s">
        <v>6374</v>
      </c>
      <c r="B78" s="823" t="s">
        <v>6375</v>
      </c>
      <c r="C78" s="823" t="s">
        <v>5355</v>
      </c>
      <c r="D78" s="823" t="s">
        <v>6438</v>
      </c>
      <c r="E78" s="823" t="s">
        <v>6439</v>
      </c>
      <c r="F78" s="832">
        <v>1</v>
      </c>
      <c r="G78" s="832">
        <v>89</v>
      </c>
      <c r="H78" s="832">
        <v>1</v>
      </c>
      <c r="I78" s="832">
        <v>89</v>
      </c>
      <c r="J78" s="832">
        <v>1</v>
      </c>
      <c r="K78" s="832">
        <v>89</v>
      </c>
      <c r="L78" s="832">
        <v>1</v>
      </c>
      <c r="M78" s="832">
        <v>89</v>
      </c>
      <c r="N78" s="832"/>
      <c r="O78" s="832"/>
      <c r="P78" s="828"/>
      <c r="Q78" s="833"/>
    </row>
    <row r="79" spans="1:17" ht="14.45" customHeight="1" x14ac:dyDescent="0.2">
      <c r="A79" s="822" t="s">
        <v>6374</v>
      </c>
      <c r="B79" s="823" t="s">
        <v>6375</v>
      </c>
      <c r="C79" s="823" t="s">
        <v>5355</v>
      </c>
      <c r="D79" s="823" t="s">
        <v>6440</v>
      </c>
      <c r="E79" s="823" t="s">
        <v>6441</v>
      </c>
      <c r="F79" s="832">
        <v>6704</v>
      </c>
      <c r="G79" s="832">
        <v>201120</v>
      </c>
      <c r="H79" s="832">
        <v>0.97854327835352506</v>
      </c>
      <c r="I79" s="832">
        <v>30</v>
      </c>
      <c r="J79" s="832">
        <v>6851</v>
      </c>
      <c r="K79" s="832">
        <v>205530</v>
      </c>
      <c r="L79" s="832">
        <v>1</v>
      </c>
      <c r="M79" s="832">
        <v>30</v>
      </c>
      <c r="N79" s="832">
        <v>5136</v>
      </c>
      <c r="O79" s="832">
        <v>159216</v>
      </c>
      <c r="P79" s="828">
        <v>0.77466063348416292</v>
      </c>
      <c r="Q79" s="833">
        <v>31</v>
      </c>
    </row>
    <row r="80" spans="1:17" ht="14.45" customHeight="1" x14ac:dyDescent="0.2">
      <c r="A80" s="822" t="s">
        <v>6374</v>
      </c>
      <c r="B80" s="823" t="s">
        <v>6375</v>
      </c>
      <c r="C80" s="823" t="s">
        <v>5355</v>
      </c>
      <c r="D80" s="823" t="s">
        <v>6442</v>
      </c>
      <c r="E80" s="823" t="s">
        <v>6443</v>
      </c>
      <c r="F80" s="832">
        <v>291</v>
      </c>
      <c r="G80" s="832">
        <v>14550</v>
      </c>
      <c r="H80" s="832">
        <v>0.96039603960396036</v>
      </c>
      <c r="I80" s="832">
        <v>50</v>
      </c>
      <c r="J80" s="832">
        <v>303</v>
      </c>
      <c r="K80" s="832">
        <v>15150</v>
      </c>
      <c r="L80" s="832">
        <v>1</v>
      </c>
      <c r="M80" s="832">
        <v>50</v>
      </c>
      <c r="N80" s="832">
        <v>241</v>
      </c>
      <c r="O80" s="832">
        <v>12050</v>
      </c>
      <c r="P80" s="828">
        <v>0.79537953795379535</v>
      </c>
      <c r="Q80" s="833">
        <v>50</v>
      </c>
    </row>
    <row r="81" spans="1:17" ht="14.45" customHeight="1" x14ac:dyDescent="0.2">
      <c r="A81" s="822" t="s">
        <v>6374</v>
      </c>
      <c r="B81" s="823" t="s">
        <v>6375</v>
      </c>
      <c r="C81" s="823" t="s">
        <v>5355</v>
      </c>
      <c r="D81" s="823" t="s">
        <v>6444</v>
      </c>
      <c r="E81" s="823" t="s">
        <v>6445</v>
      </c>
      <c r="F81" s="832">
        <v>646</v>
      </c>
      <c r="G81" s="832">
        <v>7752</v>
      </c>
      <c r="H81" s="832">
        <v>0.89535689535689533</v>
      </c>
      <c r="I81" s="832">
        <v>12</v>
      </c>
      <c r="J81" s="832">
        <v>666</v>
      </c>
      <c r="K81" s="832">
        <v>8658</v>
      </c>
      <c r="L81" s="832">
        <v>1</v>
      </c>
      <c r="M81" s="832">
        <v>13</v>
      </c>
      <c r="N81" s="832">
        <v>510</v>
      </c>
      <c r="O81" s="832">
        <v>6630</v>
      </c>
      <c r="P81" s="828">
        <v>0.76576576576576572</v>
      </c>
      <c r="Q81" s="833">
        <v>13</v>
      </c>
    </row>
    <row r="82" spans="1:17" ht="14.45" customHeight="1" x14ac:dyDescent="0.2">
      <c r="A82" s="822" t="s">
        <v>6374</v>
      </c>
      <c r="B82" s="823" t="s">
        <v>6375</v>
      </c>
      <c r="C82" s="823" t="s">
        <v>5355</v>
      </c>
      <c r="D82" s="823" t="s">
        <v>6446</v>
      </c>
      <c r="E82" s="823" t="s">
        <v>6447</v>
      </c>
      <c r="F82" s="832">
        <v>9</v>
      </c>
      <c r="G82" s="832">
        <v>1647</v>
      </c>
      <c r="H82" s="832">
        <v>1.1188858695652173</v>
      </c>
      <c r="I82" s="832">
        <v>183</v>
      </c>
      <c r="J82" s="832">
        <v>8</v>
      </c>
      <c r="K82" s="832">
        <v>1472</v>
      </c>
      <c r="L82" s="832">
        <v>1</v>
      </c>
      <c r="M82" s="832">
        <v>184</v>
      </c>
      <c r="N82" s="832">
        <v>10</v>
      </c>
      <c r="O82" s="832">
        <v>1850</v>
      </c>
      <c r="P82" s="828">
        <v>1.2567934782608696</v>
      </c>
      <c r="Q82" s="833">
        <v>185</v>
      </c>
    </row>
    <row r="83" spans="1:17" ht="14.45" customHeight="1" x14ac:dyDescent="0.2">
      <c r="A83" s="822" t="s">
        <v>6374</v>
      </c>
      <c r="B83" s="823" t="s">
        <v>6375</v>
      </c>
      <c r="C83" s="823" t="s">
        <v>5355</v>
      </c>
      <c r="D83" s="823" t="s">
        <v>6448</v>
      </c>
      <c r="E83" s="823" t="s">
        <v>6449</v>
      </c>
      <c r="F83" s="832">
        <v>1</v>
      </c>
      <c r="G83" s="832">
        <v>73</v>
      </c>
      <c r="H83" s="832">
        <v>1</v>
      </c>
      <c r="I83" s="832">
        <v>73</v>
      </c>
      <c r="J83" s="832">
        <v>1</v>
      </c>
      <c r="K83" s="832">
        <v>73</v>
      </c>
      <c r="L83" s="832">
        <v>1</v>
      </c>
      <c r="M83" s="832">
        <v>73</v>
      </c>
      <c r="N83" s="832">
        <v>2</v>
      </c>
      <c r="O83" s="832">
        <v>148</v>
      </c>
      <c r="P83" s="828">
        <v>2.0273972602739727</v>
      </c>
      <c r="Q83" s="833">
        <v>74</v>
      </c>
    </row>
    <row r="84" spans="1:17" ht="14.45" customHeight="1" x14ac:dyDescent="0.2">
      <c r="A84" s="822" t="s">
        <v>6374</v>
      </c>
      <c r="B84" s="823" t="s">
        <v>6375</v>
      </c>
      <c r="C84" s="823" t="s">
        <v>5355</v>
      </c>
      <c r="D84" s="823" t="s">
        <v>6450</v>
      </c>
      <c r="E84" s="823" t="s">
        <v>6451</v>
      </c>
      <c r="F84" s="832">
        <v>8</v>
      </c>
      <c r="G84" s="832">
        <v>1472</v>
      </c>
      <c r="H84" s="832">
        <v>1.5913513513513513</v>
      </c>
      <c r="I84" s="832">
        <v>184</v>
      </c>
      <c r="J84" s="832">
        <v>5</v>
      </c>
      <c r="K84" s="832">
        <v>925</v>
      </c>
      <c r="L84" s="832">
        <v>1</v>
      </c>
      <c r="M84" s="832">
        <v>185</v>
      </c>
      <c r="N84" s="832">
        <v>8</v>
      </c>
      <c r="O84" s="832">
        <v>1488</v>
      </c>
      <c r="P84" s="828">
        <v>1.6086486486486486</v>
      </c>
      <c r="Q84" s="833">
        <v>186</v>
      </c>
    </row>
    <row r="85" spans="1:17" ht="14.45" customHeight="1" x14ac:dyDescent="0.2">
      <c r="A85" s="822" t="s">
        <v>6374</v>
      </c>
      <c r="B85" s="823" t="s">
        <v>6375</v>
      </c>
      <c r="C85" s="823" t="s">
        <v>5355</v>
      </c>
      <c r="D85" s="823" t="s">
        <v>6452</v>
      </c>
      <c r="E85" s="823" t="s">
        <v>6453</v>
      </c>
      <c r="F85" s="832">
        <v>2061</v>
      </c>
      <c r="G85" s="832">
        <v>307089</v>
      </c>
      <c r="H85" s="832">
        <v>0.96387005649717516</v>
      </c>
      <c r="I85" s="832">
        <v>149</v>
      </c>
      <c r="J85" s="832">
        <v>2124</v>
      </c>
      <c r="K85" s="832">
        <v>318600</v>
      </c>
      <c r="L85" s="832">
        <v>1</v>
      </c>
      <c r="M85" s="832">
        <v>150</v>
      </c>
      <c r="N85" s="832">
        <v>1639</v>
      </c>
      <c r="O85" s="832">
        <v>245850</v>
      </c>
      <c r="P85" s="828">
        <v>0.7716572504708098</v>
      </c>
      <c r="Q85" s="833">
        <v>150</v>
      </c>
    </row>
    <row r="86" spans="1:17" ht="14.45" customHeight="1" x14ac:dyDescent="0.2">
      <c r="A86" s="822" t="s">
        <v>6374</v>
      </c>
      <c r="B86" s="823" t="s">
        <v>6375</v>
      </c>
      <c r="C86" s="823" t="s">
        <v>5355</v>
      </c>
      <c r="D86" s="823" t="s">
        <v>6454</v>
      </c>
      <c r="E86" s="823" t="s">
        <v>6455</v>
      </c>
      <c r="F86" s="832">
        <v>6362</v>
      </c>
      <c r="G86" s="832">
        <v>190860</v>
      </c>
      <c r="H86" s="832">
        <v>0.99546236895634488</v>
      </c>
      <c r="I86" s="832">
        <v>30</v>
      </c>
      <c r="J86" s="832">
        <v>6391</v>
      </c>
      <c r="K86" s="832">
        <v>191730</v>
      </c>
      <c r="L86" s="832">
        <v>1</v>
      </c>
      <c r="M86" s="832">
        <v>30</v>
      </c>
      <c r="N86" s="832">
        <v>4904</v>
      </c>
      <c r="O86" s="832">
        <v>152024</v>
      </c>
      <c r="P86" s="828">
        <v>0.79290669170187245</v>
      </c>
      <c r="Q86" s="833">
        <v>31</v>
      </c>
    </row>
    <row r="87" spans="1:17" ht="14.45" customHeight="1" x14ac:dyDescent="0.2">
      <c r="A87" s="822" t="s">
        <v>6374</v>
      </c>
      <c r="B87" s="823" t="s">
        <v>6375</v>
      </c>
      <c r="C87" s="823" t="s">
        <v>5355</v>
      </c>
      <c r="D87" s="823" t="s">
        <v>6456</v>
      </c>
      <c r="E87" s="823" t="s">
        <v>6457</v>
      </c>
      <c r="F87" s="832">
        <v>117</v>
      </c>
      <c r="G87" s="832">
        <v>3627</v>
      </c>
      <c r="H87" s="832">
        <v>0.95121951219512191</v>
      </c>
      <c r="I87" s="832">
        <v>31</v>
      </c>
      <c r="J87" s="832">
        <v>123</v>
      </c>
      <c r="K87" s="832">
        <v>3813</v>
      </c>
      <c r="L87" s="832">
        <v>1</v>
      </c>
      <c r="M87" s="832">
        <v>31</v>
      </c>
      <c r="N87" s="832">
        <v>90</v>
      </c>
      <c r="O87" s="832">
        <v>2790</v>
      </c>
      <c r="P87" s="828">
        <v>0.73170731707317072</v>
      </c>
      <c r="Q87" s="833">
        <v>31</v>
      </c>
    </row>
    <row r="88" spans="1:17" ht="14.45" customHeight="1" x14ac:dyDescent="0.2">
      <c r="A88" s="822" t="s">
        <v>6374</v>
      </c>
      <c r="B88" s="823" t="s">
        <v>6375</v>
      </c>
      <c r="C88" s="823" t="s">
        <v>5355</v>
      </c>
      <c r="D88" s="823" t="s">
        <v>6458</v>
      </c>
      <c r="E88" s="823" t="s">
        <v>6459</v>
      </c>
      <c r="F88" s="832">
        <v>725</v>
      </c>
      <c r="G88" s="832">
        <v>19575</v>
      </c>
      <c r="H88" s="832">
        <v>0.88159791028643486</v>
      </c>
      <c r="I88" s="832">
        <v>27</v>
      </c>
      <c r="J88" s="832">
        <v>793</v>
      </c>
      <c r="K88" s="832">
        <v>22204</v>
      </c>
      <c r="L88" s="832">
        <v>1</v>
      </c>
      <c r="M88" s="832">
        <v>28</v>
      </c>
      <c r="N88" s="832">
        <v>595</v>
      </c>
      <c r="O88" s="832">
        <v>16660</v>
      </c>
      <c r="P88" s="828">
        <v>0.75031525851197978</v>
      </c>
      <c r="Q88" s="833">
        <v>28</v>
      </c>
    </row>
    <row r="89" spans="1:17" ht="14.45" customHeight="1" x14ac:dyDescent="0.2">
      <c r="A89" s="822" t="s">
        <v>6374</v>
      </c>
      <c r="B89" s="823" t="s">
        <v>6375</v>
      </c>
      <c r="C89" s="823" t="s">
        <v>5355</v>
      </c>
      <c r="D89" s="823" t="s">
        <v>6460</v>
      </c>
      <c r="E89" s="823" t="s">
        <v>6461</v>
      </c>
      <c r="F89" s="832">
        <v>1</v>
      </c>
      <c r="G89" s="832">
        <v>256</v>
      </c>
      <c r="H89" s="832"/>
      <c r="I89" s="832">
        <v>256</v>
      </c>
      <c r="J89" s="832"/>
      <c r="K89" s="832"/>
      <c r="L89" s="832"/>
      <c r="M89" s="832"/>
      <c r="N89" s="832"/>
      <c r="O89" s="832"/>
      <c r="P89" s="828"/>
      <c r="Q89" s="833"/>
    </row>
    <row r="90" spans="1:17" ht="14.45" customHeight="1" x14ac:dyDescent="0.2">
      <c r="A90" s="822" t="s">
        <v>6374</v>
      </c>
      <c r="B90" s="823" t="s">
        <v>6375</v>
      </c>
      <c r="C90" s="823" t="s">
        <v>5355</v>
      </c>
      <c r="D90" s="823" t="s">
        <v>6462</v>
      </c>
      <c r="E90" s="823" t="s">
        <v>6463</v>
      </c>
      <c r="F90" s="832">
        <v>1</v>
      </c>
      <c r="G90" s="832">
        <v>22</v>
      </c>
      <c r="H90" s="832">
        <v>0.95652173913043481</v>
      </c>
      <c r="I90" s="832">
        <v>22</v>
      </c>
      <c r="J90" s="832">
        <v>1</v>
      </c>
      <c r="K90" s="832">
        <v>23</v>
      </c>
      <c r="L90" s="832">
        <v>1</v>
      </c>
      <c r="M90" s="832">
        <v>23</v>
      </c>
      <c r="N90" s="832">
        <v>1</v>
      </c>
      <c r="O90" s="832">
        <v>23</v>
      </c>
      <c r="P90" s="828">
        <v>1</v>
      </c>
      <c r="Q90" s="833">
        <v>23</v>
      </c>
    </row>
    <row r="91" spans="1:17" ht="14.45" customHeight="1" x14ac:dyDescent="0.2">
      <c r="A91" s="822" t="s">
        <v>6374</v>
      </c>
      <c r="B91" s="823" t="s">
        <v>6375</v>
      </c>
      <c r="C91" s="823" t="s">
        <v>5355</v>
      </c>
      <c r="D91" s="823" t="s">
        <v>6464</v>
      </c>
      <c r="E91" s="823" t="s">
        <v>6465</v>
      </c>
      <c r="F91" s="832">
        <v>1505</v>
      </c>
      <c r="G91" s="832">
        <v>37625</v>
      </c>
      <c r="H91" s="832">
        <v>0.9495507773066828</v>
      </c>
      <c r="I91" s="832">
        <v>25</v>
      </c>
      <c r="J91" s="832">
        <v>1524</v>
      </c>
      <c r="K91" s="832">
        <v>39624</v>
      </c>
      <c r="L91" s="832">
        <v>1</v>
      </c>
      <c r="M91" s="832">
        <v>26</v>
      </c>
      <c r="N91" s="832">
        <v>1179</v>
      </c>
      <c r="O91" s="832">
        <v>30654</v>
      </c>
      <c r="P91" s="828">
        <v>0.77362204724409445</v>
      </c>
      <c r="Q91" s="833">
        <v>26</v>
      </c>
    </row>
    <row r="92" spans="1:17" ht="14.45" customHeight="1" x14ac:dyDescent="0.2">
      <c r="A92" s="822" t="s">
        <v>6374</v>
      </c>
      <c r="B92" s="823" t="s">
        <v>6375</v>
      </c>
      <c r="C92" s="823" t="s">
        <v>5355</v>
      </c>
      <c r="D92" s="823" t="s">
        <v>6466</v>
      </c>
      <c r="E92" s="823" t="s">
        <v>6467</v>
      </c>
      <c r="F92" s="832">
        <v>3</v>
      </c>
      <c r="G92" s="832">
        <v>99</v>
      </c>
      <c r="H92" s="832">
        <v>1</v>
      </c>
      <c r="I92" s="832">
        <v>33</v>
      </c>
      <c r="J92" s="832">
        <v>3</v>
      </c>
      <c r="K92" s="832">
        <v>99</v>
      </c>
      <c r="L92" s="832">
        <v>1</v>
      </c>
      <c r="M92" s="832">
        <v>33</v>
      </c>
      <c r="N92" s="832">
        <v>4</v>
      </c>
      <c r="O92" s="832">
        <v>132</v>
      </c>
      <c r="P92" s="828">
        <v>1.3333333333333333</v>
      </c>
      <c r="Q92" s="833">
        <v>33</v>
      </c>
    </row>
    <row r="93" spans="1:17" ht="14.45" customHeight="1" x14ac:dyDescent="0.2">
      <c r="A93" s="822" t="s">
        <v>6374</v>
      </c>
      <c r="B93" s="823" t="s">
        <v>6375</v>
      </c>
      <c r="C93" s="823" t="s">
        <v>5355</v>
      </c>
      <c r="D93" s="823" t="s">
        <v>6468</v>
      </c>
      <c r="E93" s="823" t="s">
        <v>6469</v>
      </c>
      <c r="F93" s="832">
        <v>5</v>
      </c>
      <c r="G93" s="832">
        <v>150</v>
      </c>
      <c r="H93" s="832">
        <v>5</v>
      </c>
      <c r="I93" s="832">
        <v>30</v>
      </c>
      <c r="J93" s="832">
        <v>1</v>
      </c>
      <c r="K93" s="832">
        <v>30</v>
      </c>
      <c r="L93" s="832">
        <v>1</v>
      </c>
      <c r="M93" s="832">
        <v>30</v>
      </c>
      <c r="N93" s="832">
        <v>1</v>
      </c>
      <c r="O93" s="832">
        <v>30</v>
      </c>
      <c r="P93" s="828">
        <v>1</v>
      </c>
      <c r="Q93" s="833">
        <v>30</v>
      </c>
    </row>
    <row r="94" spans="1:17" ht="14.45" customHeight="1" x14ac:dyDescent="0.2">
      <c r="A94" s="822" t="s">
        <v>6374</v>
      </c>
      <c r="B94" s="823" t="s">
        <v>6375</v>
      </c>
      <c r="C94" s="823" t="s">
        <v>5355</v>
      </c>
      <c r="D94" s="823" t="s">
        <v>6470</v>
      </c>
      <c r="E94" s="823" t="s">
        <v>6471</v>
      </c>
      <c r="F94" s="832">
        <v>19</v>
      </c>
      <c r="G94" s="832">
        <v>3895</v>
      </c>
      <c r="H94" s="832">
        <v>1.59109477124183</v>
      </c>
      <c r="I94" s="832">
        <v>205</v>
      </c>
      <c r="J94" s="832">
        <v>12</v>
      </c>
      <c r="K94" s="832">
        <v>2448</v>
      </c>
      <c r="L94" s="832">
        <v>1</v>
      </c>
      <c r="M94" s="832">
        <v>204</v>
      </c>
      <c r="N94" s="832">
        <v>10</v>
      </c>
      <c r="O94" s="832">
        <v>2040</v>
      </c>
      <c r="P94" s="828">
        <v>0.83333333333333337</v>
      </c>
      <c r="Q94" s="833">
        <v>204</v>
      </c>
    </row>
    <row r="95" spans="1:17" ht="14.45" customHeight="1" x14ac:dyDescent="0.2">
      <c r="A95" s="822" t="s">
        <v>6374</v>
      </c>
      <c r="B95" s="823" t="s">
        <v>6375</v>
      </c>
      <c r="C95" s="823" t="s">
        <v>5355</v>
      </c>
      <c r="D95" s="823" t="s">
        <v>6472</v>
      </c>
      <c r="E95" s="823" t="s">
        <v>6473</v>
      </c>
      <c r="F95" s="832">
        <v>33</v>
      </c>
      <c r="G95" s="832">
        <v>858</v>
      </c>
      <c r="H95" s="832">
        <v>0.89189189189189189</v>
      </c>
      <c r="I95" s="832">
        <v>26</v>
      </c>
      <c r="J95" s="832">
        <v>37</v>
      </c>
      <c r="K95" s="832">
        <v>962</v>
      </c>
      <c r="L95" s="832">
        <v>1</v>
      </c>
      <c r="M95" s="832">
        <v>26</v>
      </c>
      <c r="N95" s="832">
        <v>12</v>
      </c>
      <c r="O95" s="832">
        <v>312</v>
      </c>
      <c r="P95" s="828">
        <v>0.32432432432432434</v>
      </c>
      <c r="Q95" s="833">
        <v>26</v>
      </c>
    </row>
    <row r="96" spans="1:17" ht="14.45" customHeight="1" x14ac:dyDescent="0.2">
      <c r="A96" s="822" t="s">
        <v>6374</v>
      </c>
      <c r="B96" s="823" t="s">
        <v>6375</v>
      </c>
      <c r="C96" s="823" t="s">
        <v>5355</v>
      </c>
      <c r="D96" s="823" t="s">
        <v>6474</v>
      </c>
      <c r="E96" s="823" t="s">
        <v>6475</v>
      </c>
      <c r="F96" s="832">
        <v>9</v>
      </c>
      <c r="G96" s="832">
        <v>756</v>
      </c>
      <c r="H96" s="832">
        <v>1.2857142857142858</v>
      </c>
      <c r="I96" s="832">
        <v>84</v>
      </c>
      <c r="J96" s="832">
        <v>7</v>
      </c>
      <c r="K96" s="832">
        <v>588</v>
      </c>
      <c r="L96" s="832">
        <v>1</v>
      </c>
      <c r="M96" s="832">
        <v>84</v>
      </c>
      <c r="N96" s="832">
        <v>16</v>
      </c>
      <c r="O96" s="832">
        <v>1344</v>
      </c>
      <c r="P96" s="828">
        <v>2.2857142857142856</v>
      </c>
      <c r="Q96" s="833">
        <v>84</v>
      </c>
    </row>
    <row r="97" spans="1:17" ht="14.45" customHeight="1" x14ac:dyDescent="0.2">
      <c r="A97" s="822" t="s">
        <v>6374</v>
      </c>
      <c r="B97" s="823" t="s">
        <v>6375</v>
      </c>
      <c r="C97" s="823" t="s">
        <v>5355</v>
      </c>
      <c r="D97" s="823" t="s">
        <v>6476</v>
      </c>
      <c r="E97" s="823" t="s">
        <v>6477</v>
      </c>
      <c r="F97" s="832">
        <v>10</v>
      </c>
      <c r="G97" s="832">
        <v>1760</v>
      </c>
      <c r="H97" s="832">
        <v>0.76488483268144281</v>
      </c>
      <c r="I97" s="832">
        <v>176</v>
      </c>
      <c r="J97" s="832">
        <v>13</v>
      </c>
      <c r="K97" s="832">
        <v>2301</v>
      </c>
      <c r="L97" s="832">
        <v>1</v>
      </c>
      <c r="M97" s="832">
        <v>177</v>
      </c>
      <c r="N97" s="832">
        <v>165</v>
      </c>
      <c r="O97" s="832">
        <v>29370</v>
      </c>
      <c r="P97" s="828">
        <v>12.764015645371577</v>
      </c>
      <c r="Q97" s="833">
        <v>178</v>
      </c>
    </row>
    <row r="98" spans="1:17" ht="14.45" customHeight="1" x14ac:dyDescent="0.2">
      <c r="A98" s="822" t="s">
        <v>6374</v>
      </c>
      <c r="B98" s="823" t="s">
        <v>6375</v>
      </c>
      <c r="C98" s="823" t="s">
        <v>5355</v>
      </c>
      <c r="D98" s="823" t="s">
        <v>6478</v>
      </c>
      <c r="E98" s="823" t="s">
        <v>6479</v>
      </c>
      <c r="F98" s="832"/>
      <c r="G98" s="832"/>
      <c r="H98" s="832"/>
      <c r="I98" s="832"/>
      <c r="J98" s="832">
        <v>2</v>
      </c>
      <c r="K98" s="832">
        <v>508</v>
      </c>
      <c r="L98" s="832">
        <v>1</v>
      </c>
      <c r="M98" s="832">
        <v>254</v>
      </c>
      <c r="N98" s="832">
        <v>2</v>
      </c>
      <c r="O98" s="832">
        <v>510</v>
      </c>
      <c r="P98" s="828">
        <v>1.0039370078740157</v>
      </c>
      <c r="Q98" s="833">
        <v>255</v>
      </c>
    </row>
    <row r="99" spans="1:17" ht="14.45" customHeight="1" x14ac:dyDescent="0.2">
      <c r="A99" s="822" t="s">
        <v>6374</v>
      </c>
      <c r="B99" s="823" t="s">
        <v>6375</v>
      </c>
      <c r="C99" s="823" t="s">
        <v>5355</v>
      </c>
      <c r="D99" s="823" t="s">
        <v>6480</v>
      </c>
      <c r="E99" s="823" t="s">
        <v>6481</v>
      </c>
      <c r="F99" s="832">
        <v>263</v>
      </c>
      <c r="G99" s="832">
        <v>3945</v>
      </c>
      <c r="H99" s="832">
        <v>0.88373655913978499</v>
      </c>
      <c r="I99" s="832">
        <v>15</v>
      </c>
      <c r="J99" s="832">
        <v>279</v>
      </c>
      <c r="K99" s="832">
        <v>4464</v>
      </c>
      <c r="L99" s="832">
        <v>1</v>
      </c>
      <c r="M99" s="832">
        <v>16</v>
      </c>
      <c r="N99" s="832">
        <v>228</v>
      </c>
      <c r="O99" s="832">
        <v>3648</v>
      </c>
      <c r="P99" s="828">
        <v>0.81720430107526887</v>
      </c>
      <c r="Q99" s="833">
        <v>16</v>
      </c>
    </row>
    <row r="100" spans="1:17" ht="14.45" customHeight="1" x14ac:dyDescent="0.2">
      <c r="A100" s="822" t="s">
        <v>6374</v>
      </c>
      <c r="B100" s="823" t="s">
        <v>6375</v>
      </c>
      <c r="C100" s="823" t="s">
        <v>5355</v>
      </c>
      <c r="D100" s="823" t="s">
        <v>6482</v>
      </c>
      <c r="E100" s="823" t="s">
        <v>6483</v>
      </c>
      <c r="F100" s="832">
        <v>484</v>
      </c>
      <c r="G100" s="832">
        <v>11132</v>
      </c>
      <c r="H100" s="832">
        <v>0.92190476190476189</v>
      </c>
      <c r="I100" s="832">
        <v>23</v>
      </c>
      <c r="J100" s="832">
        <v>525</v>
      </c>
      <c r="K100" s="832">
        <v>12075</v>
      </c>
      <c r="L100" s="832">
        <v>1</v>
      </c>
      <c r="M100" s="832">
        <v>23</v>
      </c>
      <c r="N100" s="832">
        <v>384</v>
      </c>
      <c r="O100" s="832">
        <v>8832</v>
      </c>
      <c r="P100" s="828">
        <v>0.73142857142857143</v>
      </c>
      <c r="Q100" s="833">
        <v>23</v>
      </c>
    </row>
    <row r="101" spans="1:17" ht="14.45" customHeight="1" x14ac:dyDescent="0.2">
      <c r="A101" s="822" t="s">
        <v>6374</v>
      </c>
      <c r="B101" s="823" t="s">
        <v>6375</v>
      </c>
      <c r="C101" s="823" t="s">
        <v>5355</v>
      </c>
      <c r="D101" s="823" t="s">
        <v>6484</v>
      </c>
      <c r="E101" s="823" t="s">
        <v>6485</v>
      </c>
      <c r="F101" s="832"/>
      <c r="G101" s="832"/>
      <c r="H101" s="832"/>
      <c r="I101" s="832"/>
      <c r="J101" s="832">
        <v>1</v>
      </c>
      <c r="K101" s="832">
        <v>253</v>
      </c>
      <c r="L101" s="832">
        <v>1</v>
      </c>
      <c r="M101" s="832">
        <v>253</v>
      </c>
      <c r="N101" s="832">
        <v>2</v>
      </c>
      <c r="O101" s="832">
        <v>508</v>
      </c>
      <c r="P101" s="828">
        <v>2.0079051383399209</v>
      </c>
      <c r="Q101" s="833">
        <v>254</v>
      </c>
    </row>
    <row r="102" spans="1:17" ht="14.45" customHeight="1" x14ac:dyDescent="0.2">
      <c r="A102" s="822" t="s">
        <v>6374</v>
      </c>
      <c r="B102" s="823" t="s">
        <v>6375</v>
      </c>
      <c r="C102" s="823" t="s">
        <v>5355</v>
      </c>
      <c r="D102" s="823" t="s">
        <v>6486</v>
      </c>
      <c r="E102" s="823" t="s">
        <v>6487</v>
      </c>
      <c r="F102" s="832"/>
      <c r="G102" s="832"/>
      <c r="H102" s="832"/>
      <c r="I102" s="832"/>
      <c r="J102" s="832">
        <v>6</v>
      </c>
      <c r="K102" s="832">
        <v>222</v>
      </c>
      <c r="L102" s="832">
        <v>1</v>
      </c>
      <c r="M102" s="832">
        <v>37</v>
      </c>
      <c r="N102" s="832">
        <v>5</v>
      </c>
      <c r="O102" s="832">
        <v>185</v>
      </c>
      <c r="P102" s="828">
        <v>0.83333333333333337</v>
      </c>
      <c r="Q102" s="833">
        <v>37</v>
      </c>
    </row>
    <row r="103" spans="1:17" ht="14.45" customHeight="1" x14ac:dyDescent="0.2">
      <c r="A103" s="822" t="s">
        <v>6374</v>
      </c>
      <c r="B103" s="823" t="s">
        <v>6375</v>
      </c>
      <c r="C103" s="823" t="s">
        <v>5355</v>
      </c>
      <c r="D103" s="823" t="s">
        <v>6488</v>
      </c>
      <c r="E103" s="823" t="s">
        <v>6489</v>
      </c>
      <c r="F103" s="832">
        <v>6475</v>
      </c>
      <c r="G103" s="832">
        <v>148925</v>
      </c>
      <c r="H103" s="832">
        <v>0.9868922420362749</v>
      </c>
      <c r="I103" s="832">
        <v>23</v>
      </c>
      <c r="J103" s="832">
        <v>6561</v>
      </c>
      <c r="K103" s="832">
        <v>150903</v>
      </c>
      <c r="L103" s="832">
        <v>1</v>
      </c>
      <c r="M103" s="832">
        <v>23</v>
      </c>
      <c r="N103" s="832">
        <v>4992</v>
      </c>
      <c r="O103" s="832">
        <v>114816</v>
      </c>
      <c r="P103" s="828">
        <v>0.76085962505715588</v>
      </c>
      <c r="Q103" s="833">
        <v>23</v>
      </c>
    </row>
    <row r="104" spans="1:17" ht="14.45" customHeight="1" x14ac:dyDescent="0.2">
      <c r="A104" s="822" t="s">
        <v>6374</v>
      </c>
      <c r="B104" s="823" t="s">
        <v>6375</v>
      </c>
      <c r="C104" s="823" t="s">
        <v>5355</v>
      </c>
      <c r="D104" s="823" t="s">
        <v>6490</v>
      </c>
      <c r="E104" s="823" t="s">
        <v>6491</v>
      </c>
      <c r="F104" s="832">
        <v>2</v>
      </c>
      <c r="G104" s="832">
        <v>1176</v>
      </c>
      <c r="H104" s="832"/>
      <c r="I104" s="832">
        <v>588</v>
      </c>
      <c r="J104" s="832"/>
      <c r="K104" s="832"/>
      <c r="L104" s="832"/>
      <c r="M104" s="832"/>
      <c r="N104" s="832">
        <v>1</v>
      </c>
      <c r="O104" s="832">
        <v>590</v>
      </c>
      <c r="P104" s="828"/>
      <c r="Q104" s="833">
        <v>590</v>
      </c>
    </row>
    <row r="105" spans="1:17" ht="14.45" customHeight="1" x14ac:dyDescent="0.2">
      <c r="A105" s="822" t="s">
        <v>6374</v>
      </c>
      <c r="B105" s="823" t="s">
        <v>6375</v>
      </c>
      <c r="C105" s="823" t="s">
        <v>5355</v>
      </c>
      <c r="D105" s="823" t="s">
        <v>6492</v>
      </c>
      <c r="E105" s="823" t="s">
        <v>6493</v>
      </c>
      <c r="F105" s="832"/>
      <c r="G105" s="832"/>
      <c r="H105" s="832"/>
      <c r="I105" s="832"/>
      <c r="J105" s="832">
        <v>1</v>
      </c>
      <c r="K105" s="832">
        <v>331</v>
      </c>
      <c r="L105" s="832">
        <v>1</v>
      </c>
      <c r="M105" s="832">
        <v>331</v>
      </c>
      <c r="N105" s="832">
        <v>1</v>
      </c>
      <c r="O105" s="832">
        <v>331</v>
      </c>
      <c r="P105" s="828">
        <v>1</v>
      </c>
      <c r="Q105" s="833">
        <v>331</v>
      </c>
    </row>
    <row r="106" spans="1:17" ht="14.45" customHeight="1" x14ac:dyDescent="0.2">
      <c r="A106" s="822" t="s">
        <v>6374</v>
      </c>
      <c r="B106" s="823" t="s">
        <v>6375</v>
      </c>
      <c r="C106" s="823" t="s">
        <v>5355</v>
      </c>
      <c r="D106" s="823" t="s">
        <v>6494</v>
      </c>
      <c r="E106" s="823" t="s">
        <v>6495</v>
      </c>
      <c r="F106" s="832">
        <v>1</v>
      </c>
      <c r="G106" s="832">
        <v>277</v>
      </c>
      <c r="H106" s="832"/>
      <c r="I106" s="832">
        <v>277</v>
      </c>
      <c r="J106" s="832"/>
      <c r="K106" s="832"/>
      <c r="L106" s="832"/>
      <c r="M106" s="832"/>
      <c r="N106" s="832"/>
      <c r="O106" s="832"/>
      <c r="P106" s="828"/>
      <c r="Q106" s="833"/>
    </row>
    <row r="107" spans="1:17" ht="14.45" customHeight="1" x14ac:dyDescent="0.2">
      <c r="A107" s="822" t="s">
        <v>6374</v>
      </c>
      <c r="B107" s="823" t="s">
        <v>6375</v>
      </c>
      <c r="C107" s="823" t="s">
        <v>5355</v>
      </c>
      <c r="D107" s="823" t="s">
        <v>6496</v>
      </c>
      <c r="E107" s="823" t="s">
        <v>6497</v>
      </c>
      <c r="F107" s="832">
        <v>348</v>
      </c>
      <c r="G107" s="832">
        <v>10092</v>
      </c>
      <c r="H107" s="832">
        <v>0.97478991596638653</v>
      </c>
      <c r="I107" s="832">
        <v>29</v>
      </c>
      <c r="J107" s="832">
        <v>357</v>
      </c>
      <c r="K107" s="832">
        <v>10353</v>
      </c>
      <c r="L107" s="832">
        <v>1</v>
      </c>
      <c r="M107" s="832">
        <v>29</v>
      </c>
      <c r="N107" s="832">
        <v>265</v>
      </c>
      <c r="O107" s="832">
        <v>7685</v>
      </c>
      <c r="P107" s="828">
        <v>0.74229691876750703</v>
      </c>
      <c r="Q107" s="833">
        <v>29</v>
      </c>
    </row>
    <row r="108" spans="1:17" ht="14.45" customHeight="1" x14ac:dyDescent="0.2">
      <c r="A108" s="822" t="s">
        <v>6374</v>
      </c>
      <c r="B108" s="823" t="s">
        <v>6375</v>
      </c>
      <c r="C108" s="823" t="s">
        <v>5355</v>
      </c>
      <c r="D108" s="823" t="s">
        <v>6498</v>
      </c>
      <c r="E108" s="823" t="s">
        <v>6499</v>
      </c>
      <c r="F108" s="832"/>
      <c r="G108" s="832"/>
      <c r="H108" s="832"/>
      <c r="I108" s="832"/>
      <c r="J108" s="832">
        <v>1</v>
      </c>
      <c r="K108" s="832">
        <v>179</v>
      </c>
      <c r="L108" s="832">
        <v>1</v>
      </c>
      <c r="M108" s="832">
        <v>179</v>
      </c>
      <c r="N108" s="832">
        <v>2</v>
      </c>
      <c r="O108" s="832">
        <v>358</v>
      </c>
      <c r="P108" s="828">
        <v>2</v>
      </c>
      <c r="Q108" s="833">
        <v>179</v>
      </c>
    </row>
    <row r="109" spans="1:17" ht="14.45" customHeight="1" x14ac:dyDescent="0.2">
      <c r="A109" s="822" t="s">
        <v>6374</v>
      </c>
      <c r="B109" s="823" t="s">
        <v>6375</v>
      </c>
      <c r="C109" s="823" t="s">
        <v>5355</v>
      </c>
      <c r="D109" s="823" t="s">
        <v>6500</v>
      </c>
      <c r="E109" s="823" t="s">
        <v>6501</v>
      </c>
      <c r="F109" s="832">
        <v>1</v>
      </c>
      <c r="G109" s="832">
        <v>15</v>
      </c>
      <c r="H109" s="832">
        <v>0.15625</v>
      </c>
      <c r="I109" s="832">
        <v>15</v>
      </c>
      <c r="J109" s="832">
        <v>6</v>
      </c>
      <c r="K109" s="832">
        <v>96</v>
      </c>
      <c r="L109" s="832">
        <v>1</v>
      </c>
      <c r="M109" s="832">
        <v>16</v>
      </c>
      <c r="N109" s="832">
        <v>4</v>
      </c>
      <c r="O109" s="832">
        <v>64</v>
      </c>
      <c r="P109" s="828">
        <v>0.66666666666666663</v>
      </c>
      <c r="Q109" s="833">
        <v>16</v>
      </c>
    </row>
    <row r="110" spans="1:17" ht="14.45" customHeight="1" x14ac:dyDescent="0.2">
      <c r="A110" s="822" t="s">
        <v>6374</v>
      </c>
      <c r="B110" s="823" t="s">
        <v>6375</v>
      </c>
      <c r="C110" s="823" t="s">
        <v>5355</v>
      </c>
      <c r="D110" s="823" t="s">
        <v>6502</v>
      </c>
      <c r="E110" s="823" t="s">
        <v>6503</v>
      </c>
      <c r="F110" s="832">
        <v>811</v>
      </c>
      <c r="G110" s="832">
        <v>15409</v>
      </c>
      <c r="H110" s="832">
        <v>0.87650739476678041</v>
      </c>
      <c r="I110" s="832">
        <v>19</v>
      </c>
      <c r="J110" s="832">
        <v>879</v>
      </c>
      <c r="K110" s="832">
        <v>17580</v>
      </c>
      <c r="L110" s="832">
        <v>1</v>
      </c>
      <c r="M110" s="832">
        <v>20</v>
      </c>
      <c r="N110" s="832">
        <v>683</v>
      </c>
      <c r="O110" s="832">
        <v>13660</v>
      </c>
      <c r="P110" s="828">
        <v>0.77701934015927188</v>
      </c>
      <c r="Q110" s="833">
        <v>20</v>
      </c>
    </row>
    <row r="111" spans="1:17" ht="14.45" customHeight="1" x14ac:dyDescent="0.2">
      <c r="A111" s="822" t="s">
        <v>6374</v>
      </c>
      <c r="B111" s="823" t="s">
        <v>6375</v>
      </c>
      <c r="C111" s="823" t="s">
        <v>5355</v>
      </c>
      <c r="D111" s="823" t="s">
        <v>6504</v>
      </c>
      <c r="E111" s="823" t="s">
        <v>6505</v>
      </c>
      <c r="F111" s="832">
        <v>2566</v>
      </c>
      <c r="G111" s="832">
        <v>51320</v>
      </c>
      <c r="H111" s="832">
        <v>0.95961106955871356</v>
      </c>
      <c r="I111" s="832">
        <v>20</v>
      </c>
      <c r="J111" s="832">
        <v>2674</v>
      </c>
      <c r="K111" s="832">
        <v>53480</v>
      </c>
      <c r="L111" s="832">
        <v>1</v>
      </c>
      <c r="M111" s="832">
        <v>20</v>
      </c>
      <c r="N111" s="832">
        <v>2073</v>
      </c>
      <c r="O111" s="832">
        <v>41460</v>
      </c>
      <c r="P111" s="828">
        <v>0.77524308152580401</v>
      </c>
      <c r="Q111" s="833">
        <v>20</v>
      </c>
    </row>
    <row r="112" spans="1:17" ht="14.45" customHeight="1" x14ac:dyDescent="0.2">
      <c r="A112" s="822" t="s">
        <v>6374</v>
      </c>
      <c r="B112" s="823" t="s">
        <v>6375</v>
      </c>
      <c r="C112" s="823" t="s">
        <v>5355</v>
      </c>
      <c r="D112" s="823" t="s">
        <v>6506</v>
      </c>
      <c r="E112" s="823" t="s">
        <v>6507</v>
      </c>
      <c r="F112" s="832"/>
      <c r="G112" s="832"/>
      <c r="H112" s="832"/>
      <c r="I112" s="832"/>
      <c r="J112" s="832"/>
      <c r="K112" s="832"/>
      <c r="L112" s="832"/>
      <c r="M112" s="832"/>
      <c r="N112" s="832">
        <v>1</v>
      </c>
      <c r="O112" s="832">
        <v>188</v>
      </c>
      <c r="P112" s="828"/>
      <c r="Q112" s="833">
        <v>188</v>
      </c>
    </row>
    <row r="113" spans="1:17" ht="14.45" customHeight="1" x14ac:dyDescent="0.2">
      <c r="A113" s="822" t="s">
        <v>6374</v>
      </c>
      <c r="B113" s="823" t="s">
        <v>6375</v>
      </c>
      <c r="C113" s="823" t="s">
        <v>5355</v>
      </c>
      <c r="D113" s="823" t="s">
        <v>6508</v>
      </c>
      <c r="E113" s="823" t="s">
        <v>6509</v>
      </c>
      <c r="F113" s="832"/>
      <c r="G113" s="832"/>
      <c r="H113" s="832"/>
      <c r="I113" s="832"/>
      <c r="J113" s="832">
        <v>8</v>
      </c>
      <c r="K113" s="832">
        <v>672</v>
      </c>
      <c r="L113" s="832">
        <v>1</v>
      </c>
      <c r="M113" s="832">
        <v>84</v>
      </c>
      <c r="N113" s="832">
        <v>7</v>
      </c>
      <c r="O113" s="832">
        <v>588</v>
      </c>
      <c r="P113" s="828">
        <v>0.875</v>
      </c>
      <c r="Q113" s="833">
        <v>84</v>
      </c>
    </row>
    <row r="114" spans="1:17" ht="14.45" customHeight="1" x14ac:dyDescent="0.2">
      <c r="A114" s="822" t="s">
        <v>6374</v>
      </c>
      <c r="B114" s="823" t="s">
        <v>6375</v>
      </c>
      <c r="C114" s="823" t="s">
        <v>5355</v>
      </c>
      <c r="D114" s="823" t="s">
        <v>6510</v>
      </c>
      <c r="E114" s="823" t="s">
        <v>6511</v>
      </c>
      <c r="F114" s="832">
        <v>2</v>
      </c>
      <c r="G114" s="832">
        <v>530</v>
      </c>
      <c r="H114" s="832"/>
      <c r="I114" s="832">
        <v>265</v>
      </c>
      <c r="J114" s="832"/>
      <c r="K114" s="832"/>
      <c r="L114" s="832"/>
      <c r="M114" s="832"/>
      <c r="N114" s="832">
        <v>1</v>
      </c>
      <c r="O114" s="832">
        <v>267</v>
      </c>
      <c r="P114" s="828"/>
      <c r="Q114" s="833">
        <v>267</v>
      </c>
    </row>
    <row r="115" spans="1:17" ht="14.45" customHeight="1" x14ac:dyDescent="0.2">
      <c r="A115" s="822" t="s">
        <v>6374</v>
      </c>
      <c r="B115" s="823" t="s">
        <v>6375</v>
      </c>
      <c r="C115" s="823" t="s">
        <v>5355</v>
      </c>
      <c r="D115" s="823" t="s">
        <v>6512</v>
      </c>
      <c r="E115" s="823" t="s">
        <v>6513</v>
      </c>
      <c r="F115" s="832"/>
      <c r="G115" s="832"/>
      <c r="H115" s="832"/>
      <c r="I115" s="832"/>
      <c r="J115" s="832">
        <v>2</v>
      </c>
      <c r="K115" s="832">
        <v>158</v>
      </c>
      <c r="L115" s="832">
        <v>1</v>
      </c>
      <c r="M115" s="832">
        <v>79</v>
      </c>
      <c r="N115" s="832">
        <v>1</v>
      </c>
      <c r="O115" s="832">
        <v>79</v>
      </c>
      <c r="P115" s="828">
        <v>0.5</v>
      </c>
      <c r="Q115" s="833">
        <v>79</v>
      </c>
    </row>
    <row r="116" spans="1:17" ht="14.45" customHeight="1" x14ac:dyDescent="0.2">
      <c r="A116" s="822" t="s">
        <v>6374</v>
      </c>
      <c r="B116" s="823" t="s">
        <v>6375</v>
      </c>
      <c r="C116" s="823" t="s">
        <v>5355</v>
      </c>
      <c r="D116" s="823" t="s">
        <v>6514</v>
      </c>
      <c r="E116" s="823" t="s">
        <v>6515</v>
      </c>
      <c r="F116" s="832"/>
      <c r="G116" s="832"/>
      <c r="H116" s="832"/>
      <c r="I116" s="832"/>
      <c r="J116" s="832">
        <v>1</v>
      </c>
      <c r="K116" s="832">
        <v>302</v>
      </c>
      <c r="L116" s="832">
        <v>1</v>
      </c>
      <c r="M116" s="832">
        <v>302</v>
      </c>
      <c r="N116" s="832"/>
      <c r="O116" s="832"/>
      <c r="P116" s="828"/>
      <c r="Q116" s="833"/>
    </row>
    <row r="117" spans="1:17" ht="14.45" customHeight="1" x14ac:dyDescent="0.2">
      <c r="A117" s="822" t="s">
        <v>6374</v>
      </c>
      <c r="B117" s="823" t="s">
        <v>6375</v>
      </c>
      <c r="C117" s="823" t="s">
        <v>5355</v>
      </c>
      <c r="D117" s="823" t="s">
        <v>6516</v>
      </c>
      <c r="E117" s="823" t="s">
        <v>6517</v>
      </c>
      <c r="F117" s="832"/>
      <c r="G117" s="832"/>
      <c r="H117" s="832"/>
      <c r="I117" s="832"/>
      <c r="J117" s="832">
        <v>1</v>
      </c>
      <c r="K117" s="832">
        <v>22</v>
      </c>
      <c r="L117" s="832">
        <v>1</v>
      </c>
      <c r="M117" s="832">
        <v>22</v>
      </c>
      <c r="N117" s="832"/>
      <c r="O117" s="832"/>
      <c r="P117" s="828"/>
      <c r="Q117" s="833"/>
    </row>
    <row r="118" spans="1:17" ht="14.45" customHeight="1" x14ac:dyDescent="0.2">
      <c r="A118" s="822" t="s">
        <v>6374</v>
      </c>
      <c r="B118" s="823" t="s">
        <v>6375</v>
      </c>
      <c r="C118" s="823" t="s">
        <v>5355</v>
      </c>
      <c r="D118" s="823" t="s">
        <v>6518</v>
      </c>
      <c r="E118" s="823" t="s">
        <v>6519</v>
      </c>
      <c r="F118" s="832">
        <v>117</v>
      </c>
      <c r="G118" s="832">
        <v>2574</v>
      </c>
      <c r="H118" s="832">
        <v>0.73124999999999996</v>
      </c>
      <c r="I118" s="832">
        <v>22</v>
      </c>
      <c r="J118" s="832">
        <v>160</v>
      </c>
      <c r="K118" s="832">
        <v>3520</v>
      </c>
      <c r="L118" s="832">
        <v>1</v>
      </c>
      <c r="M118" s="832">
        <v>22</v>
      </c>
      <c r="N118" s="832">
        <v>89</v>
      </c>
      <c r="O118" s="832">
        <v>1958</v>
      </c>
      <c r="P118" s="828">
        <v>0.55625000000000002</v>
      </c>
      <c r="Q118" s="833">
        <v>22</v>
      </c>
    </row>
    <row r="119" spans="1:17" ht="14.45" customHeight="1" x14ac:dyDescent="0.2">
      <c r="A119" s="822" t="s">
        <v>6374</v>
      </c>
      <c r="B119" s="823" t="s">
        <v>6375</v>
      </c>
      <c r="C119" s="823" t="s">
        <v>5355</v>
      </c>
      <c r="D119" s="823" t="s">
        <v>6520</v>
      </c>
      <c r="E119" s="823" t="s">
        <v>6521</v>
      </c>
      <c r="F119" s="832"/>
      <c r="G119" s="832"/>
      <c r="H119" s="832"/>
      <c r="I119" s="832"/>
      <c r="J119" s="832">
        <v>2</v>
      </c>
      <c r="K119" s="832">
        <v>990</v>
      </c>
      <c r="L119" s="832">
        <v>1</v>
      </c>
      <c r="M119" s="832">
        <v>495</v>
      </c>
      <c r="N119" s="832">
        <v>4</v>
      </c>
      <c r="O119" s="832">
        <v>1980</v>
      </c>
      <c r="P119" s="828">
        <v>2</v>
      </c>
      <c r="Q119" s="833">
        <v>495</v>
      </c>
    </row>
    <row r="120" spans="1:17" ht="14.45" customHeight="1" x14ac:dyDescent="0.2">
      <c r="A120" s="822" t="s">
        <v>6374</v>
      </c>
      <c r="B120" s="823" t="s">
        <v>6375</v>
      </c>
      <c r="C120" s="823" t="s">
        <v>5355</v>
      </c>
      <c r="D120" s="823" t="s">
        <v>6522</v>
      </c>
      <c r="E120" s="823" t="s">
        <v>6523</v>
      </c>
      <c r="F120" s="832">
        <v>1</v>
      </c>
      <c r="G120" s="832">
        <v>168</v>
      </c>
      <c r="H120" s="832">
        <v>0.5</v>
      </c>
      <c r="I120" s="832">
        <v>168</v>
      </c>
      <c r="J120" s="832">
        <v>2</v>
      </c>
      <c r="K120" s="832">
        <v>336</v>
      </c>
      <c r="L120" s="832">
        <v>1</v>
      </c>
      <c r="M120" s="832">
        <v>168</v>
      </c>
      <c r="N120" s="832">
        <v>2</v>
      </c>
      <c r="O120" s="832">
        <v>336</v>
      </c>
      <c r="P120" s="828">
        <v>1</v>
      </c>
      <c r="Q120" s="833">
        <v>168</v>
      </c>
    </row>
    <row r="121" spans="1:17" ht="14.45" customHeight="1" x14ac:dyDescent="0.2">
      <c r="A121" s="822" t="s">
        <v>6374</v>
      </c>
      <c r="B121" s="823" t="s">
        <v>6375</v>
      </c>
      <c r="C121" s="823" t="s">
        <v>5355</v>
      </c>
      <c r="D121" s="823" t="s">
        <v>6524</v>
      </c>
      <c r="E121" s="823" t="s">
        <v>6525</v>
      </c>
      <c r="F121" s="832"/>
      <c r="G121" s="832"/>
      <c r="H121" s="832"/>
      <c r="I121" s="832"/>
      <c r="J121" s="832">
        <v>4</v>
      </c>
      <c r="K121" s="832">
        <v>508</v>
      </c>
      <c r="L121" s="832">
        <v>1</v>
      </c>
      <c r="M121" s="832">
        <v>127</v>
      </c>
      <c r="N121" s="832">
        <v>2</v>
      </c>
      <c r="O121" s="832">
        <v>254</v>
      </c>
      <c r="P121" s="828">
        <v>0.5</v>
      </c>
      <c r="Q121" s="833">
        <v>127</v>
      </c>
    </row>
    <row r="122" spans="1:17" ht="14.45" customHeight="1" x14ac:dyDescent="0.2">
      <c r="A122" s="822" t="s">
        <v>6374</v>
      </c>
      <c r="B122" s="823" t="s">
        <v>6375</v>
      </c>
      <c r="C122" s="823" t="s">
        <v>5355</v>
      </c>
      <c r="D122" s="823" t="s">
        <v>6526</v>
      </c>
      <c r="E122" s="823" t="s">
        <v>6527</v>
      </c>
      <c r="F122" s="832">
        <v>6</v>
      </c>
      <c r="G122" s="832">
        <v>138</v>
      </c>
      <c r="H122" s="832">
        <v>0.6</v>
      </c>
      <c r="I122" s="832">
        <v>23</v>
      </c>
      <c r="J122" s="832">
        <v>10</v>
      </c>
      <c r="K122" s="832">
        <v>230</v>
      </c>
      <c r="L122" s="832">
        <v>1</v>
      </c>
      <c r="M122" s="832">
        <v>23</v>
      </c>
      <c r="N122" s="832">
        <v>12</v>
      </c>
      <c r="O122" s="832">
        <v>276</v>
      </c>
      <c r="P122" s="828">
        <v>1.2</v>
      </c>
      <c r="Q122" s="833">
        <v>23</v>
      </c>
    </row>
    <row r="123" spans="1:17" ht="14.45" customHeight="1" x14ac:dyDescent="0.2">
      <c r="A123" s="822" t="s">
        <v>6374</v>
      </c>
      <c r="B123" s="823" t="s">
        <v>6375</v>
      </c>
      <c r="C123" s="823" t="s">
        <v>5355</v>
      </c>
      <c r="D123" s="823" t="s">
        <v>6528</v>
      </c>
      <c r="E123" s="823" t="s">
        <v>6529</v>
      </c>
      <c r="F123" s="832">
        <v>1</v>
      </c>
      <c r="G123" s="832">
        <v>133</v>
      </c>
      <c r="H123" s="832">
        <v>0.9925373134328358</v>
      </c>
      <c r="I123" s="832">
        <v>133</v>
      </c>
      <c r="J123" s="832">
        <v>1</v>
      </c>
      <c r="K123" s="832">
        <v>134</v>
      </c>
      <c r="L123" s="832">
        <v>1</v>
      </c>
      <c r="M123" s="832">
        <v>134</v>
      </c>
      <c r="N123" s="832">
        <v>1</v>
      </c>
      <c r="O123" s="832">
        <v>135</v>
      </c>
      <c r="P123" s="828">
        <v>1.0074626865671641</v>
      </c>
      <c r="Q123" s="833">
        <v>135</v>
      </c>
    </row>
    <row r="124" spans="1:17" ht="14.45" customHeight="1" x14ac:dyDescent="0.2">
      <c r="A124" s="822" t="s">
        <v>6374</v>
      </c>
      <c r="B124" s="823" t="s">
        <v>6375</v>
      </c>
      <c r="C124" s="823" t="s">
        <v>5355</v>
      </c>
      <c r="D124" s="823" t="s">
        <v>6530</v>
      </c>
      <c r="E124" s="823" t="s">
        <v>6531</v>
      </c>
      <c r="F124" s="832"/>
      <c r="G124" s="832"/>
      <c r="H124" s="832"/>
      <c r="I124" s="832"/>
      <c r="J124" s="832"/>
      <c r="K124" s="832"/>
      <c r="L124" s="832"/>
      <c r="M124" s="832"/>
      <c r="N124" s="832">
        <v>1</v>
      </c>
      <c r="O124" s="832">
        <v>652</v>
      </c>
      <c r="P124" s="828"/>
      <c r="Q124" s="833">
        <v>652</v>
      </c>
    </row>
    <row r="125" spans="1:17" ht="14.45" customHeight="1" x14ac:dyDescent="0.2">
      <c r="A125" s="822" t="s">
        <v>6374</v>
      </c>
      <c r="B125" s="823" t="s">
        <v>6375</v>
      </c>
      <c r="C125" s="823" t="s">
        <v>5355</v>
      </c>
      <c r="D125" s="823" t="s">
        <v>6532</v>
      </c>
      <c r="E125" s="823" t="s">
        <v>6533</v>
      </c>
      <c r="F125" s="832">
        <v>139</v>
      </c>
      <c r="G125" s="832">
        <v>41005</v>
      </c>
      <c r="H125" s="832">
        <v>0.96874409374409376</v>
      </c>
      <c r="I125" s="832">
        <v>295</v>
      </c>
      <c r="J125" s="832">
        <v>143</v>
      </c>
      <c r="K125" s="832">
        <v>42328</v>
      </c>
      <c r="L125" s="832">
        <v>1</v>
      </c>
      <c r="M125" s="832">
        <v>296</v>
      </c>
      <c r="N125" s="832">
        <v>49</v>
      </c>
      <c r="O125" s="832">
        <v>14504</v>
      </c>
      <c r="P125" s="828">
        <v>0.34265734265734266</v>
      </c>
      <c r="Q125" s="833">
        <v>296</v>
      </c>
    </row>
    <row r="126" spans="1:17" ht="14.45" customHeight="1" x14ac:dyDescent="0.2">
      <c r="A126" s="822" t="s">
        <v>6374</v>
      </c>
      <c r="B126" s="823" t="s">
        <v>6375</v>
      </c>
      <c r="C126" s="823" t="s">
        <v>5355</v>
      </c>
      <c r="D126" s="823" t="s">
        <v>6534</v>
      </c>
      <c r="E126" s="823" t="s">
        <v>6535</v>
      </c>
      <c r="F126" s="832">
        <v>854</v>
      </c>
      <c r="G126" s="832">
        <v>38430</v>
      </c>
      <c r="H126" s="832">
        <v>0.91729323308270672</v>
      </c>
      <c r="I126" s="832">
        <v>45</v>
      </c>
      <c r="J126" s="832">
        <v>931</v>
      </c>
      <c r="K126" s="832">
        <v>41895</v>
      </c>
      <c r="L126" s="832">
        <v>1</v>
      </c>
      <c r="M126" s="832">
        <v>45</v>
      </c>
      <c r="N126" s="832">
        <v>717</v>
      </c>
      <c r="O126" s="832">
        <v>32265</v>
      </c>
      <c r="P126" s="828">
        <v>0.77013963480128889</v>
      </c>
      <c r="Q126" s="833">
        <v>45</v>
      </c>
    </row>
    <row r="127" spans="1:17" ht="14.45" customHeight="1" x14ac:dyDescent="0.2">
      <c r="A127" s="822" t="s">
        <v>6374</v>
      </c>
      <c r="B127" s="823" t="s">
        <v>6375</v>
      </c>
      <c r="C127" s="823" t="s">
        <v>5355</v>
      </c>
      <c r="D127" s="823" t="s">
        <v>6536</v>
      </c>
      <c r="E127" s="823" t="s">
        <v>6537</v>
      </c>
      <c r="F127" s="832"/>
      <c r="G127" s="832"/>
      <c r="H127" s="832"/>
      <c r="I127" s="832"/>
      <c r="J127" s="832"/>
      <c r="K127" s="832"/>
      <c r="L127" s="832"/>
      <c r="M127" s="832"/>
      <c r="N127" s="832">
        <v>1</v>
      </c>
      <c r="O127" s="832">
        <v>46</v>
      </c>
      <c r="P127" s="828"/>
      <c r="Q127" s="833">
        <v>46</v>
      </c>
    </row>
    <row r="128" spans="1:17" ht="14.45" customHeight="1" x14ac:dyDescent="0.2">
      <c r="A128" s="822" t="s">
        <v>6374</v>
      </c>
      <c r="B128" s="823" t="s">
        <v>6375</v>
      </c>
      <c r="C128" s="823" t="s">
        <v>5355</v>
      </c>
      <c r="D128" s="823" t="s">
        <v>6538</v>
      </c>
      <c r="E128" s="823" t="s">
        <v>6539</v>
      </c>
      <c r="F128" s="832"/>
      <c r="G128" s="832"/>
      <c r="H128" s="832"/>
      <c r="I128" s="832"/>
      <c r="J128" s="832">
        <v>1</v>
      </c>
      <c r="K128" s="832">
        <v>310</v>
      </c>
      <c r="L128" s="832">
        <v>1</v>
      </c>
      <c r="M128" s="832">
        <v>310</v>
      </c>
      <c r="N128" s="832"/>
      <c r="O128" s="832"/>
      <c r="P128" s="828"/>
      <c r="Q128" s="833"/>
    </row>
    <row r="129" spans="1:17" ht="14.45" customHeight="1" x14ac:dyDescent="0.2">
      <c r="A129" s="822" t="s">
        <v>6374</v>
      </c>
      <c r="B129" s="823" t="s">
        <v>6375</v>
      </c>
      <c r="C129" s="823" t="s">
        <v>5355</v>
      </c>
      <c r="D129" s="823" t="s">
        <v>6540</v>
      </c>
      <c r="E129" s="823" t="s">
        <v>6541</v>
      </c>
      <c r="F129" s="832"/>
      <c r="G129" s="832"/>
      <c r="H129" s="832"/>
      <c r="I129" s="832"/>
      <c r="J129" s="832">
        <v>1</v>
      </c>
      <c r="K129" s="832">
        <v>408</v>
      </c>
      <c r="L129" s="832">
        <v>1</v>
      </c>
      <c r="M129" s="832">
        <v>408</v>
      </c>
      <c r="N129" s="832">
        <v>1</v>
      </c>
      <c r="O129" s="832">
        <v>409</v>
      </c>
      <c r="P129" s="828">
        <v>1.0024509803921569</v>
      </c>
      <c r="Q129" s="833">
        <v>409</v>
      </c>
    </row>
    <row r="130" spans="1:17" ht="14.45" customHeight="1" x14ac:dyDescent="0.2">
      <c r="A130" s="822" t="s">
        <v>6374</v>
      </c>
      <c r="B130" s="823" t="s">
        <v>6375</v>
      </c>
      <c r="C130" s="823" t="s">
        <v>5355</v>
      </c>
      <c r="D130" s="823" t="s">
        <v>6542</v>
      </c>
      <c r="E130" s="823" t="s">
        <v>6543</v>
      </c>
      <c r="F130" s="832">
        <v>1</v>
      </c>
      <c r="G130" s="832">
        <v>190</v>
      </c>
      <c r="H130" s="832">
        <v>1</v>
      </c>
      <c r="I130" s="832">
        <v>190</v>
      </c>
      <c r="J130" s="832">
        <v>1</v>
      </c>
      <c r="K130" s="832">
        <v>190</v>
      </c>
      <c r="L130" s="832">
        <v>1</v>
      </c>
      <c r="M130" s="832">
        <v>190</v>
      </c>
      <c r="N130" s="832"/>
      <c r="O130" s="832"/>
      <c r="P130" s="828"/>
      <c r="Q130" s="833"/>
    </row>
    <row r="131" spans="1:17" ht="14.45" customHeight="1" x14ac:dyDescent="0.2">
      <c r="A131" s="822" t="s">
        <v>6374</v>
      </c>
      <c r="B131" s="823" t="s">
        <v>6375</v>
      </c>
      <c r="C131" s="823" t="s">
        <v>5355</v>
      </c>
      <c r="D131" s="823" t="s">
        <v>6544</v>
      </c>
      <c r="E131" s="823" t="s">
        <v>6545</v>
      </c>
      <c r="F131" s="832">
        <v>855</v>
      </c>
      <c r="G131" s="832">
        <v>113715</v>
      </c>
      <c r="H131" s="832">
        <v>0.91738197424892709</v>
      </c>
      <c r="I131" s="832">
        <v>133</v>
      </c>
      <c r="J131" s="832">
        <v>932</v>
      </c>
      <c r="K131" s="832">
        <v>123956</v>
      </c>
      <c r="L131" s="832">
        <v>1</v>
      </c>
      <c r="M131" s="832">
        <v>133</v>
      </c>
      <c r="N131" s="832">
        <v>724</v>
      </c>
      <c r="O131" s="832">
        <v>96292</v>
      </c>
      <c r="P131" s="828">
        <v>0.77682403433476399</v>
      </c>
      <c r="Q131" s="833">
        <v>133</v>
      </c>
    </row>
    <row r="132" spans="1:17" ht="14.45" customHeight="1" x14ac:dyDescent="0.2">
      <c r="A132" s="822" t="s">
        <v>6374</v>
      </c>
      <c r="B132" s="823" t="s">
        <v>6375</v>
      </c>
      <c r="C132" s="823" t="s">
        <v>5355</v>
      </c>
      <c r="D132" s="823" t="s">
        <v>6546</v>
      </c>
      <c r="E132" s="823" t="s">
        <v>6547</v>
      </c>
      <c r="F132" s="832">
        <v>401</v>
      </c>
      <c r="G132" s="832">
        <v>14837</v>
      </c>
      <c r="H132" s="832">
        <v>0.93473193473193472</v>
      </c>
      <c r="I132" s="832">
        <v>37</v>
      </c>
      <c r="J132" s="832">
        <v>429</v>
      </c>
      <c r="K132" s="832">
        <v>15873</v>
      </c>
      <c r="L132" s="832">
        <v>1</v>
      </c>
      <c r="M132" s="832">
        <v>37</v>
      </c>
      <c r="N132" s="832">
        <v>361</v>
      </c>
      <c r="O132" s="832">
        <v>13357</v>
      </c>
      <c r="P132" s="828">
        <v>0.84149184149184153</v>
      </c>
      <c r="Q132" s="833">
        <v>37</v>
      </c>
    </row>
    <row r="133" spans="1:17" ht="14.45" customHeight="1" x14ac:dyDescent="0.2">
      <c r="A133" s="822" t="s">
        <v>6374</v>
      </c>
      <c r="B133" s="823" t="s">
        <v>6375</v>
      </c>
      <c r="C133" s="823" t="s">
        <v>5355</v>
      </c>
      <c r="D133" s="823" t="s">
        <v>6548</v>
      </c>
      <c r="E133" s="823" t="s">
        <v>6549</v>
      </c>
      <c r="F133" s="832"/>
      <c r="G133" s="832"/>
      <c r="H133" s="832"/>
      <c r="I133" s="832"/>
      <c r="J133" s="832">
        <v>1</v>
      </c>
      <c r="K133" s="832">
        <v>931</v>
      </c>
      <c r="L133" s="832">
        <v>1</v>
      </c>
      <c r="M133" s="832">
        <v>931</v>
      </c>
      <c r="N133" s="832"/>
      <c r="O133" s="832"/>
      <c r="P133" s="828"/>
      <c r="Q133" s="833"/>
    </row>
    <row r="134" spans="1:17" ht="14.45" customHeight="1" x14ac:dyDescent="0.2">
      <c r="A134" s="822" t="s">
        <v>6374</v>
      </c>
      <c r="B134" s="823" t="s">
        <v>6375</v>
      </c>
      <c r="C134" s="823" t="s">
        <v>5355</v>
      </c>
      <c r="D134" s="823" t="s">
        <v>6550</v>
      </c>
      <c r="E134" s="823" t="s">
        <v>6551</v>
      </c>
      <c r="F134" s="832"/>
      <c r="G134" s="832"/>
      <c r="H134" s="832"/>
      <c r="I134" s="832"/>
      <c r="J134" s="832">
        <v>1</v>
      </c>
      <c r="K134" s="832">
        <v>933</v>
      </c>
      <c r="L134" s="832">
        <v>1</v>
      </c>
      <c r="M134" s="832">
        <v>933</v>
      </c>
      <c r="N134" s="832"/>
      <c r="O134" s="832"/>
      <c r="P134" s="828"/>
      <c r="Q134" s="833"/>
    </row>
    <row r="135" spans="1:17" ht="14.45" customHeight="1" x14ac:dyDescent="0.2">
      <c r="A135" s="822" t="s">
        <v>6374</v>
      </c>
      <c r="B135" s="823" t="s">
        <v>6375</v>
      </c>
      <c r="C135" s="823" t="s">
        <v>5355</v>
      </c>
      <c r="D135" s="823" t="s">
        <v>6552</v>
      </c>
      <c r="E135" s="823" t="s">
        <v>6553</v>
      </c>
      <c r="F135" s="832">
        <v>1</v>
      </c>
      <c r="G135" s="832">
        <v>93</v>
      </c>
      <c r="H135" s="832">
        <v>0.19787234042553192</v>
      </c>
      <c r="I135" s="832">
        <v>93</v>
      </c>
      <c r="J135" s="832">
        <v>5</v>
      </c>
      <c r="K135" s="832">
        <v>470</v>
      </c>
      <c r="L135" s="832">
        <v>1</v>
      </c>
      <c r="M135" s="832">
        <v>94</v>
      </c>
      <c r="N135" s="832">
        <v>4</v>
      </c>
      <c r="O135" s="832">
        <v>376</v>
      </c>
      <c r="P135" s="828">
        <v>0.8</v>
      </c>
      <c r="Q135" s="833">
        <v>94</v>
      </c>
    </row>
    <row r="136" spans="1:17" ht="14.45" customHeight="1" x14ac:dyDescent="0.2">
      <c r="A136" s="822" t="s">
        <v>6374</v>
      </c>
      <c r="B136" s="823" t="s">
        <v>6554</v>
      </c>
      <c r="C136" s="823" t="s">
        <v>5355</v>
      </c>
      <c r="D136" s="823" t="s">
        <v>6555</v>
      </c>
      <c r="E136" s="823" t="s">
        <v>6556</v>
      </c>
      <c r="F136" s="832">
        <v>1</v>
      </c>
      <c r="G136" s="832">
        <v>1038</v>
      </c>
      <c r="H136" s="832"/>
      <c r="I136" s="832">
        <v>1038</v>
      </c>
      <c r="J136" s="832"/>
      <c r="K136" s="832"/>
      <c r="L136" s="832"/>
      <c r="M136" s="832"/>
      <c r="N136" s="832"/>
      <c r="O136" s="832"/>
      <c r="P136" s="828"/>
      <c r="Q136" s="833"/>
    </row>
    <row r="137" spans="1:17" ht="14.45" customHeight="1" x14ac:dyDescent="0.2">
      <c r="A137" s="822" t="s">
        <v>6557</v>
      </c>
      <c r="B137" s="823" t="s">
        <v>6558</v>
      </c>
      <c r="C137" s="823" t="s">
        <v>5563</v>
      </c>
      <c r="D137" s="823" t="s">
        <v>6559</v>
      </c>
      <c r="E137" s="823" t="s">
        <v>6560</v>
      </c>
      <c r="F137" s="832">
        <v>2.0100000000000002</v>
      </c>
      <c r="G137" s="832">
        <v>5206.9500000000007</v>
      </c>
      <c r="H137" s="832"/>
      <c r="I137" s="832">
        <v>2590.5223880597014</v>
      </c>
      <c r="J137" s="832"/>
      <c r="K137" s="832"/>
      <c r="L137" s="832"/>
      <c r="M137" s="832"/>
      <c r="N137" s="832"/>
      <c r="O137" s="832"/>
      <c r="P137" s="828"/>
      <c r="Q137" s="833"/>
    </row>
    <row r="138" spans="1:17" ht="14.45" customHeight="1" x14ac:dyDescent="0.2">
      <c r="A138" s="822" t="s">
        <v>6557</v>
      </c>
      <c r="B138" s="823" t="s">
        <v>6558</v>
      </c>
      <c r="C138" s="823" t="s">
        <v>5563</v>
      </c>
      <c r="D138" s="823" t="s">
        <v>6561</v>
      </c>
      <c r="E138" s="823" t="s">
        <v>5571</v>
      </c>
      <c r="F138" s="832">
        <v>0.88</v>
      </c>
      <c r="G138" s="832">
        <v>8701.35</v>
      </c>
      <c r="H138" s="832">
        <v>1.6856482539780937</v>
      </c>
      <c r="I138" s="832">
        <v>9887.8977272727279</v>
      </c>
      <c r="J138" s="832">
        <v>0.59</v>
      </c>
      <c r="K138" s="832">
        <v>5162.0200000000004</v>
      </c>
      <c r="L138" s="832">
        <v>1</v>
      </c>
      <c r="M138" s="832">
        <v>8749.1864406779678</v>
      </c>
      <c r="N138" s="832">
        <v>0.83</v>
      </c>
      <c r="O138" s="832">
        <v>7237.3600000000006</v>
      </c>
      <c r="P138" s="828">
        <v>1.4020402865544883</v>
      </c>
      <c r="Q138" s="833">
        <v>8719.7108433734957</v>
      </c>
    </row>
    <row r="139" spans="1:17" ht="14.45" customHeight="1" x14ac:dyDescent="0.2">
      <c r="A139" s="822" t="s">
        <v>6557</v>
      </c>
      <c r="B139" s="823" t="s">
        <v>6558</v>
      </c>
      <c r="C139" s="823" t="s">
        <v>5563</v>
      </c>
      <c r="D139" s="823" t="s">
        <v>5583</v>
      </c>
      <c r="E139" s="823" t="s">
        <v>5584</v>
      </c>
      <c r="F139" s="832">
        <v>4.5</v>
      </c>
      <c r="G139" s="832">
        <v>8185.6799999999994</v>
      </c>
      <c r="H139" s="832"/>
      <c r="I139" s="832">
        <v>1819.04</v>
      </c>
      <c r="J139" s="832"/>
      <c r="K139" s="832"/>
      <c r="L139" s="832"/>
      <c r="M139" s="832"/>
      <c r="N139" s="832"/>
      <c r="O139" s="832"/>
      <c r="P139" s="828"/>
      <c r="Q139" s="833"/>
    </row>
    <row r="140" spans="1:17" ht="14.45" customHeight="1" x14ac:dyDescent="0.2">
      <c r="A140" s="822" t="s">
        <v>6557</v>
      </c>
      <c r="B140" s="823" t="s">
        <v>6558</v>
      </c>
      <c r="C140" s="823" t="s">
        <v>5563</v>
      </c>
      <c r="D140" s="823" t="s">
        <v>6562</v>
      </c>
      <c r="E140" s="823" t="s">
        <v>6563</v>
      </c>
      <c r="F140" s="832"/>
      <c r="G140" s="832"/>
      <c r="H140" s="832"/>
      <c r="I140" s="832"/>
      <c r="J140" s="832">
        <v>0.05</v>
      </c>
      <c r="K140" s="832">
        <v>35.94</v>
      </c>
      <c r="L140" s="832">
        <v>1</v>
      </c>
      <c r="M140" s="832">
        <v>718.8</v>
      </c>
      <c r="N140" s="832"/>
      <c r="O140" s="832"/>
      <c r="P140" s="828"/>
      <c r="Q140" s="833"/>
    </row>
    <row r="141" spans="1:17" ht="14.45" customHeight="1" x14ac:dyDescent="0.2">
      <c r="A141" s="822" t="s">
        <v>6557</v>
      </c>
      <c r="B141" s="823" t="s">
        <v>6558</v>
      </c>
      <c r="C141" s="823" t="s">
        <v>5563</v>
      </c>
      <c r="D141" s="823" t="s">
        <v>6564</v>
      </c>
      <c r="E141" s="823" t="s">
        <v>5584</v>
      </c>
      <c r="F141" s="832">
        <v>0.1</v>
      </c>
      <c r="G141" s="832">
        <v>3528.92</v>
      </c>
      <c r="H141" s="832"/>
      <c r="I141" s="832">
        <v>35289.199999999997</v>
      </c>
      <c r="J141" s="832"/>
      <c r="K141" s="832"/>
      <c r="L141" s="832"/>
      <c r="M141" s="832"/>
      <c r="N141" s="832"/>
      <c r="O141" s="832"/>
      <c r="P141" s="828"/>
      <c r="Q141" s="833"/>
    </row>
    <row r="142" spans="1:17" ht="14.45" customHeight="1" x14ac:dyDescent="0.2">
      <c r="A142" s="822" t="s">
        <v>6557</v>
      </c>
      <c r="B142" s="823" t="s">
        <v>6558</v>
      </c>
      <c r="C142" s="823" t="s">
        <v>5563</v>
      </c>
      <c r="D142" s="823" t="s">
        <v>6565</v>
      </c>
      <c r="E142" s="823" t="s">
        <v>5584</v>
      </c>
      <c r="F142" s="832"/>
      <c r="G142" s="832"/>
      <c r="H142" s="832"/>
      <c r="I142" s="832"/>
      <c r="J142" s="832">
        <v>4.0999999999999996</v>
      </c>
      <c r="K142" s="832">
        <v>2687.6400000000003</v>
      </c>
      <c r="L142" s="832">
        <v>1</v>
      </c>
      <c r="M142" s="832">
        <v>655.52195121951229</v>
      </c>
      <c r="N142" s="832">
        <v>1.7999999999999998</v>
      </c>
      <c r="O142" s="832">
        <v>1179.9399999999998</v>
      </c>
      <c r="P142" s="828">
        <v>0.43902457174323928</v>
      </c>
      <c r="Q142" s="833">
        <v>655.52222222222224</v>
      </c>
    </row>
    <row r="143" spans="1:17" ht="14.45" customHeight="1" x14ac:dyDescent="0.2">
      <c r="A143" s="822" t="s">
        <v>6557</v>
      </c>
      <c r="B143" s="823" t="s">
        <v>6558</v>
      </c>
      <c r="C143" s="823" t="s">
        <v>5563</v>
      </c>
      <c r="D143" s="823" t="s">
        <v>6566</v>
      </c>
      <c r="E143" s="823" t="s">
        <v>5584</v>
      </c>
      <c r="F143" s="832"/>
      <c r="G143" s="832"/>
      <c r="H143" s="832"/>
      <c r="I143" s="832"/>
      <c r="J143" s="832">
        <v>7.0000000000000007E-2</v>
      </c>
      <c r="K143" s="832">
        <v>788.36</v>
      </c>
      <c r="L143" s="832">
        <v>1</v>
      </c>
      <c r="M143" s="832">
        <v>11262.285714285714</v>
      </c>
      <c r="N143" s="832">
        <v>0.48</v>
      </c>
      <c r="O143" s="832">
        <v>6096.880000000001</v>
      </c>
      <c r="P143" s="828">
        <v>7.7336242325840994</v>
      </c>
      <c r="Q143" s="833">
        <v>12701.833333333336</v>
      </c>
    </row>
    <row r="144" spans="1:17" ht="14.45" customHeight="1" x14ac:dyDescent="0.2">
      <c r="A144" s="822" t="s">
        <v>6557</v>
      </c>
      <c r="B144" s="823" t="s">
        <v>6558</v>
      </c>
      <c r="C144" s="823" t="s">
        <v>5563</v>
      </c>
      <c r="D144" s="823" t="s">
        <v>6567</v>
      </c>
      <c r="E144" s="823" t="s">
        <v>6568</v>
      </c>
      <c r="F144" s="832"/>
      <c r="G144" s="832"/>
      <c r="H144" s="832"/>
      <c r="I144" s="832"/>
      <c r="J144" s="832"/>
      <c r="K144" s="832"/>
      <c r="L144" s="832"/>
      <c r="M144" s="832"/>
      <c r="N144" s="832">
        <v>0.1</v>
      </c>
      <c r="O144" s="832">
        <v>53.23</v>
      </c>
      <c r="P144" s="828"/>
      <c r="Q144" s="833">
        <v>532.29999999999995</v>
      </c>
    </row>
    <row r="145" spans="1:17" ht="14.45" customHeight="1" x14ac:dyDescent="0.2">
      <c r="A145" s="822" t="s">
        <v>6557</v>
      </c>
      <c r="B145" s="823" t="s">
        <v>6558</v>
      </c>
      <c r="C145" s="823" t="s">
        <v>5396</v>
      </c>
      <c r="D145" s="823" t="s">
        <v>6569</v>
      </c>
      <c r="E145" s="823" t="s">
        <v>6570</v>
      </c>
      <c r="F145" s="832">
        <v>1</v>
      </c>
      <c r="G145" s="832">
        <v>972.32</v>
      </c>
      <c r="H145" s="832"/>
      <c r="I145" s="832">
        <v>972.32</v>
      </c>
      <c r="J145" s="832"/>
      <c r="K145" s="832"/>
      <c r="L145" s="832"/>
      <c r="M145" s="832"/>
      <c r="N145" s="832"/>
      <c r="O145" s="832"/>
      <c r="P145" s="828"/>
      <c r="Q145" s="833"/>
    </row>
    <row r="146" spans="1:17" ht="14.45" customHeight="1" x14ac:dyDescent="0.2">
      <c r="A146" s="822" t="s">
        <v>6557</v>
      </c>
      <c r="B146" s="823" t="s">
        <v>6558</v>
      </c>
      <c r="C146" s="823" t="s">
        <v>5396</v>
      </c>
      <c r="D146" s="823" t="s">
        <v>6571</v>
      </c>
      <c r="E146" s="823" t="s">
        <v>6570</v>
      </c>
      <c r="F146" s="832">
        <v>3</v>
      </c>
      <c r="G146" s="832">
        <v>4805.8500000000004</v>
      </c>
      <c r="H146" s="832">
        <v>5.2957024793388436</v>
      </c>
      <c r="I146" s="832">
        <v>1601.95</v>
      </c>
      <c r="J146" s="832">
        <v>1</v>
      </c>
      <c r="K146" s="832">
        <v>907.5</v>
      </c>
      <c r="L146" s="832">
        <v>1</v>
      </c>
      <c r="M146" s="832">
        <v>907.5</v>
      </c>
      <c r="N146" s="832">
        <v>3</v>
      </c>
      <c r="O146" s="832">
        <v>2722.25</v>
      </c>
      <c r="P146" s="828">
        <v>2.9997245179063361</v>
      </c>
      <c r="Q146" s="833">
        <v>907.41666666666663</v>
      </c>
    </row>
    <row r="147" spans="1:17" ht="14.45" customHeight="1" x14ac:dyDescent="0.2">
      <c r="A147" s="822" t="s">
        <v>6557</v>
      </c>
      <c r="B147" s="823" t="s">
        <v>6558</v>
      </c>
      <c r="C147" s="823" t="s">
        <v>5396</v>
      </c>
      <c r="D147" s="823" t="s">
        <v>6572</v>
      </c>
      <c r="E147" s="823" t="s">
        <v>6573</v>
      </c>
      <c r="F147" s="832">
        <v>5</v>
      </c>
      <c r="G147" s="832">
        <v>4695.7</v>
      </c>
      <c r="H147" s="832">
        <v>5</v>
      </c>
      <c r="I147" s="832">
        <v>939.14</v>
      </c>
      <c r="J147" s="832">
        <v>1</v>
      </c>
      <c r="K147" s="832">
        <v>939.14</v>
      </c>
      <c r="L147" s="832">
        <v>1</v>
      </c>
      <c r="M147" s="832">
        <v>939.14</v>
      </c>
      <c r="N147" s="832">
        <v>6</v>
      </c>
      <c r="O147" s="832">
        <v>3233.2200000000003</v>
      </c>
      <c r="P147" s="828">
        <v>3.4427454905551893</v>
      </c>
      <c r="Q147" s="833">
        <v>538.87</v>
      </c>
    </row>
    <row r="148" spans="1:17" ht="14.45" customHeight="1" x14ac:dyDescent="0.2">
      <c r="A148" s="822" t="s">
        <v>6557</v>
      </c>
      <c r="B148" s="823" t="s">
        <v>6558</v>
      </c>
      <c r="C148" s="823" t="s">
        <v>5396</v>
      </c>
      <c r="D148" s="823" t="s">
        <v>6574</v>
      </c>
      <c r="E148" s="823" t="s">
        <v>6575</v>
      </c>
      <c r="F148" s="832">
        <v>1</v>
      </c>
      <c r="G148" s="832">
        <v>2236.5</v>
      </c>
      <c r="H148" s="832"/>
      <c r="I148" s="832">
        <v>2236.5</v>
      </c>
      <c r="J148" s="832"/>
      <c r="K148" s="832"/>
      <c r="L148" s="832"/>
      <c r="M148" s="832"/>
      <c r="N148" s="832"/>
      <c r="O148" s="832"/>
      <c r="P148" s="828"/>
      <c r="Q148" s="833"/>
    </row>
    <row r="149" spans="1:17" ht="14.45" customHeight="1" x14ac:dyDescent="0.2">
      <c r="A149" s="822" t="s">
        <v>6557</v>
      </c>
      <c r="B149" s="823" t="s">
        <v>6558</v>
      </c>
      <c r="C149" s="823" t="s">
        <v>5396</v>
      </c>
      <c r="D149" s="823" t="s">
        <v>6576</v>
      </c>
      <c r="E149" s="823" t="s">
        <v>6577</v>
      </c>
      <c r="F149" s="832">
        <v>3</v>
      </c>
      <c r="G149" s="832">
        <v>495397.77</v>
      </c>
      <c r="H149" s="832"/>
      <c r="I149" s="832">
        <v>165132.59</v>
      </c>
      <c r="J149" s="832"/>
      <c r="K149" s="832"/>
      <c r="L149" s="832"/>
      <c r="M149" s="832"/>
      <c r="N149" s="832"/>
      <c r="O149" s="832"/>
      <c r="P149" s="828"/>
      <c r="Q149" s="833"/>
    </row>
    <row r="150" spans="1:17" ht="14.45" customHeight="1" x14ac:dyDescent="0.2">
      <c r="A150" s="822" t="s">
        <v>6557</v>
      </c>
      <c r="B150" s="823" t="s">
        <v>6558</v>
      </c>
      <c r="C150" s="823" t="s">
        <v>5396</v>
      </c>
      <c r="D150" s="823" t="s">
        <v>6578</v>
      </c>
      <c r="E150" s="823" t="s">
        <v>6579</v>
      </c>
      <c r="F150" s="832"/>
      <c r="G150" s="832"/>
      <c r="H150" s="832"/>
      <c r="I150" s="832"/>
      <c r="J150" s="832"/>
      <c r="K150" s="832"/>
      <c r="L150" s="832"/>
      <c r="M150" s="832"/>
      <c r="N150" s="832">
        <v>1</v>
      </c>
      <c r="O150" s="832">
        <v>3101.43</v>
      </c>
      <c r="P150" s="828"/>
      <c r="Q150" s="833">
        <v>3101.43</v>
      </c>
    </row>
    <row r="151" spans="1:17" ht="14.45" customHeight="1" x14ac:dyDescent="0.2">
      <c r="A151" s="822" t="s">
        <v>6557</v>
      </c>
      <c r="B151" s="823" t="s">
        <v>6558</v>
      </c>
      <c r="C151" s="823" t="s">
        <v>5396</v>
      </c>
      <c r="D151" s="823" t="s">
        <v>6580</v>
      </c>
      <c r="E151" s="823" t="s">
        <v>6581</v>
      </c>
      <c r="F151" s="832">
        <v>2</v>
      </c>
      <c r="G151" s="832">
        <v>1886.5</v>
      </c>
      <c r="H151" s="832"/>
      <c r="I151" s="832">
        <v>943.25</v>
      </c>
      <c r="J151" s="832"/>
      <c r="K151" s="832"/>
      <c r="L151" s="832"/>
      <c r="M151" s="832"/>
      <c r="N151" s="832">
        <v>4</v>
      </c>
      <c r="O151" s="832">
        <v>2710.4</v>
      </c>
      <c r="P151" s="828"/>
      <c r="Q151" s="833">
        <v>677.6</v>
      </c>
    </row>
    <row r="152" spans="1:17" ht="14.45" customHeight="1" x14ac:dyDescent="0.2">
      <c r="A152" s="822" t="s">
        <v>6557</v>
      </c>
      <c r="B152" s="823" t="s">
        <v>6558</v>
      </c>
      <c r="C152" s="823" t="s">
        <v>5396</v>
      </c>
      <c r="D152" s="823" t="s">
        <v>6582</v>
      </c>
      <c r="E152" s="823" t="s">
        <v>6583</v>
      </c>
      <c r="F152" s="832">
        <v>1</v>
      </c>
      <c r="G152" s="832">
        <v>7650</v>
      </c>
      <c r="H152" s="832"/>
      <c r="I152" s="832">
        <v>7650</v>
      </c>
      <c r="J152" s="832"/>
      <c r="K152" s="832"/>
      <c r="L152" s="832"/>
      <c r="M152" s="832"/>
      <c r="N152" s="832"/>
      <c r="O152" s="832"/>
      <c r="P152" s="828"/>
      <c r="Q152" s="833"/>
    </row>
    <row r="153" spans="1:17" ht="14.45" customHeight="1" x14ac:dyDescent="0.2">
      <c r="A153" s="822" t="s">
        <v>6557</v>
      </c>
      <c r="B153" s="823" t="s">
        <v>6558</v>
      </c>
      <c r="C153" s="823" t="s">
        <v>5396</v>
      </c>
      <c r="D153" s="823" t="s">
        <v>6584</v>
      </c>
      <c r="E153" s="823" t="s">
        <v>6585</v>
      </c>
      <c r="F153" s="832">
        <v>1</v>
      </c>
      <c r="G153" s="832">
        <v>750.76</v>
      </c>
      <c r="H153" s="832"/>
      <c r="I153" s="832">
        <v>750.76</v>
      </c>
      <c r="J153" s="832"/>
      <c r="K153" s="832"/>
      <c r="L153" s="832"/>
      <c r="M153" s="832"/>
      <c r="N153" s="832"/>
      <c r="O153" s="832"/>
      <c r="P153" s="828"/>
      <c r="Q153" s="833"/>
    </row>
    <row r="154" spans="1:17" ht="14.45" customHeight="1" x14ac:dyDescent="0.2">
      <c r="A154" s="822" t="s">
        <v>6557</v>
      </c>
      <c r="B154" s="823" t="s">
        <v>6558</v>
      </c>
      <c r="C154" s="823" t="s">
        <v>5396</v>
      </c>
      <c r="D154" s="823" t="s">
        <v>6586</v>
      </c>
      <c r="E154" s="823" t="s">
        <v>6587</v>
      </c>
      <c r="F154" s="832">
        <v>1</v>
      </c>
      <c r="G154" s="832">
        <v>10072.94</v>
      </c>
      <c r="H154" s="832">
        <v>1</v>
      </c>
      <c r="I154" s="832">
        <v>10072.94</v>
      </c>
      <c r="J154" s="832">
        <v>1</v>
      </c>
      <c r="K154" s="832">
        <v>10072.94</v>
      </c>
      <c r="L154" s="832">
        <v>1</v>
      </c>
      <c r="M154" s="832">
        <v>10072.94</v>
      </c>
      <c r="N154" s="832">
        <v>1</v>
      </c>
      <c r="O154" s="832">
        <v>9426.65</v>
      </c>
      <c r="P154" s="828">
        <v>0.93583899040399321</v>
      </c>
      <c r="Q154" s="833">
        <v>9426.65</v>
      </c>
    </row>
    <row r="155" spans="1:17" ht="14.45" customHeight="1" x14ac:dyDescent="0.2">
      <c r="A155" s="822" t="s">
        <v>6557</v>
      </c>
      <c r="B155" s="823" t="s">
        <v>6558</v>
      </c>
      <c r="C155" s="823" t="s">
        <v>5396</v>
      </c>
      <c r="D155" s="823" t="s">
        <v>6588</v>
      </c>
      <c r="E155" s="823" t="s">
        <v>6589</v>
      </c>
      <c r="F155" s="832">
        <v>1</v>
      </c>
      <c r="G155" s="832">
        <v>4967.8900000000003</v>
      </c>
      <c r="H155" s="832"/>
      <c r="I155" s="832">
        <v>4967.8900000000003</v>
      </c>
      <c r="J155" s="832"/>
      <c r="K155" s="832"/>
      <c r="L155" s="832"/>
      <c r="M155" s="832"/>
      <c r="N155" s="832"/>
      <c r="O155" s="832"/>
      <c r="P155" s="828"/>
      <c r="Q155" s="833"/>
    </row>
    <row r="156" spans="1:17" ht="14.45" customHeight="1" x14ac:dyDescent="0.2">
      <c r="A156" s="822" t="s">
        <v>6557</v>
      </c>
      <c r="B156" s="823" t="s">
        <v>6558</v>
      </c>
      <c r="C156" s="823" t="s">
        <v>5396</v>
      </c>
      <c r="D156" s="823" t="s">
        <v>6590</v>
      </c>
      <c r="E156" s="823" t="s">
        <v>6591</v>
      </c>
      <c r="F156" s="832">
        <v>1</v>
      </c>
      <c r="G156" s="832">
        <v>1336.72</v>
      </c>
      <c r="H156" s="832">
        <v>1</v>
      </c>
      <c r="I156" s="832">
        <v>1336.72</v>
      </c>
      <c r="J156" s="832">
        <v>1</v>
      </c>
      <c r="K156" s="832">
        <v>1336.72</v>
      </c>
      <c r="L156" s="832">
        <v>1</v>
      </c>
      <c r="M156" s="832">
        <v>1336.72</v>
      </c>
      <c r="N156" s="832"/>
      <c r="O156" s="832"/>
      <c r="P156" s="828"/>
      <c r="Q156" s="833"/>
    </row>
    <row r="157" spans="1:17" ht="14.45" customHeight="1" x14ac:dyDescent="0.2">
      <c r="A157" s="822" t="s">
        <v>6557</v>
      </c>
      <c r="B157" s="823" t="s">
        <v>6558</v>
      </c>
      <c r="C157" s="823" t="s">
        <v>5396</v>
      </c>
      <c r="D157" s="823" t="s">
        <v>6592</v>
      </c>
      <c r="E157" s="823" t="s">
        <v>6593</v>
      </c>
      <c r="F157" s="832">
        <v>2</v>
      </c>
      <c r="G157" s="832">
        <v>1662.32</v>
      </c>
      <c r="H157" s="832">
        <v>1</v>
      </c>
      <c r="I157" s="832">
        <v>831.16</v>
      </c>
      <c r="J157" s="832">
        <v>2</v>
      </c>
      <c r="K157" s="832">
        <v>1662.32</v>
      </c>
      <c r="L157" s="832">
        <v>1</v>
      </c>
      <c r="M157" s="832">
        <v>831.16</v>
      </c>
      <c r="N157" s="832">
        <v>5</v>
      </c>
      <c r="O157" s="832">
        <v>3435.7999999999997</v>
      </c>
      <c r="P157" s="828">
        <v>2.0668703979979788</v>
      </c>
      <c r="Q157" s="833">
        <v>687.16</v>
      </c>
    </row>
    <row r="158" spans="1:17" ht="14.45" customHeight="1" x14ac:dyDescent="0.2">
      <c r="A158" s="822" t="s">
        <v>6557</v>
      </c>
      <c r="B158" s="823" t="s">
        <v>6558</v>
      </c>
      <c r="C158" s="823" t="s">
        <v>5396</v>
      </c>
      <c r="D158" s="823" t="s">
        <v>6594</v>
      </c>
      <c r="E158" s="823" t="s">
        <v>6595</v>
      </c>
      <c r="F158" s="832">
        <v>2</v>
      </c>
      <c r="G158" s="832">
        <v>2624.28</v>
      </c>
      <c r="H158" s="832">
        <v>2</v>
      </c>
      <c r="I158" s="832">
        <v>1312.14</v>
      </c>
      <c r="J158" s="832">
        <v>1</v>
      </c>
      <c r="K158" s="832">
        <v>1312.14</v>
      </c>
      <c r="L158" s="832">
        <v>1</v>
      </c>
      <c r="M158" s="832">
        <v>1312.14</v>
      </c>
      <c r="N158" s="832">
        <v>3</v>
      </c>
      <c r="O158" s="832">
        <v>3171.15</v>
      </c>
      <c r="P158" s="828">
        <v>2.4167771731674974</v>
      </c>
      <c r="Q158" s="833">
        <v>1057.05</v>
      </c>
    </row>
    <row r="159" spans="1:17" ht="14.45" customHeight="1" x14ac:dyDescent="0.2">
      <c r="A159" s="822" t="s">
        <v>6557</v>
      </c>
      <c r="B159" s="823" t="s">
        <v>6558</v>
      </c>
      <c r="C159" s="823" t="s">
        <v>5396</v>
      </c>
      <c r="D159" s="823" t="s">
        <v>6596</v>
      </c>
      <c r="E159" s="823" t="s">
        <v>6597</v>
      </c>
      <c r="F159" s="832">
        <v>3</v>
      </c>
      <c r="G159" s="832">
        <v>3258.51</v>
      </c>
      <c r="H159" s="832">
        <v>3</v>
      </c>
      <c r="I159" s="832">
        <v>1086.17</v>
      </c>
      <c r="J159" s="832">
        <v>1</v>
      </c>
      <c r="K159" s="832">
        <v>1086.17</v>
      </c>
      <c r="L159" s="832">
        <v>1</v>
      </c>
      <c r="M159" s="832">
        <v>1086.17</v>
      </c>
      <c r="N159" s="832"/>
      <c r="O159" s="832"/>
      <c r="P159" s="828"/>
      <c r="Q159" s="833"/>
    </row>
    <row r="160" spans="1:17" ht="14.45" customHeight="1" x14ac:dyDescent="0.2">
      <c r="A160" s="822" t="s">
        <v>6557</v>
      </c>
      <c r="B160" s="823" t="s">
        <v>6558</v>
      </c>
      <c r="C160" s="823" t="s">
        <v>5396</v>
      </c>
      <c r="D160" s="823" t="s">
        <v>6598</v>
      </c>
      <c r="E160" s="823" t="s">
        <v>6599</v>
      </c>
      <c r="F160" s="832">
        <v>1</v>
      </c>
      <c r="G160" s="832">
        <v>5200.68</v>
      </c>
      <c r="H160" s="832"/>
      <c r="I160" s="832">
        <v>5200.68</v>
      </c>
      <c r="J160" s="832"/>
      <c r="K160" s="832"/>
      <c r="L160" s="832"/>
      <c r="M160" s="832"/>
      <c r="N160" s="832"/>
      <c r="O160" s="832"/>
      <c r="P160" s="828"/>
      <c r="Q160" s="833"/>
    </row>
    <row r="161" spans="1:17" ht="14.45" customHeight="1" x14ac:dyDescent="0.2">
      <c r="A161" s="822" t="s">
        <v>6557</v>
      </c>
      <c r="B161" s="823" t="s">
        <v>6558</v>
      </c>
      <c r="C161" s="823" t="s">
        <v>5396</v>
      </c>
      <c r="D161" s="823" t="s">
        <v>6600</v>
      </c>
      <c r="E161" s="823" t="s">
        <v>6601</v>
      </c>
      <c r="F161" s="832">
        <v>2</v>
      </c>
      <c r="G161" s="832">
        <v>12190.78</v>
      </c>
      <c r="H161" s="832"/>
      <c r="I161" s="832">
        <v>6095.39</v>
      </c>
      <c r="J161" s="832"/>
      <c r="K161" s="832"/>
      <c r="L161" s="832"/>
      <c r="M161" s="832"/>
      <c r="N161" s="832">
        <v>3</v>
      </c>
      <c r="O161" s="832">
        <v>10509.47</v>
      </c>
      <c r="P161" s="828"/>
      <c r="Q161" s="833">
        <v>3503.1566666666663</v>
      </c>
    </row>
    <row r="162" spans="1:17" ht="14.45" customHeight="1" x14ac:dyDescent="0.2">
      <c r="A162" s="822" t="s">
        <v>6557</v>
      </c>
      <c r="B162" s="823" t="s">
        <v>6558</v>
      </c>
      <c r="C162" s="823" t="s">
        <v>5396</v>
      </c>
      <c r="D162" s="823" t="s">
        <v>6602</v>
      </c>
      <c r="E162" s="823" t="s">
        <v>6603</v>
      </c>
      <c r="F162" s="832"/>
      <c r="G162" s="832"/>
      <c r="H162" s="832"/>
      <c r="I162" s="832"/>
      <c r="J162" s="832"/>
      <c r="K162" s="832"/>
      <c r="L162" s="832"/>
      <c r="M162" s="832"/>
      <c r="N162" s="832">
        <v>1</v>
      </c>
      <c r="O162" s="832">
        <v>1726.4</v>
      </c>
      <c r="P162" s="828"/>
      <c r="Q162" s="833">
        <v>1726.4</v>
      </c>
    </row>
    <row r="163" spans="1:17" ht="14.45" customHeight="1" x14ac:dyDescent="0.2">
      <c r="A163" s="822" t="s">
        <v>6557</v>
      </c>
      <c r="B163" s="823" t="s">
        <v>6558</v>
      </c>
      <c r="C163" s="823" t="s">
        <v>5396</v>
      </c>
      <c r="D163" s="823" t="s">
        <v>6604</v>
      </c>
      <c r="E163" s="823" t="s">
        <v>6605</v>
      </c>
      <c r="F163" s="832">
        <v>1</v>
      </c>
      <c r="G163" s="832">
        <v>26500</v>
      </c>
      <c r="H163" s="832"/>
      <c r="I163" s="832">
        <v>26500</v>
      </c>
      <c r="J163" s="832"/>
      <c r="K163" s="832"/>
      <c r="L163" s="832"/>
      <c r="M163" s="832"/>
      <c r="N163" s="832"/>
      <c r="O163" s="832"/>
      <c r="P163" s="828"/>
      <c r="Q163" s="833"/>
    </row>
    <row r="164" spans="1:17" ht="14.45" customHeight="1" x14ac:dyDescent="0.2">
      <c r="A164" s="822" t="s">
        <v>6557</v>
      </c>
      <c r="B164" s="823" t="s">
        <v>6558</v>
      </c>
      <c r="C164" s="823" t="s">
        <v>5396</v>
      </c>
      <c r="D164" s="823" t="s">
        <v>6606</v>
      </c>
      <c r="E164" s="823" t="s">
        <v>6607</v>
      </c>
      <c r="F164" s="832"/>
      <c r="G164" s="832"/>
      <c r="H164" s="832"/>
      <c r="I164" s="832"/>
      <c r="J164" s="832"/>
      <c r="K164" s="832"/>
      <c r="L164" s="832"/>
      <c r="M164" s="832"/>
      <c r="N164" s="832">
        <v>5</v>
      </c>
      <c r="O164" s="832">
        <v>741750</v>
      </c>
      <c r="P164" s="828"/>
      <c r="Q164" s="833">
        <v>148350</v>
      </c>
    </row>
    <row r="165" spans="1:17" ht="14.45" customHeight="1" x14ac:dyDescent="0.2">
      <c r="A165" s="822" t="s">
        <v>6557</v>
      </c>
      <c r="B165" s="823" t="s">
        <v>6558</v>
      </c>
      <c r="C165" s="823" t="s">
        <v>5396</v>
      </c>
      <c r="D165" s="823" t="s">
        <v>6608</v>
      </c>
      <c r="E165" s="823" t="s">
        <v>6609</v>
      </c>
      <c r="F165" s="832"/>
      <c r="G165" s="832"/>
      <c r="H165" s="832"/>
      <c r="I165" s="832"/>
      <c r="J165" s="832">
        <v>1</v>
      </c>
      <c r="K165" s="832">
        <v>171786.86</v>
      </c>
      <c r="L165" s="832">
        <v>1</v>
      </c>
      <c r="M165" s="832">
        <v>171786.86</v>
      </c>
      <c r="N165" s="832">
        <v>1</v>
      </c>
      <c r="O165" s="832">
        <v>147200</v>
      </c>
      <c r="P165" s="828">
        <v>0.85687578200102155</v>
      </c>
      <c r="Q165" s="833">
        <v>147200</v>
      </c>
    </row>
    <row r="166" spans="1:17" ht="14.45" customHeight="1" x14ac:dyDescent="0.2">
      <c r="A166" s="822" t="s">
        <v>6557</v>
      </c>
      <c r="B166" s="823" t="s">
        <v>6558</v>
      </c>
      <c r="C166" s="823" t="s">
        <v>5396</v>
      </c>
      <c r="D166" s="823" t="s">
        <v>6610</v>
      </c>
      <c r="E166" s="823" t="s">
        <v>6611</v>
      </c>
      <c r="F166" s="832"/>
      <c r="G166" s="832"/>
      <c r="H166" s="832"/>
      <c r="I166" s="832"/>
      <c r="J166" s="832"/>
      <c r="K166" s="832"/>
      <c r="L166" s="832"/>
      <c r="M166" s="832"/>
      <c r="N166" s="832">
        <v>1</v>
      </c>
      <c r="O166" s="832">
        <v>92751.13</v>
      </c>
      <c r="P166" s="828"/>
      <c r="Q166" s="833">
        <v>92751.13</v>
      </c>
    </row>
    <row r="167" spans="1:17" ht="14.45" customHeight="1" x14ac:dyDescent="0.2">
      <c r="A167" s="822" t="s">
        <v>6557</v>
      </c>
      <c r="B167" s="823" t="s">
        <v>6558</v>
      </c>
      <c r="C167" s="823" t="s">
        <v>5355</v>
      </c>
      <c r="D167" s="823" t="s">
        <v>6612</v>
      </c>
      <c r="E167" s="823" t="s">
        <v>6613</v>
      </c>
      <c r="F167" s="832">
        <v>2</v>
      </c>
      <c r="G167" s="832">
        <v>428</v>
      </c>
      <c r="H167" s="832">
        <v>0.66356589147286826</v>
      </c>
      <c r="I167" s="832">
        <v>214</v>
      </c>
      <c r="J167" s="832">
        <v>3</v>
      </c>
      <c r="K167" s="832">
        <v>645</v>
      </c>
      <c r="L167" s="832">
        <v>1</v>
      </c>
      <c r="M167" s="832">
        <v>215</v>
      </c>
      <c r="N167" s="832">
        <v>1</v>
      </c>
      <c r="O167" s="832">
        <v>216</v>
      </c>
      <c r="P167" s="828">
        <v>0.33488372093023255</v>
      </c>
      <c r="Q167" s="833">
        <v>216</v>
      </c>
    </row>
    <row r="168" spans="1:17" ht="14.45" customHeight="1" x14ac:dyDescent="0.2">
      <c r="A168" s="822" t="s">
        <v>6557</v>
      </c>
      <c r="B168" s="823" t="s">
        <v>6558</v>
      </c>
      <c r="C168" s="823" t="s">
        <v>5355</v>
      </c>
      <c r="D168" s="823" t="s">
        <v>6614</v>
      </c>
      <c r="E168" s="823" t="s">
        <v>6615</v>
      </c>
      <c r="F168" s="832"/>
      <c r="G168" s="832"/>
      <c r="H168" s="832"/>
      <c r="I168" s="832"/>
      <c r="J168" s="832"/>
      <c r="K168" s="832"/>
      <c r="L168" s="832"/>
      <c r="M168" s="832"/>
      <c r="N168" s="832">
        <v>1</v>
      </c>
      <c r="O168" s="832">
        <v>130</v>
      </c>
      <c r="P168" s="828"/>
      <c r="Q168" s="833">
        <v>130</v>
      </c>
    </row>
    <row r="169" spans="1:17" ht="14.45" customHeight="1" x14ac:dyDescent="0.2">
      <c r="A169" s="822" t="s">
        <v>6557</v>
      </c>
      <c r="B169" s="823" t="s">
        <v>6558</v>
      </c>
      <c r="C169" s="823" t="s">
        <v>5355</v>
      </c>
      <c r="D169" s="823" t="s">
        <v>6616</v>
      </c>
      <c r="E169" s="823" t="s">
        <v>6617</v>
      </c>
      <c r="F169" s="832">
        <v>5</v>
      </c>
      <c r="G169" s="832">
        <v>1120</v>
      </c>
      <c r="H169" s="832">
        <v>2.4888888888888889</v>
      </c>
      <c r="I169" s="832">
        <v>224</v>
      </c>
      <c r="J169" s="832">
        <v>2</v>
      </c>
      <c r="K169" s="832">
        <v>450</v>
      </c>
      <c r="L169" s="832">
        <v>1</v>
      </c>
      <c r="M169" s="832">
        <v>225</v>
      </c>
      <c r="N169" s="832">
        <v>2</v>
      </c>
      <c r="O169" s="832">
        <v>452</v>
      </c>
      <c r="P169" s="828">
        <v>1.0044444444444445</v>
      </c>
      <c r="Q169" s="833">
        <v>226</v>
      </c>
    </row>
    <row r="170" spans="1:17" ht="14.45" customHeight="1" x14ac:dyDescent="0.2">
      <c r="A170" s="822" t="s">
        <v>6557</v>
      </c>
      <c r="B170" s="823" t="s">
        <v>6558</v>
      </c>
      <c r="C170" s="823" t="s">
        <v>5355</v>
      </c>
      <c r="D170" s="823" t="s">
        <v>6618</v>
      </c>
      <c r="E170" s="823" t="s">
        <v>6619</v>
      </c>
      <c r="F170" s="832"/>
      <c r="G170" s="832"/>
      <c r="H170" s="832"/>
      <c r="I170" s="832"/>
      <c r="J170" s="832">
        <v>1</v>
      </c>
      <c r="K170" s="832">
        <v>225</v>
      </c>
      <c r="L170" s="832">
        <v>1</v>
      </c>
      <c r="M170" s="832">
        <v>225</v>
      </c>
      <c r="N170" s="832"/>
      <c r="O170" s="832"/>
      <c r="P170" s="828"/>
      <c r="Q170" s="833"/>
    </row>
    <row r="171" spans="1:17" ht="14.45" customHeight="1" x14ac:dyDescent="0.2">
      <c r="A171" s="822" t="s">
        <v>6557</v>
      </c>
      <c r="B171" s="823" t="s">
        <v>6558</v>
      </c>
      <c r="C171" s="823" t="s">
        <v>5355</v>
      </c>
      <c r="D171" s="823" t="s">
        <v>6620</v>
      </c>
      <c r="E171" s="823" t="s">
        <v>6621</v>
      </c>
      <c r="F171" s="832">
        <v>1</v>
      </c>
      <c r="G171" s="832">
        <v>226</v>
      </c>
      <c r="H171" s="832">
        <v>0.24889867841409691</v>
      </c>
      <c r="I171" s="832">
        <v>226</v>
      </c>
      <c r="J171" s="832">
        <v>4</v>
      </c>
      <c r="K171" s="832">
        <v>908</v>
      </c>
      <c r="L171" s="832">
        <v>1</v>
      </c>
      <c r="M171" s="832">
        <v>227</v>
      </c>
      <c r="N171" s="832">
        <v>3</v>
      </c>
      <c r="O171" s="832">
        <v>684</v>
      </c>
      <c r="P171" s="828">
        <v>0.75330396475770922</v>
      </c>
      <c r="Q171" s="833">
        <v>228</v>
      </c>
    </row>
    <row r="172" spans="1:17" ht="14.45" customHeight="1" x14ac:dyDescent="0.2">
      <c r="A172" s="822" t="s">
        <v>6557</v>
      </c>
      <c r="B172" s="823" t="s">
        <v>6558</v>
      </c>
      <c r="C172" s="823" t="s">
        <v>5355</v>
      </c>
      <c r="D172" s="823" t="s">
        <v>6622</v>
      </c>
      <c r="E172" s="823" t="s">
        <v>6623</v>
      </c>
      <c r="F172" s="832">
        <v>1</v>
      </c>
      <c r="G172" s="832">
        <v>4166</v>
      </c>
      <c r="H172" s="832"/>
      <c r="I172" s="832">
        <v>4166</v>
      </c>
      <c r="J172" s="832"/>
      <c r="K172" s="832"/>
      <c r="L172" s="832"/>
      <c r="M172" s="832"/>
      <c r="N172" s="832">
        <v>1</v>
      </c>
      <c r="O172" s="832">
        <v>4179</v>
      </c>
      <c r="P172" s="828"/>
      <c r="Q172" s="833">
        <v>4179</v>
      </c>
    </row>
    <row r="173" spans="1:17" ht="14.45" customHeight="1" x14ac:dyDescent="0.2">
      <c r="A173" s="822" t="s">
        <v>6557</v>
      </c>
      <c r="B173" s="823" t="s">
        <v>6558</v>
      </c>
      <c r="C173" s="823" t="s">
        <v>5355</v>
      </c>
      <c r="D173" s="823" t="s">
        <v>6624</v>
      </c>
      <c r="E173" s="823" t="s">
        <v>6625</v>
      </c>
      <c r="F173" s="832"/>
      <c r="G173" s="832"/>
      <c r="H173" s="832"/>
      <c r="I173" s="832"/>
      <c r="J173" s="832"/>
      <c r="K173" s="832"/>
      <c r="L173" s="832"/>
      <c r="M173" s="832"/>
      <c r="N173" s="832">
        <v>1</v>
      </c>
      <c r="O173" s="832">
        <v>285</v>
      </c>
      <c r="P173" s="828"/>
      <c r="Q173" s="833">
        <v>285</v>
      </c>
    </row>
    <row r="174" spans="1:17" ht="14.45" customHeight="1" x14ac:dyDescent="0.2">
      <c r="A174" s="822" t="s">
        <v>6557</v>
      </c>
      <c r="B174" s="823" t="s">
        <v>6558</v>
      </c>
      <c r="C174" s="823" t="s">
        <v>5355</v>
      </c>
      <c r="D174" s="823" t="s">
        <v>6626</v>
      </c>
      <c r="E174" s="823" t="s">
        <v>6627</v>
      </c>
      <c r="F174" s="832">
        <v>2</v>
      </c>
      <c r="G174" s="832">
        <v>30530</v>
      </c>
      <c r="H174" s="832">
        <v>1.9980366492146597</v>
      </c>
      <c r="I174" s="832">
        <v>15265</v>
      </c>
      <c r="J174" s="832">
        <v>1</v>
      </c>
      <c r="K174" s="832">
        <v>15280</v>
      </c>
      <c r="L174" s="832">
        <v>1</v>
      </c>
      <c r="M174" s="832">
        <v>15280</v>
      </c>
      <c r="N174" s="832">
        <v>3</v>
      </c>
      <c r="O174" s="832">
        <v>45876</v>
      </c>
      <c r="P174" s="828">
        <v>3.0023560209424085</v>
      </c>
      <c r="Q174" s="833">
        <v>15292</v>
      </c>
    </row>
    <row r="175" spans="1:17" ht="14.45" customHeight="1" x14ac:dyDescent="0.2">
      <c r="A175" s="822" t="s">
        <v>6557</v>
      </c>
      <c r="B175" s="823" t="s">
        <v>6558</v>
      </c>
      <c r="C175" s="823" t="s">
        <v>5355</v>
      </c>
      <c r="D175" s="823" t="s">
        <v>6628</v>
      </c>
      <c r="E175" s="823" t="s">
        <v>6629</v>
      </c>
      <c r="F175" s="832">
        <v>7</v>
      </c>
      <c r="G175" s="832">
        <v>27034</v>
      </c>
      <c r="H175" s="832">
        <v>3.495474528057926</v>
      </c>
      <c r="I175" s="832">
        <v>3862</v>
      </c>
      <c r="J175" s="832">
        <v>2</v>
      </c>
      <c r="K175" s="832">
        <v>7734</v>
      </c>
      <c r="L175" s="832">
        <v>1</v>
      </c>
      <c r="M175" s="832">
        <v>3867</v>
      </c>
      <c r="N175" s="832">
        <v>6</v>
      </c>
      <c r="O175" s="832">
        <v>23226</v>
      </c>
      <c r="P175" s="828">
        <v>3.0031031807602795</v>
      </c>
      <c r="Q175" s="833">
        <v>3871</v>
      </c>
    </row>
    <row r="176" spans="1:17" ht="14.45" customHeight="1" x14ac:dyDescent="0.2">
      <c r="A176" s="822" t="s">
        <v>6557</v>
      </c>
      <c r="B176" s="823" t="s">
        <v>6558</v>
      </c>
      <c r="C176" s="823" t="s">
        <v>5355</v>
      </c>
      <c r="D176" s="823" t="s">
        <v>6630</v>
      </c>
      <c r="E176" s="823" t="s">
        <v>6631</v>
      </c>
      <c r="F176" s="832">
        <v>3</v>
      </c>
      <c r="G176" s="832">
        <v>23784</v>
      </c>
      <c r="H176" s="832">
        <v>2.9962207105064249</v>
      </c>
      <c r="I176" s="832">
        <v>7928</v>
      </c>
      <c r="J176" s="832">
        <v>1</v>
      </c>
      <c r="K176" s="832">
        <v>7938</v>
      </c>
      <c r="L176" s="832">
        <v>1</v>
      </c>
      <c r="M176" s="832">
        <v>7938</v>
      </c>
      <c r="N176" s="832">
        <v>1</v>
      </c>
      <c r="O176" s="832">
        <v>7947</v>
      </c>
      <c r="P176" s="828">
        <v>1.0011337868480725</v>
      </c>
      <c r="Q176" s="833">
        <v>7947</v>
      </c>
    </row>
    <row r="177" spans="1:17" ht="14.45" customHeight="1" x14ac:dyDescent="0.2">
      <c r="A177" s="822" t="s">
        <v>6557</v>
      </c>
      <c r="B177" s="823" t="s">
        <v>6558</v>
      </c>
      <c r="C177" s="823" t="s">
        <v>5355</v>
      </c>
      <c r="D177" s="823" t="s">
        <v>6632</v>
      </c>
      <c r="E177" s="823" t="s">
        <v>6633</v>
      </c>
      <c r="F177" s="832"/>
      <c r="G177" s="832"/>
      <c r="H177" s="832"/>
      <c r="I177" s="832"/>
      <c r="J177" s="832">
        <v>1</v>
      </c>
      <c r="K177" s="832">
        <v>1297</v>
      </c>
      <c r="L177" s="832">
        <v>1</v>
      </c>
      <c r="M177" s="832">
        <v>1297</v>
      </c>
      <c r="N177" s="832">
        <v>1</v>
      </c>
      <c r="O177" s="832">
        <v>1299</v>
      </c>
      <c r="P177" s="828">
        <v>1.0015420200462606</v>
      </c>
      <c r="Q177" s="833">
        <v>1299</v>
      </c>
    </row>
    <row r="178" spans="1:17" ht="14.45" customHeight="1" x14ac:dyDescent="0.2">
      <c r="A178" s="822" t="s">
        <v>6557</v>
      </c>
      <c r="B178" s="823" t="s">
        <v>6558</v>
      </c>
      <c r="C178" s="823" t="s">
        <v>5355</v>
      </c>
      <c r="D178" s="823" t="s">
        <v>6634</v>
      </c>
      <c r="E178" s="823" t="s">
        <v>6635</v>
      </c>
      <c r="F178" s="832"/>
      <c r="G178" s="832"/>
      <c r="H178" s="832"/>
      <c r="I178" s="832"/>
      <c r="J178" s="832">
        <v>1</v>
      </c>
      <c r="K178" s="832">
        <v>1180</v>
      </c>
      <c r="L178" s="832">
        <v>1</v>
      </c>
      <c r="M178" s="832">
        <v>1180</v>
      </c>
      <c r="N178" s="832">
        <v>1</v>
      </c>
      <c r="O178" s="832">
        <v>1182</v>
      </c>
      <c r="P178" s="828">
        <v>1.0016949152542374</v>
      </c>
      <c r="Q178" s="833">
        <v>1182</v>
      </c>
    </row>
    <row r="179" spans="1:17" ht="14.45" customHeight="1" x14ac:dyDescent="0.2">
      <c r="A179" s="822" t="s">
        <v>6557</v>
      </c>
      <c r="B179" s="823" t="s">
        <v>6558</v>
      </c>
      <c r="C179" s="823" t="s">
        <v>5355</v>
      </c>
      <c r="D179" s="823" t="s">
        <v>6636</v>
      </c>
      <c r="E179" s="823" t="s">
        <v>6637</v>
      </c>
      <c r="F179" s="832">
        <v>3</v>
      </c>
      <c r="G179" s="832">
        <v>15474</v>
      </c>
      <c r="H179" s="832">
        <v>1.4988376598217745</v>
      </c>
      <c r="I179" s="832">
        <v>5158</v>
      </c>
      <c r="J179" s="832">
        <v>2</v>
      </c>
      <c r="K179" s="832">
        <v>10324</v>
      </c>
      <c r="L179" s="832">
        <v>1</v>
      </c>
      <c r="M179" s="832">
        <v>5162</v>
      </c>
      <c r="N179" s="832">
        <v>1</v>
      </c>
      <c r="O179" s="832">
        <v>5166</v>
      </c>
      <c r="P179" s="828">
        <v>0.50038744672607516</v>
      </c>
      <c r="Q179" s="833">
        <v>5166</v>
      </c>
    </row>
    <row r="180" spans="1:17" ht="14.45" customHeight="1" x14ac:dyDescent="0.2">
      <c r="A180" s="822" t="s">
        <v>6557</v>
      </c>
      <c r="B180" s="823" t="s">
        <v>6558</v>
      </c>
      <c r="C180" s="823" t="s">
        <v>5355</v>
      </c>
      <c r="D180" s="823" t="s">
        <v>6638</v>
      </c>
      <c r="E180" s="823" t="s">
        <v>6639</v>
      </c>
      <c r="F180" s="832"/>
      <c r="G180" s="832"/>
      <c r="H180" s="832"/>
      <c r="I180" s="832"/>
      <c r="J180" s="832">
        <v>1</v>
      </c>
      <c r="K180" s="832">
        <v>5626</v>
      </c>
      <c r="L180" s="832">
        <v>1</v>
      </c>
      <c r="M180" s="832">
        <v>5626</v>
      </c>
      <c r="N180" s="832"/>
      <c r="O180" s="832"/>
      <c r="P180" s="828"/>
      <c r="Q180" s="833"/>
    </row>
    <row r="181" spans="1:17" ht="14.45" customHeight="1" x14ac:dyDescent="0.2">
      <c r="A181" s="822" t="s">
        <v>6557</v>
      </c>
      <c r="B181" s="823" t="s">
        <v>6558</v>
      </c>
      <c r="C181" s="823" t="s">
        <v>5355</v>
      </c>
      <c r="D181" s="823" t="s">
        <v>6640</v>
      </c>
      <c r="E181" s="823" t="s">
        <v>6641</v>
      </c>
      <c r="F181" s="832">
        <v>1215</v>
      </c>
      <c r="G181" s="832">
        <v>216270</v>
      </c>
      <c r="H181" s="832">
        <v>0.95360086069675876</v>
      </c>
      <c r="I181" s="832">
        <v>178</v>
      </c>
      <c r="J181" s="832">
        <v>1267</v>
      </c>
      <c r="K181" s="832">
        <v>226793</v>
      </c>
      <c r="L181" s="832">
        <v>1</v>
      </c>
      <c r="M181" s="832">
        <v>179</v>
      </c>
      <c r="N181" s="832">
        <v>1016</v>
      </c>
      <c r="O181" s="832">
        <v>182880</v>
      </c>
      <c r="P181" s="828">
        <v>0.80637409443854091</v>
      </c>
      <c r="Q181" s="833">
        <v>180</v>
      </c>
    </row>
    <row r="182" spans="1:17" ht="14.45" customHeight="1" x14ac:dyDescent="0.2">
      <c r="A182" s="822" t="s">
        <v>6557</v>
      </c>
      <c r="B182" s="823" t="s">
        <v>6558</v>
      </c>
      <c r="C182" s="823" t="s">
        <v>5355</v>
      </c>
      <c r="D182" s="823" t="s">
        <v>6642</v>
      </c>
      <c r="E182" s="823" t="s">
        <v>6643</v>
      </c>
      <c r="F182" s="832">
        <v>21</v>
      </c>
      <c r="G182" s="832">
        <v>43050</v>
      </c>
      <c r="H182" s="832">
        <v>1.048465660009742</v>
      </c>
      <c r="I182" s="832">
        <v>2050</v>
      </c>
      <c r="J182" s="832">
        <v>20</v>
      </c>
      <c r="K182" s="832">
        <v>41060</v>
      </c>
      <c r="L182" s="832">
        <v>1</v>
      </c>
      <c r="M182" s="832">
        <v>2053</v>
      </c>
      <c r="N182" s="832">
        <v>24</v>
      </c>
      <c r="O182" s="832">
        <v>49344</v>
      </c>
      <c r="P182" s="828">
        <v>1.2017535314174379</v>
      </c>
      <c r="Q182" s="833">
        <v>2056</v>
      </c>
    </row>
    <row r="183" spans="1:17" ht="14.45" customHeight="1" x14ac:dyDescent="0.2">
      <c r="A183" s="822" t="s">
        <v>6557</v>
      </c>
      <c r="B183" s="823" t="s">
        <v>6558</v>
      </c>
      <c r="C183" s="823" t="s">
        <v>5355</v>
      </c>
      <c r="D183" s="823" t="s">
        <v>6644</v>
      </c>
      <c r="E183" s="823" t="s">
        <v>6645</v>
      </c>
      <c r="F183" s="832">
        <v>3</v>
      </c>
      <c r="G183" s="832">
        <v>8211</v>
      </c>
      <c r="H183" s="832"/>
      <c r="I183" s="832">
        <v>2737</v>
      </c>
      <c r="J183" s="832"/>
      <c r="K183" s="832"/>
      <c r="L183" s="832"/>
      <c r="M183" s="832"/>
      <c r="N183" s="832"/>
      <c r="O183" s="832"/>
      <c r="P183" s="828"/>
      <c r="Q183" s="833"/>
    </row>
    <row r="184" spans="1:17" ht="14.45" customHeight="1" x14ac:dyDescent="0.2">
      <c r="A184" s="822" t="s">
        <v>6557</v>
      </c>
      <c r="B184" s="823" t="s">
        <v>6558</v>
      </c>
      <c r="C184" s="823" t="s">
        <v>5355</v>
      </c>
      <c r="D184" s="823" t="s">
        <v>6646</v>
      </c>
      <c r="E184" s="823" t="s">
        <v>6647</v>
      </c>
      <c r="F184" s="832">
        <v>1</v>
      </c>
      <c r="G184" s="832">
        <v>2114</v>
      </c>
      <c r="H184" s="832"/>
      <c r="I184" s="832">
        <v>2114</v>
      </c>
      <c r="J184" s="832"/>
      <c r="K184" s="832"/>
      <c r="L184" s="832"/>
      <c r="M184" s="832"/>
      <c r="N184" s="832">
        <v>1</v>
      </c>
      <c r="O184" s="832">
        <v>2120</v>
      </c>
      <c r="P184" s="828"/>
      <c r="Q184" s="833">
        <v>2120</v>
      </c>
    </row>
    <row r="185" spans="1:17" ht="14.45" customHeight="1" x14ac:dyDescent="0.2">
      <c r="A185" s="822" t="s">
        <v>6557</v>
      </c>
      <c r="B185" s="823" t="s">
        <v>6558</v>
      </c>
      <c r="C185" s="823" t="s">
        <v>5355</v>
      </c>
      <c r="D185" s="823" t="s">
        <v>6648</v>
      </c>
      <c r="E185" s="823" t="s">
        <v>6649</v>
      </c>
      <c r="F185" s="832">
        <v>2</v>
      </c>
      <c r="G185" s="832">
        <v>310</v>
      </c>
      <c r="H185" s="832"/>
      <c r="I185" s="832">
        <v>155</v>
      </c>
      <c r="J185" s="832"/>
      <c r="K185" s="832"/>
      <c r="L185" s="832"/>
      <c r="M185" s="832"/>
      <c r="N185" s="832"/>
      <c r="O185" s="832"/>
      <c r="P185" s="828"/>
      <c r="Q185" s="833"/>
    </row>
    <row r="186" spans="1:17" ht="14.45" customHeight="1" x14ac:dyDescent="0.2">
      <c r="A186" s="822" t="s">
        <v>6557</v>
      </c>
      <c r="B186" s="823" t="s">
        <v>6558</v>
      </c>
      <c r="C186" s="823" t="s">
        <v>5355</v>
      </c>
      <c r="D186" s="823" t="s">
        <v>6650</v>
      </c>
      <c r="E186" s="823" t="s">
        <v>6651</v>
      </c>
      <c r="F186" s="832"/>
      <c r="G186" s="832"/>
      <c r="H186" s="832"/>
      <c r="I186" s="832"/>
      <c r="J186" s="832"/>
      <c r="K186" s="832"/>
      <c r="L186" s="832"/>
      <c r="M186" s="832"/>
      <c r="N186" s="832">
        <v>1</v>
      </c>
      <c r="O186" s="832">
        <v>202</v>
      </c>
      <c r="P186" s="828"/>
      <c r="Q186" s="833">
        <v>202</v>
      </c>
    </row>
    <row r="187" spans="1:17" ht="14.45" customHeight="1" x14ac:dyDescent="0.2">
      <c r="A187" s="822" t="s">
        <v>6557</v>
      </c>
      <c r="B187" s="823" t="s">
        <v>6558</v>
      </c>
      <c r="C187" s="823" t="s">
        <v>5355</v>
      </c>
      <c r="D187" s="823" t="s">
        <v>6652</v>
      </c>
      <c r="E187" s="823" t="s">
        <v>6653</v>
      </c>
      <c r="F187" s="832">
        <v>5</v>
      </c>
      <c r="G187" s="832">
        <v>1025</v>
      </c>
      <c r="H187" s="832"/>
      <c r="I187" s="832">
        <v>205</v>
      </c>
      <c r="J187" s="832"/>
      <c r="K187" s="832"/>
      <c r="L187" s="832"/>
      <c r="M187" s="832"/>
      <c r="N187" s="832"/>
      <c r="O187" s="832"/>
      <c r="P187" s="828"/>
      <c r="Q187" s="833"/>
    </row>
    <row r="188" spans="1:17" ht="14.45" customHeight="1" x14ac:dyDescent="0.2">
      <c r="A188" s="822" t="s">
        <v>6557</v>
      </c>
      <c r="B188" s="823" t="s">
        <v>6558</v>
      </c>
      <c r="C188" s="823" t="s">
        <v>5355</v>
      </c>
      <c r="D188" s="823" t="s">
        <v>6654</v>
      </c>
      <c r="E188" s="823" t="s">
        <v>6655</v>
      </c>
      <c r="F188" s="832">
        <v>2</v>
      </c>
      <c r="G188" s="832">
        <v>326</v>
      </c>
      <c r="H188" s="832"/>
      <c r="I188" s="832">
        <v>163</v>
      </c>
      <c r="J188" s="832"/>
      <c r="K188" s="832"/>
      <c r="L188" s="832"/>
      <c r="M188" s="832"/>
      <c r="N188" s="832">
        <v>1</v>
      </c>
      <c r="O188" s="832">
        <v>165</v>
      </c>
      <c r="P188" s="828"/>
      <c r="Q188" s="833">
        <v>165</v>
      </c>
    </row>
    <row r="189" spans="1:17" ht="14.45" customHeight="1" x14ac:dyDescent="0.2">
      <c r="A189" s="822" t="s">
        <v>6557</v>
      </c>
      <c r="B189" s="823" t="s">
        <v>6558</v>
      </c>
      <c r="C189" s="823" t="s">
        <v>5355</v>
      </c>
      <c r="D189" s="823" t="s">
        <v>6656</v>
      </c>
      <c r="E189" s="823" t="s">
        <v>6657</v>
      </c>
      <c r="F189" s="832">
        <v>39</v>
      </c>
      <c r="G189" s="832">
        <v>84084</v>
      </c>
      <c r="H189" s="832">
        <v>1.1801760074108383</v>
      </c>
      <c r="I189" s="832">
        <v>2156</v>
      </c>
      <c r="J189" s="832">
        <v>33</v>
      </c>
      <c r="K189" s="832">
        <v>71247</v>
      </c>
      <c r="L189" s="832">
        <v>1</v>
      </c>
      <c r="M189" s="832">
        <v>2159</v>
      </c>
      <c r="N189" s="832">
        <v>58</v>
      </c>
      <c r="O189" s="832">
        <v>125396</v>
      </c>
      <c r="P189" s="828">
        <v>1.7600179656687298</v>
      </c>
      <c r="Q189" s="833">
        <v>2162</v>
      </c>
    </row>
    <row r="190" spans="1:17" ht="14.45" customHeight="1" x14ac:dyDescent="0.2">
      <c r="A190" s="822" t="s">
        <v>6557</v>
      </c>
      <c r="B190" s="823" t="s">
        <v>6558</v>
      </c>
      <c r="C190" s="823" t="s">
        <v>5355</v>
      </c>
      <c r="D190" s="823" t="s">
        <v>6658</v>
      </c>
      <c r="E190" s="823" t="s">
        <v>6629</v>
      </c>
      <c r="F190" s="832">
        <v>10</v>
      </c>
      <c r="G190" s="832">
        <v>18890</v>
      </c>
      <c r="H190" s="832">
        <v>3.3280479210711769</v>
      </c>
      <c r="I190" s="832">
        <v>1889</v>
      </c>
      <c r="J190" s="832">
        <v>3</v>
      </c>
      <c r="K190" s="832">
        <v>5676</v>
      </c>
      <c r="L190" s="832">
        <v>1</v>
      </c>
      <c r="M190" s="832">
        <v>1892</v>
      </c>
      <c r="N190" s="832">
        <v>6</v>
      </c>
      <c r="O190" s="832">
        <v>11370</v>
      </c>
      <c r="P190" s="828">
        <v>2.0031712473572938</v>
      </c>
      <c r="Q190" s="833">
        <v>1895</v>
      </c>
    </row>
    <row r="191" spans="1:17" ht="14.45" customHeight="1" x14ac:dyDescent="0.2">
      <c r="A191" s="822" t="s">
        <v>6557</v>
      </c>
      <c r="B191" s="823" t="s">
        <v>6558</v>
      </c>
      <c r="C191" s="823" t="s">
        <v>5355</v>
      </c>
      <c r="D191" s="823" t="s">
        <v>6659</v>
      </c>
      <c r="E191" s="823" t="s">
        <v>6660</v>
      </c>
      <c r="F191" s="832">
        <v>6</v>
      </c>
      <c r="G191" s="832">
        <v>50772</v>
      </c>
      <c r="H191" s="832">
        <v>1.9981109799291616</v>
      </c>
      <c r="I191" s="832">
        <v>8462</v>
      </c>
      <c r="J191" s="832">
        <v>3</v>
      </c>
      <c r="K191" s="832">
        <v>25410</v>
      </c>
      <c r="L191" s="832">
        <v>1</v>
      </c>
      <c r="M191" s="832">
        <v>8470</v>
      </c>
      <c r="N191" s="832">
        <v>6</v>
      </c>
      <c r="O191" s="832">
        <v>50868</v>
      </c>
      <c r="P191" s="828">
        <v>2.0018890200708381</v>
      </c>
      <c r="Q191" s="833">
        <v>8478</v>
      </c>
    </row>
    <row r="192" spans="1:17" ht="14.45" customHeight="1" x14ac:dyDescent="0.2">
      <c r="A192" s="822" t="s">
        <v>6557</v>
      </c>
      <c r="B192" s="823" t="s">
        <v>6558</v>
      </c>
      <c r="C192" s="823" t="s">
        <v>5355</v>
      </c>
      <c r="D192" s="823" t="s">
        <v>6661</v>
      </c>
      <c r="E192" s="823" t="s">
        <v>6662</v>
      </c>
      <c r="F192" s="832"/>
      <c r="G192" s="832"/>
      <c r="H192" s="832"/>
      <c r="I192" s="832"/>
      <c r="J192" s="832"/>
      <c r="K192" s="832"/>
      <c r="L192" s="832"/>
      <c r="M192" s="832"/>
      <c r="N192" s="832">
        <v>2</v>
      </c>
      <c r="O192" s="832">
        <v>4136</v>
      </c>
      <c r="P192" s="828"/>
      <c r="Q192" s="833">
        <v>2068</v>
      </c>
    </row>
    <row r="193" spans="1:17" ht="14.45" customHeight="1" x14ac:dyDescent="0.2">
      <c r="A193" s="822" t="s">
        <v>6663</v>
      </c>
      <c r="B193" s="823" t="s">
        <v>6664</v>
      </c>
      <c r="C193" s="823" t="s">
        <v>5355</v>
      </c>
      <c r="D193" s="823" t="s">
        <v>6665</v>
      </c>
      <c r="E193" s="823" t="s">
        <v>6666</v>
      </c>
      <c r="F193" s="832">
        <v>540</v>
      </c>
      <c r="G193" s="832">
        <v>114480</v>
      </c>
      <c r="H193" s="832">
        <v>0.93472137170851199</v>
      </c>
      <c r="I193" s="832">
        <v>212</v>
      </c>
      <c r="J193" s="832">
        <v>575</v>
      </c>
      <c r="K193" s="832">
        <v>122475</v>
      </c>
      <c r="L193" s="832">
        <v>1</v>
      </c>
      <c r="M193" s="832">
        <v>213</v>
      </c>
      <c r="N193" s="832">
        <v>434</v>
      </c>
      <c r="O193" s="832">
        <v>93310</v>
      </c>
      <c r="P193" s="828">
        <v>0.76186976934068174</v>
      </c>
      <c r="Q193" s="833">
        <v>215</v>
      </c>
    </row>
    <row r="194" spans="1:17" ht="14.45" customHeight="1" x14ac:dyDescent="0.2">
      <c r="A194" s="822" t="s">
        <v>6663</v>
      </c>
      <c r="B194" s="823" t="s">
        <v>6664</v>
      </c>
      <c r="C194" s="823" t="s">
        <v>5355</v>
      </c>
      <c r="D194" s="823" t="s">
        <v>6667</v>
      </c>
      <c r="E194" s="823" t="s">
        <v>6666</v>
      </c>
      <c r="F194" s="832">
        <v>4</v>
      </c>
      <c r="G194" s="832">
        <v>348</v>
      </c>
      <c r="H194" s="832"/>
      <c r="I194" s="832">
        <v>87</v>
      </c>
      <c r="J194" s="832"/>
      <c r="K194" s="832"/>
      <c r="L194" s="832"/>
      <c r="M194" s="832"/>
      <c r="N194" s="832">
        <v>49</v>
      </c>
      <c r="O194" s="832">
        <v>4361</v>
      </c>
      <c r="P194" s="828"/>
      <c r="Q194" s="833">
        <v>89</v>
      </c>
    </row>
    <row r="195" spans="1:17" ht="14.45" customHeight="1" x14ac:dyDescent="0.2">
      <c r="A195" s="822" t="s">
        <v>6663</v>
      </c>
      <c r="B195" s="823" t="s">
        <v>6664</v>
      </c>
      <c r="C195" s="823" t="s">
        <v>5355</v>
      </c>
      <c r="D195" s="823" t="s">
        <v>6668</v>
      </c>
      <c r="E195" s="823" t="s">
        <v>6669</v>
      </c>
      <c r="F195" s="832">
        <v>318</v>
      </c>
      <c r="G195" s="832">
        <v>96036</v>
      </c>
      <c r="H195" s="832">
        <v>0.537204228897466</v>
      </c>
      <c r="I195" s="832">
        <v>302</v>
      </c>
      <c r="J195" s="832">
        <v>590</v>
      </c>
      <c r="K195" s="832">
        <v>178770</v>
      </c>
      <c r="L195" s="832">
        <v>1</v>
      </c>
      <c r="M195" s="832">
        <v>303</v>
      </c>
      <c r="N195" s="832">
        <v>468</v>
      </c>
      <c r="O195" s="832">
        <v>142740</v>
      </c>
      <c r="P195" s="828">
        <v>0.79845611679812045</v>
      </c>
      <c r="Q195" s="833">
        <v>305</v>
      </c>
    </row>
    <row r="196" spans="1:17" ht="14.45" customHeight="1" x14ac:dyDescent="0.2">
      <c r="A196" s="822" t="s">
        <v>6663</v>
      </c>
      <c r="B196" s="823" t="s">
        <v>6664</v>
      </c>
      <c r="C196" s="823" t="s">
        <v>5355</v>
      </c>
      <c r="D196" s="823" t="s">
        <v>6670</v>
      </c>
      <c r="E196" s="823" t="s">
        <v>6671</v>
      </c>
      <c r="F196" s="832">
        <v>3</v>
      </c>
      <c r="G196" s="832">
        <v>300</v>
      </c>
      <c r="H196" s="832">
        <v>0.25</v>
      </c>
      <c r="I196" s="832">
        <v>100</v>
      </c>
      <c r="J196" s="832">
        <v>12</v>
      </c>
      <c r="K196" s="832">
        <v>1200</v>
      </c>
      <c r="L196" s="832">
        <v>1</v>
      </c>
      <c r="M196" s="832">
        <v>100</v>
      </c>
      <c r="N196" s="832">
        <v>9</v>
      </c>
      <c r="O196" s="832">
        <v>909</v>
      </c>
      <c r="P196" s="828">
        <v>0.75749999999999995</v>
      </c>
      <c r="Q196" s="833">
        <v>101</v>
      </c>
    </row>
    <row r="197" spans="1:17" ht="14.45" customHeight="1" x14ac:dyDescent="0.2">
      <c r="A197" s="822" t="s">
        <v>6663</v>
      </c>
      <c r="B197" s="823" t="s">
        <v>6664</v>
      </c>
      <c r="C197" s="823" t="s">
        <v>5355</v>
      </c>
      <c r="D197" s="823" t="s">
        <v>6672</v>
      </c>
      <c r="E197" s="823" t="s">
        <v>6673</v>
      </c>
      <c r="F197" s="832"/>
      <c r="G197" s="832"/>
      <c r="H197" s="832"/>
      <c r="I197" s="832"/>
      <c r="J197" s="832"/>
      <c r="K197" s="832"/>
      <c r="L197" s="832"/>
      <c r="M197" s="832"/>
      <c r="N197" s="832">
        <v>1</v>
      </c>
      <c r="O197" s="832">
        <v>237</v>
      </c>
      <c r="P197" s="828"/>
      <c r="Q197" s="833">
        <v>237</v>
      </c>
    </row>
    <row r="198" spans="1:17" ht="14.45" customHeight="1" x14ac:dyDescent="0.2">
      <c r="A198" s="822" t="s">
        <v>6663</v>
      </c>
      <c r="B198" s="823" t="s">
        <v>6664</v>
      </c>
      <c r="C198" s="823" t="s">
        <v>5355</v>
      </c>
      <c r="D198" s="823" t="s">
        <v>6674</v>
      </c>
      <c r="E198" s="823" t="s">
        <v>6675</v>
      </c>
      <c r="F198" s="832">
        <v>287</v>
      </c>
      <c r="G198" s="832">
        <v>39319</v>
      </c>
      <c r="H198" s="832">
        <v>0.95610835521836401</v>
      </c>
      <c r="I198" s="832">
        <v>137</v>
      </c>
      <c r="J198" s="832">
        <v>298</v>
      </c>
      <c r="K198" s="832">
        <v>41124</v>
      </c>
      <c r="L198" s="832">
        <v>1</v>
      </c>
      <c r="M198" s="832">
        <v>138</v>
      </c>
      <c r="N198" s="832">
        <v>255</v>
      </c>
      <c r="O198" s="832">
        <v>35445</v>
      </c>
      <c r="P198" s="828">
        <v>0.86190545666763929</v>
      </c>
      <c r="Q198" s="833">
        <v>139</v>
      </c>
    </row>
    <row r="199" spans="1:17" ht="14.45" customHeight="1" x14ac:dyDescent="0.2">
      <c r="A199" s="822" t="s">
        <v>6663</v>
      </c>
      <c r="B199" s="823" t="s">
        <v>6664</v>
      </c>
      <c r="C199" s="823" t="s">
        <v>5355</v>
      </c>
      <c r="D199" s="823" t="s">
        <v>6676</v>
      </c>
      <c r="E199" s="823" t="s">
        <v>6675</v>
      </c>
      <c r="F199" s="832">
        <v>1</v>
      </c>
      <c r="G199" s="832">
        <v>184</v>
      </c>
      <c r="H199" s="832"/>
      <c r="I199" s="832">
        <v>184</v>
      </c>
      <c r="J199" s="832"/>
      <c r="K199" s="832"/>
      <c r="L199" s="832"/>
      <c r="M199" s="832"/>
      <c r="N199" s="832">
        <v>48</v>
      </c>
      <c r="O199" s="832">
        <v>8976</v>
      </c>
      <c r="P199" s="828"/>
      <c r="Q199" s="833">
        <v>187</v>
      </c>
    </row>
    <row r="200" spans="1:17" ht="14.45" customHeight="1" x14ac:dyDescent="0.2">
      <c r="A200" s="822" t="s">
        <v>6663</v>
      </c>
      <c r="B200" s="823" t="s">
        <v>6664</v>
      </c>
      <c r="C200" s="823" t="s">
        <v>5355</v>
      </c>
      <c r="D200" s="823" t="s">
        <v>6677</v>
      </c>
      <c r="E200" s="823" t="s">
        <v>6678</v>
      </c>
      <c r="F200" s="832"/>
      <c r="G200" s="832"/>
      <c r="H200" s="832"/>
      <c r="I200" s="832"/>
      <c r="J200" s="832">
        <v>1</v>
      </c>
      <c r="K200" s="832">
        <v>645</v>
      </c>
      <c r="L200" s="832">
        <v>1</v>
      </c>
      <c r="M200" s="832">
        <v>645</v>
      </c>
      <c r="N200" s="832">
        <v>1</v>
      </c>
      <c r="O200" s="832">
        <v>649</v>
      </c>
      <c r="P200" s="828">
        <v>1.006201550387597</v>
      </c>
      <c r="Q200" s="833">
        <v>649</v>
      </c>
    </row>
    <row r="201" spans="1:17" ht="14.45" customHeight="1" x14ac:dyDescent="0.2">
      <c r="A201" s="822" t="s">
        <v>6663</v>
      </c>
      <c r="B201" s="823" t="s">
        <v>6664</v>
      </c>
      <c r="C201" s="823" t="s">
        <v>5355</v>
      </c>
      <c r="D201" s="823" t="s">
        <v>6679</v>
      </c>
      <c r="E201" s="823" t="s">
        <v>6680</v>
      </c>
      <c r="F201" s="832"/>
      <c r="G201" s="832"/>
      <c r="H201" s="832"/>
      <c r="I201" s="832"/>
      <c r="J201" s="832"/>
      <c r="K201" s="832"/>
      <c r="L201" s="832"/>
      <c r="M201" s="832"/>
      <c r="N201" s="832">
        <v>10</v>
      </c>
      <c r="O201" s="832">
        <v>6180</v>
      </c>
      <c r="P201" s="828"/>
      <c r="Q201" s="833">
        <v>618</v>
      </c>
    </row>
    <row r="202" spans="1:17" ht="14.45" customHeight="1" x14ac:dyDescent="0.2">
      <c r="A202" s="822" t="s">
        <v>6663</v>
      </c>
      <c r="B202" s="823" t="s">
        <v>6664</v>
      </c>
      <c r="C202" s="823" t="s">
        <v>5355</v>
      </c>
      <c r="D202" s="823" t="s">
        <v>6681</v>
      </c>
      <c r="E202" s="823" t="s">
        <v>6682</v>
      </c>
      <c r="F202" s="832">
        <v>13</v>
      </c>
      <c r="G202" s="832">
        <v>2262</v>
      </c>
      <c r="H202" s="832">
        <v>0.61551020408163271</v>
      </c>
      <c r="I202" s="832">
        <v>174</v>
      </c>
      <c r="J202" s="832">
        <v>21</v>
      </c>
      <c r="K202" s="832">
        <v>3675</v>
      </c>
      <c r="L202" s="832">
        <v>1</v>
      </c>
      <c r="M202" s="832">
        <v>175</v>
      </c>
      <c r="N202" s="832">
        <v>60</v>
      </c>
      <c r="O202" s="832">
        <v>10560</v>
      </c>
      <c r="P202" s="828">
        <v>2.8734693877551019</v>
      </c>
      <c r="Q202" s="833">
        <v>176</v>
      </c>
    </row>
    <row r="203" spans="1:17" ht="14.45" customHeight="1" x14ac:dyDescent="0.2">
      <c r="A203" s="822" t="s">
        <v>6663</v>
      </c>
      <c r="B203" s="823" t="s">
        <v>6664</v>
      </c>
      <c r="C203" s="823" t="s">
        <v>5355</v>
      </c>
      <c r="D203" s="823" t="s">
        <v>6683</v>
      </c>
      <c r="E203" s="823" t="s">
        <v>6684</v>
      </c>
      <c r="F203" s="832">
        <v>32</v>
      </c>
      <c r="G203" s="832">
        <v>11104</v>
      </c>
      <c r="H203" s="832">
        <v>1.1817794806300554</v>
      </c>
      <c r="I203" s="832">
        <v>347</v>
      </c>
      <c r="J203" s="832">
        <v>27</v>
      </c>
      <c r="K203" s="832">
        <v>9396</v>
      </c>
      <c r="L203" s="832">
        <v>1</v>
      </c>
      <c r="M203" s="832">
        <v>348</v>
      </c>
      <c r="N203" s="832">
        <v>17</v>
      </c>
      <c r="O203" s="832">
        <v>5916</v>
      </c>
      <c r="P203" s="828">
        <v>0.62962962962962965</v>
      </c>
      <c r="Q203" s="833">
        <v>348</v>
      </c>
    </row>
    <row r="204" spans="1:17" ht="14.45" customHeight="1" x14ac:dyDescent="0.2">
      <c r="A204" s="822" t="s">
        <v>6663</v>
      </c>
      <c r="B204" s="823" t="s">
        <v>6664</v>
      </c>
      <c r="C204" s="823" t="s">
        <v>5355</v>
      </c>
      <c r="D204" s="823" t="s">
        <v>6685</v>
      </c>
      <c r="E204" s="823" t="s">
        <v>6686</v>
      </c>
      <c r="F204" s="832">
        <v>85</v>
      </c>
      <c r="G204" s="832">
        <v>23290</v>
      </c>
      <c r="H204" s="832">
        <v>1.1362084105766417</v>
      </c>
      <c r="I204" s="832">
        <v>274</v>
      </c>
      <c r="J204" s="832">
        <v>74</v>
      </c>
      <c r="K204" s="832">
        <v>20498</v>
      </c>
      <c r="L204" s="832">
        <v>1</v>
      </c>
      <c r="M204" s="832">
        <v>277</v>
      </c>
      <c r="N204" s="832">
        <v>54</v>
      </c>
      <c r="O204" s="832">
        <v>15066</v>
      </c>
      <c r="P204" s="828">
        <v>0.73499853644257973</v>
      </c>
      <c r="Q204" s="833">
        <v>279</v>
      </c>
    </row>
    <row r="205" spans="1:17" ht="14.45" customHeight="1" x14ac:dyDescent="0.2">
      <c r="A205" s="822" t="s">
        <v>6663</v>
      </c>
      <c r="B205" s="823" t="s">
        <v>6664</v>
      </c>
      <c r="C205" s="823" t="s">
        <v>5355</v>
      </c>
      <c r="D205" s="823" t="s">
        <v>6687</v>
      </c>
      <c r="E205" s="823" t="s">
        <v>6688</v>
      </c>
      <c r="F205" s="832">
        <v>110</v>
      </c>
      <c r="G205" s="832">
        <v>15620</v>
      </c>
      <c r="H205" s="832">
        <v>0.93881476138959008</v>
      </c>
      <c r="I205" s="832">
        <v>142</v>
      </c>
      <c r="J205" s="832">
        <v>118</v>
      </c>
      <c r="K205" s="832">
        <v>16638</v>
      </c>
      <c r="L205" s="832">
        <v>1</v>
      </c>
      <c r="M205" s="832">
        <v>141</v>
      </c>
      <c r="N205" s="832">
        <v>72</v>
      </c>
      <c r="O205" s="832">
        <v>10224</v>
      </c>
      <c r="P205" s="828">
        <v>0.6144969347277317</v>
      </c>
      <c r="Q205" s="833">
        <v>142</v>
      </c>
    </row>
    <row r="206" spans="1:17" ht="14.45" customHeight="1" x14ac:dyDescent="0.2">
      <c r="A206" s="822" t="s">
        <v>6663</v>
      </c>
      <c r="B206" s="823" t="s">
        <v>6664</v>
      </c>
      <c r="C206" s="823" t="s">
        <v>5355</v>
      </c>
      <c r="D206" s="823" t="s">
        <v>6689</v>
      </c>
      <c r="E206" s="823" t="s">
        <v>6688</v>
      </c>
      <c r="F206" s="832">
        <v>287</v>
      </c>
      <c r="G206" s="832">
        <v>22386</v>
      </c>
      <c r="H206" s="832">
        <v>0.95089627049528502</v>
      </c>
      <c r="I206" s="832">
        <v>78</v>
      </c>
      <c r="J206" s="832">
        <v>298</v>
      </c>
      <c r="K206" s="832">
        <v>23542</v>
      </c>
      <c r="L206" s="832">
        <v>1</v>
      </c>
      <c r="M206" s="832">
        <v>79</v>
      </c>
      <c r="N206" s="832">
        <v>255</v>
      </c>
      <c r="O206" s="832">
        <v>20145</v>
      </c>
      <c r="P206" s="828">
        <v>0.85570469798657722</v>
      </c>
      <c r="Q206" s="833">
        <v>79</v>
      </c>
    </row>
    <row r="207" spans="1:17" ht="14.45" customHeight="1" x14ac:dyDescent="0.2">
      <c r="A207" s="822" t="s">
        <v>6663</v>
      </c>
      <c r="B207" s="823" t="s">
        <v>6664</v>
      </c>
      <c r="C207" s="823" t="s">
        <v>5355</v>
      </c>
      <c r="D207" s="823" t="s">
        <v>6690</v>
      </c>
      <c r="E207" s="823" t="s">
        <v>6691</v>
      </c>
      <c r="F207" s="832">
        <v>110</v>
      </c>
      <c r="G207" s="832">
        <v>34540</v>
      </c>
      <c r="H207" s="832">
        <v>0.92630336837588501</v>
      </c>
      <c r="I207" s="832">
        <v>314</v>
      </c>
      <c r="J207" s="832">
        <v>118</v>
      </c>
      <c r="K207" s="832">
        <v>37288</v>
      </c>
      <c r="L207" s="832">
        <v>1</v>
      </c>
      <c r="M207" s="832">
        <v>316</v>
      </c>
      <c r="N207" s="832">
        <v>72</v>
      </c>
      <c r="O207" s="832">
        <v>22896</v>
      </c>
      <c r="P207" s="828">
        <v>0.61403132375026814</v>
      </c>
      <c r="Q207" s="833">
        <v>318</v>
      </c>
    </row>
    <row r="208" spans="1:17" ht="14.45" customHeight="1" x14ac:dyDescent="0.2">
      <c r="A208" s="822" t="s">
        <v>6663</v>
      </c>
      <c r="B208" s="823" t="s">
        <v>6664</v>
      </c>
      <c r="C208" s="823" t="s">
        <v>5355</v>
      </c>
      <c r="D208" s="823" t="s">
        <v>6692</v>
      </c>
      <c r="E208" s="823" t="s">
        <v>6693</v>
      </c>
      <c r="F208" s="832">
        <v>80</v>
      </c>
      <c r="G208" s="832">
        <v>26240</v>
      </c>
      <c r="H208" s="832">
        <v>1.1558962160257258</v>
      </c>
      <c r="I208" s="832">
        <v>328</v>
      </c>
      <c r="J208" s="832">
        <v>69</v>
      </c>
      <c r="K208" s="832">
        <v>22701</v>
      </c>
      <c r="L208" s="832">
        <v>1</v>
      </c>
      <c r="M208" s="832">
        <v>329</v>
      </c>
      <c r="N208" s="832">
        <v>90</v>
      </c>
      <c r="O208" s="832">
        <v>29610</v>
      </c>
      <c r="P208" s="828">
        <v>1.3043478260869565</v>
      </c>
      <c r="Q208" s="833">
        <v>329</v>
      </c>
    </row>
    <row r="209" spans="1:17" ht="14.45" customHeight="1" x14ac:dyDescent="0.2">
      <c r="A209" s="822" t="s">
        <v>6663</v>
      </c>
      <c r="B209" s="823" t="s">
        <v>6664</v>
      </c>
      <c r="C209" s="823" t="s">
        <v>5355</v>
      </c>
      <c r="D209" s="823" t="s">
        <v>6694</v>
      </c>
      <c r="E209" s="823" t="s">
        <v>6695</v>
      </c>
      <c r="F209" s="832">
        <v>235</v>
      </c>
      <c r="G209" s="832">
        <v>38305</v>
      </c>
      <c r="H209" s="832">
        <v>1.126949102677258</v>
      </c>
      <c r="I209" s="832">
        <v>163</v>
      </c>
      <c r="J209" s="832">
        <v>206</v>
      </c>
      <c r="K209" s="832">
        <v>33990</v>
      </c>
      <c r="L209" s="832">
        <v>1</v>
      </c>
      <c r="M209" s="832">
        <v>165</v>
      </c>
      <c r="N209" s="832">
        <v>174</v>
      </c>
      <c r="O209" s="832">
        <v>28884</v>
      </c>
      <c r="P209" s="828">
        <v>0.84977934686672552</v>
      </c>
      <c r="Q209" s="833">
        <v>166</v>
      </c>
    </row>
    <row r="210" spans="1:17" ht="14.45" customHeight="1" x14ac:dyDescent="0.2">
      <c r="A210" s="822" t="s">
        <v>6663</v>
      </c>
      <c r="B210" s="823" t="s">
        <v>6664</v>
      </c>
      <c r="C210" s="823" t="s">
        <v>5355</v>
      </c>
      <c r="D210" s="823" t="s">
        <v>6696</v>
      </c>
      <c r="E210" s="823" t="s">
        <v>6666</v>
      </c>
      <c r="F210" s="832">
        <v>826</v>
      </c>
      <c r="G210" s="832">
        <v>59472</v>
      </c>
      <c r="H210" s="832">
        <v>0.91016497811514796</v>
      </c>
      <c r="I210" s="832">
        <v>72</v>
      </c>
      <c r="J210" s="832">
        <v>883</v>
      </c>
      <c r="K210" s="832">
        <v>65342</v>
      </c>
      <c r="L210" s="832">
        <v>1</v>
      </c>
      <c r="M210" s="832">
        <v>74</v>
      </c>
      <c r="N210" s="832">
        <v>732</v>
      </c>
      <c r="O210" s="832">
        <v>54168</v>
      </c>
      <c r="P210" s="828">
        <v>0.82899207248018125</v>
      </c>
      <c r="Q210" s="833">
        <v>74</v>
      </c>
    </row>
    <row r="211" spans="1:17" ht="14.45" customHeight="1" x14ac:dyDescent="0.2">
      <c r="A211" s="822" t="s">
        <v>6663</v>
      </c>
      <c r="B211" s="823" t="s">
        <v>6664</v>
      </c>
      <c r="C211" s="823" t="s">
        <v>5355</v>
      </c>
      <c r="D211" s="823" t="s">
        <v>6697</v>
      </c>
      <c r="E211" s="823" t="s">
        <v>6698</v>
      </c>
      <c r="F211" s="832"/>
      <c r="G211" s="832"/>
      <c r="H211" s="832"/>
      <c r="I211" s="832"/>
      <c r="J211" s="832"/>
      <c r="K211" s="832"/>
      <c r="L211" s="832"/>
      <c r="M211" s="832"/>
      <c r="N211" s="832">
        <v>11</v>
      </c>
      <c r="O211" s="832">
        <v>2585</v>
      </c>
      <c r="P211" s="828"/>
      <c r="Q211" s="833">
        <v>235</v>
      </c>
    </row>
    <row r="212" spans="1:17" ht="14.45" customHeight="1" x14ac:dyDescent="0.2">
      <c r="A212" s="822" t="s">
        <v>6663</v>
      </c>
      <c r="B212" s="823" t="s">
        <v>6664</v>
      </c>
      <c r="C212" s="823" t="s">
        <v>5355</v>
      </c>
      <c r="D212" s="823" t="s">
        <v>6699</v>
      </c>
      <c r="E212" s="823" t="s">
        <v>6700</v>
      </c>
      <c r="F212" s="832">
        <v>19</v>
      </c>
      <c r="G212" s="832">
        <v>23028</v>
      </c>
      <c r="H212" s="832">
        <v>0.82336956521739135</v>
      </c>
      <c r="I212" s="832">
        <v>1212</v>
      </c>
      <c r="J212" s="832">
        <v>23</v>
      </c>
      <c r="K212" s="832">
        <v>27968</v>
      </c>
      <c r="L212" s="832">
        <v>1</v>
      </c>
      <c r="M212" s="832">
        <v>1216</v>
      </c>
      <c r="N212" s="832">
        <v>30</v>
      </c>
      <c r="O212" s="832">
        <v>36600</v>
      </c>
      <c r="P212" s="828">
        <v>1.3086384439359269</v>
      </c>
      <c r="Q212" s="833">
        <v>1220</v>
      </c>
    </row>
    <row r="213" spans="1:17" ht="14.45" customHeight="1" x14ac:dyDescent="0.2">
      <c r="A213" s="822" t="s">
        <v>6663</v>
      </c>
      <c r="B213" s="823" t="s">
        <v>6664</v>
      </c>
      <c r="C213" s="823" t="s">
        <v>5355</v>
      </c>
      <c r="D213" s="823" t="s">
        <v>6701</v>
      </c>
      <c r="E213" s="823" t="s">
        <v>6702</v>
      </c>
      <c r="F213" s="832">
        <v>14</v>
      </c>
      <c r="G213" s="832">
        <v>1610</v>
      </c>
      <c r="H213" s="832">
        <v>0.86745689655172409</v>
      </c>
      <c r="I213" s="832">
        <v>115</v>
      </c>
      <c r="J213" s="832">
        <v>16</v>
      </c>
      <c r="K213" s="832">
        <v>1856</v>
      </c>
      <c r="L213" s="832">
        <v>1</v>
      </c>
      <c r="M213" s="832">
        <v>116</v>
      </c>
      <c r="N213" s="832">
        <v>15</v>
      </c>
      <c r="O213" s="832">
        <v>1755</v>
      </c>
      <c r="P213" s="828">
        <v>0.94558189655172409</v>
      </c>
      <c r="Q213" s="833">
        <v>117</v>
      </c>
    </row>
    <row r="214" spans="1:17" ht="14.45" customHeight="1" x14ac:dyDescent="0.2">
      <c r="A214" s="822" t="s">
        <v>6663</v>
      </c>
      <c r="B214" s="823" t="s">
        <v>6664</v>
      </c>
      <c r="C214" s="823" t="s">
        <v>5355</v>
      </c>
      <c r="D214" s="823" t="s">
        <v>6703</v>
      </c>
      <c r="E214" s="823" t="s">
        <v>6704</v>
      </c>
      <c r="F214" s="832"/>
      <c r="G214" s="832"/>
      <c r="H214" s="832"/>
      <c r="I214" s="832"/>
      <c r="J214" s="832"/>
      <c r="K214" s="832"/>
      <c r="L214" s="832"/>
      <c r="M214" s="832"/>
      <c r="N214" s="832">
        <v>1</v>
      </c>
      <c r="O214" s="832">
        <v>352</v>
      </c>
      <c r="P214" s="828"/>
      <c r="Q214" s="833">
        <v>352</v>
      </c>
    </row>
    <row r="215" spans="1:17" ht="14.45" customHeight="1" x14ac:dyDescent="0.2">
      <c r="A215" s="822" t="s">
        <v>6663</v>
      </c>
      <c r="B215" s="823" t="s">
        <v>6664</v>
      </c>
      <c r="C215" s="823" t="s">
        <v>5355</v>
      </c>
      <c r="D215" s="823" t="s">
        <v>6705</v>
      </c>
      <c r="E215" s="823" t="s">
        <v>6706</v>
      </c>
      <c r="F215" s="832"/>
      <c r="G215" s="832"/>
      <c r="H215" s="832"/>
      <c r="I215" s="832"/>
      <c r="J215" s="832"/>
      <c r="K215" s="832"/>
      <c r="L215" s="832"/>
      <c r="M215" s="832"/>
      <c r="N215" s="832">
        <v>11</v>
      </c>
      <c r="O215" s="832">
        <v>11902</v>
      </c>
      <c r="P215" s="828"/>
      <c r="Q215" s="833">
        <v>1082</v>
      </c>
    </row>
    <row r="216" spans="1:17" ht="14.45" customHeight="1" x14ac:dyDescent="0.2">
      <c r="A216" s="822" t="s">
        <v>6707</v>
      </c>
      <c r="B216" s="823" t="s">
        <v>6708</v>
      </c>
      <c r="C216" s="823" t="s">
        <v>5355</v>
      </c>
      <c r="D216" s="823" t="s">
        <v>6709</v>
      </c>
      <c r="E216" s="823" t="s">
        <v>6710</v>
      </c>
      <c r="F216" s="832">
        <v>13</v>
      </c>
      <c r="G216" s="832">
        <v>754</v>
      </c>
      <c r="H216" s="832">
        <v>0.67261373773416588</v>
      </c>
      <c r="I216" s="832">
        <v>58</v>
      </c>
      <c r="J216" s="832">
        <v>19</v>
      </c>
      <c r="K216" s="832">
        <v>1121</v>
      </c>
      <c r="L216" s="832">
        <v>1</v>
      </c>
      <c r="M216" s="832">
        <v>59</v>
      </c>
      <c r="N216" s="832">
        <v>13</v>
      </c>
      <c r="O216" s="832">
        <v>767</v>
      </c>
      <c r="P216" s="828">
        <v>0.68421052631578949</v>
      </c>
      <c r="Q216" s="833">
        <v>59</v>
      </c>
    </row>
    <row r="217" spans="1:17" ht="14.45" customHeight="1" x14ac:dyDescent="0.2">
      <c r="A217" s="822" t="s">
        <v>6707</v>
      </c>
      <c r="B217" s="823" t="s">
        <v>6708</v>
      </c>
      <c r="C217" s="823" t="s">
        <v>5355</v>
      </c>
      <c r="D217" s="823" t="s">
        <v>6711</v>
      </c>
      <c r="E217" s="823" t="s">
        <v>6712</v>
      </c>
      <c r="F217" s="832">
        <v>9</v>
      </c>
      <c r="G217" s="832">
        <v>1188</v>
      </c>
      <c r="H217" s="832">
        <v>1.8</v>
      </c>
      <c r="I217" s="832">
        <v>132</v>
      </c>
      <c r="J217" s="832">
        <v>5</v>
      </c>
      <c r="K217" s="832">
        <v>660</v>
      </c>
      <c r="L217" s="832">
        <v>1</v>
      </c>
      <c r="M217" s="832">
        <v>132</v>
      </c>
      <c r="N217" s="832">
        <v>10</v>
      </c>
      <c r="O217" s="832">
        <v>1330</v>
      </c>
      <c r="P217" s="828">
        <v>2.0151515151515151</v>
      </c>
      <c r="Q217" s="833">
        <v>133</v>
      </c>
    </row>
    <row r="218" spans="1:17" ht="14.45" customHeight="1" x14ac:dyDescent="0.2">
      <c r="A218" s="822" t="s">
        <v>6707</v>
      </c>
      <c r="B218" s="823" t="s">
        <v>6708</v>
      </c>
      <c r="C218" s="823" t="s">
        <v>5355</v>
      </c>
      <c r="D218" s="823" t="s">
        <v>6713</v>
      </c>
      <c r="E218" s="823" t="s">
        <v>6714</v>
      </c>
      <c r="F218" s="832"/>
      <c r="G218" s="832"/>
      <c r="H218" s="832"/>
      <c r="I218" s="832"/>
      <c r="J218" s="832"/>
      <c r="K218" s="832"/>
      <c r="L218" s="832"/>
      <c r="M218" s="832"/>
      <c r="N218" s="832">
        <v>1</v>
      </c>
      <c r="O218" s="832">
        <v>413</v>
      </c>
      <c r="P218" s="828"/>
      <c r="Q218" s="833">
        <v>413</v>
      </c>
    </row>
    <row r="219" spans="1:17" ht="14.45" customHeight="1" x14ac:dyDescent="0.2">
      <c r="A219" s="822" t="s">
        <v>6707</v>
      </c>
      <c r="B219" s="823" t="s">
        <v>6708</v>
      </c>
      <c r="C219" s="823" t="s">
        <v>5355</v>
      </c>
      <c r="D219" s="823" t="s">
        <v>6715</v>
      </c>
      <c r="E219" s="823" t="s">
        <v>6716</v>
      </c>
      <c r="F219" s="832">
        <v>4</v>
      </c>
      <c r="G219" s="832">
        <v>720</v>
      </c>
      <c r="H219" s="832">
        <v>0.98360655737704916</v>
      </c>
      <c r="I219" s="832">
        <v>180</v>
      </c>
      <c r="J219" s="832">
        <v>4</v>
      </c>
      <c r="K219" s="832">
        <v>732</v>
      </c>
      <c r="L219" s="832">
        <v>1</v>
      </c>
      <c r="M219" s="832">
        <v>183</v>
      </c>
      <c r="N219" s="832">
        <v>1</v>
      </c>
      <c r="O219" s="832">
        <v>185</v>
      </c>
      <c r="P219" s="828">
        <v>0.25273224043715847</v>
      </c>
      <c r="Q219" s="833">
        <v>185</v>
      </c>
    </row>
    <row r="220" spans="1:17" ht="14.45" customHeight="1" x14ac:dyDescent="0.2">
      <c r="A220" s="822" t="s">
        <v>6707</v>
      </c>
      <c r="B220" s="823" t="s">
        <v>6708</v>
      </c>
      <c r="C220" s="823" t="s">
        <v>5355</v>
      </c>
      <c r="D220" s="823" t="s">
        <v>6717</v>
      </c>
      <c r="E220" s="823" t="s">
        <v>6718</v>
      </c>
      <c r="F220" s="832">
        <v>35</v>
      </c>
      <c r="G220" s="832">
        <v>11795</v>
      </c>
      <c r="H220" s="832">
        <v>0.98826979472140764</v>
      </c>
      <c r="I220" s="832">
        <v>337</v>
      </c>
      <c r="J220" s="832">
        <v>35</v>
      </c>
      <c r="K220" s="832">
        <v>11935</v>
      </c>
      <c r="L220" s="832">
        <v>1</v>
      </c>
      <c r="M220" s="832">
        <v>341</v>
      </c>
      <c r="N220" s="832">
        <v>34</v>
      </c>
      <c r="O220" s="832">
        <v>11696</v>
      </c>
      <c r="P220" s="828">
        <v>0.97997486384583155</v>
      </c>
      <c r="Q220" s="833">
        <v>344</v>
      </c>
    </row>
    <row r="221" spans="1:17" ht="14.45" customHeight="1" x14ac:dyDescent="0.2">
      <c r="A221" s="822" t="s">
        <v>6707</v>
      </c>
      <c r="B221" s="823" t="s">
        <v>6708</v>
      </c>
      <c r="C221" s="823" t="s">
        <v>5355</v>
      </c>
      <c r="D221" s="823" t="s">
        <v>6719</v>
      </c>
      <c r="E221" s="823" t="s">
        <v>6720</v>
      </c>
      <c r="F221" s="832">
        <v>33</v>
      </c>
      <c r="G221" s="832">
        <v>11550</v>
      </c>
      <c r="H221" s="832">
        <v>0.71534745447788928</v>
      </c>
      <c r="I221" s="832">
        <v>350</v>
      </c>
      <c r="J221" s="832">
        <v>46</v>
      </c>
      <c r="K221" s="832">
        <v>16146</v>
      </c>
      <c r="L221" s="832">
        <v>1</v>
      </c>
      <c r="M221" s="832">
        <v>351</v>
      </c>
      <c r="N221" s="832">
        <v>45</v>
      </c>
      <c r="O221" s="832">
        <v>15885</v>
      </c>
      <c r="P221" s="828">
        <v>0.98383500557413606</v>
      </c>
      <c r="Q221" s="833">
        <v>353</v>
      </c>
    </row>
    <row r="222" spans="1:17" ht="14.45" customHeight="1" x14ac:dyDescent="0.2">
      <c r="A222" s="822" t="s">
        <v>6707</v>
      </c>
      <c r="B222" s="823" t="s">
        <v>6708</v>
      </c>
      <c r="C222" s="823" t="s">
        <v>5355</v>
      </c>
      <c r="D222" s="823" t="s">
        <v>6721</v>
      </c>
      <c r="E222" s="823" t="s">
        <v>6722</v>
      </c>
      <c r="F222" s="832"/>
      <c r="G222" s="832"/>
      <c r="H222" s="832"/>
      <c r="I222" s="832"/>
      <c r="J222" s="832"/>
      <c r="K222" s="832"/>
      <c r="L222" s="832"/>
      <c r="M222" s="832"/>
      <c r="N222" s="832">
        <v>1</v>
      </c>
      <c r="O222" s="832">
        <v>119</v>
      </c>
      <c r="P222" s="828"/>
      <c r="Q222" s="833">
        <v>119</v>
      </c>
    </row>
    <row r="223" spans="1:17" ht="14.45" customHeight="1" x14ac:dyDescent="0.2">
      <c r="A223" s="822" t="s">
        <v>6707</v>
      </c>
      <c r="B223" s="823" t="s">
        <v>6708</v>
      </c>
      <c r="C223" s="823" t="s">
        <v>5355</v>
      </c>
      <c r="D223" s="823" t="s">
        <v>6723</v>
      </c>
      <c r="E223" s="823" t="s">
        <v>6724</v>
      </c>
      <c r="F223" s="832"/>
      <c r="G223" s="832"/>
      <c r="H223" s="832"/>
      <c r="I223" s="832"/>
      <c r="J223" s="832"/>
      <c r="K223" s="832"/>
      <c r="L223" s="832"/>
      <c r="M223" s="832"/>
      <c r="N223" s="832">
        <v>1</v>
      </c>
      <c r="O223" s="832">
        <v>39</v>
      </c>
      <c r="P223" s="828"/>
      <c r="Q223" s="833">
        <v>39</v>
      </c>
    </row>
    <row r="224" spans="1:17" ht="14.45" customHeight="1" x14ac:dyDescent="0.2">
      <c r="A224" s="822" t="s">
        <v>6707</v>
      </c>
      <c r="B224" s="823" t="s">
        <v>6708</v>
      </c>
      <c r="C224" s="823" t="s">
        <v>5355</v>
      </c>
      <c r="D224" s="823" t="s">
        <v>6725</v>
      </c>
      <c r="E224" s="823" t="s">
        <v>6726</v>
      </c>
      <c r="F224" s="832">
        <v>17</v>
      </c>
      <c r="G224" s="832">
        <v>5185</v>
      </c>
      <c r="H224" s="832">
        <v>0.99025974025974028</v>
      </c>
      <c r="I224" s="832">
        <v>305</v>
      </c>
      <c r="J224" s="832">
        <v>17</v>
      </c>
      <c r="K224" s="832">
        <v>5236</v>
      </c>
      <c r="L224" s="832">
        <v>1</v>
      </c>
      <c r="M224" s="832">
        <v>308</v>
      </c>
      <c r="N224" s="832">
        <v>13</v>
      </c>
      <c r="O224" s="832">
        <v>4030</v>
      </c>
      <c r="P224" s="828">
        <v>0.76967150496562264</v>
      </c>
      <c r="Q224" s="833">
        <v>310</v>
      </c>
    </row>
    <row r="225" spans="1:17" ht="14.45" customHeight="1" x14ac:dyDescent="0.2">
      <c r="A225" s="822" t="s">
        <v>6707</v>
      </c>
      <c r="B225" s="823" t="s">
        <v>6708</v>
      </c>
      <c r="C225" s="823" t="s">
        <v>5355</v>
      </c>
      <c r="D225" s="823" t="s">
        <v>6727</v>
      </c>
      <c r="E225" s="823" t="s">
        <v>6728</v>
      </c>
      <c r="F225" s="832">
        <v>10</v>
      </c>
      <c r="G225" s="832">
        <v>4950</v>
      </c>
      <c r="H225" s="832">
        <v>0.66132264529058116</v>
      </c>
      <c r="I225" s="832">
        <v>495</v>
      </c>
      <c r="J225" s="832">
        <v>15</v>
      </c>
      <c r="K225" s="832">
        <v>7485</v>
      </c>
      <c r="L225" s="832">
        <v>1</v>
      </c>
      <c r="M225" s="832">
        <v>499</v>
      </c>
      <c r="N225" s="832">
        <v>10</v>
      </c>
      <c r="O225" s="832">
        <v>5030</v>
      </c>
      <c r="P225" s="828">
        <v>0.67201068804275221</v>
      </c>
      <c r="Q225" s="833">
        <v>503</v>
      </c>
    </row>
    <row r="226" spans="1:17" ht="14.45" customHeight="1" x14ac:dyDescent="0.2">
      <c r="A226" s="822" t="s">
        <v>6707</v>
      </c>
      <c r="B226" s="823" t="s">
        <v>6708</v>
      </c>
      <c r="C226" s="823" t="s">
        <v>5355</v>
      </c>
      <c r="D226" s="823" t="s">
        <v>6729</v>
      </c>
      <c r="E226" s="823" t="s">
        <v>6730</v>
      </c>
      <c r="F226" s="832">
        <v>26</v>
      </c>
      <c r="G226" s="832">
        <v>9646</v>
      </c>
      <c r="H226" s="832">
        <v>0.95015760441292352</v>
      </c>
      <c r="I226" s="832">
        <v>371</v>
      </c>
      <c r="J226" s="832">
        <v>27</v>
      </c>
      <c r="K226" s="832">
        <v>10152</v>
      </c>
      <c r="L226" s="832">
        <v>1</v>
      </c>
      <c r="M226" s="832">
        <v>376</v>
      </c>
      <c r="N226" s="832">
        <v>23</v>
      </c>
      <c r="O226" s="832">
        <v>8740</v>
      </c>
      <c r="P226" s="828">
        <v>0.86091410559495662</v>
      </c>
      <c r="Q226" s="833">
        <v>380</v>
      </c>
    </row>
    <row r="227" spans="1:17" ht="14.45" customHeight="1" x14ac:dyDescent="0.2">
      <c r="A227" s="822" t="s">
        <v>6707</v>
      </c>
      <c r="B227" s="823" t="s">
        <v>6708</v>
      </c>
      <c r="C227" s="823" t="s">
        <v>5355</v>
      </c>
      <c r="D227" s="823" t="s">
        <v>6731</v>
      </c>
      <c r="E227" s="823" t="s">
        <v>6732</v>
      </c>
      <c r="F227" s="832"/>
      <c r="G227" s="832"/>
      <c r="H227" s="832"/>
      <c r="I227" s="832"/>
      <c r="J227" s="832">
        <v>1</v>
      </c>
      <c r="K227" s="832">
        <v>113</v>
      </c>
      <c r="L227" s="832">
        <v>1</v>
      </c>
      <c r="M227" s="832">
        <v>113</v>
      </c>
      <c r="N227" s="832">
        <v>3</v>
      </c>
      <c r="O227" s="832">
        <v>342</v>
      </c>
      <c r="P227" s="828">
        <v>3.0265486725663715</v>
      </c>
      <c r="Q227" s="833">
        <v>114</v>
      </c>
    </row>
    <row r="228" spans="1:17" ht="14.45" customHeight="1" x14ac:dyDescent="0.2">
      <c r="A228" s="822" t="s">
        <v>6707</v>
      </c>
      <c r="B228" s="823" t="s">
        <v>6708</v>
      </c>
      <c r="C228" s="823" t="s">
        <v>5355</v>
      </c>
      <c r="D228" s="823" t="s">
        <v>6733</v>
      </c>
      <c r="E228" s="823" t="s">
        <v>6734</v>
      </c>
      <c r="F228" s="832"/>
      <c r="G228" s="832"/>
      <c r="H228" s="832"/>
      <c r="I228" s="832"/>
      <c r="J228" s="832"/>
      <c r="K228" s="832"/>
      <c r="L228" s="832"/>
      <c r="M228" s="832"/>
      <c r="N228" s="832">
        <v>1</v>
      </c>
      <c r="O228" s="832">
        <v>504</v>
      </c>
      <c r="P228" s="828"/>
      <c r="Q228" s="833">
        <v>504</v>
      </c>
    </row>
    <row r="229" spans="1:17" ht="14.45" customHeight="1" x14ac:dyDescent="0.2">
      <c r="A229" s="822" t="s">
        <v>6707</v>
      </c>
      <c r="B229" s="823" t="s">
        <v>6708</v>
      </c>
      <c r="C229" s="823" t="s">
        <v>5355</v>
      </c>
      <c r="D229" s="823" t="s">
        <v>6735</v>
      </c>
      <c r="E229" s="823" t="s">
        <v>6736</v>
      </c>
      <c r="F229" s="832">
        <v>3</v>
      </c>
      <c r="G229" s="832">
        <v>1374</v>
      </c>
      <c r="H229" s="832">
        <v>0.24730021598272139</v>
      </c>
      <c r="I229" s="832">
        <v>458</v>
      </c>
      <c r="J229" s="832">
        <v>12</v>
      </c>
      <c r="K229" s="832">
        <v>5556</v>
      </c>
      <c r="L229" s="832">
        <v>1</v>
      </c>
      <c r="M229" s="832">
        <v>463</v>
      </c>
      <c r="N229" s="832">
        <v>7</v>
      </c>
      <c r="O229" s="832">
        <v>3269</v>
      </c>
      <c r="P229" s="828">
        <v>0.58837293016558678</v>
      </c>
      <c r="Q229" s="833">
        <v>467</v>
      </c>
    </row>
    <row r="230" spans="1:17" ht="14.45" customHeight="1" x14ac:dyDescent="0.2">
      <c r="A230" s="822" t="s">
        <v>6707</v>
      </c>
      <c r="B230" s="823" t="s">
        <v>6708</v>
      </c>
      <c r="C230" s="823" t="s">
        <v>5355</v>
      </c>
      <c r="D230" s="823" t="s">
        <v>6737</v>
      </c>
      <c r="E230" s="823" t="s">
        <v>6738</v>
      </c>
      <c r="F230" s="832">
        <v>12</v>
      </c>
      <c r="G230" s="832">
        <v>696</v>
      </c>
      <c r="H230" s="832">
        <v>1.4745762711864407</v>
      </c>
      <c r="I230" s="832">
        <v>58</v>
      </c>
      <c r="J230" s="832">
        <v>8</v>
      </c>
      <c r="K230" s="832">
        <v>472</v>
      </c>
      <c r="L230" s="832">
        <v>1</v>
      </c>
      <c r="M230" s="832">
        <v>59</v>
      </c>
      <c r="N230" s="832">
        <v>2</v>
      </c>
      <c r="O230" s="832">
        <v>118</v>
      </c>
      <c r="P230" s="828">
        <v>0.25</v>
      </c>
      <c r="Q230" s="833">
        <v>59</v>
      </c>
    </row>
    <row r="231" spans="1:17" ht="14.45" customHeight="1" x14ac:dyDescent="0.2">
      <c r="A231" s="822" t="s">
        <v>6707</v>
      </c>
      <c r="B231" s="823" t="s">
        <v>6708</v>
      </c>
      <c r="C231" s="823" t="s">
        <v>5355</v>
      </c>
      <c r="D231" s="823" t="s">
        <v>6739</v>
      </c>
      <c r="E231" s="823" t="s">
        <v>6740</v>
      </c>
      <c r="F231" s="832"/>
      <c r="G231" s="832"/>
      <c r="H231" s="832"/>
      <c r="I231" s="832"/>
      <c r="J231" s="832"/>
      <c r="K231" s="832"/>
      <c r="L231" s="832"/>
      <c r="M231" s="832"/>
      <c r="N231" s="832">
        <v>4</v>
      </c>
      <c r="O231" s="832">
        <v>42120</v>
      </c>
      <c r="P231" s="828"/>
      <c r="Q231" s="833">
        <v>10530</v>
      </c>
    </row>
    <row r="232" spans="1:17" ht="14.45" customHeight="1" x14ac:dyDescent="0.2">
      <c r="A232" s="822" t="s">
        <v>6707</v>
      </c>
      <c r="B232" s="823" t="s">
        <v>6708</v>
      </c>
      <c r="C232" s="823" t="s">
        <v>5355</v>
      </c>
      <c r="D232" s="823" t="s">
        <v>6741</v>
      </c>
      <c r="E232" s="823" t="s">
        <v>6742</v>
      </c>
      <c r="F232" s="832">
        <v>134</v>
      </c>
      <c r="G232" s="832">
        <v>23584</v>
      </c>
      <c r="H232" s="832">
        <v>1.0293296089385475</v>
      </c>
      <c r="I232" s="832">
        <v>176</v>
      </c>
      <c r="J232" s="832">
        <v>128</v>
      </c>
      <c r="K232" s="832">
        <v>22912</v>
      </c>
      <c r="L232" s="832">
        <v>1</v>
      </c>
      <c r="M232" s="832">
        <v>179</v>
      </c>
      <c r="N232" s="832">
        <v>146</v>
      </c>
      <c r="O232" s="832">
        <v>26426</v>
      </c>
      <c r="P232" s="828">
        <v>1.1533694134078212</v>
      </c>
      <c r="Q232" s="833">
        <v>181</v>
      </c>
    </row>
    <row r="233" spans="1:17" ht="14.45" customHeight="1" x14ac:dyDescent="0.2">
      <c r="A233" s="822" t="s">
        <v>6707</v>
      </c>
      <c r="B233" s="823" t="s">
        <v>6708</v>
      </c>
      <c r="C233" s="823" t="s">
        <v>5355</v>
      </c>
      <c r="D233" s="823" t="s">
        <v>6743</v>
      </c>
      <c r="E233" s="823" t="s">
        <v>6744</v>
      </c>
      <c r="F233" s="832">
        <v>1</v>
      </c>
      <c r="G233" s="832">
        <v>170</v>
      </c>
      <c r="H233" s="832">
        <v>0.32945736434108525</v>
      </c>
      <c r="I233" s="832">
        <v>170</v>
      </c>
      <c r="J233" s="832">
        <v>3</v>
      </c>
      <c r="K233" s="832">
        <v>516</v>
      </c>
      <c r="L233" s="832">
        <v>1</v>
      </c>
      <c r="M233" s="832">
        <v>172</v>
      </c>
      <c r="N233" s="832">
        <v>3</v>
      </c>
      <c r="O233" s="832">
        <v>522</v>
      </c>
      <c r="P233" s="828">
        <v>1.0116279069767442</v>
      </c>
      <c r="Q233" s="833">
        <v>174</v>
      </c>
    </row>
    <row r="234" spans="1:17" ht="14.45" customHeight="1" x14ac:dyDescent="0.2">
      <c r="A234" s="822" t="s">
        <v>6707</v>
      </c>
      <c r="B234" s="823" t="s">
        <v>6708</v>
      </c>
      <c r="C234" s="823" t="s">
        <v>5355</v>
      </c>
      <c r="D234" s="823" t="s">
        <v>6745</v>
      </c>
      <c r="E234" s="823" t="s">
        <v>6746</v>
      </c>
      <c r="F234" s="832"/>
      <c r="G234" s="832"/>
      <c r="H234" s="832"/>
      <c r="I234" s="832"/>
      <c r="J234" s="832"/>
      <c r="K234" s="832"/>
      <c r="L234" s="832"/>
      <c r="M234" s="832"/>
      <c r="N234" s="832">
        <v>1</v>
      </c>
      <c r="O234" s="832">
        <v>246</v>
      </c>
      <c r="P234" s="828"/>
      <c r="Q234" s="833">
        <v>246</v>
      </c>
    </row>
    <row r="235" spans="1:17" ht="14.45" customHeight="1" x14ac:dyDescent="0.2">
      <c r="A235" s="822" t="s">
        <v>6707</v>
      </c>
      <c r="B235" s="823" t="s">
        <v>6708</v>
      </c>
      <c r="C235" s="823" t="s">
        <v>5355</v>
      </c>
      <c r="D235" s="823" t="s">
        <v>6747</v>
      </c>
      <c r="E235" s="823" t="s">
        <v>6748</v>
      </c>
      <c r="F235" s="832">
        <v>6</v>
      </c>
      <c r="G235" s="832">
        <v>2556</v>
      </c>
      <c r="H235" s="832">
        <v>0.97931034482758617</v>
      </c>
      <c r="I235" s="832">
        <v>426</v>
      </c>
      <c r="J235" s="832">
        <v>6</v>
      </c>
      <c r="K235" s="832">
        <v>2610</v>
      </c>
      <c r="L235" s="832">
        <v>1</v>
      </c>
      <c r="M235" s="832">
        <v>435</v>
      </c>
      <c r="N235" s="832">
        <v>7</v>
      </c>
      <c r="O235" s="832">
        <v>3094</v>
      </c>
      <c r="P235" s="828">
        <v>1.18544061302682</v>
      </c>
      <c r="Q235" s="833">
        <v>442</v>
      </c>
    </row>
    <row r="236" spans="1:17" ht="14.45" customHeight="1" x14ac:dyDescent="0.2">
      <c r="A236" s="822" t="s">
        <v>6749</v>
      </c>
      <c r="B236" s="823" t="s">
        <v>6750</v>
      </c>
      <c r="C236" s="823" t="s">
        <v>5355</v>
      </c>
      <c r="D236" s="823" t="s">
        <v>6751</v>
      </c>
      <c r="E236" s="823" t="s">
        <v>6752</v>
      </c>
      <c r="F236" s="832">
        <v>438</v>
      </c>
      <c r="G236" s="832">
        <v>76212</v>
      </c>
      <c r="H236" s="832">
        <v>1.0726530612244898</v>
      </c>
      <c r="I236" s="832">
        <v>174</v>
      </c>
      <c r="J236" s="832">
        <v>406</v>
      </c>
      <c r="K236" s="832">
        <v>71050</v>
      </c>
      <c r="L236" s="832">
        <v>1</v>
      </c>
      <c r="M236" s="832">
        <v>175</v>
      </c>
      <c r="N236" s="832">
        <v>244</v>
      </c>
      <c r="O236" s="832">
        <v>42944</v>
      </c>
      <c r="P236" s="828">
        <v>0.60441942294159046</v>
      </c>
      <c r="Q236" s="833">
        <v>176</v>
      </c>
    </row>
    <row r="237" spans="1:17" ht="14.45" customHeight="1" x14ac:dyDescent="0.2">
      <c r="A237" s="822" t="s">
        <v>6749</v>
      </c>
      <c r="B237" s="823" t="s">
        <v>6750</v>
      </c>
      <c r="C237" s="823" t="s">
        <v>5355</v>
      </c>
      <c r="D237" s="823" t="s">
        <v>6753</v>
      </c>
      <c r="E237" s="823" t="s">
        <v>6754</v>
      </c>
      <c r="F237" s="832">
        <v>1</v>
      </c>
      <c r="G237" s="832">
        <v>1070</v>
      </c>
      <c r="H237" s="832"/>
      <c r="I237" s="832">
        <v>1070</v>
      </c>
      <c r="J237" s="832"/>
      <c r="K237" s="832"/>
      <c r="L237" s="832"/>
      <c r="M237" s="832"/>
      <c r="N237" s="832">
        <v>8</v>
      </c>
      <c r="O237" s="832">
        <v>8600</v>
      </c>
      <c r="P237" s="828"/>
      <c r="Q237" s="833">
        <v>1075</v>
      </c>
    </row>
    <row r="238" spans="1:17" ht="14.45" customHeight="1" x14ac:dyDescent="0.2">
      <c r="A238" s="822" t="s">
        <v>6749</v>
      </c>
      <c r="B238" s="823" t="s">
        <v>6750</v>
      </c>
      <c r="C238" s="823" t="s">
        <v>5355</v>
      </c>
      <c r="D238" s="823" t="s">
        <v>6755</v>
      </c>
      <c r="E238" s="823" t="s">
        <v>6756</v>
      </c>
      <c r="F238" s="832">
        <v>9</v>
      </c>
      <c r="G238" s="832">
        <v>414</v>
      </c>
      <c r="H238" s="832">
        <v>0.51814768460575722</v>
      </c>
      <c r="I238" s="832">
        <v>46</v>
      </c>
      <c r="J238" s="832">
        <v>17</v>
      </c>
      <c r="K238" s="832">
        <v>799</v>
      </c>
      <c r="L238" s="832">
        <v>1</v>
      </c>
      <c r="M238" s="832">
        <v>47</v>
      </c>
      <c r="N238" s="832">
        <v>11</v>
      </c>
      <c r="O238" s="832">
        <v>517</v>
      </c>
      <c r="P238" s="828">
        <v>0.6470588235294118</v>
      </c>
      <c r="Q238" s="833">
        <v>47</v>
      </c>
    </row>
    <row r="239" spans="1:17" ht="14.45" customHeight="1" x14ac:dyDescent="0.2">
      <c r="A239" s="822" t="s">
        <v>6749</v>
      </c>
      <c r="B239" s="823" t="s">
        <v>6750</v>
      </c>
      <c r="C239" s="823" t="s">
        <v>5355</v>
      </c>
      <c r="D239" s="823" t="s">
        <v>6683</v>
      </c>
      <c r="E239" s="823" t="s">
        <v>6684</v>
      </c>
      <c r="F239" s="832">
        <v>16</v>
      </c>
      <c r="G239" s="832">
        <v>5552</v>
      </c>
      <c r="H239" s="832">
        <v>0.61361626878868258</v>
      </c>
      <c r="I239" s="832">
        <v>347</v>
      </c>
      <c r="J239" s="832">
        <v>26</v>
      </c>
      <c r="K239" s="832">
        <v>9048</v>
      </c>
      <c r="L239" s="832">
        <v>1</v>
      </c>
      <c r="M239" s="832">
        <v>348</v>
      </c>
      <c r="N239" s="832">
        <v>6</v>
      </c>
      <c r="O239" s="832">
        <v>2088</v>
      </c>
      <c r="P239" s="828">
        <v>0.23076923076923078</v>
      </c>
      <c r="Q239" s="833">
        <v>348</v>
      </c>
    </row>
    <row r="240" spans="1:17" ht="14.45" customHeight="1" x14ac:dyDescent="0.2">
      <c r="A240" s="822" t="s">
        <v>6749</v>
      </c>
      <c r="B240" s="823" t="s">
        <v>6750</v>
      </c>
      <c r="C240" s="823" t="s">
        <v>5355</v>
      </c>
      <c r="D240" s="823" t="s">
        <v>6757</v>
      </c>
      <c r="E240" s="823" t="s">
        <v>6758</v>
      </c>
      <c r="F240" s="832">
        <v>22</v>
      </c>
      <c r="G240" s="832">
        <v>8294</v>
      </c>
      <c r="H240" s="832">
        <v>0.54854497354497356</v>
      </c>
      <c r="I240" s="832">
        <v>377</v>
      </c>
      <c r="J240" s="832">
        <v>40</v>
      </c>
      <c r="K240" s="832">
        <v>15120</v>
      </c>
      <c r="L240" s="832">
        <v>1</v>
      </c>
      <c r="M240" s="832">
        <v>378</v>
      </c>
      <c r="N240" s="832">
        <v>16</v>
      </c>
      <c r="O240" s="832">
        <v>6048</v>
      </c>
      <c r="P240" s="828">
        <v>0.4</v>
      </c>
      <c r="Q240" s="833">
        <v>378</v>
      </c>
    </row>
    <row r="241" spans="1:17" ht="14.45" customHeight="1" x14ac:dyDescent="0.2">
      <c r="A241" s="822" t="s">
        <v>6749</v>
      </c>
      <c r="B241" s="823" t="s">
        <v>6750</v>
      </c>
      <c r="C241" s="823" t="s">
        <v>5355</v>
      </c>
      <c r="D241" s="823" t="s">
        <v>6759</v>
      </c>
      <c r="E241" s="823" t="s">
        <v>6760</v>
      </c>
      <c r="F241" s="832">
        <v>28</v>
      </c>
      <c r="G241" s="832">
        <v>952</v>
      </c>
      <c r="H241" s="832">
        <v>1.5555555555555556</v>
      </c>
      <c r="I241" s="832">
        <v>34</v>
      </c>
      <c r="J241" s="832">
        <v>18</v>
      </c>
      <c r="K241" s="832">
        <v>612</v>
      </c>
      <c r="L241" s="832">
        <v>1</v>
      </c>
      <c r="M241" s="832">
        <v>34</v>
      </c>
      <c r="N241" s="832">
        <v>4</v>
      </c>
      <c r="O241" s="832">
        <v>140</v>
      </c>
      <c r="P241" s="828">
        <v>0.22875816993464052</v>
      </c>
      <c r="Q241" s="833">
        <v>35</v>
      </c>
    </row>
    <row r="242" spans="1:17" ht="14.45" customHeight="1" x14ac:dyDescent="0.2">
      <c r="A242" s="822" t="s">
        <v>6749</v>
      </c>
      <c r="B242" s="823" t="s">
        <v>6750</v>
      </c>
      <c r="C242" s="823" t="s">
        <v>5355</v>
      </c>
      <c r="D242" s="823" t="s">
        <v>6761</v>
      </c>
      <c r="E242" s="823" t="s">
        <v>6762</v>
      </c>
      <c r="F242" s="832">
        <v>4</v>
      </c>
      <c r="G242" s="832">
        <v>2096</v>
      </c>
      <c r="H242" s="832">
        <v>0.79847619047619045</v>
      </c>
      <c r="I242" s="832">
        <v>524</v>
      </c>
      <c r="J242" s="832">
        <v>5</v>
      </c>
      <c r="K242" s="832">
        <v>2625</v>
      </c>
      <c r="L242" s="832">
        <v>1</v>
      </c>
      <c r="M242" s="832">
        <v>525</v>
      </c>
      <c r="N242" s="832">
        <v>2</v>
      </c>
      <c r="O242" s="832">
        <v>1050</v>
      </c>
      <c r="P242" s="828">
        <v>0.4</v>
      </c>
      <c r="Q242" s="833">
        <v>525</v>
      </c>
    </row>
    <row r="243" spans="1:17" ht="14.45" customHeight="1" x14ac:dyDescent="0.2">
      <c r="A243" s="822" t="s">
        <v>6749</v>
      </c>
      <c r="B243" s="823" t="s">
        <v>6750</v>
      </c>
      <c r="C243" s="823" t="s">
        <v>5355</v>
      </c>
      <c r="D243" s="823" t="s">
        <v>6763</v>
      </c>
      <c r="E243" s="823" t="s">
        <v>6764</v>
      </c>
      <c r="F243" s="832">
        <v>1</v>
      </c>
      <c r="G243" s="832">
        <v>57</v>
      </c>
      <c r="H243" s="832">
        <v>0.32758620689655171</v>
      </c>
      <c r="I243" s="832">
        <v>57</v>
      </c>
      <c r="J243" s="832">
        <v>3</v>
      </c>
      <c r="K243" s="832">
        <v>174</v>
      </c>
      <c r="L243" s="832">
        <v>1</v>
      </c>
      <c r="M243" s="832">
        <v>58</v>
      </c>
      <c r="N243" s="832">
        <v>4</v>
      </c>
      <c r="O243" s="832">
        <v>232</v>
      </c>
      <c r="P243" s="828">
        <v>1.3333333333333333</v>
      </c>
      <c r="Q243" s="833">
        <v>58</v>
      </c>
    </row>
    <row r="244" spans="1:17" ht="14.45" customHeight="1" x14ac:dyDescent="0.2">
      <c r="A244" s="822" t="s">
        <v>6749</v>
      </c>
      <c r="B244" s="823" t="s">
        <v>6750</v>
      </c>
      <c r="C244" s="823" t="s">
        <v>5355</v>
      </c>
      <c r="D244" s="823" t="s">
        <v>6765</v>
      </c>
      <c r="E244" s="823" t="s">
        <v>6766</v>
      </c>
      <c r="F244" s="832">
        <v>1</v>
      </c>
      <c r="G244" s="832">
        <v>225</v>
      </c>
      <c r="H244" s="832"/>
      <c r="I244" s="832">
        <v>225</v>
      </c>
      <c r="J244" s="832"/>
      <c r="K244" s="832"/>
      <c r="L244" s="832"/>
      <c r="M244" s="832"/>
      <c r="N244" s="832"/>
      <c r="O244" s="832"/>
      <c r="P244" s="828"/>
      <c r="Q244" s="833"/>
    </row>
    <row r="245" spans="1:17" ht="14.45" customHeight="1" x14ac:dyDescent="0.2">
      <c r="A245" s="822" t="s">
        <v>6749</v>
      </c>
      <c r="B245" s="823" t="s">
        <v>6750</v>
      </c>
      <c r="C245" s="823" t="s">
        <v>5355</v>
      </c>
      <c r="D245" s="823" t="s">
        <v>6767</v>
      </c>
      <c r="E245" s="823" t="s">
        <v>6768</v>
      </c>
      <c r="F245" s="832">
        <v>1</v>
      </c>
      <c r="G245" s="832">
        <v>554</v>
      </c>
      <c r="H245" s="832"/>
      <c r="I245" s="832">
        <v>554</v>
      </c>
      <c r="J245" s="832"/>
      <c r="K245" s="832"/>
      <c r="L245" s="832"/>
      <c r="M245" s="832"/>
      <c r="N245" s="832"/>
      <c r="O245" s="832"/>
      <c r="P245" s="828"/>
      <c r="Q245" s="833"/>
    </row>
    <row r="246" spans="1:17" ht="14.45" customHeight="1" x14ac:dyDescent="0.2">
      <c r="A246" s="822" t="s">
        <v>6749</v>
      </c>
      <c r="B246" s="823" t="s">
        <v>6750</v>
      </c>
      <c r="C246" s="823" t="s">
        <v>5355</v>
      </c>
      <c r="D246" s="823" t="s">
        <v>6769</v>
      </c>
      <c r="E246" s="823" t="s">
        <v>6770</v>
      </c>
      <c r="F246" s="832"/>
      <c r="G246" s="832"/>
      <c r="H246" s="832"/>
      <c r="I246" s="832"/>
      <c r="J246" s="832">
        <v>1</v>
      </c>
      <c r="K246" s="832">
        <v>216</v>
      </c>
      <c r="L246" s="832">
        <v>1</v>
      </c>
      <c r="M246" s="832">
        <v>216</v>
      </c>
      <c r="N246" s="832"/>
      <c r="O246" s="832"/>
      <c r="P246" s="828"/>
      <c r="Q246" s="833"/>
    </row>
    <row r="247" spans="1:17" ht="14.45" customHeight="1" x14ac:dyDescent="0.2">
      <c r="A247" s="822" t="s">
        <v>6749</v>
      </c>
      <c r="B247" s="823" t="s">
        <v>6750</v>
      </c>
      <c r="C247" s="823" t="s">
        <v>5355</v>
      </c>
      <c r="D247" s="823" t="s">
        <v>6771</v>
      </c>
      <c r="E247" s="823" t="s">
        <v>6772</v>
      </c>
      <c r="F247" s="832">
        <v>2</v>
      </c>
      <c r="G247" s="832">
        <v>130</v>
      </c>
      <c r="H247" s="832">
        <v>0.98484848484848486</v>
      </c>
      <c r="I247" s="832">
        <v>65</v>
      </c>
      <c r="J247" s="832">
        <v>2</v>
      </c>
      <c r="K247" s="832">
        <v>132</v>
      </c>
      <c r="L247" s="832">
        <v>1</v>
      </c>
      <c r="M247" s="832">
        <v>66</v>
      </c>
      <c r="N247" s="832"/>
      <c r="O247" s="832"/>
      <c r="P247" s="828"/>
      <c r="Q247" s="833"/>
    </row>
    <row r="248" spans="1:17" ht="14.45" customHeight="1" x14ac:dyDescent="0.2">
      <c r="A248" s="822" t="s">
        <v>6749</v>
      </c>
      <c r="B248" s="823" t="s">
        <v>6750</v>
      </c>
      <c r="C248" s="823" t="s">
        <v>5355</v>
      </c>
      <c r="D248" s="823" t="s">
        <v>6773</v>
      </c>
      <c r="E248" s="823" t="s">
        <v>6774</v>
      </c>
      <c r="F248" s="832">
        <v>273</v>
      </c>
      <c r="G248" s="832">
        <v>37401</v>
      </c>
      <c r="H248" s="832">
        <v>1.2489481065918653</v>
      </c>
      <c r="I248" s="832">
        <v>137</v>
      </c>
      <c r="J248" s="832">
        <v>217</v>
      </c>
      <c r="K248" s="832">
        <v>29946</v>
      </c>
      <c r="L248" s="832">
        <v>1</v>
      </c>
      <c r="M248" s="832">
        <v>138</v>
      </c>
      <c r="N248" s="832">
        <v>152</v>
      </c>
      <c r="O248" s="832">
        <v>21128</v>
      </c>
      <c r="P248" s="828">
        <v>0.70553663260535626</v>
      </c>
      <c r="Q248" s="833">
        <v>139</v>
      </c>
    </row>
    <row r="249" spans="1:17" ht="14.45" customHeight="1" x14ac:dyDescent="0.2">
      <c r="A249" s="822" t="s">
        <v>6749</v>
      </c>
      <c r="B249" s="823" t="s">
        <v>6750</v>
      </c>
      <c r="C249" s="823" t="s">
        <v>5355</v>
      </c>
      <c r="D249" s="823" t="s">
        <v>6775</v>
      </c>
      <c r="E249" s="823" t="s">
        <v>6776</v>
      </c>
      <c r="F249" s="832">
        <v>85</v>
      </c>
      <c r="G249" s="832">
        <v>7735</v>
      </c>
      <c r="H249" s="832">
        <v>1.0778985507246377</v>
      </c>
      <c r="I249" s="832">
        <v>91</v>
      </c>
      <c r="J249" s="832">
        <v>78</v>
      </c>
      <c r="K249" s="832">
        <v>7176</v>
      </c>
      <c r="L249" s="832">
        <v>1</v>
      </c>
      <c r="M249" s="832">
        <v>92</v>
      </c>
      <c r="N249" s="832">
        <v>45</v>
      </c>
      <c r="O249" s="832">
        <v>4185</v>
      </c>
      <c r="P249" s="828">
        <v>0.5831939799331104</v>
      </c>
      <c r="Q249" s="833">
        <v>93</v>
      </c>
    </row>
    <row r="250" spans="1:17" ht="14.45" customHeight="1" x14ac:dyDescent="0.2">
      <c r="A250" s="822" t="s">
        <v>6749</v>
      </c>
      <c r="B250" s="823" t="s">
        <v>6750</v>
      </c>
      <c r="C250" s="823" t="s">
        <v>5355</v>
      </c>
      <c r="D250" s="823" t="s">
        <v>6777</v>
      </c>
      <c r="E250" s="823" t="s">
        <v>6778</v>
      </c>
      <c r="F250" s="832"/>
      <c r="G250" s="832"/>
      <c r="H250" s="832"/>
      <c r="I250" s="832"/>
      <c r="J250" s="832">
        <v>1</v>
      </c>
      <c r="K250" s="832">
        <v>140</v>
      </c>
      <c r="L250" s="832">
        <v>1</v>
      </c>
      <c r="M250" s="832">
        <v>140</v>
      </c>
      <c r="N250" s="832">
        <v>1</v>
      </c>
      <c r="O250" s="832">
        <v>141</v>
      </c>
      <c r="P250" s="828">
        <v>1.0071428571428571</v>
      </c>
      <c r="Q250" s="833">
        <v>141</v>
      </c>
    </row>
    <row r="251" spans="1:17" ht="14.45" customHeight="1" x14ac:dyDescent="0.2">
      <c r="A251" s="822" t="s">
        <v>6749</v>
      </c>
      <c r="B251" s="823" t="s">
        <v>6750</v>
      </c>
      <c r="C251" s="823" t="s">
        <v>5355</v>
      </c>
      <c r="D251" s="823" t="s">
        <v>6779</v>
      </c>
      <c r="E251" s="823" t="s">
        <v>6780</v>
      </c>
      <c r="F251" s="832">
        <v>9</v>
      </c>
      <c r="G251" s="832">
        <v>594</v>
      </c>
      <c r="H251" s="832">
        <v>2.216417910447761</v>
      </c>
      <c r="I251" s="832">
        <v>66</v>
      </c>
      <c r="J251" s="832">
        <v>4</v>
      </c>
      <c r="K251" s="832">
        <v>268</v>
      </c>
      <c r="L251" s="832">
        <v>1</v>
      </c>
      <c r="M251" s="832">
        <v>67</v>
      </c>
      <c r="N251" s="832">
        <v>12</v>
      </c>
      <c r="O251" s="832">
        <v>804</v>
      </c>
      <c r="P251" s="828">
        <v>3</v>
      </c>
      <c r="Q251" s="833">
        <v>67</v>
      </c>
    </row>
    <row r="252" spans="1:17" ht="14.45" customHeight="1" x14ac:dyDescent="0.2">
      <c r="A252" s="822" t="s">
        <v>6749</v>
      </c>
      <c r="B252" s="823" t="s">
        <v>6750</v>
      </c>
      <c r="C252" s="823" t="s">
        <v>5355</v>
      </c>
      <c r="D252" s="823" t="s">
        <v>6692</v>
      </c>
      <c r="E252" s="823" t="s">
        <v>6693</v>
      </c>
      <c r="F252" s="832">
        <v>18</v>
      </c>
      <c r="G252" s="832">
        <v>5904</v>
      </c>
      <c r="H252" s="832">
        <v>0.56079027355623101</v>
      </c>
      <c r="I252" s="832">
        <v>328</v>
      </c>
      <c r="J252" s="832">
        <v>32</v>
      </c>
      <c r="K252" s="832">
        <v>10528</v>
      </c>
      <c r="L252" s="832">
        <v>1</v>
      </c>
      <c r="M252" s="832">
        <v>329</v>
      </c>
      <c r="N252" s="832">
        <v>15</v>
      </c>
      <c r="O252" s="832">
        <v>4935</v>
      </c>
      <c r="P252" s="828">
        <v>0.46875</v>
      </c>
      <c r="Q252" s="833">
        <v>329</v>
      </c>
    </row>
    <row r="253" spans="1:17" ht="14.45" customHeight="1" x14ac:dyDescent="0.2">
      <c r="A253" s="822" t="s">
        <v>6749</v>
      </c>
      <c r="B253" s="823" t="s">
        <v>6750</v>
      </c>
      <c r="C253" s="823" t="s">
        <v>5355</v>
      </c>
      <c r="D253" s="823" t="s">
        <v>6781</v>
      </c>
      <c r="E253" s="823" t="s">
        <v>6782</v>
      </c>
      <c r="F253" s="832">
        <v>26</v>
      </c>
      <c r="G253" s="832">
        <v>1326</v>
      </c>
      <c r="H253" s="832">
        <v>1.2749999999999999</v>
      </c>
      <c r="I253" s="832">
        <v>51</v>
      </c>
      <c r="J253" s="832">
        <v>20</v>
      </c>
      <c r="K253" s="832">
        <v>1040</v>
      </c>
      <c r="L253" s="832">
        <v>1</v>
      </c>
      <c r="M253" s="832">
        <v>52</v>
      </c>
      <c r="N253" s="832">
        <v>36</v>
      </c>
      <c r="O253" s="832">
        <v>1872</v>
      </c>
      <c r="P253" s="828">
        <v>1.8</v>
      </c>
      <c r="Q253" s="833">
        <v>52</v>
      </c>
    </row>
    <row r="254" spans="1:17" ht="14.45" customHeight="1" x14ac:dyDescent="0.2">
      <c r="A254" s="822" t="s">
        <v>6749</v>
      </c>
      <c r="B254" s="823" t="s">
        <v>6750</v>
      </c>
      <c r="C254" s="823" t="s">
        <v>5355</v>
      </c>
      <c r="D254" s="823" t="s">
        <v>6783</v>
      </c>
      <c r="E254" s="823" t="s">
        <v>6784</v>
      </c>
      <c r="F254" s="832">
        <v>2</v>
      </c>
      <c r="G254" s="832">
        <v>414</v>
      </c>
      <c r="H254" s="832"/>
      <c r="I254" s="832">
        <v>207</v>
      </c>
      <c r="J254" s="832"/>
      <c r="K254" s="832"/>
      <c r="L254" s="832"/>
      <c r="M254" s="832"/>
      <c r="N254" s="832"/>
      <c r="O254" s="832"/>
      <c r="P254" s="828"/>
      <c r="Q254" s="833"/>
    </row>
    <row r="255" spans="1:17" ht="14.45" customHeight="1" x14ac:dyDescent="0.2">
      <c r="A255" s="822" t="s">
        <v>6749</v>
      </c>
      <c r="B255" s="823" t="s">
        <v>6750</v>
      </c>
      <c r="C255" s="823" t="s">
        <v>5355</v>
      </c>
      <c r="D255" s="823" t="s">
        <v>6785</v>
      </c>
      <c r="E255" s="823" t="s">
        <v>6786</v>
      </c>
      <c r="F255" s="832"/>
      <c r="G255" s="832"/>
      <c r="H255" s="832"/>
      <c r="I255" s="832"/>
      <c r="J255" s="832">
        <v>2</v>
      </c>
      <c r="K255" s="832">
        <v>1528</v>
      </c>
      <c r="L255" s="832">
        <v>1</v>
      </c>
      <c r="M255" s="832">
        <v>764</v>
      </c>
      <c r="N255" s="832"/>
      <c r="O255" s="832"/>
      <c r="P255" s="828"/>
      <c r="Q255" s="833"/>
    </row>
    <row r="256" spans="1:17" ht="14.45" customHeight="1" x14ac:dyDescent="0.2">
      <c r="A256" s="822" t="s">
        <v>6749</v>
      </c>
      <c r="B256" s="823" t="s">
        <v>6750</v>
      </c>
      <c r="C256" s="823" t="s">
        <v>5355</v>
      </c>
      <c r="D256" s="823" t="s">
        <v>6787</v>
      </c>
      <c r="E256" s="823" t="s">
        <v>6788</v>
      </c>
      <c r="F256" s="832">
        <v>4</v>
      </c>
      <c r="G256" s="832">
        <v>2448</v>
      </c>
      <c r="H256" s="832">
        <v>0.56864111498257841</v>
      </c>
      <c r="I256" s="832">
        <v>612</v>
      </c>
      <c r="J256" s="832">
        <v>7</v>
      </c>
      <c r="K256" s="832">
        <v>4305</v>
      </c>
      <c r="L256" s="832">
        <v>1</v>
      </c>
      <c r="M256" s="832">
        <v>615</v>
      </c>
      <c r="N256" s="832">
        <v>2</v>
      </c>
      <c r="O256" s="832">
        <v>1234</v>
      </c>
      <c r="P256" s="828">
        <v>0.28664343786295005</v>
      </c>
      <c r="Q256" s="833">
        <v>617</v>
      </c>
    </row>
    <row r="257" spans="1:17" ht="14.45" customHeight="1" x14ac:dyDescent="0.2">
      <c r="A257" s="822" t="s">
        <v>6749</v>
      </c>
      <c r="B257" s="823" t="s">
        <v>6750</v>
      </c>
      <c r="C257" s="823" t="s">
        <v>5355</v>
      </c>
      <c r="D257" s="823" t="s">
        <v>6789</v>
      </c>
      <c r="E257" s="823" t="s">
        <v>6790</v>
      </c>
      <c r="F257" s="832"/>
      <c r="G257" s="832"/>
      <c r="H257" s="832"/>
      <c r="I257" s="832"/>
      <c r="J257" s="832">
        <v>1</v>
      </c>
      <c r="K257" s="832">
        <v>275</v>
      </c>
      <c r="L257" s="832">
        <v>1</v>
      </c>
      <c r="M257" s="832">
        <v>275</v>
      </c>
      <c r="N257" s="832"/>
      <c r="O257" s="832"/>
      <c r="P257" s="828"/>
      <c r="Q257" s="833"/>
    </row>
    <row r="258" spans="1:17" ht="14.45" customHeight="1" x14ac:dyDescent="0.2">
      <c r="A258" s="822" t="s">
        <v>6749</v>
      </c>
      <c r="B258" s="823" t="s">
        <v>6750</v>
      </c>
      <c r="C258" s="823" t="s">
        <v>5355</v>
      </c>
      <c r="D258" s="823" t="s">
        <v>6791</v>
      </c>
      <c r="E258" s="823" t="s">
        <v>6792</v>
      </c>
      <c r="F258" s="832"/>
      <c r="G258" s="832"/>
      <c r="H258" s="832"/>
      <c r="I258" s="832"/>
      <c r="J258" s="832"/>
      <c r="K258" s="832"/>
      <c r="L258" s="832"/>
      <c r="M258" s="832"/>
      <c r="N258" s="832">
        <v>1</v>
      </c>
      <c r="O258" s="832">
        <v>47</v>
      </c>
      <c r="P258" s="828"/>
      <c r="Q258" s="833">
        <v>47</v>
      </c>
    </row>
    <row r="259" spans="1:17" ht="14.45" customHeight="1" x14ac:dyDescent="0.2">
      <c r="A259" s="822" t="s">
        <v>6749</v>
      </c>
      <c r="B259" s="823" t="s">
        <v>6750</v>
      </c>
      <c r="C259" s="823" t="s">
        <v>5355</v>
      </c>
      <c r="D259" s="823" t="s">
        <v>6793</v>
      </c>
      <c r="E259" s="823" t="s">
        <v>6794</v>
      </c>
      <c r="F259" s="832"/>
      <c r="G259" s="832"/>
      <c r="H259" s="832"/>
      <c r="I259" s="832"/>
      <c r="J259" s="832">
        <v>4</v>
      </c>
      <c r="K259" s="832">
        <v>208</v>
      </c>
      <c r="L259" s="832">
        <v>1</v>
      </c>
      <c r="M259" s="832">
        <v>52</v>
      </c>
      <c r="N259" s="832"/>
      <c r="O259" s="832"/>
      <c r="P259" s="828"/>
      <c r="Q259" s="833"/>
    </row>
    <row r="260" spans="1:17" ht="14.45" customHeight="1" x14ac:dyDescent="0.2">
      <c r="A260" s="822" t="s">
        <v>6749</v>
      </c>
      <c r="B260" s="823" t="s">
        <v>6750</v>
      </c>
      <c r="C260" s="823" t="s">
        <v>5355</v>
      </c>
      <c r="D260" s="823" t="s">
        <v>6795</v>
      </c>
      <c r="E260" s="823" t="s">
        <v>6796</v>
      </c>
      <c r="F260" s="832">
        <v>1</v>
      </c>
      <c r="G260" s="832">
        <v>327</v>
      </c>
      <c r="H260" s="832"/>
      <c r="I260" s="832">
        <v>327</v>
      </c>
      <c r="J260" s="832"/>
      <c r="K260" s="832"/>
      <c r="L260" s="832"/>
      <c r="M260" s="832"/>
      <c r="N260" s="832"/>
      <c r="O260" s="832"/>
      <c r="P260" s="828"/>
      <c r="Q260" s="833"/>
    </row>
    <row r="261" spans="1:17" ht="14.45" customHeight="1" x14ac:dyDescent="0.2">
      <c r="A261" s="822" t="s">
        <v>6749</v>
      </c>
      <c r="B261" s="823" t="s">
        <v>6750</v>
      </c>
      <c r="C261" s="823" t="s">
        <v>5355</v>
      </c>
      <c r="D261" s="823" t="s">
        <v>6797</v>
      </c>
      <c r="E261" s="823" t="s">
        <v>6798</v>
      </c>
      <c r="F261" s="832"/>
      <c r="G261" s="832"/>
      <c r="H261" s="832"/>
      <c r="I261" s="832"/>
      <c r="J261" s="832"/>
      <c r="K261" s="832"/>
      <c r="L261" s="832"/>
      <c r="M261" s="832"/>
      <c r="N261" s="832">
        <v>8</v>
      </c>
      <c r="O261" s="832">
        <v>7152</v>
      </c>
      <c r="P261" s="828"/>
      <c r="Q261" s="833">
        <v>894</v>
      </c>
    </row>
    <row r="262" spans="1:17" ht="14.45" customHeight="1" x14ac:dyDescent="0.2">
      <c r="A262" s="822" t="s">
        <v>6749</v>
      </c>
      <c r="B262" s="823" t="s">
        <v>6750</v>
      </c>
      <c r="C262" s="823" t="s">
        <v>5355</v>
      </c>
      <c r="D262" s="823" t="s">
        <v>6799</v>
      </c>
      <c r="E262" s="823" t="s">
        <v>6800</v>
      </c>
      <c r="F262" s="832">
        <v>169</v>
      </c>
      <c r="G262" s="832">
        <v>44109</v>
      </c>
      <c r="H262" s="832">
        <v>1.0723245976564399</v>
      </c>
      <c r="I262" s="832">
        <v>261</v>
      </c>
      <c r="J262" s="832">
        <v>157</v>
      </c>
      <c r="K262" s="832">
        <v>41134</v>
      </c>
      <c r="L262" s="832">
        <v>1</v>
      </c>
      <c r="M262" s="832">
        <v>262</v>
      </c>
      <c r="N262" s="832">
        <v>107</v>
      </c>
      <c r="O262" s="832">
        <v>28248</v>
      </c>
      <c r="P262" s="828">
        <v>0.68673117129382022</v>
      </c>
      <c r="Q262" s="833">
        <v>264</v>
      </c>
    </row>
    <row r="263" spans="1:17" ht="14.45" customHeight="1" x14ac:dyDescent="0.2">
      <c r="A263" s="822" t="s">
        <v>6749</v>
      </c>
      <c r="B263" s="823" t="s">
        <v>6750</v>
      </c>
      <c r="C263" s="823" t="s">
        <v>5355</v>
      </c>
      <c r="D263" s="823" t="s">
        <v>6801</v>
      </c>
      <c r="E263" s="823" t="s">
        <v>6802</v>
      </c>
      <c r="F263" s="832">
        <v>1</v>
      </c>
      <c r="G263" s="832">
        <v>165</v>
      </c>
      <c r="H263" s="832">
        <v>0.19879518072289157</v>
      </c>
      <c r="I263" s="832">
        <v>165</v>
      </c>
      <c r="J263" s="832">
        <v>5</v>
      </c>
      <c r="K263" s="832">
        <v>830</v>
      </c>
      <c r="L263" s="832">
        <v>1</v>
      </c>
      <c r="M263" s="832">
        <v>166</v>
      </c>
      <c r="N263" s="832">
        <v>11</v>
      </c>
      <c r="O263" s="832">
        <v>1837</v>
      </c>
      <c r="P263" s="828">
        <v>2.2132530120481926</v>
      </c>
      <c r="Q263" s="833">
        <v>167</v>
      </c>
    </row>
    <row r="264" spans="1:17" ht="14.45" customHeight="1" x14ac:dyDescent="0.2">
      <c r="A264" s="822" t="s">
        <v>6803</v>
      </c>
      <c r="B264" s="823" t="s">
        <v>6554</v>
      </c>
      <c r="C264" s="823" t="s">
        <v>5355</v>
      </c>
      <c r="D264" s="823" t="s">
        <v>6804</v>
      </c>
      <c r="E264" s="823" t="s">
        <v>6805</v>
      </c>
      <c r="F264" s="832">
        <v>1</v>
      </c>
      <c r="G264" s="832">
        <v>1483</v>
      </c>
      <c r="H264" s="832"/>
      <c r="I264" s="832">
        <v>1483</v>
      </c>
      <c r="J264" s="832"/>
      <c r="K264" s="832"/>
      <c r="L264" s="832"/>
      <c r="M264" s="832"/>
      <c r="N264" s="832"/>
      <c r="O264" s="832"/>
      <c r="P264" s="828"/>
      <c r="Q264" s="833"/>
    </row>
    <row r="265" spans="1:17" ht="14.45" customHeight="1" x14ac:dyDescent="0.2">
      <c r="A265" s="822" t="s">
        <v>6803</v>
      </c>
      <c r="B265" s="823" t="s">
        <v>6554</v>
      </c>
      <c r="C265" s="823" t="s">
        <v>5355</v>
      </c>
      <c r="D265" s="823" t="s">
        <v>6806</v>
      </c>
      <c r="E265" s="823" t="s">
        <v>6807</v>
      </c>
      <c r="F265" s="832">
        <v>2</v>
      </c>
      <c r="G265" s="832">
        <v>1686</v>
      </c>
      <c r="H265" s="832"/>
      <c r="I265" s="832">
        <v>843</v>
      </c>
      <c r="J265" s="832"/>
      <c r="K265" s="832"/>
      <c r="L265" s="832"/>
      <c r="M265" s="832"/>
      <c r="N265" s="832">
        <v>1</v>
      </c>
      <c r="O265" s="832">
        <v>849</v>
      </c>
      <c r="P265" s="828"/>
      <c r="Q265" s="833">
        <v>849</v>
      </c>
    </row>
    <row r="266" spans="1:17" ht="14.45" customHeight="1" x14ac:dyDescent="0.2">
      <c r="A266" s="822" t="s">
        <v>6803</v>
      </c>
      <c r="B266" s="823" t="s">
        <v>6554</v>
      </c>
      <c r="C266" s="823" t="s">
        <v>5355</v>
      </c>
      <c r="D266" s="823" t="s">
        <v>6808</v>
      </c>
      <c r="E266" s="823" t="s">
        <v>6809</v>
      </c>
      <c r="F266" s="832"/>
      <c r="G266" s="832"/>
      <c r="H266" s="832"/>
      <c r="I266" s="832"/>
      <c r="J266" s="832"/>
      <c r="K266" s="832"/>
      <c r="L266" s="832"/>
      <c r="M266" s="832"/>
      <c r="N266" s="832">
        <v>1</v>
      </c>
      <c r="O266" s="832">
        <v>168</v>
      </c>
      <c r="P266" s="828"/>
      <c r="Q266" s="833">
        <v>168</v>
      </c>
    </row>
    <row r="267" spans="1:17" ht="14.45" customHeight="1" x14ac:dyDescent="0.2">
      <c r="A267" s="822" t="s">
        <v>6803</v>
      </c>
      <c r="B267" s="823" t="s">
        <v>6554</v>
      </c>
      <c r="C267" s="823" t="s">
        <v>5355</v>
      </c>
      <c r="D267" s="823" t="s">
        <v>6810</v>
      </c>
      <c r="E267" s="823" t="s">
        <v>6811</v>
      </c>
      <c r="F267" s="832"/>
      <c r="G267" s="832"/>
      <c r="H267" s="832"/>
      <c r="I267" s="832"/>
      <c r="J267" s="832"/>
      <c r="K267" s="832"/>
      <c r="L267" s="832"/>
      <c r="M267" s="832"/>
      <c r="N267" s="832">
        <v>1</v>
      </c>
      <c r="O267" s="832">
        <v>354</v>
      </c>
      <c r="P267" s="828"/>
      <c r="Q267" s="833">
        <v>354</v>
      </c>
    </row>
    <row r="268" spans="1:17" ht="14.45" customHeight="1" x14ac:dyDescent="0.2">
      <c r="A268" s="822" t="s">
        <v>6803</v>
      </c>
      <c r="B268" s="823" t="s">
        <v>6554</v>
      </c>
      <c r="C268" s="823" t="s">
        <v>5355</v>
      </c>
      <c r="D268" s="823" t="s">
        <v>6812</v>
      </c>
      <c r="E268" s="823" t="s">
        <v>6813</v>
      </c>
      <c r="F268" s="832">
        <v>1</v>
      </c>
      <c r="G268" s="832">
        <v>550</v>
      </c>
      <c r="H268" s="832"/>
      <c r="I268" s="832">
        <v>550</v>
      </c>
      <c r="J268" s="832"/>
      <c r="K268" s="832"/>
      <c r="L268" s="832"/>
      <c r="M268" s="832"/>
      <c r="N268" s="832">
        <v>1</v>
      </c>
      <c r="O268" s="832">
        <v>552</v>
      </c>
      <c r="P268" s="828"/>
      <c r="Q268" s="833">
        <v>552</v>
      </c>
    </row>
    <row r="269" spans="1:17" ht="14.45" customHeight="1" x14ac:dyDescent="0.2">
      <c r="A269" s="822" t="s">
        <v>6803</v>
      </c>
      <c r="B269" s="823" t="s">
        <v>6554</v>
      </c>
      <c r="C269" s="823" t="s">
        <v>5355</v>
      </c>
      <c r="D269" s="823" t="s">
        <v>6814</v>
      </c>
      <c r="E269" s="823" t="s">
        <v>6815</v>
      </c>
      <c r="F269" s="832">
        <v>1</v>
      </c>
      <c r="G269" s="832">
        <v>514</v>
      </c>
      <c r="H269" s="832"/>
      <c r="I269" s="832">
        <v>514</v>
      </c>
      <c r="J269" s="832"/>
      <c r="K269" s="832"/>
      <c r="L269" s="832"/>
      <c r="M269" s="832"/>
      <c r="N269" s="832">
        <v>1</v>
      </c>
      <c r="O269" s="832">
        <v>516</v>
      </c>
      <c r="P269" s="828"/>
      <c r="Q269" s="833">
        <v>516</v>
      </c>
    </row>
    <row r="270" spans="1:17" ht="14.45" customHeight="1" x14ac:dyDescent="0.2">
      <c r="A270" s="822" t="s">
        <v>6803</v>
      </c>
      <c r="B270" s="823" t="s">
        <v>6554</v>
      </c>
      <c r="C270" s="823" t="s">
        <v>5355</v>
      </c>
      <c r="D270" s="823" t="s">
        <v>6816</v>
      </c>
      <c r="E270" s="823" t="s">
        <v>6817</v>
      </c>
      <c r="F270" s="832">
        <v>1</v>
      </c>
      <c r="G270" s="832">
        <v>424</v>
      </c>
      <c r="H270" s="832"/>
      <c r="I270" s="832">
        <v>424</v>
      </c>
      <c r="J270" s="832"/>
      <c r="K270" s="832"/>
      <c r="L270" s="832"/>
      <c r="M270" s="832"/>
      <c r="N270" s="832">
        <v>1</v>
      </c>
      <c r="O270" s="832">
        <v>426</v>
      </c>
      <c r="P270" s="828"/>
      <c r="Q270" s="833">
        <v>426</v>
      </c>
    </row>
    <row r="271" spans="1:17" ht="14.45" customHeight="1" x14ac:dyDescent="0.2">
      <c r="A271" s="822" t="s">
        <v>6803</v>
      </c>
      <c r="B271" s="823" t="s">
        <v>6554</v>
      </c>
      <c r="C271" s="823" t="s">
        <v>5355</v>
      </c>
      <c r="D271" s="823" t="s">
        <v>6818</v>
      </c>
      <c r="E271" s="823" t="s">
        <v>6819</v>
      </c>
      <c r="F271" s="832">
        <v>1</v>
      </c>
      <c r="G271" s="832">
        <v>350</v>
      </c>
      <c r="H271" s="832"/>
      <c r="I271" s="832">
        <v>350</v>
      </c>
      <c r="J271" s="832"/>
      <c r="K271" s="832"/>
      <c r="L271" s="832"/>
      <c r="M271" s="832"/>
      <c r="N271" s="832">
        <v>1</v>
      </c>
      <c r="O271" s="832">
        <v>353</v>
      </c>
      <c r="P271" s="828"/>
      <c r="Q271" s="833">
        <v>353</v>
      </c>
    </row>
    <row r="272" spans="1:17" ht="14.45" customHeight="1" x14ac:dyDescent="0.2">
      <c r="A272" s="822" t="s">
        <v>6803</v>
      </c>
      <c r="B272" s="823" t="s">
        <v>6554</v>
      </c>
      <c r="C272" s="823" t="s">
        <v>5355</v>
      </c>
      <c r="D272" s="823" t="s">
        <v>6820</v>
      </c>
      <c r="E272" s="823" t="s">
        <v>6821</v>
      </c>
      <c r="F272" s="832"/>
      <c r="G272" s="832"/>
      <c r="H272" s="832"/>
      <c r="I272" s="832"/>
      <c r="J272" s="832"/>
      <c r="K272" s="832"/>
      <c r="L272" s="832"/>
      <c r="M272" s="832"/>
      <c r="N272" s="832">
        <v>2</v>
      </c>
      <c r="O272" s="832">
        <v>626</v>
      </c>
      <c r="P272" s="828"/>
      <c r="Q272" s="833">
        <v>313</v>
      </c>
    </row>
    <row r="273" spans="1:17" ht="14.45" customHeight="1" x14ac:dyDescent="0.2">
      <c r="A273" s="822" t="s">
        <v>6803</v>
      </c>
      <c r="B273" s="823" t="s">
        <v>6554</v>
      </c>
      <c r="C273" s="823" t="s">
        <v>5355</v>
      </c>
      <c r="D273" s="823" t="s">
        <v>6822</v>
      </c>
      <c r="E273" s="823" t="s">
        <v>6823</v>
      </c>
      <c r="F273" s="832">
        <v>1</v>
      </c>
      <c r="G273" s="832">
        <v>210</v>
      </c>
      <c r="H273" s="832"/>
      <c r="I273" s="832">
        <v>210</v>
      </c>
      <c r="J273" s="832"/>
      <c r="K273" s="832"/>
      <c r="L273" s="832"/>
      <c r="M273" s="832"/>
      <c r="N273" s="832"/>
      <c r="O273" s="832"/>
      <c r="P273" s="828"/>
      <c r="Q273" s="833"/>
    </row>
    <row r="274" spans="1:17" ht="14.45" customHeight="1" x14ac:dyDescent="0.2">
      <c r="A274" s="822" t="s">
        <v>6803</v>
      </c>
      <c r="B274" s="823" t="s">
        <v>6554</v>
      </c>
      <c r="C274" s="823" t="s">
        <v>5355</v>
      </c>
      <c r="D274" s="823" t="s">
        <v>6824</v>
      </c>
      <c r="E274" s="823" t="s">
        <v>6825</v>
      </c>
      <c r="F274" s="832">
        <v>1</v>
      </c>
      <c r="G274" s="832">
        <v>40</v>
      </c>
      <c r="H274" s="832"/>
      <c r="I274" s="832">
        <v>40</v>
      </c>
      <c r="J274" s="832"/>
      <c r="K274" s="832"/>
      <c r="L274" s="832"/>
      <c r="M274" s="832"/>
      <c r="N274" s="832"/>
      <c r="O274" s="832"/>
      <c r="P274" s="828"/>
      <c r="Q274" s="833"/>
    </row>
    <row r="275" spans="1:17" ht="14.45" customHeight="1" x14ac:dyDescent="0.2">
      <c r="A275" s="822" t="s">
        <v>6803</v>
      </c>
      <c r="B275" s="823" t="s">
        <v>6554</v>
      </c>
      <c r="C275" s="823" t="s">
        <v>5355</v>
      </c>
      <c r="D275" s="823" t="s">
        <v>6826</v>
      </c>
      <c r="E275" s="823" t="s">
        <v>6827</v>
      </c>
      <c r="F275" s="832"/>
      <c r="G275" s="832"/>
      <c r="H275" s="832"/>
      <c r="I275" s="832"/>
      <c r="J275" s="832">
        <v>1</v>
      </c>
      <c r="K275" s="832">
        <v>5030</v>
      </c>
      <c r="L275" s="832">
        <v>1</v>
      </c>
      <c r="M275" s="832">
        <v>5030</v>
      </c>
      <c r="N275" s="832"/>
      <c r="O275" s="832"/>
      <c r="P275" s="828"/>
      <c r="Q275" s="833"/>
    </row>
    <row r="276" spans="1:17" ht="14.45" customHeight="1" x14ac:dyDescent="0.2">
      <c r="A276" s="822" t="s">
        <v>6803</v>
      </c>
      <c r="B276" s="823" t="s">
        <v>6554</v>
      </c>
      <c r="C276" s="823" t="s">
        <v>5355</v>
      </c>
      <c r="D276" s="823" t="s">
        <v>6828</v>
      </c>
      <c r="E276" s="823" t="s">
        <v>6829</v>
      </c>
      <c r="F276" s="832">
        <v>1</v>
      </c>
      <c r="G276" s="832">
        <v>695</v>
      </c>
      <c r="H276" s="832"/>
      <c r="I276" s="832">
        <v>695</v>
      </c>
      <c r="J276" s="832"/>
      <c r="K276" s="832"/>
      <c r="L276" s="832"/>
      <c r="M276" s="832"/>
      <c r="N276" s="832"/>
      <c r="O276" s="832"/>
      <c r="P276" s="828"/>
      <c r="Q276" s="833"/>
    </row>
    <row r="277" spans="1:17" ht="14.45" customHeight="1" x14ac:dyDescent="0.2">
      <c r="A277" s="822" t="s">
        <v>6803</v>
      </c>
      <c r="B277" s="823" t="s">
        <v>6554</v>
      </c>
      <c r="C277" s="823" t="s">
        <v>5355</v>
      </c>
      <c r="D277" s="823" t="s">
        <v>6830</v>
      </c>
      <c r="E277" s="823" t="s">
        <v>6831</v>
      </c>
      <c r="F277" s="832">
        <v>1</v>
      </c>
      <c r="G277" s="832">
        <v>478</v>
      </c>
      <c r="H277" s="832"/>
      <c r="I277" s="832">
        <v>478</v>
      </c>
      <c r="J277" s="832"/>
      <c r="K277" s="832"/>
      <c r="L277" s="832"/>
      <c r="M277" s="832"/>
      <c r="N277" s="832">
        <v>1</v>
      </c>
      <c r="O277" s="832">
        <v>479</v>
      </c>
      <c r="P277" s="828"/>
      <c r="Q277" s="833">
        <v>479</v>
      </c>
    </row>
    <row r="278" spans="1:17" ht="14.45" customHeight="1" x14ac:dyDescent="0.2">
      <c r="A278" s="822" t="s">
        <v>6803</v>
      </c>
      <c r="B278" s="823" t="s">
        <v>6554</v>
      </c>
      <c r="C278" s="823" t="s">
        <v>5355</v>
      </c>
      <c r="D278" s="823" t="s">
        <v>6832</v>
      </c>
      <c r="E278" s="823" t="s">
        <v>6833</v>
      </c>
      <c r="F278" s="832">
        <v>1</v>
      </c>
      <c r="G278" s="832">
        <v>292</v>
      </c>
      <c r="H278" s="832"/>
      <c r="I278" s="832">
        <v>292</v>
      </c>
      <c r="J278" s="832"/>
      <c r="K278" s="832"/>
      <c r="L278" s="832"/>
      <c r="M278" s="832"/>
      <c r="N278" s="832">
        <v>1</v>
      </c>
      <c r="O278" s="832">
        <v>294</v>
      </c>
      <c r="P278" s="828"/>
      <c r="Q278" s="833">
        <v>294</v>
      </c>
    </row>
    <row r="279" spans="1:17" ht="14.45" customHeight="1" x14ac:dyDescent="0.2">
      <c r="A279" s="822" t="s">
        <v>6803</v>
      </c>
      <c r="B279" s="823" t="s">
        <v>6554</v>
      </c>
      <c r="C279" s="823" t="s">
        <v>5355</v>
      </c>
      <c r="D279" s="823" t="s">
        <v>6834</v>
      </c>
      <c r="E279" s="823" t="s">
        <v>6835</v>
      </c>
      <c r="F279" s="832"/>
      <c r="G279" s="832"/>
      <c r="H279" s="832"/>
      <c r="I279" s="832"/>
      <c r="J279" s="832">
        <v>1</v>
      </c>
      <c r="K279" s="832">
        <v>1023</v>
      </c>
      <c r="L279" s="832">
        <v>1</v>
      </c>
      <c r="M279" s="832">
        <v>1023</v>
      </c>
      <c r="N279" s="832"/>
      <c r="O279" s="832"/>
      <c r="P279" s="828"/>
      <c r="Q279" s="833"/>
    </row>
    <row r="280" spans="1:17" ht="14.45" customHeight="1" x14ac:dyDescent="0.2">
      <c r="A280" s="822" t="s">
        <v>6803</v>
      </c>
      <c r="B280" s="823" t="s">
        <v>6554</v>
      </c>
      <c r="C280" s="823" t="s">
        <v>5355</v>
      </c>
      <c r="D280" s="823" t="s">
        <v>6836</v>
      </c>
      <c r="E280" s="823" t="s">
        <v>6837</v>
      </c>
      <c r="F280" s="832">
        <v>2</v>
      </c>
      <c r="G280" s="832">
        <v>8174</v>
      </c>
      <c r="H280" s="832"/>
      <c r="I280" s="832">
        <v>4087</v>
      </c>
      <c r="J280" s="832"/>
      <c r="K280" s="832"/>
      <c r="L280" s="832"/>
      <c r="M280" s="832"/>
      <c r="N280" s="832"/>
      <c r="O280" s="832"/>
      <c r="P280" s="828"/>
      <c r="Q280" s="833"/>
    </row>
    <row r="281" spans="1:17" ht="14.45" customHeight="1" x14ac:dyDescent="0.2">
      <c r="A281" s="822" t="s">
        <v>6803</v>
      </c>
      <c r="B281" s="823" t="s">
        <v>6554</v>
      </c>
      <c r="C281" s="823" t="s">
        <v>5355</v>
      </c>
      <c r="D281" s="823" t="s">
        <v>6838</v>
      </c>
      <c r="E281" s="823" t="s">
        <v>6839</v>
      </c>
      <c r="F281" s="832"/>
      <c r="G281" s="832"/>
      <c r="H281" s="832"/>
      <c r="I281" s="832"/>
      <c r="J281" s="832"/>
      <c r="K281" s="832"/>
      <c r="L281" s="832"/>
      <c r="M281" s="832"/>
      <c r="N281" s="832">
        <v>1</v>
      </c>
      <c r="O281" s="832">
        <v>2387</v>
      </c>
      <c r="P281" s="828"/>
      <c r="Q281" s="833">
        <v>2387</v>
      </c>
    </row>
    <row r="282" spans="1:17" ht="14.45" customHeight="1" x14ac:dyDescent="0.2">
      <c r="A282" s="822" t="s">
        <v>6803</v>
      </c>
      <c r="B282" s="823" t="s">
        <v>6554</v>
      </c>
      <c r="C282" s="823" t="s">
        <v>5355</v>
      </c>
      <c r="D282" s="823" t="s">
        <v>6840</v>
      </c>
      <c r="E282" s="823" t="s">
        <v>6841</v>
      </c>
      <c r="F282" s="832"/>
      <c r="G282" s="832"/>
      <c r="H282" s="832"/>
      <c r="I282" s="832"/>
      <c r="J282" s="832"/>
      <c r="K282" s="832"/>
      <c r="L282" s="832"/>
      <c r="M282" s="832"/>
      <c r="N282" s="832">
        <v>1</v>
      </c>
      <c r="O282" s="832">
        <v>6197</v>
      </c>
      <c r="P282" s="828"/>
      <c r="Q282" s="833">
        <v>6197</v>
      </c>
    </row>
    <row r="283" spans="1:17" ht="14.45" customHeight="1" x14ac:dyDescent="0.2">
      <c r="A283" s="822" t="s">
        <v>6842</v>
      </c>
      <c r="B283" s="823" t="s">
        <v>6750</v>
      </c>
      <c r="C283" s="823" t="s">
        <v>5355</v>
      </c>
      <c r="D283" s="823" t="s">
        <v>6751</v>
      </c>
      <c r="E283" s="823" t="s">
        <v>6752</v>
      </c>
      <c r="F283" s="832"/>
      <c r="G283" s="832"/>
      <c r="H283" s="832"/>
      <c r="I283" s="832"/>
      <c r="J283" s="832"/>
      <c r="K283" s="832"/>
      <c r="L283" s="832"/>
      <c r="M283" s="832"/>
      <c r="N283" s="832">
        <v>67</v>
      </c>
      <c r="O283" s="832">
        <v>11792</v>
      </c>
      <c r="P283" s="828"/>
      <c r="Q283" s="833">
        <v>176</v>
      </c>
    </row>
    <row r="284" spans="1:17" ht="14.45" customHeight="1" x14ac:dyDescent="0.2">
      <c r="A284" s="822" t="s">
        <v>6842</v>
      </c>
      <c r="B284" s="823" t="s">
        <v>6750</v>
      </c>
      <c r="C284" s="823" t="s">
        <v>5355</v>
      </c>
      <c r="D284" s="823" t="s">
        <v>6753</v>
      </c>
      <c r="E284" s="823" t="s">
        <v>6754</v>
      </c>
      <c r="F284" s="832"/>
      <c r="G284" s="832"/>
      <c r="H284" s="832"/>
      <c r="I284" s="832"/>
      <c r="J284" s="832"/>
      <c r="K284" s="832"/>
      <c r="L284" s="832"/>
      <c r="M284" s="832"/>
      <c r="N284" s="832">
        <v>8</v>
      </c>
      <c r="O284" s="832">
        <v>8600</v>
      </c>
      <c r="P284" s="828"/>
      <c r="Q284" s="833">
        <v>1075</v>
      </c>
    </row>
    <row r="285" spans="1:17" ht="14.45" customHeight="1" x14ac:dyDescent="0.2">
      <c r="A285" s="822" t="s">
        <v>6842</v>
      </c>
      <c r="B285" s="823" t="s">
        <v>6750</v>
      </c>
      <c r="C285" s="823" t="s">
        <v>5355</v>
      </c>
      <c r="D285" s="823" t="s">
        <v>6755</v>
      </c>
      <c r="E285" s="823" t="s">
        <v>6756</v>
      </c>
      <c r="F285" s="832"/>
      <c r="G285" s="832"/>
      <c r="H285" s="832"/>
      <c r="I285" s="832"/>
      <c r="J285" s="832"/>
      <c r="K285" s="832"/>
      <c r="L285" s="832"/>
      <c r="M285" s="832"/>
      <c r="N285" s="832">
        <v>0</v>
      </c>
      <c r="O285" s="832">
        <v>0</v>
      </c>
      <c r="P285" s="828"/>
      <c r="Q285" s="833"/>
    </row>
    <row r="286" spans="1:17" ht="14.45" customHeight="1" x14ac:dyDescent="0.2">
      <c r="A286" s="822" t="s">
        <v>6842</v>
      </c>
      <c r="B286" s="823" t="s">
        <v>6750</v>
      </c>
      <c r="C286" s="823" t="s">
        <v>5355</v>
      </c>
      <c r="D286" s="823" t="s">
        <v>6683</v>
      </c>
      <c r="E286" s="823" t="s">
        <v>6684</v>
      </c>
      <c r="F286" s="832"/>
      <c r="G286" s="832"/>
      <c r="H286" s="832"/>
      <c r="I286" s="832"/>
      <c r="J286" s="832"/>
      <c r="K286" s="832"/>
      <c r="L286" s="832"/>
      <c r="M286" s="832"/>
      <c r="N286" s="832">
        <v>1</v>
      </c>
      <c r="O286" s="832">
        <v>348</v>
      </c>
      <c r="P286" s="828"/>
      <c r="Q286" s="833">
        <v>348</v>
      </c>
    </row>
    <row r="287" spans="1:17" ht="14.45" customHeight="1" x14ac:dyDescent="0.2">
      <c r="A287" s="822" t="s">
        <v>6842</v>
      </c>
      <c r="B287" s="823" t="s">
        <v>6750</v>
      </c>
      <c r="C287" s="823" t="s">
        <v>5355</v>
      </c>
      <c r="D287" s="823" t="s">
        <v>6757</v>
      </c>
      <c r="E287" s="823" t="s">
        <v>6758</v>
      </c>
      <c r="F287" s="832"/>
      <c r="G287" s="832"/>
      <c r="H287" s="832"/>
      <c r="I287" s="832"/>
      <c r="J287" s="832"/>
      <c r="K287" s="832"/>
      <c r="L287" s="832"/>
      <c r="M287" s="832"/>
      <c r="N287" s="832">
        <v>2</v>
      </c>
      <c r="O287" s="832">
        <v>756</v>
      </c>
      <c r="P287" s="828"/>
      <c r="Q287" s="833">
        <v>378</v>
      </c>
    </row>
    <row r="288" spans="1:17" ht="14.45" customHeight="1" x14ac:dyDescent="0.2">
      <c r="A288" s="822" t="s">
        <v>6842</v>
      </c>
      <c r="B288" s="823" t="s">
        <v>6750</v>
      </c>
      <c r="C288" s="823" t="s">
        <v>5355</v>
      </c>
      <c r="D288" s="823" t="s">
        <v>6759</v>
      </c>
      <c r="E288" s="823" t="s">
        <v>6760</v>
      </c>
      <c r="F288" s="832"/>
      <c r="G288" s="832"/>
      <c r="H288" s="832"/>
      <c r="I288" s="832"/>
      <c r="J288" s="832"/>
      <c r="K288" s="832"/>
      <c r="L288" s="832"/>
      <c r="M288" s="832"/>
      <c r="N288" s="832">
        <v>2</v>
      </c>
      <c r="O288" s="832">
        <v>70</v>
      </c>
      <c r="P288" s="828"/>
      <c r="Q288" s="833">
        <v>35</v>
      </c>
    </row>
    <row r="289" spans="1:17" ht="14.45" customHeight="1" x14ac:dyDescent="0.2">
      <c r="A289" s="822" t="s">
        <v>6842</v>
      </c>
      <c r="B289" s="823" t="s">
        <v>6750</v>
      </c>
      <c r="C289" s="823" t="s">
        <v>5355</v>
      </c>
      <c r="D289" s="823" t="s">
        <v>6763</v>
      </c>
      <c r="E289" s="823" t="s">
        <v>6764</v>
      </c>
      <c r="F289" s="832"/>
      <c r="G289" s="832"/>
      <c r="H289" s="832"/>
      <c r="I289" s="832"/>
      <c r="J289" s="832"/>
      <c r="K289" s="832"/>
      <c r="L289" s="832"/>
      <c r="M289" s="832"/>
      <c r="N289" s="832">
        <v>0</v>
      </c>
      <c r="O289" s="832">
        <v>0</v>
      </c>
      <c r="P289" s="828"/>
      <c r="Q289" s="833"/>
    </row>
    <row r="290" spans="1:17" ht="14.45" customHeight="1" x14ac:dyDescent="0.2">
      <c r="A290" s="822" t="s">
        <v>6842</v>
      </c>
      <c r="B290" s="823" t="s">
        <v>6750</v>
      </c>
      <c r="C290" s="823" t="s">
        <v>5355</v>
      </c>
      <c r="D290" s="823" t="s">
        <v>6773</v>
      </c>
      <c r="E290" s="823" t="s">
        <v>6774</v>
      </c>
      <c r="F290" s="832"/>
      <c r="G290" s="832"/>
      <c r="H290" s="832"/>
      <c r="I290" s="832"/>
      <c r="J290" s="832"/>
      <c r="K290" s="832"/>
      <c r="L290" s="832"/>
      <c r="M290" s="832"/>
      <c r="N290" s="832">
        <v>20</v>
      </c>
      <c r="O290" s="832">
        <v>2780</v>
      </c>
      <c r="P290" s="828"/>
      <c r="Q290" s="833">
        <v>139</v>
      </c>
    </row>
    <row r="291" spans="1:17" ht="14.45" customHeight="1" x14ac:dyDescent="0.2">
      <c r="A291" s="822" t="s">
        <v>6842</v>
      </c>
      <c r="B291" s="823" t="s">
        <v>6750</v>
      </c>
      <c r="C291" s="823" t="s">
        <v>5355</v>
      </c>
      <c r="D291" s="823" t="s">
        <v>6775</v>
      </c>
      <c r="E291" s="823" t="s">
        <v>6776</v>
      </c>
      <c r="F291" s="832"/>
      <c r="G291" s="832"/>
      <c r="H291" s="832"/>
      <c r="I291" s="832"/>
      <c r="J291" s="832"/>
      <c r="K291" s="832"/>
      <c r="L291" s="832"/>
      <c r="M291" s="832"/>
      <c r="N291" s="832">
        <v>11</v>
      </c>
      <c r="O291" s="832">
        <v>1023</v>
      </c>
      <c r="P291" s="828"/>
      <c r="Q291" s="833">
        <v>93</v>
      </c>
    </row>
    <row r="292" spans="1:17" ht="14.45" customHeight="1" x14ac:dyDescent="0.2">
      <c r="A292" s="822" t="s">
        <v>6842</v>
      </c>
      <c r="B292" s="823" t="s">
        <v>6750</v>
      </c>
      <c r="C292" s="823" t="s">
        <v>5355</v>
      </c>
      <c r="D292" s="823" t="s">
        <v>6777</v>
      </c>
      <c r="E292" s="823" t="s">
        <v>6778</v>
      </c>
      <c r="F292" s="832"/>
      <c r="G292" s="832"/>
      <c r="H292" s="832"/>
      <c r="I292" s="832"/>
      <c r="J292" s="832"/>
      <c r="K292" s="832"/>
      <c r="L292" s="832"/>
      <c r="M292" s="832"/>
      <c r="N292" s="832">
        <v>1</v>
      </c>
      <c r="O292" s="832">
        <v>141</v>
      </c>
      <c r="P292" s="828"/>
      <c r="Q292" s="833">
        <v>141</v>
      </c>
    </row>
    <row r="293" spans="1:17" ht="14.45" customHeight="1" x14ac:dyDescent="0.2">
      <c r="A293" s="822" t="s">
        <v>6842</v>
      </c>
      <c r="B293" s="823" t="s">
        <v>6750</v>
      </c>
      <c r="C293" s="823" t="s">
        <v>5355</v>
      </c>
      <c r="D293" s="823" t="s">
        <v>6692</v>
      </c>
      <c r="E293" s="823" t="s">
        <v>6693</v>
      </c>
      <c r="F293" s="832"/>
      <c r="G293" s="832"/>
      <c r="H293" s="832"/>
      <c r="I293" s="832"/>
      <c r="J293" s="832"/>
      <c r="K293" s="832"/>
      <c r="L293" s="832"/>
      <c r="M293" s="832"/>
      <c r="N293" s="832">
        <v>3</v>
      </c>
      <c r="O293" s="832">
        <v>987</v>
      </c>
      <c r="P293" s="828"/>
      <c r="Q293" s="833">
        <v>329</v>
      </c>
    </row>
    <row r="294" spans="1:17" ht="14.45" customHeight="1" x14ac:dyDescent="0.2">
      <c r="A294" s="822" t="s">
        <v>6842</v>
      </c>
      <c r="B294" s="823" t="s">
        <v>6750</v>
      </c>
      <c r="C294" s="823" t="s">
        <v>5355</v>
      </c>
      <c r="D294" s="823" t="s">
        <v>6781</v>
      </c>
      <c r="E294" s="823" t="s">
        <v>6782</v>
      </c>
      <c r="F294" s="832"/>
      <c r="G294" s="832"/>
      <c r="H294" s="832"/>
      <c r="I294" s="832"/>
      <c r="J294" s="832"/>
      <c r="K294" s="832"/>
      <c r="L294" s="832"/>
      <c r="M294" s="832"/>
      <c r="N294" s="832">
        <v>0</v>
      </c>
      <c r="O294" s="832">
        <v>0</v>
      </c>
      <c r="P294" s="828"/>
      <c r="Q294" s="833"/>
    </row>
    <row r="295" spans="1:17" ht="14.45" customHeight="1" x14ac:dyDescent="0.2">
      <c r="A295" s="822" t="s">
        <v>6842</v>
      </c>
      <c r="B295" s="823" t="s">
        <v>6750</v>
      </c>
      <c r="C295" s="823" t="s">
        <v>5355</v>
      </c>
      <c r="D295" s="823" t="s">
        <v>6843</v>
      </c>
      <c r="E295" s="823" t="s">
        <v>6844</v>
      </c>
      <c r="F295" s="832"/>
      <c r="G295" s="832"/>
      <c r="H295" s="832"/>
      <c r="I295" s="832"/>
      <c r="J295" s="832"/>
      <c r="K295" s="832"/>
      <c r="L295" s="832"/>
      <c r="M295" s="832"/>
      <c r="N295" s="832">
        <v>1</v>
      </c>
      <c r="O295" s="832">
        <v>1498</v>
      </c>
      <c r="P295" s="828"/>
      <c r="Q295" s="833">
        <v>1498</v>
      </c>
    </row>
    <row r="296" spans="1:17" ht="14.45" customHeight="1" x14ac:dyDescent="0.2">
      <c r="A296" s="822" t="s">
        <v>6842</v>
      </c>
      <c r="B296" s="823" t="s">
        <v>6750</v>
      </c>
      <c r="C296" s="823" t="s">
        <v>5355</v>
      </c>
      <c r="D296" s="823" t="s">
        <v>6795</v>
      </c>
      <c r="E296" s="823" t="s">
        <v>6796</v>
      </c>
      <c r="F296" s="832"/>
      <c r="G296" s="832"/>
      <c r="H296" s="832"/>
      <c r="I296" s="832"/>
      <c r="J296" s="832"/>
      <c r="K296" s="832"/>
      <c r="L296" s="832"/>
      <c r="M296" s="832"/>
      <c r="N296" s="832">
        <v>4</v>
      </c>
      <c r="O296" s="832">
        <v>1324</v>
      </c>
      <c r="P296" s="828"/>
      <c r="Q296" s="833">
        <v>331</v>
      </c>
    </row>
    <row r="297" spans="1:17" ht="14.45" customHeight="1" x14ac:dyDescent="0.2">
      <c r="A297" s="822" t="s">
        <v>6842</v>
      </c>
      <c r="B297" s="823" t="s">
        <v>6750</v>
      </c>
      <c r="C297" s="823" t="s">
        <v>5355</v>
      </c>
      <c r="D297" s="823" t="s">
        <v>6797</v>
      </c>
      <c r="E297" s="823" t="s">
        <v>6798</v>
      </c>
      <c r="F297" s="832"/>
      <c r="G297" s="832"/>
      <c r="H297" s="832"/>
      <c r="I297" s="832"/>
      <c r="J297" s="832"/>
      <c r="K297" s="832"/>
      <c r="L297" s="832"/>
      <c r="M297" s="832"/>
      <c r="N297" s="832">
        <v>7</v>
      </c>
      <c r="O297" s="832">
        <v>6258</v>
      </c>
      <c r="P297" s="828"/>
      <c r="Q297" s="833">
        <v>894</v>
      </c>
    </row>
    <row r="298" spans="1:17" ht="14.45" customHeight="1" x14ac:dyDescent="0.2">
      <c r="A298" s="822" t="s">
        <v>6842</v>
      </c>
      <c r="B298" s="823" t="s">
        <v>6750</v>
      </c>
      <c r="C298" s="823" t="s">
        <v>5355</v>
      </c>
      <c r="D298" s="823" t="s">
        <v>6799</v>
      </c>
      <c r="E298" s="823" t="s">
        <v>6800</v>
      </c>
      <c r="F298" s="832"/>
      <c r="G298" s="832"/>
      <c r="H298" s="832"/>
      <c r="I298" s="832"/>
      <c r="J298" s="832"/>
      <c r="K298" s="832"/>
      <c r="L298" s="832"/>
      <c r="M298" s="832"/>
      <c r="N298" s="832">
        <v>13</v>
      </c>
      <c r="O298" s="832">
        <v>3432</v>
      </c>
      <c r="P298" s="828"/>
      <c r="Q298" s="833">
        <v>264</v>
      </c>
    </row>
    <row r="299" spans="1:17" ht="14.45" customHeight="1" thickBot="1" x14ac:dyDescent="0.25">
      <c r="A299" s="814" t="s">
        <v>6842</v>
      </c>
      <c r="B299" s="815" t="s">
        <v>6750</v>
      </c>
      <c r="C299" s="815" t="s">
        <v>5355</v>
      </c>
      <c r="D299" s="815" t="s">
        <v>6801</v>
      </c>
      <c r="E299" s="815" t="s">
        <v>6802</v>
      </c>
      <c r="F299" s="834"/>
      <c r="G299" s="834"/>
      <c r="H299" s="834"/>
      <c r="I299" s="834"/>
      <c r="J299" s="834"/>
      <c r="K299" s="834"/>
      <c r="L299" s="834"/>
      <c r="M299" s="834"/>
      <c r="N299" s="834">
        <v>0</v>
      </c>
      <c r="O299" s="834">
        <v>0</v>
      </c>
      <c r="P299" s="820"/>
      <c r="Q299" s="835"/>
    </row>
  </sheetData>
  <autoFilter ref="A5:Q5" xr:uid="{00000000-0009-0000-0000-000037000000}"/>
  <mergeCells count="11">
    <mergeCell ref="P4:P5"/>
    <mergeCell ref="Q4:Q5"/>
    <mergeCell ref="A1:Q1"/>
    <mergeCell ref="A4:A5"/>
    <mergeCell ref="B4:B5"/>
    <mergeCell ref="C4:C5"/>
    <mergeCell ref="D4:D5"/>
    <mergeCell ref="E4:E5"/>
    <mergeCell ref="F4:G4"/>
    <mergeCell ref="J4:K4"/>
    <mergeCell ref="N4:O4"/>
  </mergeCells>
  <conditionalFormatting sqref="P3">
    <cfRule type="cellIs" dxfId="3" priority="1" stopIfTrue="1" operator="greaterThan">
      <formula>1</formula>
    </cfRule>
  </conditionalFormatting>
  <hyperlinks>
    <hyperlink ref="A2" location="Obsah!A1" display="Zpět na Obsah  KL 01  1.-4.měsíc" xr:uid="{06660780-8A4B-4087-A1E5-F377BB93018E}"/>
  </hyperlinks>
  <pageMargins left="0.25" right="0.25" top="0.75" bottom="0.75" header="0.3" footer="0.3"/>
  <pageSetup paperSize="9" fitToHeight="0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sheetPr codeName="List25">
    <tabColor theme="0" tint="-0.249977111117893"/>
    <pageSetUpPr fitToPage="1"/>
  </sheetPr>
  <dimension ref="A1:N12"/>
  <sheetViews>
    <sheetView showGridLines="0" showRowColHeaders="0" zoomScaleNormal="100" workbookViewId="0">
      <pane ySplit="5" topLeftCell="A6" activePane="bottomLeft" state="frozen"/>
      <selection pane="bottomLeft" sqref="A1:N1"/>
    </sheetView>
  </sheetViews>
  <sheetFormatPr defaultColWidth="8.85546875" defaultRowHeight="14.45" customHeight="1" outlineLevelCol="1" x14ac:dyDescent="0.2"/>
  <cols>
    <col min="1" max="1" width="14.28515625" style="188" bestFit="1" customWidth="1"/>
    <col min="2" max="2" width="15.7109375" style="188" bestFit="1" customWidth="1"/>
    <col min="3" max="3" width="8.28515625" style="196" hidden="1" customWidth="1" outlineLevel="1"/>
    <col min="4" max="4" width="8.28515625" style="196" customWidth="1" collapsed="1"/>
    <col min="5" max="5" width="8.28515625" style="196" customWidth="1"/>
    <col min="6" max="6" width="6.140625" style="197" customWidth="1"/>
    <col min="7" max="7" width="8.28515625" style="196" hidden="1" customWidth="1" outlineLevel="1"/>
    <col min="8" max="8" width="8.28515625" style="196" customWidth="1" collapsed="1"/>
    <col min="9" max="9" width="8.28515625" style="196" customWidth="1"/>
    <col min="10" max="10" width="6.140625" style="197" customWidth="1"/>
    <col min="11" max="11" width="8.28515625" style="196" hidden="1" customWidth="1" outlineLevel="1"/>
    <col min="12" max="12" width="8.28515625" style="196" customWidth="1" collapsed="1"/>
    <col min="13" max="14" width="8.28515625" style="196" customWidth="1"/>
    <col min="15" max="16384" width="8.85546875" style="188"/>
  </cols>
  <sheetData>
    <row r="1" spans="1:14" ht="18.600000000000001" customHeight="1" thickBot="1" x14ac:dyDescent="0.35">
      <c r="A1" s="697" t="s">
        <v>180</v>
      </c>
      <c r="B1" s="698"/>
      <c r="C1" s="698"/>
      <c r="D1" s="698"/>
      <c r="E1" s="698"/>
      <c r="F1" s="698"/>
      <c r="G1" s="698"/>
      <c r="H1" s="698"/>
      <c r="I1" s="698"/>
      <c r="J1" s="698"/>
      <c r="K1" s="698"/>
      <c r="L1" s="698"/>
      <c r="M1" s="698"/>
      <c r="N1" s="698"/>
    </row>
    <row r="2" spans="1:14" ht="14.45" customHeight="1" thickBot="1" x14ac:dyDescent="0.25">
      <c r="A2" s="705" t="s">
        <v>328</v>
      </c>
      <c r="B2" s="189"/>
      <c r="C2" s="189"/>
      <c r="D2" s="189"/>
      <c r="E2" s="189"/>
      <c r="F2" s="189"/>
      <c r="G2" s="387"/>
      <c r="H2" s="387"/>
      <c r="I2" s="387"/>
      <c r="J2" s="189"/>
      <c r="K2" s="387"/>
      <c r="L2" s="387"/>
      <c r="M2" s="387"/>
      <c r="N2" s="189"/>
    </row>
    <row r="3" spans="1:14" ht="14.45" customHeight="1" thickBot="1" x14ac:dyDescent="0.25">
      <c r="A3" s="190"/>
      <c r="B3" s="191" t="s">
        <v>158</v>
      </c>
      <c r="C3" s="192">
        <f>SUBTOTAL(9,C6:C1048576)</f>
        <v>2603</v>
      </c>
      <c r="D3" s="193">
        <f>SUBTOTAL(9,D6:D1048576)</f>
        <v>2965</v>
      </c>
      <c r="E3" s="193">
        <f>SUBTOTAL(9,E6:E1048576)</f>
        <v>2342</v>
      </c>
      <c r="F3" s="194">
        <f>IF(OR(E3=0,D3=0),"",E3/D3)</f>
        <v>0.78988195615514334</v>
      </c>
      <c r="G3" s="388">
        <f>SUBTOTAL(9,G6:G1048576)</f>
        <v>20031.0795</v>
      </c>
      <c r="H3" s="389">
        <f>SUBTOTAL(9,H6:H1048576)</f>
        <v>24975.535459999996</v>
      </c>
      <c r="I3" s="389">
        <f>SUBTOTAL(9,I6:I1048576)</f>
        <v>18116.5455</v>
      </c>
      <c r="J3" s="194">
        <f>IF(OR(I3=0,H3=0),"",I3/H3)</f>
        <v>0.72537165535509218</v>
      </c>
      <c r="K3" s="388">
        <f>SUBTOTAL(9,K6:K1048576)</f>
        <v>7065.96</v>
      </c>
      <c r="L3" s="389">
        <f>SUBTOTAL(9,L6:L1048576)</f>
        <v>8887.48</v>
      </c>
      <c r="M3" s="389">
        <f>SUBTOTAL(9,M6:M1048576)</f>
        <v>6359.62</v>
      </c>
      <c r="N3" s="195">
        <f>IF(OR(M3=0,E3=0),"",M3*1000/E3)</f>
        <v>2715.4654141759179</v>
      </c>
    </row>
    <row r="4" spans="1:14" ht="14.45" customHeight="1" x14ac:dyDescent="0.2">
      <c r="A4" s="699" t="s">
        <v>89</v>
      </c>
      <c r="B4" s="700" t="s">
        <v>11</v>
      </c>
      <c r="C4" s="701" t="s">
        <v>90</v>
      </c>
      <c r="D4" s="701"/>
      <c r="E4" s="701"/>
      <c r="F4" s="702"/>
      <c r="G4" s="703" t="s">
        <v>263</v>
      </c>
      <c r="H4" s="701"/>
      <c r="I4" s="701"/>
      <c r="J4" s="702"/>
      <c r="K4" s="703" t="s">
        <v>91</v>
      </c>
      <c r="L4" s="701"/>
      <c r="M4" s="701"/>
      <c r="N4" s="704"/>
    </row>
    <row r="5" spans="1:14" ht="14.45" customHeight="1" thickBot="1" x14ac:dyDescent="0.25">
      <c r="A5" s="974"/>
      <c r="B5" s="975"/>
      <c r="C5" s="982">
        <v>2018</v>
      </c>
      <c r="D5" s="982">
        <v>2019</v>
      </c>
      <c r="E5" s="982">
        <v>2020</v>
      </c>
      <c r="F5" s="983" t="s">
        <v>2</v>
      </c>
      <c r="G5" s="993">
        <v>2018</v>
      </c>
      <c r="H5" s="982">
        <v>2019</v>
      </c>
      <c r="I5" s="982">
        <v>2020</v>
      </c>
      <c r="J5" s="983" t="s">
        <v>2</v>
      </c>
      <c r="K5" s="993">
        <v>2018</v>
      </c>
      <c r="L5" s="982">
        <v>2019</v>
      </c>
      <c r="M5" s="982">
        <v>2020</v>
      </c>
      <c r="N5" s="994" t="s">
        <v>92</v>
      </c>
    </row>
    <row r="6" spans="1:14" ht="14.45" customHeight="1" x14ac:dyDescent="0.2">
      <c r="A6" s="976" t="s">
        <v>5882</v>
      </c>
      <c r="B6" s="979" t="s">
        <v>6846</v>
      </c>
      <c r="C6" s="984">
        <v>1933</v>
      </c>
      <c r="D6" s="985">
        <v>2129</v>
      </c>
      <c r="E6" s="985">
        <v>1726</v>
      </c>
      <c r="F6" s="990"/>
      <c r="G6" s="984">
        <v>1737.3519000000001</v>
      </c>
      <c r="H6" s="985">
        <v>1935.6551000000002</v>
      </c>
      <c r="I6" s="985">
        <v>1541.7216000000001</v>
      </c>
      <c r="J6" s="990"/>
      <c r="K6" s="984">
        <v>231.96</v>
      </c>
      <c r="L6" s="985">
        <v>255.48</v>
      </c>
      <c r="M6" s="985">
        <v>207.12</v>
      </c>
      <c r="N6" s="995">
        <v>120</v>
      </c>
    </row>
    <row r="7" spans="1:14" ht="14.45" customHeight="1" x14ac:dyDescent="0.2">
      <c r="A7" s="977" t="s">
        <v>6087</v>
      </c>
      <c r="B7" s="980" t="s">
        <v>6847</v>
      </c>
      <c r="C7" s="986">
        <v>463</v>
      </c>
      <c r="D7" s="987">
        <v>624</v>
      </c>
      <c r="E7" s="987">
        <v>405</v>
      </c>
      <c r="F7" s="991"/>
      <c r="G7" s="986">
        <v>13320.2322</v>
      </c>
      <c r="H7" s="987">
        <v>17961.771119999994</v>
      </c>
      <c r="I7" s="987">
        <v>11655.1188</v>
      </c>
      <c r="J7" s="991"/>
      <c r="K7" s="986">
        <v>5093</v>
      </c>
      <c r="L7" s="987">
        <v>6864</v>
      </c>
      <c r="M7" s="987">
        <v>4455</v>
      </c>
      <c r="N7" s="996">
        <v>11000</v>
      </c>
    </row>
    <row r="8" spans="1:14" ht="14.45" customHeight="1" x14ac:dyDescent="0.2">
      <c r="A8" s="977" t="s">
        <v>6107</v>
      </c>
      <c r="B8" s="980" t="s">
        <v>6847</v>
      </c>
      <c r="C8" s="986">
        <v>162</v>
      </c>
      <c r="D8" s="987">
        <v>163</v>
      </c>
      <c r="E8" s="987">
        <v>144</v>
      </c>
      <c r="F8" s="991"/>
      <c r="G8" s="986">
        <v>4077.4427999999989</v>
      </c>
      <c r="H8" s="987">
        <v>4110.7185199999994</v>
      </c>
      <c r="I8" s="987">
        <v>3625.6535999999978</v>
      </c>
      <c r="J8" s="991"/>
      <c r="K8" s="986">
        <v>1458</v>
      </c>
      <c r="L8" s="987">
        <v>1467</v>
      </c>
      <c r="M8" s="987">
        <v>1296</v>
      </c>
      <c r="N8" s="996">
        <v>9000</v>
      </c>
    </row>
    <row r="9" spans="1:14" ht="14.45" customHeight="1" x14ac:dyDescent="0.2">
      <c r="A9" s="977" t="s">
        <v>6102</v>
      </c>
      <c r="B9" s="980" t="s">
        <v>6847</v>
      </c>
      <c r="C9" s="986">
        <v>39</v>
      </c>
      <c r="D9" s="987">
        <v>41</v>
      </c>
      <c r="E9" s="987">
        <v>54</v>
      </c>
      <c r="F9" s="991"/>
      <c r="G9" s="986">
        <v>841.20660000000044</v>
      </c>
      <c r="H9" s="987">
        <v>891.13011999999992</v>
      </c>
      <c r="I9" s="987">
        <v>1165.2192</v>
      </c>
      <c r="J9" s="991"/>
      <c r="K9" s="986">
        <v>273</v>
      </c>
      <c r="L9" s="987">
        <v>287</v>
      </c>
      <c r="M9" s="987">
        <v>378</v>
      </c>
      <c r="N9" s="996">
        <v>7000</v>
      </c>
    </row>
    <row r="10" spans="1:14" ht="14.45" customHeight="1" x14ac:dyDescent="0.2">
      <c r="A10" s="977" t="s">
        <v>6089</v>
      </c>
      <c r="B10" s="980" t="s">
        <v>6847</v>
      </c>
      <c r="C10" s="986">
        <v>4</v>
      </c>
      <c r="D10" s="987">
        <v>6</v>
      </c>
      <c r="E10" s="987">
        <v>11</v>
      </c>
      <c r="F10" s="991"/>
      <c r="G10" s="986">
        <v>42.8292</v>
      </c>
      <c r="H10" s="987">
        <v>64.243799999999993</v>
      </c>
      <c r="I10" s="987">
        <v>117.87930000000001</v>
      </c>
      <c r="J10" s="991"/>
      <c r="K10" s="986">
        <v>8</v>
      </c>
      <c r="L10" s="987">
        <v>12</v>
      </c>
      <c r="M10" s="987">
        <v>22</v>
      </c>
      <c r="N10" s="996">
        <v>2000</v>
      </c>
    </row>
    <row r="11" spans="1:14" ht="14.45" customHeight="1" x14ac:dyDescent="0.2">
      <c r="A11" s="977" t="s">
        <v>6104</v>
      </c>
      <c r="B11" s="980" t="s">
        <v>6847</v>
      </c>
      <c r="C11" s="986">
        <v>2</v>
      </c>
      <c r="D11" s="987">
        <v>2</v>
      </c>
      <c r="E11" s="987">
        <v>1</v>
      </c>
      <c r="F11" s="991"/>
      <c r="G11" s="986">
        <v>12.0168</v>
      </c>
      <c r="H11" s="987">
        <v>12.0168</v>
      </c>
      <c r="I11" s="987">
        <v>6.0173999999999994</v>
      </c>
      <c r="J11" s="991"/>
      <c r="K11" s="986">
        <v>2</v>
      </c>
      <c r="L11" s="987">
        <v>2</v>
      </c>
      <c r="M11" s="987">
        <v>1</v>
      </c>
      <c r="N11" s="996">
        <v>1000</v>
      </c>
    </row>
    <row r="12" spans="1:14" ht="14.45" customHeight="1" thickBot="1" x14ac:dyDescent="0.25">
      <c r="A12" s="978" t="s">
        <v>6100</v>
      </c>
      <c r="B12" s="981" t="s">
        <v>6847</v>
      </c>
      <c r="C12" s="988"/>
      <c r="D12" s="989"/>
      <c r="E12" s="989">
        <v>1</v>
      </c>
      <c r="F12" s="992"/>
      <c r="G12" s="988"/>
      <c r="H12" s="989"/>
      <c r="I12" s="989">
        <v>4.9356</v>
      </c>
      <c r="J12" s="992"/>
      <c r="K12" s="988"/>
      <c r="L12" s="989"/>
      <c r="M12" s="989">
        <v>0.5</v>
      </c>
      <c r="N12" s="997">
        <v>500</v>
      </c>
    </row>
  </sheetData>
  <autoFilter ref="A5:N5" xr:uid="{00000000-0009-0000-0000-000039000000}"/>
  <mergeCells count="6">
    <mergeCell ref="A1:N1"/>
    <mergeCell ref="A4:A5"/>
    <mergeCell ref="B4:B5"/>
    <mergeCell ref="C4:F4"/>
    <mergeCell ref="G4:J4"/>
    <mergeCell ref="K4:N4"/>
  </mergeCells>
  <conditionalFormatting sqref="F6:F65531 J6:J65531">
    <cfRule type="cellIs" dxfId="2" priority="6" stopIfTrue="1" operator="greaterThanOrEqual">
      <formula>1</formula>
    </cfRule>
  </conditionalFormatting>
  <conditionalFormatting sqref="F3">
    <cfRule type="cellIs" dxfId="1" priority="5" stopIfTrue="1" operator="greaterThanOrEqual">
      <formula>1</formula>
    </cfRule>
  </conditionalFormatting>
  <conditionalFormatting sqref="J3">
    <cfRule type="cellIs" dxfId="0" priority="4" stopIfTrue="1" operator="greaterThanOrEqual">
      <formula>1</formula>
    </cfRule>
  </conditionalFormatting>
  <conditionalFormatting sqref="E6:E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{F41FDF36-4DF6-49C1-AEE2-A4734489E57F}</x14:id>
        </ext>
      </extLst>
    </cfRule>
  </conditionalFormatting>
  <conditionalFormatting sqref="I6:I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{22F00197-2BD7-493E-BC02-3906F6130DA3}</x14:id>
        </ext>
      </extLst>
    </cfRule>
  </conditionalFormatting>
  <conditionalFormatting sqref="M6:M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{E60DB86E-BB07-4CC2-A6CD-752208150D74}</x14:id>
        </ext>
      </extLst>
    </cfRule>
  </conditionalFormatting>
  <hyperlinks>
    <hyperlink ref="A2" location="Obsah!A1" display="Zpět na Obsah  KL 01  1.-4.měsíc" xr:uid="{FDA44D9A-D99A-468B-829A-D4180274B86B}"/>
  </hyperlinks>
  <pageMargins left="0.25" right="0.25" top="0.75" bottom="0.75" header="0.3" footer="0.3"/>
  <pageSetup paperSize="9" fitToHeight="0" orientation="landscape" r:id="rId1"/>
  <headerFooter alignWithMargins="0"/>
  <ignoredErrors>
    <ignoredError sqref="K3:M3 C3:E3 G3:I3" formulaRange="1"/>
    <ignoredError sqref="F3 J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41FDF36-4DF6-49C1-AEE2-A4734489E57F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E6:E1048576</xm:sqref>
        </x14:conditionalFormatting>
        <x14:conditionalFormatting xmlns:xm="http://schemas.microsoft.com/office/excel/2006/main">
          <x14:cfRule type="dataBar" id="{22F00197-2BD7-493E-BC02-3906F6130DA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I6:I1048576</xm:sqref>
        </x14:conditionalFormatting>
        <x14:conditionalFormatting xmlns:xm="http://schemas.microsoft.com/office/excel/2006/main">
          <x14:cfRule type="dataBar" id="{E60DB86E-BB07-4CC2-A6CD-752208150D7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M6:M1048576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ColWidth="8.85546875" defaultRowHeight="14.45" customHeight="1" x14ac:dyDescent="0.2"/>
  <cols>
    <col min="1" max="1" width="8.85546875" style="247"/>
    <col min="2" max="13" width="8.85546875" style="247" customWidth="1"/>
    <col min="14" max="16384" width="8.85546875" style="247"/>
  </cols>
  <sheetData>
    <row r="1" spans="1:13" ht="18.600000000000001" customHeight="1" thickBot="1" x14ac:dyDescent="0.35">
      <c r="A1" s="516" t="s">
        <v>127</v>
      </c>
      <c r="B1" s="516"/>
      <c r="C1" s="516"/>
      <c r="D1" s="516"/>
      <c r="E1" s="516"/>
      <c r="F1" s="516"/>
      <c r="G1" s="516"/>
      <c r="H1" s="516"/>
      <c r="I1" s="516"/>
      <c r="J1" s="516"/>
      <c r="K1" s="516"/>
      <c r="L1" s="516"/>
      <c r="M1" s="516"/>
    </row>
    <row r="2" spans="1:13" ht="14.45" customHeight="1" x14ac:dyDescent="0.2">
      <c r="A2" s="705" t="s">
        <v>328</v>
      </c>
      <c r="B2" s="248"/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</row>
    <row r="3" spans="1:13" ht="14.45" customHeight="1" x14ac:dyDescent="0.2">
      <c r="A3" s="320"/>
      <c r="B3" s="321" t="s">
        <v>102</v>
      </c>
      <c r="C3" s="322" t="s">
        <v>103</v>
      </c>
      <c r="D3" s="322" t="s">
        <v>104</v>
      </c>
      <c r="E3" s="321" t="s">
        <v>105</v>
      </c>
      <c r="F3" s="322" t="s">
        <v>106</v>
      </c>
      <c r="G3" s="322" t="s">
        <v>107</v>
      </c>
      <c r="H3" s="322" t="s">
        <v>108</v>
      </c>
      <c r="I3" s="322" t="s">
        <v>109</v>
      </c>
      <c r="J3" s="322" t="s">
        <v>110</v>
      </c>
      <c r="K3" s="322" t="s">
        <v>111</v>
      </c>
      <c r="L3" s="322" t="s">
        <v>112</v>
      </c>
      <c r="M3" s="322" t="s">
        <v>113</v>
      </c>
    </row>
    <row r="4" spans="1:13" ht="14.45" customHeight="1" x14ac:dyDescent="0.2">
      <c r="A4" s="320" t="s">
        <v>101</v>
      </c>
      <c r="B4" s="323">
        <f>(B10+B8)/B6</f>
        <v>0.8355976162947496</v>
      </c>
      <c r="C4" s="323">
        <f t="shared" ref="C4:M4" si="0">(C10+C8)/C6</f>
        <v>0.86025582366571196</v>
      </c>
      <c r="D4" s="323">
        <f t="shared" si="0"/>
        <v>0.87493723861651218</v>
      </c>
      <c r="E4" s="323">
        <f t="shared" si="0"/>
        <v>0.80980755287979922</v>
      </c>
      <c r="F4" s="323">
        <f t="shared" si="0"/>
        <v>0.82271792952529876</v>
      </c>
      <c r="G4" s="323">
        <f t="shared" si="0"/>
        <v>8.3814028642054117E-3</v>
      </c>
      <c r="H4" s="323">
        <f t="shared" si="0"/>
        <v>8.3814028642054117E-3</v>
      </c>
      <c r="I4" s="323">
        <f t="shared" si="0"/>
        <v>8.3814028642054117E-3</v>
      </c>
      <c r="J4" s="323">
        <f t="shared" si="0"/>
        <v>8.3814028642054117E-3</v>
      </c>
      <c r="K4" s="323">
        <f t="shared" si="0"/>
        <v>8.3814028642054117E-3</v>
      </c>
      <c r="L4" s="323">
        <f t="shared" si="0"/>
        <v>8.3814028642054117E-3</v>
      </c>
      <c r="M4" s="323">
        <f t="shared" si="0"/>
        <v>8.3814028642054117E-3</v>
      </c>
    </row>
    <row r="5" spans="1:13" ht="14.45" customHeight="1" x14ac:dyDescent="0.2">
      <c r="A5" s="324" t="s">
        <v>53</v>
      </c>
      <c r="B5" s="323">
        <f>IF(ISERROR(VLOOKUP($A5,'Man Tab'!$A:$Q,COLUMN()+2,0)),0,VLOOKUP($A5,'Man Tab'!$A:$Q,COLUMN()+2,0))</f>
        <v>16046.0275</v>
      </c>
      <c r="C5" s="323">
        <f>IF(ISERROR(VLOOKUP($A5,'Man Tab'!$A:$Q,COLUMN()+2,0)),0,VLOOKUP($A5,'Man Tab'!$A:$Q,COLUMN()+2,0))</f>
        <v>15789.519759999999</v>
      </c>
      <c r="D5" s="323">
        <f>IF(ISERROR(VLOOKUP($A5,'Man Tab'!$A:$Q,COLUMN()+2,0)),0,VLOOKUP($A5,'Man Tab'!$A:$Q,COLUMN()+2,0))</f>
        <v>14619.909710000002</v>
      </c>
      <c r="E5" s="323">
        <f>IF(ISERROR(VLOOKUP($A5,'Man Tab'!$A:$Q,COLUMN()+2,0)),0,VLOOKUP($A5,'Man Tab'!$A:$Q,COLUMN()+2,0))</f>
        <v>11869.16274</v>
      </c>
      <c r="F5" s="323">
        <f>IF(ISERROR(VLOOKUP($A5,'Man Tab'!$A:$Q,COLUMN()+2,0)),0,VLOOKUP($A5,'Man Tab'!$A:$Q,COLUMN()+2,0))</f>
        <v>14914.020640000001</v>
      </c>
      <c r="G5" s="323">
        <f>IF(ISERROR(VLOOKUP($A5,'Man Tab'!$A:$Q,COLUMN()+2,0)),0,VLOOKUP($A5,'Man Tab'!$A:$Q,COLUMN()+2,0))</f>
        <v>0</v>
      </c>
      <c r="H5" s="323">
        <f>IF(ISERROR(VLOOKUP($A5,'Man Tab'!$A:$Q,COLUMN()+2,0)),0,VLOOKUP($A5,'Man Tab'!$A:$Q,COLUMN()+2,0))</f>
        <v>0</v>
      </c>
      <c r="I5" s="323">
        <f>IF(ISERROR(VLOOKUP($A5,'Man Tab'!$A:$Q,COLUMN()+2,0)),0,VLOOKUP($A5,'Man Tab'!$A:$Q,COLUMN()+2,0))</f>
        <v>0</v>
      </c>
      <c r="J5" s="323">
        <f>IF(ISERROR(VLOOKUP($A5,'Man Tab'!$A:$Q,COLUMN()+2,0)),0,VLOOKUP($A5,'Man Tab'!$A:$Q,COLUMN()+2,0))</f>
        <v>0</v>
      </c>
      <c r="K5" s="323">
        <f>IF(ISERROR(VLOOKUP($A5,'Man Tab'!$A:$Q,COLUMN()+2,0)),0,VLOOKUP($A5,'Man Tab'!$A:$Q,COLUMN()+2,0))</f>
        <v>0</v>
      </c>
      <c r="L5" s="323">
        <f>IF(ISERROR(VLOOKUP($A5,'Man Tab'!$A:$Q,COLUMN()+2,0)),0,VLOOKUP($A5,'Man Tab'!$A:$Q,COLUMN()+2,0))</f>
        <v>0</v>
      </c>
      <c r="M5" s="323">
        <f>IF(ISERROR(VLOOKUP($A5,'Man Tab'!$A:$Q,COLUMN()+2,0)),0,VLOOKUP($A5,'Man Tab'!$A:$Q,COLUMN()+2,0))</f>
        <v>0</v>
      </c>
    </row>
    <row r="6" spans="1:13" ht="14.45" customHeight="1" x14ac:dyDescent="0.2">
      <c r="A6" s="324" t="s">
        <v>97</v>
      </c>
      <c r="B6" s="325">
        <f>B5</f>
        <v>16046.0275</v>
      </c>
      <c r="C6" s="325">
        <f t="shared" ref="C6:M6" si="1">C5+B6</f>
        <v>31835.547259999999</v>
      </c>
      <c r="D6" s="325">
        <f t="shared" si="1"/>
        <v>46455.456969999999</v>
      </c>
      <c r="E6" s="325">
        <f t="shared" si="1"/>
        <v>58324.619709999999</v>
      </c>
      <c r="F6" s="325">
        <f t="shared" si="1"/>
        <v>73238.640350000001</v>
      </c>
      <c r="G6" s="325">
        <f t="shared" si="1"/>
        <v>73238.640350000001</v>
      </c>
      <c r="H6" s="325">
        <f t="shared" si="1"/>
        <v>73238.640350000001</v>
      </c>
      <c r="I6" s="325">
        <f t="shared" si="1"/>
        <v>73238.640350000001</v>
      </c>
      <c r="J6" s="325">
        <f t="shared" si="1"/>
        <v>73238.640350000001</v>
      </c>
      <c r="K6" s="325">
        <f t="shared" si="1"/>
        <v>73238.640350000001</v>
      </c>
      <c r="L6" s="325">
        <f t="shared" si="1"/>
        <v>73238.640350000001</v>
      </c>
      <c r="M6" s="325">
        <f t="shared" si="1"/>
        <v>73238.640350000001</v>
      </c>
    </row>
    <row r="7" spans="1:13" ht="14.45" customHeight="1" x14ac:dyDescent="0.2">
      <c r="A7" s="324" t="s">
        <v>125</v>
      </c>
      <c r="B7" s="324">
        <v>441.01299999999998</v>
      </c>
      <c r="C7" s="324">
        <v>902.05799999999999</v>
      </c>
      <c r="D7" s="324">
        <v>1341.566</v>
      </c>
      <c r="E7" s="324">
        <v>1559.3340000000001</v>
      </c>
      <c r="F7" s="324">
        <v>1988.03</v>
      </c>
      <c r="G7" s="324"/>
      <c r="H7" s="324"/>
      <c r="I7" s="324"/>
      <c r="J7" s="324"/>
      <c r="K7" s="324"/>
      <c r="L7" s="324"/>
      <c r="M7" s="324"/>
    </row>
    <row r="8" spans="1:13" ht="14.45" customHeight="1" x14ac:dyDescent="0.2">
      <c r="A8" s="324" t="s">
        <v>98</v>
      </c>
      <c r="B8" s="325">
        <f>B7*30</f>
        <v>13230.39</v>
      </c>
      <c r="C8" s="325">
        <f t="shared" ref="C8:M8" si="2">C7*30</f>
        <v>27061.739999999998</v>
      </c>
      <c r="D8" s="325">
        <f t="shared" si="2"/>
        <v>40246.980000000003</v>
      </c>
      <c r="E8" s="325">
        <f t="shared" si="2"/>
        <v>46780.020000000004</v>
      </c>
      <c r="F8" s="325">
        <f t="shared" si="2"/>
        <v>59640.9</v>
      </c>
      <c r="G8" s="325">
        <f t="shared" si="2"/>
        <v>0</v>
      </c>
      <c r="H8" s="325">
        <f t="shared" si="2"/>
        <v>0</v>
      </c>
      <c r="I8" s="325">
        <f t="shared" si="2"/>
        <v>0</v>
      </c>
      <c r="J8" s="325">
        <f t="shared" si="2"/>
        <v>0</v>
      </c>
      <c r="K8" s="325">
        <f t="shared" si="2"/>
        <v>0</v>
      </c>
      <c r="L8" s="325">
        <f t="shared" si="2"/>
        <v>0</v>
      </c>
      <c r="M8" s="325">
        <f t="shared" si="2"/>
        <v>0</v>
      </c>
    </row>
    <row r="9" spans="1:13" ht="14.45" customHeight="1" x14ac:dyDescent="0.2">
      <c r="A9" s="324" t="s">
        <v>126</v>
      </c>
      <c r="B9" s="324">
        <v>177632.33000000002</v>
      </c>
      <c r="C9" s="324">
        <v>147342.6</v>
      </c>
      <c r="D9" s="324">
        <v>73654.31</v>
      </c>
      <c r="E9" s="324">
        <v>53068.320000000007</v>
      </c>
      <c r="F9" s="324">
        <v>162144.99</v>
      </c>
      <c r="G9" s="324">
        <v>0</v>
      </c>
      <c r="H9" s="324">
        <v>0</v>
      </c>
      <c r="I9" s="324">
        <v>0</v>
      </c>
      <c r="J9" s="324">
        <v>0</v>
      </c>
      <c r="K9" s="324">
        <v>0</v>
      </c>
      <c r="L9" s="324">
        <v>0</v>
      </c>
      <c r="M9" s="324">
        <v>0</v>
      </c>
    </row>
    <row r="10" spans="1:13" ht="14.45" customHeight="1" x14ac:dyDescent="0.2">
      <c r="A10" s="324" t="s">
        <v>99</v>
      </c>
      <c r="B10" s="325">
        <f>B9/1000</f>
        <v>177.63233000000002</v>
      </c>
      <c r="C10" s="325">
        <f t="shared" ref="C10:M10" si="3">C9/1000+B10</f>
        <v>324.97493000000003</v>
      </c>
      <c r="D10" s="325">
        <f t="shared" si="3"/>
        <v>398.62924000000004</v>
      </c>
      <c r="E10" s="325">
        <f t="shared" si="3"/>
        <v>451.69756000000007</v>
      </c>
      <c r="F10" s="325">
        <f t="shared" si="3"/>
        <v>613.84255000000007</v>
      </c>
      <c r="G10" s="325">
        <f t="shared" si="3"/>
        <v>613.84255000000007</v>
      </c>
      <c r="H10" s="325">
        <f t="shared" si="3"/>
        <v>613.84255000000007</v>
      </c>
      <c r="I10" s="325">
        <f t="shared" si="3"/>
        <v>613.84255000000007</v>
      </c>
      <c r="J10" s="325">
        <f t="shared" si="3"/>
        <v>613.84255000000007</v>
      </c>
      <c r="K10" s="325">
        <f t="shared" si="3"/>
        <v>613.84255000000007</v>
      </c>
      <c r="L10" s="325">
        <f t="shared" si="3"/>
        <v>613.84255000000007</v>
      </c>
      <c r="M10" s="325">
        <f t="shared" si="3"/>
        <v>613.84255000000007</v>
      </c>
    </row>
    <row r="11" spans="1:13" ht="14.45" customHeight="1" x14ac:dyDescent="0.2">
      <c r="A11" s="320"/>
      <c r="B11" s="320" t="s">
        <v>115</v>
      </c>
      <c r="C11" s="320">
        <f ca="1">IF(MONTH(TODAY())=1,12,MONTH(TODAY())-1)</f>
        <v>5</v>
      </c>
      <c r="D11" s="320"/>
      <c r="E11" s="320"/>
      <c r="F11" s="320"/>
      <c r="G11" s="320"/>
      <c r="H11" s="320"/>
      <c r="I11" s="320"/>
      <c r="J11" s="320"/>
      <c r="K11" s="320"/>
      <c r="L11" s="320"/>
      <c r="M11" s="320"/>
    </row>
    <row r="12" spans="1:13" ht="14.45" customHeight="1" x14ac:dyDescent="0.2">
      <c r="A12" s="320">
        <v>0</v>
      </c>
      <c r="B12" s="323" t="str">
        <f>IF(ISERROR(HI!F15),#REF!,HI!F15)</f>
        <v/>
      </c>
      <c r="C12" s="320"/>
      <c r="D12" s="320"/>
      <c r="E12" s="320"/>
      <c r="F12" s="320"/>
      <c r="G12" s="320"/>
      <c r="H12" s="320"/>
      <c r="I12" s="320"/>
      <c r="J12" s="320"/>
      <c r="K12" s="320"/>
      <c r="L12" s="320"/>
      <c r="M12" s="320"/>
    </row>
    <row r="13" spans="1:13" ht="14.45" customHeight="1" x14ac:dyDescent="0.2">
      <c r="A13" s="320">
        <v>1</v>
      </c>
      <c r="B13" s="323" t="str">
        <f>IF(ISERROR(HI!F15),#REF!,HI!F15)</f>
        <v/>
      </c>
      <c r="C13" s="320"/>
      <c r="D13" s="320"/>
      <c r="E13" s="320"/>
      <c r="F13" s="320"/>
      <c r="G13" s="320"/>
      <c r="H13" s="320"/>
      <c r="I13" s="320"/>
      <c r="J13" s="320"/>
      <c r="K13" s="320"/>
      <c r="L13" s="320"/>
      <c r="M13" s="320"/>
    </row>
  </sheetData>
  <mergeCells count="1">
    <mergeCell ref="A1:M1"/>
  </mergeCells>
  <hyperlinks>
    <hyperlink ref="A2" location="Obsah!A1" display="Zpět na Obsah  KL 01  1.-4.měsíc" xr:uid="{476AF173-A337-446C-9CDB-F56F3023B122}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ColWidth="8.85546875" defaultRowHeight="14.45" customHeight="1" x14ac:dyDescent="0.2"/>
  <cols>
    <col min="1" max="1" width="42" style="247" bestFit="1" customWidth="1"/>
    <col min="2" max="2" width="12.7109375" style="247" bestFit="1" customWidth="1"/>
    <col min="3" max="3" width="13.7109375" style="247" bestFit="1" customWidth="1"/>
    <col min="4" max="15" width="7.7109375" style="247" bestFit="1" customWidth="1"/>
    <col min="16" max="16" width="8.85546875" style="247" customWidth="1"/>
    <col min="17" max="17" width="6.7109375" style="247" bestFit="1" customWidth="1"/>
    <col min="18" max="16384" width="8.85546875" style="247"/>
  </cols>
  <sheetData>
    <row r="1" spans="1:17" s="326" customFormat="1" ht="18.600000000000001" customHeight="1" thickBot="1" x14ac:dyDescent="0.35">
      <c r="A1" s="528" t="s">
        <v>330</v>
      </c>
      <c r="B1" s="528"/>
      <c r="C1" s="528"/>
      <c r="D1" s="528"/>
      <c r="E1" s="528"/>
      <c r="F1" s="528"/>
      <c r="G1" s="528"/>
      <c r="H1" s="516"/>
      <c r="I1" s="516"/>
      <c r="J1" s="516"/>
      <c r="K1" s="516"/>
      <c r="L1" s="516"/>
      <c r="M1" s="516"/>
      <c r="N1" s="516"/>
      <c r="O1" s="516"/>
      <c r="P1" s="516"/>
      <c r="Q1" s="516"/>
    </row>
    <row r="2" spans="1:17" s="326" customFormat="1" ht="14.45" customHeight="1" thickBot="1" x14ac:dyDescent="0.25">
      <c r="A2" s="705" t="s">
        <v>328</v>
      </c>
      <c r="B2" s="327"/>
      <c r="C2" s="327"/>
      <c r="D2" s="327"/>
      <c r="E2" s="327"/>
      <c r="F2" s="327"/>
      <c r="G2" s="327"/>
      <c r="H2" s="327"/>
      <c r="I2" s="327"/>
      <c r="J2" s="327"/>
      <c r="K2" s="327"/>
      <c r="L2" s="327"/>
      <c r="M2" s="327"/>
      <c r="N2" s="327"/>
      <c r="O2" s="327"/>
      <c r="P2" s="327"/>
      <c r="Q2" s="327"/>
    </row>
    <row r="3" spans="1:17" ht="14.45" customHeight="1" x14ac:dyDescent="0.2">
      <c r="A3" s="101"/>
      <c r="B3" s="529" t="s">
        <v>29</v>
      </c>
      <c r="C3" s="530"/>
      <c r="D3" s="530"/>
      <c r="E3" s="530"/>
      <c r="F3" s="530"/>
      <c r="G3" s="530"/>
      <c r="H3" s="530"/>
      <c r="I3" s="530"/>
      <c r="J3" s="530"/>
      <c r="K3" s="530"/>
      <c r="L3" s="530"/>
      <c r="M3" s="530"/>
      <c r="N3" s="530"/>
      <c r="O3" s="530"/>
      <c r="P3" s="256"/>
      <c r="Q3" s="258"/>
    </row>
    <row r="4" spans="1:17" ht="14.45" customHeight="1" x14ac:dyDescent="0.2">
      <c r="A4" s="102"/>
      <c r="B4" s="24">
        <v>2020</v>
      </c>
      <c r="C4" s="257" t="s">
        <v>30</v>
      </c>
      <c r="D4" s="406" t="s">
        <v>302</v>
      </c>
      <c r="E4" s="406" t="s">
        <v>303</v>
      </c>
      <c r="F4" s="406" t="s">
        <v>304</v>
      </c>
      <c r="G4" s="406" t="s">
        <v>305</v>
      </c>
      <c r="H4" s="406" t="s">
        <v>306</v>
      </c>
      <c r="I4" s="406" t="s">
        <v>307</v>
      </c>
      <c r="J4" s="406" t="s">
        <v>308</v>
      </c>
      <c r="K4" s="406" t="s">
        <v>309</v>
      </c>
      <c r="L4" s="406" t="s">
        <v>310</v>
      </c>
      <c r="M4" s="406" t="s">
        <v>311</v>
      </c>
      <c r="N4" s="406" t="s">
        <v>312</v>
      </c>
      <c r="O4" s="406" t="s">
        <v>313</v>
      </c>
      <c r="P4" s="531" t="s">
        <v>3</v>
      </c>
      <c r="Q4" s="532"/>
    </row>
    <row r="5" spans="1:17" ht="14.45" customHeight="1" thickBot="1" x14ac:dyDescent="0.25">
      <c r="A5" s="103"/>
      <c r="B5" s="25" t="s">
        <v>31</v>
      </c>
      <c r="C5" s="26" t="s">
        <v>31</v>
      </c>
      <c r="D5" s="26" t="s">
        <v>32</v>
      </c>
      <c r="E5" s="26" t="s">
        <v>32</v>
      </c>
      <c r="F5" s="26" t="s">
        <v>32</v>
      </c>
      <c r="G5" s="26" t="s">
        <v>32</v>
      </c>
      <c r="H5" s="26" t="s">
        <v>32</v>
      </c>
      <c r="I5" s="26" t="s">
        <v>32</v>
      </c>
      <c r="J5" s="26" t="s">
        <v>32</v>
      </c>
      <c r="K5" s="26" t="s">
        <v>32</v>
      </c>
      <c r="L5" s="26" t="s">
        <v>32</v>
      </c>
      <c r="M5" s="26" t="s">
        <v>32</v>
      </c>
      <c r="N5" s="26" t="s">
        <v>32</v>
      </c>
      <c r="O5" s="26" t="s">
        <v>32</v>
      </c>
      <c r="P5" s="26" t="s">
        <v>32</v>
      </c>
      <c r="Q5" s="27" t="s">
        <v>33</v>
      </c>
    </row>
    <row r="6" spans="1:17" ht="14.45" customHeight="1" x14ac:dyDescent="0.2">
      <c r="A6" s="18" t="s">
        <v>34</v>
      </c>
      <c r="B6" s="52">
        <v>8764.8280804999995</v>
      </c>
      <c r="C6" s="53">
        <v>730.40234004166666</v>
      </c>
      <c r="D6" s="53">
        <v>998.50474999999994</v>
      </c>
      <c r="E6" s="53">
        <v>1030.3992700000001</v>
      </c>
      <c r="F6" s="53">
        <v>402.38499999999999</v>
      </c>
      <c r="G6" s="53">
        <v>422.28</v>
      </c>
      <c r="H6" s="53">
        <v>646.76</v>
      </c>
      <c r="I6" s="53">
        <v>0</v>
      </c>
      <c r="J6" s="53">
        <v>0</v>
      </c>
      <c r="K6" s="53">
        <v>0</v>
      </c>
      <c r="L6" s="53">
        <v>0</v>
      </c>
      <c r="M6" s="53">
        <v>0</v>
      </c>
      <c r="N6" s="53">
        <v>0</v>
      </c>
      <c r="O6" s="53">
        <v>0</v>
      </c>
      <c r="P6" s="54">
        <v>3500.3290200000001</v>
      </c>
      <c r="Q6" s="184">
        <v>0.39936083033819414</v>
      </c>
    </row>
    <row r="7" spans="1:17" ht="14.45" customHeight="1" x14ac:dyDescent="0.2">
      <c r="A7" s="19" t="s">
        <v>35</v>
      </c>
      <c r="B7" s="55">
        <v>11100.000000099999</v>
      </c>
      <c r="C7" s="56">
        <v>925.00000000833325</v>
      </c>
      <c r="D7" s="56">
        <v>807.16938000000005</v>
      </c>
      <c r="E7" s="56">
        <v>1054.89644</v>
      </c>
      <c r="F7" s="56">
        <v>812.87632999999994</v>
      </c>
      <c r="G7" s="56">
        <v>406.70796000000001</v>
      </c>
      <c r="H7" s="56">
        <v>653.78224999999998</v>
      </c>
      <c r="I7" s="56">
        <v>0</v>
      </c>
      <c r="J7" s="56">
        <v>0</v>
      </c>
      <c r="K7" s="56">
        <v>0</v>
      </c>
      <c r="L7" s="56">
        <v>0</v>
      </c>
      <c r="M7" s="56">
        <v>0</v>
      </c>
      <c r="N7" s="56">
        <v>0</v>
      </c>
      <c r="O7" s="56">
        <v>0</v>
      </c>
      <c r="P7" s="57">
        <v>3735.4323599999998</v>
      </c>
      <c r="Q7" s="185">
        <v>0.3365254378348061</v>
      </c>
    </row>
    <row r="8" spans="1:17" ht="14.45" customHeight="1" x14ac:dyDescent="0.2">
      <c r="A8" s="19" t="s">
        <v>36</v>
      </c>
      <c r="B8" s="55">
        <v>5974.1610994999992</v>
      </c>
      <c r="C8" s="56">
        <v>497.84675829166662</v>
      </c>
      <c r="D8" s="56">
        <v>445.02</v>
      </c>
      <c r="E8" s="56">
        <v>442.39</v>
      </c>
      <c r="F8" s="56">
        <v>204.64</v>
      </c>
      <c r="G8" s="56">
        <v>191.04</v>
      </c>
      <c r="H8" s="56">
        <v>465.63</v>
      </c>
      <c r="I8" s="56">
        <v>0</v>
      </c>
      <c r="J8" s="56">
        <v>0</v>
      </c>
      <c r="K8" s="56">
        <v>0</v>
      </c>
      <c r="L8" s="56">
        <v>0</v>
      </c>
      <c r="M8" s="56">
        <v>0</v>
      </c>
      <c r="N8" s="56">
        <v>0</v>
      </c>
      <c r="O8" s="56">
        <v>0</v>
      </c>
      <c r="P8" s="57">
        <v>1748.7199999999998</v>
      </c>
      <c r="Q8" s="185">
        <v>0.29271390089335841</v>
      </c>
    </row>
    <row r="9" spans="1:17" ht="14.45" customHeight="1" x14ac:dyDescent="0.2">
      <c r="A9" s="19" t="s">
        <v>37</v>
      </c>
      <c r="B9" s="55">
        <v>38790.000000200002</v>
      </c>
      <c r="C9" s="56">
        <v>3232.5000000166669</v>
      </c>
      <c r="D9" s="56">
        <v>3813.11832</v>
      </c>
      <c r="E9" s="56">
        <v>3462.94695</v>
      </c>
      <c r="F9" s="56">
        <v>3353.5016600000004</v>
      </c>
      <c r="G9" s="56">
        <v>1680.6406100000002</v>
      </c>
      <c r="H9" s="56">
        <v>3232.4852099999998</v>
      </c>
      <c r="I9" s="56">
        <v>0</v>
      </c>
      <c r="J9" s="56">
        <v>0</v>
      </c>
      <c r="K9" s="56">
        <v>0</v>
      </c>
      <c r="L9" s="56">
        <v>0</v>
      </c>
      <c r="M9" s="56">
        <v>0</v>
      </c>
      <c r="N9" s="56">
        <v>0</v>
      </c>
      <c r="O9" s="56">
        <v>0</v>
      </c>
      <c r="P9" s="57">
        <v>15542.692750000002</v>
      </c>
      <c r="Q9" s="185">
        <v>0.40068813482649818</v>
      </c>
    </row>
    <row r="10" spans="1:17" ht="14.45" customHeight="1" x14ac:dyDescent="0.2">
      <c r="A10" s="19" t="s">
        <v>38</v>
      </c>
      <c r="B10" s="55">
        <v>616.00696810000011</v>
      </c>
      <c r="C10" s="56">
        <v>51.333914008333345</v>
      </c>
      <c r="D10" s="56">
        <v>51.383029999999998</v>
      </c>
      <c r="E10" s="56">
        <v>54.115430000000003</v>
      </c>
      <c r="F10" s="56">
        <v>42.589730000000003</v>
      </c>
      <c r="G10" s="56">
        <v>31.189439999999998</v>
      </c>
      <c r="H10" s="56">
        <v>56.52026</v>
      </c>
      <c r="I10" s="56">
        <v>0</v>
      </c>
      <c r="J10" s="56">
        <v>0</v>
      </c>
      <c r="K10" s="56">
        <v>0</v>
      </c>
      <c r="L10" s="56">
        <v>0</v>
      </c>
      <c r="M10" s="56">
        <v>0</v>
      </c>
      <c r="N10" s="56">
        <v>0</v>
      </c>
      <c r="O10" s="56">
        <v>0</v>
      </c>
      <c r="P10" s="57">
        <v>235.79789</v>
      </c>
      <c r="Q10" s="185">
        <v>0.38278445246697518</v>
      </c>
    </row>
    <row r="11" spans="1:17" ht="14.45" customHeight="1" x14ac:dyDescent="0.2">
      <c r="A11" s="19" t="s">
        <v>39</v>
      </c>
      <c r="B11" s="55">
        <v>799.0832825</v>
      </c>
      <c r="C11" s="56">
        <v>66.590273541666662</v>
      </c>
      <c r="D11" s="56">
        <v>91.94323</v>
      </c>
      <c r="E11" s="56">
        <v>53.8782</v>
      </c>
      <c r="F11" s="56">
        <v>61.145609999999998</v>
      </c>
      <c r="G11" s="56">
        <v>61.099440000000001</v>
      </c>
      <c r="H11" s="56">
        <v>75.215179999999989</v>
      </c>
      <c r="I11" s="56">
        <v>0</v>
      </c>
      <c r="J11" s="56">
        <v>0</v>
      </c>
      <c r="K11" s="56">
        <v>0</v>
      </c>
      <c r="L11" s="56">
        <v>0</v>
      </c>
      <c r="M11" s="56">
        <v>0</v>
      </c>
      <c r="N11" s="56">
        <v>0</v>
      </c>
      <c r="O11" s="56">
        <v>0</v>
      </c>
      <c r="P11" s="57">
        <v>343.28165999999999</v>
      </c>
      <c r="Q11" s="185">
        <v>0.42959434581839095</v>
      </c>
    </row>
    <row r="12" spans="1:17" ht="14.45" customHeight="1" x14ac:dyDescent="0.2">
      <c r="A12" s="19" t="s">
        <v>40</v>
      </c>
      <c r="B12" s="55">
        <v>689.97784050000007</v>
      </c>
      <c r="C12" s="56">
        <v>57.498153375000008</v>
      </c>
      <c r="D12" s="56">
        <v>43.058630000000001</v>
      </c>
      <c r="E12" s="56">
        <v>107.5222</v>
      </c>
      <c r="F12" s="56">
        <v>87.735679999999988</v>
      </c>
      <c r="G12" s="56">
        <v>23.758459999999999</v>
      </c>
      <c r="H12" s="56">
        <v>37.983739999999997</v>
      </c>
      <c r="I12" s="56">
        <v>0</v>
      </c>
      <c r="J12" s="56">
        <v>0</v>
      </c>
      <c r="K12" s="56">
        <v>0</v>
      </c>
      <c r="L12" s="56">
        <v>0</v>
      </c>
      <c r="M12" s="56">
        <v>0</v>
      </c>
      <c r="N12" s="56">
        <v>0</v>
      </c>
      <c r="O12" s="56">
        <v>0</v>
      </c>
      <c r="P12" s="57">
        <v>300.05871000000002</v>
      </c>
      <c r="Q12" s="185">
        <v>0.43488166197128758</v>
      </c>
    </row>
    <row r="13" spans="1:17" ht="14.45" customHeight="1" x14ac:dyDescent="0.2">
      <c r="A13" s="19" t="s">
        <v>41</v>
      </c>
      <c r="B13" s="55">
        <v>600.00000069999999</v>
      </c>
      <c r="C13" s="56">
        <v>50.000000058333335</v>
      </c>
      <c r="D13" s="56">
        <v>50.860889999999998</v>
      </c>
      <c r="E13" s="56">
        <v>42.914749999999998</v>
      </c>
      <c r="F13" s="56">
        <v>63.809519999999999</v>
      </c>
      <c r="G13" s="56">
        <v>69.775259999999989</v>
      </c>
      <c r="H13" s="56">
        <v>84.765600000000006</v>
      </c>
      <c r="I13" s="56">
        <v>0</v>
      </c>
      <c r="J13" s="56">
        <v>0</v>
      </c>
      <c r="K13" s="56">
        <v>0</v>
      </c>
      <c r="L13" s="56">
        <v>0</v>
      </c>
      <c r="M13" s="56">
        <v>0</v>
      </c>
      <c r="N13" s="56">
        <v>0</v>
      </c>
      <c r="O13" s="56">
        <v>0</v>
      </c>
      <c r="P13" s="57">
        <v>312.12601999999998</v>
      </c>
      <c r="Q13" s="185">
        <v>0.52021003272642163</v>
      </c>
    </row>
    <row r="14" spans="1:17" ht="14.45" customHeight="1" x14ac:dyDescent="0.2">
      <c r="A14" s="19" t="s">
        <v>42</v>
      </c>
      <c r="B14" s="55">
        <v>2316.8353225999999</v>
      </c>
      <c r="C14" s="56">
        <v>193.06961021666666</v>
      </c>
      <c r="D14" s="56">
        <v>272.733</v>
      </c>
      <c r="E14" s="56">
        <v>211.19800000000001</v>
      </c>
      <c r="F14" s="56">
        <v>212.07</v>
      </c>
      <c r="G14" s="56">
        <v>173.16300000000001</v>
      </c>
      <c r="H14" s="56">
        <v>165.453</v>
      </c>
      <c r="I14" s="56">
        <v>0</v>
      </c>
      <c r="J14" s="56">
        <v>0</v>
      </c>
      <c r="K14" s="56">
        <v>0</v>
      </c>
      <c r="L14" s="56">
        <v>0</v>
      </c>
      <c r="M14" s="56">
        <v>0</v>
      </c>
      <c r="N14" s="56">
        <v>0</v>
      </c>
      <c r="O14" s="56">
        <v>0</v>
      </c>
      <c r="P14" s="57">
        <v>1034.617</v>
      </c>
      <c r="Q14" s="185">
        <v>0.44656475577164961</v>
      </c>
    </row>
    <row r="15" spans="1:17" ht="14.45" customHeight="1" x14ac:dyDescent="0.2">
      <c r="A15" s="19" t="s">
        <v>43</v>
      </c>
      <c r="B15" s="55">
        <v>0</v>
      </c>
      <c r="C15" s="56">
        <v>0</v>
      </c>
      <c r="D15" s="56">
        <v>0</v>
      </c>
      <c r="E15" s="56">
        <v>0</v>
      </c>
      <c r="F15" s="56">
        <v>0</v>
      </c>
      <c r="G15" s="56">
        <v>0</v>
      </c>
      <c r="H15" s="56">
        <v>0</v>
      </c>
      <c r="I15" s="56">
        <v>0</v>
      </c>
      <c r="J15" s="56">
        <v>0</v>
      </c>
      <c r="K15" s="56">
        <v>0</v>
      </c>
      <c r="L15" s="56">
        <v>0</v>
      </c>
      <c r="M15" s="56">
        <v>0</v>
      </c>
      <c r="N15" s="56">
        <v>0</v>
      </c>
      <c r="O15" s="56">
        <v>0</v>
      </c>
      <c r="P15" s="57">
        <v>0</v>
      </c>
      <c r="Q15" s="185" t="s">
        <v>329</v>
      </c>
    </row>
    <row r="16" spans="1:17" ht="14.45" customHeight="1" x14ac:dyDescent="0.2">
      <c r="A16" s="19" t="s">
        <v>44</v>
      </c>
      <c r="B16" s="55">
        <v>0</v>
      </c>
      <c r="C16" s="56">
        <v>0</v>
      </c>
      <c r="D16" s="56">
        <v>0</v>
      </c>
      <c r="E16" s="56">
        <v>0</v>
      </c>
      <c r="F16" s="56">
        <v>0</v>
      </c>
      <c r="G16" s="56">
        <v>0</v>
      </c>
      <c r="H16" s="56">
        <v>0</v>
      </c>
      <c r="I16" s="56">
        <v>0</v>
      </c>
      <c r="J16" s="56">
        <v>0</v>
      </c>
      <c r="K16" s="56">
        <v>0</v>
      </c>
      <c r="L16" s="56">
        <v>0</v>
      </c>
      <c r="M16" s="56">
        <v>0</v>
      </c>
      <c r="N16" s="56">
        <v>0</v>
      </c>
      <c r="O16" s="56">
        <v>0</v>
      </c>
      <c r="P16" s="57">
        <v>0</v>
      </c>
      <c r="Q16" s="185" t="s">
        <v>329</v>
      </c>
    </row>
    <row r="17" spans="1:17" ht="14.45" customHeight="1" x14ac:dyDescent="0.2">
      <c r="A17" s="19" t="s">
        <v>45</v>
      </c>
      <c r="B17" s="55">
        <v>4614.4177369999998</v>
      </c>
      <c r="C17" s="56">
        <v>384.53481141666663</v>
      </c>
      <c r="D17" s="56">
        <v>176.63484</v>
      </c>
      <c r="E17" s="56">
        <v>106.9944</v>
      </c>
      <c r="F17" s="56">
        <v>136.60364000000001</v>
      </c>
      <c r="G17" s="56">
        <v>6.3374799999999993</v>
      </c>
      <c r="H17" s="56">
        <v>146.7603</v>
      </c>
      <c r="I17" s="56">
        <v>0</v>
      </c>
      <c r="J17" s="56">
        <v>0</v>
      </c>
      <c r="K17" s="56">
        <v>0</v>
      </c>
      <c r="L17" s="56">
        <v>0</v>
      </c>
      <c r="M17" s="56">
        <v>0</v>
      </c>
      <c r="N17" s="56">
        <v>0</v>
      </c>
      <c r="O17" s="56">
        <v>0</v>
      </c>
      <c r="P17" s="57">
        <v>573.33066000000008</v>
      </c>
      <c r="Q17" s="185">
        <v>0.12424767168408622</v>
      </c>
    </row>
    <row r="18" spans="1:17" ht="14.45" customHeight="1" x14ac:dyDescent="0.2">
      <c r="A18" s="19" t="s">
        <v>46</v>
      </c>
      <c r="B18" s="55">
        <v>0</v>
      </c>
      <c r="C18" s="56">
        <v>0</v>
      </c>
      <c r="D18" s="56">
        <v>0.125</v>
      </c>
      <c r="E18" s="56">
        <v>23.524000000000001</v>
      </c>
      <c r="F18" s="56">
        <v>5.9640000000000004</v>
      </c>
      <c r="G18" s="56">
        <v>0</v>
      </c>
      <c r="H18" s="56">
        <v>0</v>
      </c>
      <c r="I18" s="56">
        <v>0</v>
      </c>
      <c r="J18" s="56">
        <v>0</v>
      </c>
      <c r="K18" s="56">
        <v>0</v>
      </c>
      <c r="L18" s="56">
        <v>0</v>
      </c>
      <c r="M18" s="56">
        <v>0</v>
      </c>
      <c r="N18" s="56">
        <v>0</v>
      </c>
      <c r="O18" s="56">
        <v>0</v>
      </c>
      <c r="P18" s="57">
        <v>29.613</v>
      </c>
      <c r="Q18" s="185" t="s">
        <v>329</v>
      </c>
    </row>
    <row r="19" spans="1:17" ht="14.45" customHeight="1" x14ac:dyDescent="0.2">
      <c r="A19" s="19" t="s">
        <v>47</v>
      </c>
      <c r="B19" s="55">
        <v>5259.1360633999902</v>
      </c>
      <c r="C19" s="56">
        <v>438.26133861666585</v>
      </c>
      <c r="D19" s="56">
        <v>485.57751999999999</v>
      </c>
      <c r="E19" s="56">
        <v>356.32427000000001</v>
      </c>
      <c r="F19" s="56">
        <v>499.59463</v>
      </c>
      <c r="G19" s="56">
        <v>366.76481999999999</v>
      </c>
      <c r="H19" s="56">
        <v>437.88182</v>
      </c>
      <c r="I19" s="56">
        <v>0</v>
      </c>
      <c r="J19" s="56">
        <v>0</v>
      </c>
      <c r="K19" s="56">
        <v>0</v>
      </c>
      <c r="L19" s="56">
        <v>0</v>
      </c>
      <c r="M19" s="56">
        <v>0</v>
      </c>
      <c r="N19" s="56">
        <v>0</v>
      </c>
      <c r="O19" s="56">
        <v>0</v>
      </c>
      <c r="P19" s="57">
        <v>2146.1430599999999</v>
      </c>
      <c r="Q19" s="185">
        <v>0.40807901414372899</v>
      </c>
    </row>
    <row r="20" spans="1:17" ht="14.45" customHeight="1" x14ac:dyDescent="0.2">
      <c r="A20" s="19" t="s">
        <v>48</v>
      </c>
      <c r="B20" s="55">
        <v>107886.6679627</v>
      </c>
      <c r="C20" s="56">
        <v>8990.5556635583325</v>
      </c>
      <c r="D20" s="56">
        <v>8417.7049399999996</v>
      </c>
      <c r="E20" s="56">
        <v>8437.6254800000006</v>
      </c>
      <c r="F20" s="56">
        <v>8304.8659599999992</v>
      </c>
      <c r="G20" s="56">
        <v>8049.69247</v>
      </c>
      <c r="H20" s="56">
        <v>8523.07755</v>
      </c>
      <c r="I20" s="56">
        <v>0</v>
      </c>
      <c r="J20" s="56">
        <v>0</v>
      </c>
      <c r="K20" s="56">
        <v>0</v>
      </c>
      <c r="L20" s="56">
        <v>0</v>
      </c>
      <c r="M20" s="56">
        <v>0</v>
      </c>
      <c r="N20" s="56">
        <v>0</v>
      </c>
      <c r="O20" s="56">
        <v>0</v>
      </c>
      <c r="P20" s="57">
        <v>41732.966399999998</v>
      </c>
      <c r="Q20" s="185">
        <v>0.38682227552368637</v>
      </c>
    </row>
    <row r="21" spans="1:17" ht="14.45" customHeight="1" x14ac:dyDescent="0.2">
      <c r="A21" s="20" t="s">
        <v>49</v>
      </c>
      <c r="B21" s="55">
        <v>4560.1369002000101</v>
      </c>
      <c r="C21" s="56">
        <v>380.01140835000086</v>
      </c>
      <c r="D21" s="56">
        <v>390.96132</v>
      </c>
      <c r="E21" s="56">
        <v>389.13132000000002</v>
      </c>
      <c r="F21" s="56">
        <v>386.58632</v>
      </c>
      <c r="G21" s="56">
        <v>385.63690000000003</v>
      </c>
      <c r="H21" s="56">
        <v>387.21395000000001</v>
      </c>
      <c r="I21" s="56">
        <v>0</v>
      </c>
      <c r="J21" s="56">
        <v>0</v>
      </c>
      <c r="K21" s="56">
        <v>0</v>
      </c>
      <c r="L21" s="56">
        <v>0</v>
      </c>
      <c r="M21" s="56">
        <v>0</v>
      </c>
      <c r="N21" s="56">
        <v>0</v>
      </c>
      <c r="O21" s="56">
        <v>0</v>
      </c>
      <c r="P21" s="57">
        <v>1939.5298100000002</v>
      </c>
      <c r="Q21" s="185">
        <v>0.42532271562174623</v>
      </c>
    </row>
    <row r="22" spans="1:17" ht="14.45" customHeight="1" x14ac:dyDescent="0.2">
      <c r="A22" s="19" t="s">
        <v>50</v>
      </c>
      <c r="B22" s="55">
        <v>10.495414199999999</v>
      </c>
      <c r="C22" s="56">
        <v>0.87461784999999992</v>
      </c>
      <c r="D22" s="56">
        <v>0</v>
      </c>
      <c r="E22" s="56">
        <v>4.9113899999999999</v>
      </c>
      <c r="F22" s="56">
        <v>45.541400000000003</v>
      </c>
      <c r="G22" s="56">
        <v>0</v>
      </c>
      <c r="H22" s="56">
        <v>0</v>
      </c>
      <c r="I22" s="56">
        <v>0</v>
      </c>
      <c r="J22" s="56">
        <v>0</v>
      </c>
      <c r="K22" s="56">
        <v>0</v>
      </c>
      <c r="L22" s="56">
        <v>0</v>
      </c>
      <c r="M22" s="56">
        <v>0</v>
      </c>
      <c r="N22" s="56">
        <v>0</v>
      </c>
      <c r="O22" s="56">
        <v>0</v>
      </c>
      <c r="P22" s="57">
        <v>50.45279</v>
      </c>
      <c r="Q22" s="185">
        <v>4.8071270974708176</v>
      </c>
    </row>
    <row r="23" spans="1:17" ht="14.45" customHeight="1" x14ac:dyDescent="0.2">
      <c r="A23" s="20" t="s">
        <v>51</v>
      </c>
      <c r="B23" s="55">
        <v>0</v>
      </c>
      <c r="C23" s="56">
        <v>0</v>
      </c>
      <c r="D23" s="56">
        <v>0</v>
      </c>
      <c r="E23" s="56">
        <v>0</v>
      </c>
      <c r="F23" s="56">
        <v>0</v>
      </c>
      <c r="G23" s="56">
        <v>0</v>
      </c>
      <c r="H23" s="56">
        <v>0</v>
      </c>
      <c r="I23" s="56">
        <v>0</v>
      </c>
      <c r="J23" s="56">
        <v>0</v>
      </c>
      <c r="K23" s="56">
        <v>0</v>
      </c>
      <c r="L23" s="56">
        <v>0</v>
      </c>
      <c r="M23" s="56">
        <v>0</v>
      </c>
      <c r="N23" s="56">
        <v>0</v>
      </c>
      <c r="O23" s="56">
        <v>0</v>
      </c>
      <c r="P23" s="57">
        <v>0</v>
      </c>
      <c r="Q23" s="185" t="s">
        <v>329</v>
      </c>
    </row>
    <row r="24" spans="1:17" ht="14.45" customHeight="1" x14ac:dyDescent="0.2">
      <c r="A24" s="20" t="s">
        <v>52</v>
      </c>
      <c r="B24" s="55">
        <v>139.64551920100348</v>
      </c>
      <c r="C24" s="56">
        <v>11.637126600083624</v>
      </c>
      <c r="D24" s="56">
        <v>1.2326499999999214</v>
      </c>
      <c r="E24" s="56">
        <v>10.747659999999087</v>
      </c>
      <c r="F24" s="56">
        <v>2.3000000328465831E-4</v>
      </c>
      <c r="G24" s="56">
        <v>1.0769000000000233</v>
      </c>
      <c r="H24" s="56">
        <v>0.49178000000028987</v>
      </c>
      <c r="I24" s="56">
        <v>0</v>
      </c>
      <c r="J24" s="56">
        <v>0</v>
      </c>
      <c r="K24" s="56">
        <v>0</v>
      </c>
      <c r="L24" s="56">
        <v>0</v>
      </c>
      <c r="M24" s="56">
        <v>0</v>
      </c>
      <c r="N24" s="56">
        <v>0</v>
      </c>
      <c r="O24" s="56">
        <v>0</v>
      </c>
      <c r="P24" s="57">
        <v>13.549220000002606</v>
      </c>
      <c r="Q24" s="185">
        <v>9.7025812768829905E-2</v>
      </c>
    </row>
    <row r="25" spans="1:17" ht="14.45" customHeight="1" x14ac:dyDescent="0.2">
      <c r="A25" s="21" t="s">
        <v>53</v>
      </c>
      <c r="B25" s="58">
        <v>192121.39219140101</v>
      </c>
      <c r="C25" s="59">
        <v>16010.116015950085</v>
      </c>
      <c r="D25" s="59">
        <v>16046.0275</v>
      </c>
      <c r="E25" s="59">
        <v>15789.519759999999</v>
      </c>
      <c r="F25" s="59">
        <v>14619.909710000002</v>
      </c>
      <c r="G25" s="59">
        <v>11869.16274</v>
      </c>
      <c r="H25" s="59">
        <v>14914.020640000001</v>
      </c>
      <c r="I25" s="59">
        <v>0</v>
      </c>
      <c r="J25" s="59">
        <v>0</v>
      </c>
      <c r="K25" s="59">
        <v>0</v>
      </c>
      <c r="L25" s="59">
        <v>0</v>
      </c>
      <c r="M25" s="59">
        <v>0</v>
      </c>
      <c r="N25" s="59">
        <v>0</v>
      </c>
      <c r="O25" s="59">
        <v>0</v>
      </c>
      <c r="P25" s="60">
        <v>73238.640350000001</v>
      </c>
      <c r="Q25" s="186">
        <v>0.38121023127417264</v>
      </c>
    </row>
    <row r="26" spans="1:17" ht="14.45" customHeight="1" x14ac:dyDescent="0.2">
      <c r="A26" s="19" t="s">
        <v>54</v>
      </c>
      <c r="B26" s="55">
        <v>0</v>
      </c>
      <c r="C26" s="56">
        <v>0</v>
      </c>
      <c r="D26" s="56">
        <v>1432.3818999999999</v>
      </c>
      <c r="E26" s="56">
        <v>1036.3563899999999</v>
      </c>
      <c r="F26" s="56">
        <v>1189.6430800000001</v>
      </c>
      <c r="G26" s="56">
        <v>1277.6789799999999</v>
      </c>
      <c r="H26" s="56">
        <v>1060.78973</v>
      </c>
      <c r="I26" s="56">
        <v>0</v>
      </c>
      <c r="J26" s="56">
        <v>0</v>
      </c>
      <c r="K26" s="56">
        <v>0</v>
      </c>
      <c r="L26" s="56">
        <v>0</v>
      </c>
      <c r="M26" s="56">
        <v>0</v>
      </c>
      <c r="N26" s="56">
        <v>0</v>
      </c>
      <c r="O26" s="56">
        <v>0</v>
      </c>
      <c r="P26" s="57">
        <v>5996.8500800000002</v>
      </c>
      <c r="Q26" s="185" t="s">
        <v>329</v>
      </c>
    </row>
    <row r="27" spans="1:17" ht="14.45" customHeight="1" x14ac:dyDescent="0.2">
      <c r="A27" s="22" t="s">
        <v>55</v>
      </c>
      <c r="B27" s="58">
        <v>192121.39219140101</v>
      </c>
      <c r="C27" s="59">
        <v>16010.116015950085</v>
      </c>
      <c r="D27" s="59">
        <v>17478.4094</v>
      </c>
      <c r="E27" s="59">
        <v>16825.87615</v>
      </c>
      <c r="F27" s="59">
        <v>15809.552790000002</v>
      </c>
      <c r="G27" s="59">
        <v>13146.84172</v>
      </c>
      <c r="H27" s="59">
        <v>15974.810370000001</v>
      </c>
      <c r="I27" s="59">
        <v>0</v>
      </c>
      <c r="J27" s="59">
        <v>0</v>
      </c>
      <c r="K27" s="59">
        <v>0</v>
      </c>
      <c r="L27" s="59">
        <v>0</v>
      </c>
      <c r="M27" s="59">
        <v>0</v>
      </c>
      <c r="N27" s="59">
        <v>0</v>
      </c>
      <c r="O27" s="59">
        <v>0</v>
      </c>
      <c r="P27" s="60">
        <v>79235.490430000005</v>
      </c>
      <c r="Q27" s="186">
        <v>0.41242409044726064</v>
      </c>
    </row>
    <row r="28" spans="1:17" ht="14.45" customHeight="1" x14ac:dyDescent="0.2">
      <c r="A28" s="20" t="s">
        <v>56</v>
      </c>
      <c r="B28" s="55">
        <v>0.42972160000000004</v>
      </c>
      <c r="C28" s="56">
        <v>3.5810133333333334E-2</v>
      </c>
      <c r="D28" s="56">
        <v>0</v>
      </c>
      <c r="E28" s="56">
        <v>0</v>
      </c>
      <c r="F28" s="56">
        <v>0</v>
      </c>
      <c r="G28" s="56">
        <v>0</v>
      </c>
      <c r="H28" s="56">
        <v>0</v>
      </c>
      <c r="I28" s="56">
        <v>0</v>
      </c>
      <c r="J28" s="56">
        <v>0</v>
      </c>
      <c r="K28" s="56">
        <v>0</v>
      </c>
      <c r="L28" s="56">
        <v>0</v>
      </c>
      <c r="M28" s="56">
        <v>0</v>
      </c>
      <c r="N28" s="56">
        <v>0</v>
      </c>
      <c r="O28" s="56">
        <v>0</v>
      </c>
      <c r="P28" s="57">
        <v>0</v>
      </c>
      <c r="Q28" s="185">
        <v>0</v>
      </c>
    </row>
    <row r="29" spans="1:17" ht="14.45" customHeight="1" x14ac:dyDescent="0.2">
      <c r="A29" s="20" t="s">
        <v>57</v>
      </c>
      <c r="B29" s="55">
        <v>0</v>
      </c>
      <c r="C29" s="56">
        <v>0</v>
      </c>
      <c r="D29" s="56">
        <v>0</v>
      </c>
      <c r="E29" s="56">
        <v>0</v>
      </c>
      <c r="F29" s="56">
        <v>0</v>
      </c>
      <c r="G29" s="56">
        <v>0</v>
      </c>
      <c r="H29" s="56">
        <v>0</v>
      </c>
      <c r="I29" s="56">
        <v>0</v>
      </c>
      <c r="J29" s="56">
        <v>0</v>
      </c>
      <c r="K29" s="56">
        <v>0</v>
      </c>
      <c r="L29" s="56">
        <v>0</v>
      </c>
      <c r="M29" s="56">
        <v>0</v>
      </c>
      <c r="N29" s="56">
        <v>0</v>
      </c>
      <c r="O29" s="56">
        <v>0</v>
      </c>
      <c r="P29" s="57">
        <v>0</v>
      </c>
      <c r="Q29" s="185" t="s">
        <v>329</v>
      </c>
    </row>
    <row r="30" spans="1:17" ht="14.45" customHeight="1" x14ac:dyDescent="0.2">
      <c r="A30" s="20" t="s">
        <v>58</v>
      </c>
      <c r="B30" s="55">
        <v>0</v>
      </c>
      <c r="C30" s="56">
        <v>0</v>
      </c>
      <c r="D30" s="56">
        <v>0</v>
      </c>
      <c r="E30" s="56">
        <v>0</v>
      </c>
      <c r="F30" s="56">
        <v>0</v>
      </c>
      <c r="G30" s="56">
        <v>0</v>
      </c>
      <c r="H30" s="56">
        <v>0</v>
      </c>
      <c r="I30" s="56">
        <v>0</v>
      </c>
      <c r="J30" s="56">
        <v>0</v>
      </c>
      <c r="K30" s="56">
        <v>0</v>
      </c>
      <c r="L30" s="56">
        <v>0</v>
      </c>
      <c r="M30" s="56">
        <v>0</v>
      </c>
      <c r="N30" s="56">
        <v>0</v>
      </c>
      <c r="O30" s="56">
        <v>0</v>
      </c>
      <c r="P30" s="57">
        <v>0</v>
      </c>
      <c r="Q30" s="185" t="s">
        <v>329</v>
      </c>
    </row>
    <row r="31" spans="1:17" ht="14.45" customHeight="1" thickBot="1" x14ac:dyDescent="0.25">
      <c r="A31" s="23" t="s">
        <v>59</v>
      </c>
      <c r="B31" s="61">
        <v>0</v>
      </c>
      <c r="C31" s="62">
        <v>0</v>
      </c>
      <c r="D31" s="62">
        <v>0</v>
      </c>
      <c r="E31" s="62">
        <v>0</v>
      </c>
      <c r="F31" s="62">
        <v>0</v>
      </c>
      <c r="G31" s="62">
        <v>0</v>
      </c>
      <c r="H31" s="62">
        <v>0</v>
      </c>
      <c r="I31" s="62">
        <v>0</v>
      </c>
      <c r="J31" s="62">
        <v>0</v>
      </c>
      <c r="K31" s="62">
        <v>0</v>
      </c>
      <c r="L31" s="62">
        <v>0</v>
      </c>
      <c r="M31" s="62">
        <v>0</v>
      </c>
      <c r="N31" s="62">
        <v>0</v>
      </c>
      <c r="O31" s="62">
        <v>0</v>
      </c>
      <c r="P31" s="63">
        <v>0</v>
      </c>
      <c r="Q31" s="187" t="s">
        <v>329</v>
      </c>
    </row>
    <row r="32" spans="1:17" ht="14.45" customHeight="1" x14ac:dyDescent="0.2">
      <c r="B32" s="248"/>
      <c r="C32" s="248"/>
      <c r="D32" s="248"/>
      <c r="E32" s="248"/>
      <c r="F32" s="248"/>
      <c r="G32" s="248"/>
      <c r="H32" s="248"/>
      <c r="I32" s="248"/>
      <c r="J32" s="248"/>
      <c r="K32" s="248"/>
      <c r="L32" s="248"/>
      <c r="M32" s="248"/>
      <c r="N32" s="248"/>
      <c r="O32" s="248"/>
      <c r="P32" s="248"/>
      <c r="Q32" s="248"/>
    </row>
    <row r="33" spans="1:17" ht="14.45" customHeight="1" x14ac:dyDescent="0.2">
      <c r="A33" s="222" t="s">
        <v>201</v>
      </c>
      <c r="B33" s="249"/>
      <c r="C33" s="249"/>
      <c r="D33" s="249"/>
      <c r="E33" s="249"/>
      <c r="F33" s="249"/>
      <c r="G33" s="249"/>
      <c r="H33" s="249"/>
      <c r="I33" s="249"/>
      <c r="J33" s="249"/>
      <c r="K33" s="249"/>
      <c r="L33" s="249"/>
      <c r="M33" s="249"/>
      <c r="N33" s="249"/>
      <c r="O33" s="249"/>
      <c r="P33" s="249"/>
      <c r="Q33" s="249"/>
    </row>
    <row r="34" spans="1:17" ht="14.45" customHeight="1" x14ac:dyDescent="0.2">
      <c r="A34" s="253" t="s">
        <v>300</v>
      </c>
      <c r="B34" s="249"/>
      <c r="C34" s="249"/>
      <c r="D34" s="249"/>
      <c r="E34" s="249"/>
      <c r="F34" s="249"/>
      <c r="G34" s="249"/>
      <c r="H34" s="249"/>
      <c r="I34" s="249"/>
      <c r="J34" s="249"/>
      <c r="K34" s="249"/>
      <c r="L34" s="249"/>
      <c r="M34" s="249"/>
      <c r="N34" s="249"/>
      <c r="O34" s="249"/>
      <c r="P34" s="249"/>
      <c r="Q34" s="249"/>
    </row>
    <row r="35" spans="1:17" ht="14.45" customHeight="1" x14ac:dyDescent="0.2">
      <c r="A35" s="254" t="s">
        <v>60</v>
      </c>
      <c r="B35" s="249"/>
      <c r="C35" s="249"/>
      <c r="D35" s="249"/>
      <c r="E35" s="249"/>
      <c r="F35" s="249"/>
      <c r="G35" s="249"/>
      <c r="H35" s="249"/>
      <c r="I35" s="249"/>
      <c r="J35" s="249"/>
      <c r="K35" s="249"/>
      <c r="L35" s="249"/>
      <c r="M35" s="249"/>
      <c r="N35" s="249"/>
      <c r="O35" s="249"/>
      <c r="P35" s="249"/>
      <c r="Q35" s="249"/>
    </row>
  </sheetData>
  <autoFilter ref="A5:A31" xr:uid="{00000000-0009-0000-0000-000005000000}"/>
  <mergeCells count="3">
    <mergeCell ref="A1:Q1"/>
    <mergeCell ref="B3:O3"/>
    <mergeCell ref="P4:Q4"/>
  </mergeCells>
  <hyperlinks>
    <hyperlink ref="A2" location="Obsah!A1" display="Zpět na Obsah  KL 01  1.-4.měsíc" xr:uid="{5C1C9D8E-2B16-443A-B300-44A86C065DC9}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6">
    <tabColor theme="0" tint="-0.249977111117893"/>
    <pageSetUpPr fitToPage="1"/>
  </sheetPr>
  <dimension ref="A1:M818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ColWidth="8.85546875" defaultRowHeight="14.45" customHeight="1" x14ac:dyDescent="0.2"/>
  <cols>
    <col min="1" max="1" width="50" style="247" customWidth="1"/>
    <col min="2" max="11" width="10" style="247" customWidth="1"/>
    <col min="12" max="16384" width="8.85546875" style="247"/>
  </cols>
  <sheetData>
    <row r="1" spans="1:13" s="64" customFormat="1" ht="18.600000000000001" customHeight="1" thickBot="1" x14ac:dyDescent="0.35">
      <c r="A1" s="528" t="s">
        <v>61</v>
      </c>
      <c r="B1" s="528"/>
      <c r="C1" s="528"/>
      <c r="D1" s="528"/>
      <c r="E1" s="528"/>
      <c r="F1" s="528"/>
      <c r="G1" s="528"/>
      <c r="H1" s="533"/>
      <c r="I1" s="533"/>
      <c r="J1" s="533"/>
      <c r="K1" s="533"/>
    </row>
    <row r="2" spans="1:13" s="64" customFormat="1" ht="14.45" customHeight="1" thickBot="1" x14ac:dyDescent="0.25">
      <c r="A2" s="705" t="s">
        <v>328</v>
      </c>
      <c r="B2" s="65"/>
      <c r="C2" s="65"/>
      <c r="D2" s="65"/>
      <c r="E2" s="65"/>
      <c r="F2" s="65"/>
      <c r="G2" s="65"/>
      <c r="H2" s="65"/>
      <c r="I2" s="65"/>
      <c r="J2" s="65"/>
      <c r="K2" s="65"/>
    </row>
    <row r="3" spans="1:13" ht="14.45" customHeight="1" x14ac:dyDescent="0.2">
      <c r="A3" s="101"/>
      <c r="B3" s="529" t="s">
        <v>62</v>
      </c>
      <c r="C3" s="530"/>
      <c r="D3" s="530"/>
      <c r="E3" s="530"/>
      <c r="F3" s="536" t="s">
        <v>63</v>
      </c>
      <c r="G3" s="530"/>
      <c r="H3" s="530"/>
      <c r="I3" s="530"/>
      <c r="J3" s="530"/>
      <c r="K3" s="537"/>
    </row>
    <row r="4" spans="1:13" ht="14.45" customHeight="1" x14ac:dyDescent="0.2">
      <c r="A4" s="102"/>
      <c r="B4" s="534"/>
      <c r="C4" s="535"/>
      <c r="D4" s="535"/>
      <c r="E4" s="535"/>
      <c r="F4" s="538" t="s">
        <v>318</v>
      </c>
      <c r="G4" s="540" t="s">
        <v>64</v>
      </c>
      <c r="H4" s="259" t="s">
        <v>182</v>
      </c>
      <c r="I4" s="538" t="s">
        <v>65</v>
      </c>
      <c r="J4" s="540" t="s">
        <v>320</v>
      </c>
      <c r="K4" s="541" t="s">
        <v>321</v>
      </c>
    </row>
    <row r="5" spans="1:13" ht="39" thickBot="1" x14ac:dyDescent="0.25">
      <c r="A5" s="103"/>
      <c r="B5" s="28" t="s">
        <v>314</v>
      </c>
      <c r="C5" s="29" t="s">
        <v>315</v>
      </c>
      <c r="D5" s="30" t="s">
        <v>316</v>
      </c>
      <c r="E5" s="30" t="s">
        <v>317</v>
      </c>
      <c r="F5" s="539"/>
      <c r="G5" s="539"/>
      <c r="H5" s="29" t="s">
        <v>319</v>
      </c>
      <c r="I5" s="539"/>
      <c r="J5" s="539"/>
      <c r="K5" s="542"/>
    </row>
    <row r="6" spans="1:13" ht="14.45" customHeight="1" x14ac:dyDescent="0.2">
      <c r="A6" s="711" t="s">
        <v>66</v>
      </c>
      <c r="B6" s="707">
        <v>10158.9662779999</v>
      </c>
      <c r="C6" s="708">
        <v>-3000.0019200001097</v>
      </c>
      <c r="D6" s="708">
        <v>-13158.96819800001</v>
      </c>
      <c r="E6" s="709">
        <v>-0.29530582520948684</v>
      </c>
      <c r="F6" s="707">
        <v>-191980.4927758</v>
      </c>
      <c r="G6" s="708">
        <v>-79991.871989916661</v>
      </c>
      <c r="H6" s="708">
        <v>658.86311999999805</v>
      </c>
      <c r="I6" s="708">
        <v>-4474.9311500000003</v>
      </c>
      <c r="J6" s="708">
        <v>75516.940839916657</v>
      </c>
      <c r="K6" s="710">
        <v>2.330930130086678E-2</v>
      </c>
      <c r="L6" s="270"/>
      <c r="M6" s="706" t="str">
        <f t="shared" ref="M6:M69" si="0">IF(A6="HV","HV",IF(OR(LEFT(A6,16)="               5",LEFT(A6,16)="               6",LEFT(A6,16)="               7",LEFT(A6,16)="               8"),"X",""))</f>
        <v>HV</v>
      </c>
    </row>
    <row r="7" spans="1:13" ht="14.45" customHeight="1" x14ac:dyDescent="0.2">
      <c r="A7" s="711" t="s">
        <v>331</v>
      </c>
      <c r="B7" s="707">
        <v>178470.20033399999</v>
      </c>
      <c r="C7" s="708">
        <v>188124.39508000002</v>
      </c>
      <c r="D7" s="708">
        <v>9654.1947460000229</v>
      </c>
      <c r="E7" s="709">
        <v>1.0540941553712193</v>
      </c>
      <c r="F7" s="707">
        <v>192121.39219140101</v>
      </c>
      <c r="G7" s="708">
        <v>80050.58007975042</v>
      </c>
      <c r="H7" s="708">
        <v>14914.020640000001</v>
      </c>
      <c r="I7" s="708">
        <v>73238.640349999987</v>
      </c>
      <c r="J7" s="708">
        <v>-6811.9397297504329</v>
      </c>
      <c r="K7" s="710">
        <v>0.38121023127417253</v>
      </c>
      <c r="L7" s="270"/>
      <c r="M7" s="706" t="str">
        <f t="shared" si="0"/>
        <v/>
      </c>
    </row>
    <row r="8" spans="1:13" ht="14.45" customHeight="1" x14ac:dyDescent="0.2">
      <c r="A8" s="711" t="s">
        <v>332</v>
      </c>
      <c r="B8" s="707">
        <v>69276.307887999996</v>
      </c>
      <c r="C8" s="708">
        <v>71789.619069999986</v>
      </c>
      <c r="D8" s="708">
        <v>2513.3111819999904</v>
      </c>
      <c r="E8" s="709">
        <v>1.036279519775553</v>
      </c>
      <c r="F8" s="707">
        <v>69650.892594699995</v>
      </c>
      <c r="G8" s="708">
        <v>29021.205247791662</v>
      </c>
      <c r="H8" s="708">
        <v>5418.5948699999999</v>
      </c>
      <c r="I8" s="708">
        <v>26753.18823</v>
      </c>
      <c r="J8" s="708">
        <v>-2268.0170177916625</v>
      </c>
      <c r="K8" s="710">
        <v>0.38410402556758838</v>
      </c>
      <c r="L8" s="270"/>
      <c r="M8" s="706" t="str">
        <f t="shared" si="0"/>
        <v/>
      </c>
    </row>
    <row r="9" spans="1:13" ht="14.45" customHeight="1" x14ac:dyDescent="0.2">
      <c r="A9" s="711" t="s">
        <v>333</v>
      </c>
      <c r="B9" s="707">
        <v>66924.261960999997</v>
      </c>
      <c r="C9" s="708">
        <v>69433.597069999989</v>
      </c>
      <c r="D9" s="708">
        <v>2509.3351089999924</v>
      </c>
      <c r="E9" s="709">
        <v>1.0374951480296084</v>
      </c>
      <c r="F9" s="707">
        <v>67334.057272100006</v>
      </c>
      <c r="G9" s="708">
        <v>28055.857196708334</v>
      </c>
      <c r="H9" s="708">
        <v>5253.1418700000004</v>
      </c>
      <c r="I9" s="708">
        <v>25718.571230000001</v>
      </c>
      <c r="J9" s="708">
        <v>-2337.2859667083321</v>
      </c>
      <c r="K9" s="710">
        <v>0.38195487205041095</v>
      </c>
      <c r="L9" s="270"/>
      <c r="M9" s="706" t="str">
        <f t="shared" si="0"/>
        <v/>
      </c>
    </row>
    <row r="10" spans="1:13" ht="14.45" customHeight="1" x14ac:dyDescent="0.2">
      <c r="A10" s="711" t="s">
        <v>334</v>
      </c>
      <c r="B10" s="707">
        <v>0</v>
      </c>
      <c r="C10" s="708">
        <v>9.470000000000001E-3</v>
      </c>
      <c r="D10" s="708">
        <v>9.470000000000001E-3</v>
      </c>
      <c r="E10" s="709">
        <v>0</v>
      </c>
      <c r="F10" s="707">
        <v>0</v>
      </c>
      <c r="G10" s="708">
        <v>0</v>
      </c>
      <c r="H10" s="708">
        <v>-3.6999999999999999E-4</v>
      </c>
      <c r="I10" s="708">
        <v>8.1999999999999998E-4</v>
      </c>
      <c r="J10" s="708">
        <v>8.1999999999999998E-4</v>
      </c>
      <c r="K10" s="710">
        <v>0</v>
      </c>
      <c r="L10" s="270"/>
      <c r="M10" s="706" t="str">
        <f t="shared" si="0"/>
        <v>X</v>
      </c>
    </row>
    <row r="11" spans="1:13" ht="14.45" customHeight="1" x14ac:dyDescent="0.2">
      <c r="A11" s="711" t="s">
        <v>335</v>
      </c>
      <c r="B11" s="707">
        <v>0</v>
      </c>
      <c r="C11" s="708">
        <v>9.470000000000001E-3</v>
      </c>
      <c r="D11" s="708">
        <v>9.470000000000001E-3</v>
      </c>
      <c r="E11" s="709">
        <v>0</v>
      </c>
      <c r="F11" s="707">
        <v>0</v>
      </c>
      <c r="G11" s="708">
        <v>0</v>
      </c>
      <c r="H11" s="708">
        <v>-3.6999999999999999E-4</v>
      </c>
      <c r="I11" s="708">
        <v>8.1999999999999998E-4</v>
      </c>
      <c r="J11" s="708">
        <v>8.1999999999999998E-4</v>
      </c>
      <c r="K11" s="710">
        <v>0</v>
      </c>
      <c r="L11" s="270"/>
      <c r="M11" s="706" t="str">
        <f t="shared" si="0"/>
        <v/>
      </c>
    </row>
    <row r="12" spans="1:13" ht="14.45" customHeight="1" x14ac:dyDescent="0.2">
      <c r="A12" s="711" t="s">
        <v>336</v>
      </c>
      <c r="B12" s="707">
        <v>8525.4259039999997</v>
      </c>
      <c r="C12" s="708">
        <v>8659.7788900000014</v>
      </c>
      <c r="D12" s="708">
        <v>134.35298600000169</v>
      </c>
      <c r="E12" s="709">
        <v>1.0157590937406382</v>
      </c>
      <c r="F12" s="707">
        <v>8764.8280804999995</v>
      </c>
      <c r="G12" s="708">
        <v>3652.0117002083334</v>
      </c>
      <c r="H12" s="708">
        <v>646.76</v>
      </c>
      <c r="I12" s="708">
        <v>3500.3290200000001</v>
      </c>
      <c r="J12" s="708">
        <v>-151.6826802083333</v>
      </c>
      <c r="K12" s="710">
        <v>0.39936083033819414</v>
      </c>
      <c r="L12" s="270"/>
      <c r="M12" s="706" t="str">
        <f t="shared" si="0"/>
        <v>X</v>
      </c>
    </row>
    <row r="13" spans="1:13" ht="14.45" customHeight="1" x14ac:dyDescent="0.2">
      <c r="A13" s="711" t="s">
        <v>337</v>
      </c>
      <c r="B13" s="707">
        <v>8525.4259039999997</v>
      </c>
      <c r="C13" s="708">
        <v>8659.7788900000014</v>
      </c>
      <c r="D13" s="708">
        <v>134.35298600000169</v>
      </c>
      <c r="E13" s="709">
        <v>1.0157590937406382</v>
      </c>
      <c r="F13" s="707">
        <v>8764.8280804999995</v>
      </c>
      <c r="G13" s="708">
        <v>3652.0117002083334</v>
      </c>
      <c r="H13" s="708">
        <v>646.76</v>
      </c>
      <c r="I13" s="708">
        <v>3500.3290200000001</v>
      </c>
      <c r="J13" s="708">
        <v>-151.6826802083333</v>
      </c>
      <c r="K13" s="710">
        <v>0.39936083033819414</v>
      </c>
      <c r="L13" s="270"/>
      <c r="M13" s="706" t="str">
        <f t="shared" si="0"/>
        <v/>
      </c>
    </row>
    <row r="14" spans="1:13" ht="14.45" customHeight="1" x14ac:dyDescent="0.2">
      <c r="A14" s="711" t="s">
        <v>338</v>
      </c>
      <c r="B14" s="707">
        <v>10964.680297000001</v>
      </c>
      <c r="C14" s="708">
        <v>11532.543960000001</v>
      </c>
      <c r="D14" s="708">
        <v>567.86366300000009</v>
      </c>
      <c r="E14" s="709">
        <v>1.051790261787694</v>
      </c>
      <c r="F14" s="707">
        <v>11100.000000099999</v>
      </c>
      <c r="G14" s="708">
        <v>4625.0000000416658</v>
      </c>
      <c r="H14" s="708">
        <v>653.78224999999998</v>
      </c>
      <c r="I14" s="708">
        <v>3735.4323599999998</v>
      </c>
      <c r="J14" s="708">
        <v>-889.56764004166598</v>
      </c>
      <c r="K14" s="710">
        <v>0.3365254378348061</v>
      </c>
      <c r="L14" s="270"/>
      <c r="M14" s="706" t="str">
        <f t="shared" si="0"/>
        <v>X</v>
      </c>
    </row>
    <row r="15" spans="1:13" ht="14.45" customHeight="1" x14ac:dyDescent="0.2">
      <c r="A15" s="711" t="s">
        <v>339</v>
      </c>
      <c r="B15" s="707">
        <v>7449.6802950000001</v>
      </c>
      <c r="C15" s="708">
        <v>7967.4904200000001</v>
      </c>
      <c r="D15" s="708">
        <v>517.81012499999997</v>
      </c>
      <c r="E15" s="709">
        <v>1.069507697578316</v>
      </c>
      <c r="F15" s="707">
        <v>7900.0000000999999</v>
      </c>
      <c r="G15" s="708">
        <v>3291.6666667083332</v>
      </c>
      <c r="H15" s="708">
        <v>489.33807999999999</v>
      </c>
      <c r="I15" s="708">
        <v>2641.7385600000002</v>
      </c>
      <c r="J15" s="708">
        <v>-649.92810670833296</v>
      </c>
      <c r="K15" s="710">
        <v>0.33439728607171654</v>
      </c>
      <c r="L15" s="270"/>
      <c r="M15" s="706" t="str">
        <f t="shared" si="0"/>
        <v/>
      </c>
    </row>
    <row r="16" spans="1:13" ht="14.45" customHeight="1" x14ac:dyDescent="0.2">
      <c r="A16" s="711" t="s">
        <v>340</v>
      </c>
      <c r="B16" s="707">
        <v>399.99999800000001</v>
      </c>
      <c r="C16" s="708">
        <v>462.69533000000001</v>
      </c>
      <c r="D16" s="708">
        <v>62.695332000000008</v>
      </c>
      <c r="E16" s="709">
        <v>1.1567383307836916</v>
      </c>
      <c r="F16" s="707">
        <v>430.00000019999999</v>
      </c>
      <c r="G16" s="708">
        <v>179.16666674999999</v>
      </c>
      <c r="H16" s="708">
        <v>27.743359999999999</v>
      </c>
      <c r="I16" s="708">
        <v>100.84226</v>
      </c>
      <c r="J16" s="708">
        <v>-78.324406749999994</v>
      </c>
      <c r="K16" s="710">
        <v>0.23451688361185261</v>
      </c>
      <c r="L16" s="270"/>
      <c r="M16" s="706" t="str">
        <f t="shared" si="0"/>
        <v/>
      </c>
    </row>
    <row r="17" spans="1:13" ht="14.45" customHeight="1" x14ac:dyDescent="0.2">
      <c r="A17" s="711" t="s">
        <v>341</v>
      </c>
      <c r="B17" s="707">
        <v>109.999999</v>
      </c>
      <c r="C17" s="708">
        <v>88.502780000000001</v>
      </c>
      <c r="D17" s="708">
        <v>-21.497219000000001</v>
      </c>
      <c r="E17" s="709">
        <v>0.80457073458700668</v>
      </c>
      <c r="F17" s="707">
        <v>89.999999800000012</v>
      </c>
      <c r="G17" s="708">
        <v>37.499999916666674</v>
      </c>
      <c r="H17" s="708">
        <v>4.7519</v>
      </c>
      <c r="I17" s="708">
        <v>22.819320000000001</v>
      </c>
      <c r="J17" s="708">
        <v>-14.680679916666673</v>
      </c>
      <c r="K17" s="710">
        <v>0.25354800056343996</v>
      </c>
      <c r="L17" s="270"/>
      <c r="M17" s="706" t="str">
        <f t="shared" si="0"/>
        <v/>
      </c>
    </row>
    <row r="18" spans="1:13" ht="14.45" customHeight="1" x14ac:dyDescent="0.2">
      <c r="A18" s="711" t="s">
        <v>342</v>
      </c>
      <c r="B18" s="707">
        <v>5</v>
      </c>
      <c r="C18" s="708">
        <v>3.9</v>
      </c>
      <c r="D18" s="708">
        <v>-1.1000000000000001</v>
      </c>
      <c r="E18" s="709">
        <v>0.78</v>
      </c>
      <c r="F18" s="707">
        <v>5</v>
      </c>
      <c r="G18" s="708">
        <v>2.0833333333333335</v>
      </c>
      <c r="H18" s="708">
        <v>0</v>
      </c>
      <c r="I18" s="708">
        <v>0</v>
      </c>
      <c r="J18" s="708">
        <v>-2.0833333333333335</v>
      </c>
      <c r="K18" s="710">
        <v>0</v>
      </c>
      <c r="L18" s="270"/>
      <c r="M18" s="706" t="str">
        <f t="shared" si="0"/>
        <v/>
      </c>
    </row>
    <row r="19" spans="1:13" ht="14.45" customHeight="1" x14ac:dyDescent="0.2">
      <c r="A19" s="711" t="s">
        <v>343</v>
      </c>
      <c r="B19" s="707">
        <v>1950</v>
      </c>
      <c r="C19" s="708">
        <v>1973.5282500000001</v>
      </c>
      <c r="D19" s="708">
        <v>23.528250000000071</v>
      </c>
      <c r="E19" s="709">
        <v>1.0120657692307693</v>
      </c>
      <c r="F19" s="707">
        <v>1875.0000001000001</v>
      </c>
      <c r="G19" s="708">
        <v>781.25000004166668</v>
      </c>
      <c r="H19" s="708">
        <v>53.402370000000005</v>
      </c>
      <c r="I19" s="708">
        <v>564.27213000000006</v>
      </c>
      <c r="J19" s="708">
        <v>-216.97787004166662</v>
      </c>
      <c r="K19" s="710">
        <v>0.30094513598394962</v>
      </c>
      <c r="L19" s="270"/>
      <c r="M19" s="706" t="str">
        <f t="shared" si="0"/>
        <v/>
      </c>
    </row>
    <row r="20" spans="1:13" ht="14.45" customHeight="1" x14ac:dyDescent="0.2">
      <c r="A20" s="711" t="s">
        <v>344</v>
      </c>
      <c r="B20" s="707">
        <v>0</v>
      </c>
      <c r="C20" s="708">
        <v>280.34921000000003</v>
      </c>
      <c r="D20" s="708">
        <v>280.34921000000003</v>
      </c>
      <c r="E20" s="709">
        <v>0</v>
      </c>
      <c r="F20" s="707">
        <v>100.00000019999999</v>
      </c>
      <c r="G20" s="708">
        <v>41.66666674999999</v>
      </c>
      <c r="H20" s="708">
        <v>31.954650000000001</v>
      </c>
      <c r="I20" s="708">
        <v>111.38477999999999</v>
      </c>
      <c r="J20" s="708">
        <v>69.718113250000002</v>
      </c>
      <c r="K20" s="710">
        <v>1.1138477977723045</v>
      </c>
      <c r="L20" s="270"/>
      <c r="M20" s="706" t="str">
        <f t="shared" si="0"/>
        <v/>
      </c>
    </row>
    <row r="21" spans="1:13" ht="14.45" customHeight="1" x14ac:dyDescent="0.2">
      <c r="A21" s="711" t="s">
        <v>345</v>
      </c>
      <c r="B21" s="707">
        <v>40</v>
      </c>
      <c r="C21" s="708">
        <v>10.536860000000001</v>
      </c>
      <c r="D21" s="708">
        <v>-29.463139999999999</v>
      </c>
      <c r="E21" s="709">
        <v>0.26342150000000003</v>
      </c>
      <c r="F21" s="707">
        <v>10</v>
      </c>
      <c r="G21" s="708">
        <v>4.166666666666667</v>
      </c>
      <c r="H21" s="708">
        <v>0</v>
      </c>
      <c r="I21" s="708">
        <v>0</v>
      </c>
      <c r="J21" s="708">
        <v>-4.166666666666667</v>
      </c>
      <c r="K21" s="710">
        <v>0</v>
      </c>
      <c r="L21" s="270"/>
      <c r="M21" s="706" t="str">
        <f t="shared" si="0"/>
        <v/>
      </c>
    </row>
    <row r="22" spans="1:13" ht="14.45" customHeight="1" x14ac:dyDescent="0.2">
      <c r="A22" s="711" t="s">
        <v>346</v>
      </c>
      <c r="B22" s="707">
        <v>670.00000299999999</v>
      </c>
      <c r="C22" s="708">
        <v>476.06110999999999</v>
      </c>
      <c r="D22" s="708">
        <v>-193.93889300000001</v>
      </c>
      <c r="E22" s="709">
        <v>0.710538966967736</v>
      </c>
      <c r="F22" s="707">
        <v>436.99999980000001</v>
      </c>
      <c r="G22" s="708">
        <v>182.08333325000001</v>
      </c>
      <c r="H22" s="708">
        <v>29.019539999999999</v>
      </c>
      <c r="I22" s="708">
        <v>175.50618</v>
      </c>
      <c r="J22" s="708">
        <v>-6.5771532500000092</v>
      </c>
      <c r="K22" s="710">
        <v>0.40161597272385169</v>
      </c>
      <c r="L22" s="270"/>
      <c r="M22" s="706" t="str">
        <f t="shared" si="0"/>
        <v/>
      </c>
    </row>
    <row r="23" spans="1:13" ht="14.45" customHeight="1" x14ac:dyDescent="0.2">
      <c r="A23" s="711" t="s">
        <v>347</v>
      </c>
      <c r="B23" s="707">
        <v>80.000000999999997</v>
      </c>
      <c r="C23" s="708">
        <v>19.468679999999999</v>
      </c>
      <c r="D23" s="708">
        <v>-60.531320999999998</v>
      </c>
      <c r="E23" s="709">
        <v>0.24335849695801878</v>
      </c>
      <c r="F23" s="707">
        <v>17</v>
      </c>
      <c r="G23" s="708">
        <v>7.0833333333333339</v>
      </c>
      <c r="H23" s="708">
        <v>-6.5226499999999996</v>
      </c>
      <c r="I23" s="708">
        <v>10.804129999999999</v>
      </c>
      <c r="J23" s="708">
        <v>3.720796666666665</v>
      </c>
      <c r="K23" s="710">
        <v>0.6355370588235294</v>
      </c>
      <c r="L23" s="270"/>
      <c r="M23" s="706" t="str">
        <f t="shared" si="0"/>
        <v/>
      </c>
    </row>
    <row r="24" spans="1:13" ht="14.45" customHeight="1" x14ac:dyDescent="0.2">
      <c r="A24" s="711" t="s">
        <v>348</v>
      </c>
      <c r="B24" s="707">
        <v>260.000001</v>
      </c>
      <c r="C24" s="708">
        <v>250.01132000000001</v>
      </c>
      <c r="D24" s="708">
        <v>-9.9886809999999855</v>
      </c>
      <c r="E24" s="709">
        <v>0.96158199630160779</v>
      </c>
      <c r="F24" s="707">
        <v>235.99999990000001</v>
      </c>
      <c r="G24" s="708">
        <v>98.333333291666662</v>
      </c>
      <c r="H24" s="708">
        <v>24.094999999999999</v>
      </c>
      <c r="I24" s="708">
        <v>108.065</v>
      </c>
      <c r="J24" s="708">
        <v>9.7316667083333357</v>
      </c>
      <c r="K24" s="710">
        <v>0.45790254256690782</v>
      </c>
      <c r="L24" s="270"/>
      <c r="M24" s="706" t="str">
        <f t="shared" si="0"/>
        <v/>
      </c>
    </row>
    <row r="25" spans="1:13" ht="14.45" customHeight="1" x14ac:dyDescent="0.2">
      <c r="A25" s="711" t="s">
        <v>349</v>
      </c>
      <c r="B25" s="707">
        <v>5121.0663039999999</v>
      </c>
      <c r="C25" s="708">
        <v>5662.25</v>
      </c>
      <c r="D25" s="708">
        <v>541.18369600000005</v>
      </c>
      <c r="E25" s="709">
        <v>1.105677931874713</v>
      </c>
      <c r="F25" s="707">
        <v>5974.1610994999992</v>
      </c>
      <c r="G25" s="708">
        <v>2489.2337914583331</v>
      </c>
      <c r="H25" s="708">
        <v>465.63</v>
      </c>
      <c r="I25" s="708">
        <v>1748.72</v>
      </c>
      <c r="J25" s="708">
        <v>-740.51379145833312</v>
      </c>
      <c r="K25" s="710">
        <v>0.29271390089335841</v>
      </c>
      <c r="L25" s="270"/>
      <c r="M25" s="706" t="str">
        <f t="shared" si="0"/>
        <v>X</v>
      </c>
    </row>
    <row r="26" spans="1:13" ht="14.45" customHeight="1" x14ac:dyDescent="0.2">
      <c r="A26" s="711" t="s">
        <v>350</v>
      </c>
      <c r="B26" s="707">
        <v>4578.3250280000002</v>
      </c>
      <c r="C26" s="708">
        <v>5083.3599999999997</v>
      </c>
      <c r="D26" s="708">
        <v>505.03497199999947</v>
      </c>
      <c r="E26" s="709">
        <v>1.1103099864931651</v>
      </c>
      <c r="F26" s="707">
        <v>5353.1462405000002</v>
      </c>
      <c r="G26" s="708">
        <v>2230.4776002083336</v>
      </c>
      <c r="H26" s="708">
        <v>409.28</v>
      </c>
      <c r="I26" s="708">
        <v>1534.84</v>
      </c>
      <c r="J26" s="708">
        <v>-695.63760020833365</v>
      </c>
      <c r="K26" s="710">
        <v>0.28671736788880275</v>
      </c>
      <c r="L26" s="270"/>
      <c r="M26" s="706" t="str">
        <f t="shared" si="0"/>
        <v/>
      </c>
    </row>
    <row r="27" spans="1:13" ht="14.45" customHeight="1" x14ac:dyDescent="0.2">
      <c r="A27" s="711" t="s">
        <v>351</v>
      </c>
      <c r="B27" s="707">
        <v>542.74127599999997</v>
      </c>
      <c r="C27" s="708">
        <v>578.89</v>
      </c>
      <c r="D27" s="708">
        <v>36.148724000000016</v>
      </c>
      <c r="E27" s="709">
        <v>1.0666039706182215</v>
      </c>
      <c r="F27" s="707">
        <v>621.014859</v>
      </c>
      <c r="G27" s="708">
        <v>258.75619125000003</v>
      </c>
      <c r="H27" s="708">
        <v>56.35</v>
      </c>
      <c r="I27" s="708">
        <v>213.88</v>
      </c>
      <c r="J27" s="708">
        <v>-44.876191250000034</v>
      </c>
      <c r="K27" s="710">
        <v>0.34440399758615114</v>
      </c>
      <c r="L27" s="270"/>
      <c r="M27" s="706" t="str">
        <f t="shared" si="0"/>
        <v/>
      </c>
    </row>
    <row r="28" spans="1:13" ht="14.45" customHeight="1" x14ac:dyDescent="0.2">
      <c r="A28" s="711" t="s">
        <v>352</v>
      </c>
      <c r="B28" s="707">
        <v>39372.385276000001</v>
      </c>
      <c r="C28" s="708">
        <v>40819.974110000003</v>
      </c>
      <c r="D28" s="708">
        <v>1447.588834000002</v>
      </c>
      <c r="E28" s="709">
        <v>1.036766602375051</v>
      </c>
      <c r="F28" s="707">
        <v>38790.000000200002</v>
      </c>
      <c r="G28" s="708">
        <v>16162.500000083335</v>
      </c>
      <c r="H28" s="708">
        <v>3232.4852099999998</v>
      </c>
      <c r="I28" s="708">
        <v>15542.69275</v>
      </c>
      <c r="J28" s="708">
        <v>-619.80725008333502</v>
      </c>
      <c r="K28" s="710">
        <v>0.40068813482649812</v>
      </c>
      <c r="L28" s="270"/>
      <c r="M28" s="706" t="str">
        <f t="shared" si="0"/>
        <v>X</v>
      </c>
    </row>
    <row r="29" spans="1:13" ht="14.45" customHeight="1" x14ac:dyDescent="0.2">
      <c r="A29" s="711" t="s">
        <v>353</v>
      </c>
      <c r="B29" s="707">
        <v>2575.6776030000001</v>
      </c>
      <c r="C29" s="708">
        <v>2224.1093300000002</v>
      </c>
      <c r="D29" s="708">
        <v>-351.56827299999986</v>
      </c>
      <c r="E29" s="709">
        <v>0.86350455018496353</v>
      </c>
      <c r="F29" s="707">
        <v>2300</v>
      </c>
      <c r="G29" s="708">
        <v>958.33333333333326</v>
      </c>
      <c r="H29" s="708">
        <v>199.09816000000001</v>
      </c>
      <c r="I29" s="708">
        <v>932.58342000000005</v>
      </c>
      <c r="J29" s="708">
        <v>-25.749913333333211</v>
      </c>
      <c r="K29" s="710">
        <v>0.40547105217391305</v>
      </c>
      <c r="L29" s="270"/>
      <c r="M29" s="706" t="str">
        <f t="shared" si="0"/>
        <v/>
      </c>
    </row>
    <row r="30" spans="1:13" ht="14.45" customHeight="1" x14ac:dyDescent="0.2">
      <c r="A30" s="711" t="s">
        <v>354</v>
      </c>
      <c r="B30" s="707">
        <v>839.60425699999996</v>
      </c>
      <c r="C30" s="708">
        <v>1153.9899499999999</v>
      </c>
      <c r="D30" s="708">
        <v>314.38569299999995</v>
      </c>
      <c r="E30" s="709">
        <v>1.3744450916951461</v>
      </c>
      <c r="F30" s="707">
        <v>1200</v>
      </c>
      <c r="G30" s="708">
        <v>500</v>
      </c>
      <c r="H30" s="708">
        <v>19.991250000000001</v>
      </c>
      <c r="I30" s="708">
        <v>240.64976999999999</v>
      </c>
      <c r="J30" s="708">
        <v>-259.35023000000001</v>
      </c>
      <c r="K30" s="710">
        <v>0.200541475</v>
      </c>
      <c r="L30" s="270"/>
      <c r="M30" s="706" t="str">
        <f t="shared" si="0"/>
        <v/>
      </c>
    </row>
    <row r="31" spans="1:13" ht="14.45" customHeight="1" x14ac:dyDescent="0.2">
      <c r="A31" s="711" t="s">
        <v>355</v>
      </c>
      <c r="B31" s="707">
        <v>1020.000002</v>
      </c>
      <c r="C31" s="708">
        <v>978.77916000000005</v>
      </c>
      <c r="D31" s="708">
        <v>-41.220841999999948</v>
      </c>
      <c r="E31" s="709">
        <v>0.95958740988316205</v>
      </c>
      <c r="F31" s="707">
        <v>1000.0000002</v>
      </c>
      <c r="G31" s="708">
        <v>416.66666674999999</v>
      </c>
      <c r="H31" s="708">
        <v>87.49942999999999</v>
      </c>
      <c r="I31" s="708">
        <v>394.45965999999999</v>
      </c>
      <c r="J31" s="708">
        <v>-22.207006750000005</v>
      </c>
      <c r="K31" s="710">
        <v>0.39445965992110804</v>
      </c>
      <c r="L31" s="270"/>
      <c r="M31" s="706" t="str">
        <f t="shared" si="0"/>
        <v/>
      </c>
    </row>
    <row r="32" spans="1:13" ht="14.45" customHeight="1" x14ac:dyDescent="0.2">
      <c r="A32" s="711" t="s">
        <v>356</v>
      </c>
      <c r="B32" s="707">
        <v>2.0000010000000001</v>
      </c>
      <c r="C32" s="708">
        <v>0.87179999999999991</v>
      </c>
      <c r="D32" s="708">
        <v>-1.1282010000000002</v>
      </c>
      <c r="E32" s="709">
        <v>0.43589978205010887</v>
      </c>
      <c r="F32" s="707">
        <v>0.99999990000000005</v>
      </c>
      <c r="G32" s="708">
        <v>0.41666662500000001</v>
      </c>
      <c r="H32" s="708">
        <v>0</v>
      </c>
      <c r="I32" s="708">
        <v>0.27442</v>
      </c>
      <c r="J32" s="708">
        <v>-0.14224662500000002</v>
      </c>
      <c r="K32" s="710">
        <v>0.27442002744200272</v>
      </c>
      <c r="L32" s="270"/>
      <c r="M32" s="706" t="str">
        <f t="shared" si="0"/>
        <v/>
      </c>
    </row>
    <row r="33" spans="1:13" ht="14.45" customHeight="1" x14ac:dyDescent="0.2">
      <c r="A33" s="711" t="s">
        <v>357</v>
      </c>
      <c r="B33" s="707">
        <v>1259.999996</v>
      </c>
      <c r="C33" s="708">
        <v>1155.3605</v>
      </c>
      <c r="D33" s="708">
        <v>-104.63949600000001</v>
      </c>
      <c r="E33" s="709">
        <v>0.91695278068873898</v>
      </c>
      <c r="F33" s="707">
        <v>1200.0000001999999</v>
      </c>
      <c r="G33" s="708">
        <v>500.0000000833333</v>
      </c>
      <c r="H33" s="708">
        <v>113.03430999999999</v>
      </c>
      <c r="I33" s="708">
        <v>586.35069999999996</v>
      </c>
      <c r="J33" s="708">
        <v>86.350699916666656</v>
      </c>
      <c r="K33" s="710">
        <v>0.48862558325189576</v>
      </c>
      <c r="L33" s="270"/>
      <c r="M33" s="706" t="str">
        <f t="shared" si="0"/>
        <v/>
      </c>
    </row>
    <row r="34" spans="1:13" ht="14.45" customHeight="1" x14ac:dyDescent="0.2">
      <c r="A34" s="711" t="s">
        <v>358</v>
      </c>
      <c r="B34" s="707">
        <v>23808.099289999998</v>
      </c>
      <c r="C34" s="708">
        <v>24710.534920000002</v>
      </c>
      <c r="D34" s="708">
        <v>902.43563000000358</v>
      </c>
      <c r="E34" s="709">
        <v>1.0379045642832585</v>
      </c>
      <c r="F34" s="707">
        <v>22506</v>
      </c>
      <c r="G34" s="708">
        <v>9377.5</v>
      </c>
      <c r="H34" s="708">
        <v>2260.7783300000001</v>
      </c>
      <c r="I34" s="708">
        <v>9751.9554800000005</v>
      </c>
      <c r="J34" s="708">
        <v>374.45548000000053</v>
      </c>
      <c r="K34" s="710">
        <v>0.43330469563671914</v>
      </c>
      <c r="L34" s="270"/>
      <c r="M34" s="706" t="str">
        <f t="shared" si="0"/>
        <v/>
      </c>
    </row>
    <row r="35" spans="1:13" ht="14.45" customHeight="1" x14ac:dyDescent="0.2">
      <c r="A35" s="711" t="s">
        <v>359</v>
      </c>
      <c r="B35" s="707">
        <v>0</v>
      </c>
      <c r="C35" s="708">
        <v>2.9525600000000001</v>
      </c>
      <c r="D35" s="708">
        <v>2.9525600000000001</v>
      </c>
      <c r="E35" s="709">
        <v>0</v>
      </c>
      <c r="F35" s="707">
        <v>3.9999998999999997</v>
      </c>
      <c r="G35" s="708">
        <v>1.6666666249999997</v>
      </c>
      <c r="H35" s="708">
        <v>0.73809999999999998</v>
      </c>
      <c r="I35" s="708">
        <v>0.73809999999999998</v>
      </c>
      <c r="J35" s="708">
        <v>-0.92856662499999976</v>
      </c>
      <c r="K35" s="710">
        <v>0.18452500461312513</v>
      </c>
      <c r="L35" s="270"/>
      <c r="M35" s="706" t="str">
        <f t="shared" si="0"/>
        <v/>
      </c>
    </row>
    <row r="36" spans="1:13" ht="14.45" customHeight="1" x14ac:dyDescent="0.2">
      <c r="A36" s="711" t="s">
        <v>360</v>
      </c>
      <c r="B36" s="707">
        <v>1659.999998</v>
      </c>
      <c r="C36" s="708">
        <v>1695.9178100000001</v>
      </c>
      <c r="D36" s="708">
        <v>35.91781200000014</v>
      </c>
      <c r="E36" s="709">
        <v>1.0216372361706474</v>
      </c>
      <c r="F36" s="707">
        <v>1700</v>
      </c>
      <c r="G36" s="708">
        <v>708.33333333333326</v>
      </c>
      <c r="H36" s="708">
        <v>74.759720000000002</v>
      </c>
      <c r="I36" s="708">
        <v>738.86692000000005</v>
      </c>
      <c r="J36" s="708">
        <v>30.533586666666793</v>
      </c>
      <c r="K36" s="710">
        <v>0.4346276</v>
      </c>
      <c r="L36" s="270"/>
      <c r="M36" s="706" t="str">
        <f t="shared" si="0"/>
        <v/>
      </c>
    </row>
    <row r="37" spans="1:13" ht="14.45" customHeight="1" x14ac:dyDescent="0.2">
      <c r="A37" s="711" t="s">
        <v>361</v>
      </c>
      <c r="B37" s="707">
        <v>2350</v>
      </c>
      <c r="C37" s="708">
        <v>2127.3247299999998</v>
      </c>
      <c r="D37" s="708">
        <v>-222.67527000000018</v>
      </c>
      <c r="E37" s="709">
        <v>0.90524456595744673</v>
      </c>
      <c r="F37" s="707">
        <v>2100</v>
      </c>
      <c r="G37" s="708">
        <v>875</v>
      </c>
      <c r="H37" s="708">
        <v>83.871289999999988</v>
      </c>
      <c r="I37" s="708">
        <v>762.81742000000008</v>
      </c>
      <c r="J37" s="708">
        <v>-112.18257999999992</v>
      </c>
      <c r="K37" s="710">
        <v>0.36324639047619051</v>
      </c>
      <c r="L37" s="270"/>
      <c r="M37" s="706" t="str">
        <f t="shared" si="0"/>
        <v/>
      </c>
    </row>
    <row r="38" spans="1:13" ht="14.45" customHeight="1" x14ac:dyDescent="0.2">
      <c r="A38" s="711" t="s">
        <v>362</v>
      </c>
      <c r="B38" s="707">
        <v>60</v>
      </c>
      <c r="C38" s="708">
        <v>53.309580000000004</v>
      </c>
      <c r="D38" s="708">
        <v>-6.690419999999996</v>
      </c>
      <c r="E38" s="709">
        <v>0.88849300000000009</v>
      </c>
      <c r="F38" s="707">
        <v>55.000000099999994</v>
      </c>
      <c r="G38" s="708">
        <v>22.916666708333331</v>
      </c>
      <c r="H38" s="708">
        <v>3.1259999999999999</v>
      </c>
      <c r="I38" s="708">
        <v>26.4636</v>
      </c>
      <c r="J38" s="708">
        <v>3.5469332916666687</v>
      </c>
      <c r="K38" s="710">
        <v>0.48115636276153395</v>
      </c>
      <c r="L38" s="270"/>
      <c r="M38" s="706" t="str">
        <f t="shared" si="0"/>
        <v/>
      </c>
    </row>
    <row r="39" spans="1:13" ht="14.45" customHeight="1" x14ac:dyDescent="0.2">
      <c r="A39" s="711" t="s">
        <v>363</v>
      </c>
      <c r="B39" s="707">
        <v>310.000001</v>
      </c>
      <c r="C39" s="708">
        <v>313.58661000000001</v>
      </c>
      <c r="D39" s="708">
        <v>3.5866090000000099</v>
      </c>
      <c r="E39" s="709">
        <v>1.0115697064142912</v>
      </c>
      <c r="F39" s="707">
        <v>299.99999989999998</v>
      </c>
      <c r="G39" s="708">
        <v>124.99999995833333</v>
      </c>
      <c r="H39" s="708">
        <v>24.209</v>
      </c>
      <c r="I39" s="708">
        <v>127.85997999999999</v>
      </c>
      <c r="J39" s="708">
        <v>2.8599800416666596</v>
      </c>
      <c r="K39" s="710">
        <v>0.42619993347539997</v>
      </c>
      <c r="L39" s="270"/>
      <c r="M39" s="706" t="str">
        <f t="shared" si="0"/>
        <v/>
      </c>
    </row>
    <row r="40" spans="1:13" ht="14.45" customHeight="1" x14ac:dyDescent="0.2">
      <c r="A40" s="711" t="s">
        <v>364</v>
      </c>
      <c r="B40" s="707">
        <v>2790.0041290000004</v>
      </c>
      <c r="C40" s="708">
        <v>3807.08907</v>
      </c>
      <c r="D40" s="708">
        <v>1017.0849409999996</v>
      </c>
      <c r="E40" s="709">
        <v>1.3645460343331268</v>
      </c>
      <c r="F40" s="707">
        <v>3847.0000002000002</v>
      </c>
      <c r="G40" s="708">
        <v>1602.9166667500001</v>
      </c>
      <c r="H40" s="708">
        <v>135.41622000000001</v>
      </c>
      <c r="I40" s="708">
        <v>901.31004000000007</v>
      </c>
      <c r="J40" s="708">
        <v>-701.60662675000003</v>
      </c>
      <c r="K40" s="710">
        <v>0.2342890667931225</v>
      </c>
      <c r="L40" s="270"/>
      <c r="M40" s="706" t="str">
        <f t="shared" si="0"/>
        <v/>
      </c>
    </row>
    <row r="41" spans="1:13" ht="14.45" customHeight="1" x14ac:dyDescent="0.2">
      <c r="A41" s="711" t="s">
        <v>365</v>
      </c>
      <c r="B41" s="707">
        <v>914.999999</v>
      </c>
      <c r="C41" s="708">
        <v>833.35981000000004</v>
      </c>
      <c r="D41" s="708">
        <v>-81.640188999999964</v>
      </c>
      <c r="E41" s="709">
        <v>0.91077574962926311</v>
      </c>
      <c r="F41" s="707">
        <v>799.99999969999999</v>
      </c>
      <c r="G41" s="708">
        <v>333.33333320833333</v>
      </c>
      <c r="H41" s="708">
        <v>64.329239999999999</v>
      </c>
      <c r="I41" s="708">
        <v>305.09290999999996</v>
      </c>
      <c r="J41" s="708">
        <v>-28.240423208333368</v>
      </c>
      <c r="K41" s="710">
        <v>0.38136613764301225</v>
      </c>
      <c r="L41" s="270"/>
      <c r="M41" s="706" t="str">
        <f t="shared" si="0"/>
        <v/>
      </c>
    </row>
    <row r="42" spans="1:13" ht="14.45" customHeight="1" x14ac:dyDescent="0.2">
      <c r="A42" s="711" t="s">
        <v>366</v>
      </c>
      <c r="B42" s="707">
        <v>105</v>
      </c>
      <c r="C42" s="708">
        <v>112.64739999999999</v>
      </c>
      <c r="D42" s="708">
        <v>7.6473999999999904</v>
      </c>
      <c r="E42" s="709">
        <v>1.0728323809523808</v>
      </c>
      <c r="F42" s="707">
        <v>100</v>
      </c>
      <c r="G42" s="708">
        <v>41.666666666666671</v>
      </c>
      <c r="H42" s="708">
        <v>7.4615499999999999</v>
      </c>
      <c r="I42" s="708">
        <v>108.08810000000001</v>
      </c>
      <c r="J42" s="708">
        <v>66.42143333333334</v>
      </c>
      <c r="K42" s="710">
        <v>1.0808810000000002</v>
      </c>
      <c r="L42" s="270"/>
      <c r="M42" s="706" t="str">
        <f t="shared" si="0"/>
        <v/>
      </c>
    </row>
    <row r="43" spans="1:13" ht="14.45" customHeight="1" x14ac:dyDescent="0.2">
      <c r="A43" s="711" t="s">
        <v>367</v>
      </c>
      <c r="B43" s="707">
        <v>1677</v>
      </c>
      <c r="C43" s="708">
        <v>1650.1408799999999</v>
      </c>
      <c r="D43" s="708">
        <v>-26.859120000000075</v>
      </c>
      <c r="E43" s="709">
        <v>0.9839838282647585</v>
      </c>
      <c r="F43" s="707">
        <v>1677.0000001000001</v>
      </c>
      <c r="G43" s="708">
        <v>698.75000004166668</v>
      </c>
      <c r="H43" s="708">
        <v>152.50922</v>
      </c>
      <c r="I43" s="708">
        <v>659.51883999999995</v>
      </c>
      <c r="J43" s="708">
        <v>-39.231160041666726</v>
      </c>
      <c r="K43" s="710">
        <v>0.39327301130630449</v>
      </c>
      <c r="L43" s="270"/>
      <c r="M43" s="706" t="str">
        <f t="shared" si="0"/>
        <v/>
      </c>
    </row>
    <row r="44" spans="1:13" ht="14.45" customHeight="1" x14ac:dyDescent="0.2">
      <c r="A44" s="711" t="s">
        <v>368</v>
      </c>
      <c r="B44" s="707">
        <v>0</v>
      </c>
      <c r="C44" s="708">
        <v>0</v>
      </c>
      <c r="D44" s="708">
        <v>0</v>
      </c>
      <c r="E44" s="709">
        <v>0</v>
      </c>
      <c r="F44" s="707">
        <v>0</v>
      </c>
      <c r="G44" s="708">
        <v>0</v>
      </c>
      <c r="H44" s="708">
        <v>4.0066699999999997</v>
      </c>
      <c r="I44" s="708">
        <v>4.0066699999999997</v>
      </c>
      <c r="J44" s="708">
        <v>4.0066699999999997</v>
      </c>
      <c r="K44" s="710">
        <v>0</v>
      </c>
      <c r="L44" s="270"/>
      <c r="M44" s="706" t="str">
        <f t="shared" si="0"/>
        <v/>
      </c>
    </row>
    <row r="45" spans="1:13" ht="14.45" customHeight="1" x14ac:dyDescent="0.2">
      <c r="A45" s="711" t="s">
        <v>369</v>
      </c>
      <c r="B45" s="707">
        <v>0</v>
      </c>
      <c r="C45" s="708">
        <v>0</v>
      </c>
      <c r="D45" s="708">
        <v>0</v>
      </c>
      <c r="E45" s="709">
        <v>0</v>
      </c>
      <c r="F45" s="707">
        <v>0</v>
      </c>
      <c r="G45" s="708">
        <v>0</v>
      </c>
      <c r="H45" s="708">
        <v>1.65672</v>
      </c>
      <c r="I45" s="708">
        <v>1.65672</v>
      </c>
      <c r="J45" s="708">
        <v>1.65672</v>
      </c>
      <c r="K45" s="710">
        <v>0</v>
      </c>
      <c r="L45" s="270"/>
      <c r="M45" s="706" t="str">
        <f t="shared" si="0"/>
        <v/>
      </c>
    </row>
    <row r="46" spans="1:13" ht="14.45" customHeight="1" x14ac:dyDescent="0.2">
      <c r="A46" s="711" t="s">
        <v>370</v>
      </c>
      <c r="B46" s="707">
        <v>597.62631499999998</v>
      </c>
      <c r="C46" s="708">
        <v>613.34555</v>
      </c>
      <c r="D46" s="708">
        <v>15.719235000000026</v>
      </c>
      <c r="E46" s="709">
        <v>1.0263027825339317</v>
      </c>
      <c r="F46" s="707">
        <v>616.00696810000011</v>
      </c>
      <c r="G46" s="708">
        <v>256.6695700416667</v>
      </c>
      <c r="H46" s="708">
        <v>56.52026</v>
      </c>
      <c r="I46" s="708">
        <v>235.79789000000002</v>
      </c>
      <c r="J46" s="708">
        <v>-20.871680041666679</v>
      </c>
      <c r="K46" s="710">
        <v>0.38278445246697523</v>
      </c>
      <c r="L46" s="270"/>
      <c r="M46" s="706" t="str">
        <f t="shared" si="0"/>
        <v>X</v>
      </c>
    </row>
    <row r="47" spans="1:13" ht="14.45" customHeight="1" x14ac:dyDescent="0.2">
      <c r="A47" s="711" t="s">
        <v>371</v>
      </c>
      <c r="B47" s="707">
        <v>518.953664</v>
      </c>
      <c r="C47" s="708">
        <v>544.42173000000003</v>
      </c>
      <c r="D47" s="708">
        <v>25.468066000000022</v>
      </c>
      <c r="E47" s="709">
        <v>1.0490757995688802</v>
      </c>
      <c r="F47" s="707">
        <v>543.21829749999995</v>
      </c>
      <c r="G47" s="708">
        <v>226.34095729166663</v>
      </c>
      <c r="H47" s="708">
        <v>54.217239999999997</v>
      </c>
      <c r="I47" s="708">
        <v>218.32311999999999</v>
      </c>
      <c r="J47" s="708">
        <v>-8.0178372916666376</v>
      </c>
      <c r="K47" s="710">
        <v>0.40190678591786577</v>
      </c>
      <c r="L47" s="270"/>
      <c r="M47" s="706" t="str">
        <f t="shared" si="0"/>
        <v/>
      </c>
    </row>
    <row r="48" spans="1:13" ht="14.45" customHeight="1" x14ac:dyDescent="0.2">
      <c r="A48" s="711" t="s">
        <v>372</v>
      </c>
      <c r="B48" s="707">
        <v>78.672651000000002</v>
      </c>
      <c r="C48" s="708">
        <v>68.923820000000006</v>
      </c>
      <c r="D48" s="708">
        <v>-9.7488309999999956</v>
      </c>
      <c r="E48" s="709">
        <v>0.87608360877530367</v>
      </c>
      <c r="F48" s="707">
        <v>72.788670600000003</v>
      </c>
      <c r="G48" s="708">
        <v>30.328612750000001</v>
      </c>
      <c r="H48" s="708">
        <v>2.3030200000000001</v>
      </c>
      <c r="I48" s="708">
        <v>17.474769999999999</v>
      </c>
      <c r="J48" s="708">
        <v>-12.853842750000002</v>
      </c>
      <c r="K48" s="710">
        <v>0.24007541085659007</v>
      </c>
      <c r="L48" s="270"/>
      <c r="M48" s="706" t="str">
        <f t="shared" si="0"/>
        <v/>
      </c>
    </row>
    <row r="49" spans="1:13" ht="14.45" customHeight="1" x14ac:dyDescent="0.2">
      <c r="A49" s="711" t="s">
        <v>373</v>
      </c>
      <c r="B49" s="707">
        <v>741.17509999999993</v>
      </c>
      <c r="C49" s="708">
        <v>829.75531000000001</v>
      </c>
      <c r="D49" s="708">
        <v>88.580210000000079</v>
      </c>
      <c r="E49" s="709">
        <v>1.1195132027506052</v>
      </c>
      <c r="F49" s="707">
        <v>799.0832825</v>
      </c>
      <c r="G49" s="708">
        <v>332.95136770833329</v>
      </c>
      <c r="H49" s="708">
        <v>75.215179999999989</v>
      </c>
      <c r="I49" s="708">
        <v>343.28165999999999</v>
      </c>
      <c r="J49" s="708">
        <v>10.330292291666694</v>
      </c>
      <c r="K49" s="710">
        <v>0.42959434581839095</v>
      </c>
      <c r="L49" s="270"/>
      <c r="M49" s="706" t="str">
        <f t="shared" si="0"/>
        <v>X</v>
      </c>
    </row>
    <row r="50" spans="1:13" ht="14.45" customHeight="1" x14ac:dyDescent="0.2">
      <c r="A50" s="711" t="s">
        <v>374</v>
      </c>
      <c r="B50" s="707">
        <v>0</v>
      </c>
      <c r="C50" s="708">
        <v>8.6217399999999991</v>
      </c>
      <c r="D50" s="708">
        <v>8.6217399999999991</v>
      </c>
      <c r="E50" s="709">
        <v>0</v>
      </c>
      <c r="F50" s="707">
        <v>0</v>
      </c>
      <c r="G50" s="708">
        <v>0</v>
      </c>
      <c r="H50" s="708">
        <v>0</v>
      </c>
      <c r="I50" s="708">
        <v>4.9380100000000002</v>
      </c>
      <c r="J50" s="708">
        <v>4.9380100000000002</v>
      </c>
      <c r="K50" s="710">
        <v>0</v>
      </c>
      <c r="L50" s="270"/>
      <c r="M50" s="706" t="str">
        <f t="shared" si="0"/>
        <v/>
      </c>
    </row>
    <row r="51" spans="1:13" ht="14.45" customHeight="1" x14ac:dyDescent="0.2">
      <c r="A51" s="711" t="s">
        <v>375</v>
      </c>
      <c r="B51" s="707">
        <v>40.000003</v>
      </c>
      <c r="C51" s="708">
        <v>35.027920000000002</v>
      </c>
      <c r="D51" s="708">
        <v>-4.9720829999999978</v>
      </c>
      <c r="E51" s="709">
        <v>0.87569793432265497</v>
      </c>
      <c r="F51" s="707">
        <v>34.999999799999998</v>
      </c>
      <c r="G51" s="708">
        <v>14.583333249999999</v>
      </c>
      <c r="H51" s="708">
        <v>3.5839400000000001</v>
      </c>
      <c r="I51" s="708">
        <v>14.052239999999999</v>
      </c>
      <c r="J51" s="708">
        <v>-0.53109324999999963</v>
      </c>
      <c r="K51" s="710">
        <v>0.40149257372281472</v>
      </c>
      <c r="L51" s="270"/>
      <c r="M51" s="706" t="str">
        <f t="shared" si="0"/>
        <v/>
      </c>
    </row>
    <row r="52" spans="1:13" ht="14.45" customHeight="1" x14ac:dyDescent="0.2">
      <c r="A52" s="711" t="s">
        <v>376</v>
      </c>
      <c r="B52" s="707">
        <v>440</v>
      </c>
      <c r="C52" s="708">
        <v>464.73635999999999</v>
      </c>
      <c r="D52" s="708">
        <v>24.736359999999991</v>
      </c>
      <c r="E52" s="709">
        <v>1.056219</v>
      </c>
      <c r="F52" s="707">
        <v>480.00000010000002</v>
      </c>
      <c r="G52" s="708">
        <v>200.00000004166668</v>
      </c>
      <c r="H52" s="708">
        <v>39.683959999999999</v>
      </c>
      <c r="I52" s="708">
        <v>197.13118</v>
      </c>
      <c r="J52" s="708">
        <v>-2.8688200416666803</v>
      </c>
      <c r="K52" s="710">
        <v>0.41068995824777293</v>
      </c>
      <c r="L52" s="270"/>
      <c r="M52" s="706" t="str">
        <f t="shared" si="0"/>
        <v/>
      </c>
    </row>
    <row r="53" spans="1:13" ht="14.45" customHeight="1" x14ac:dyDescent="0.2">
      <c r="A53" s="711" t="s">
        <v>377</v>
      </c>
      <c r="B53" s="707">
        <v>49.999999000000003</v>
      </c>
      <c r="C53" s="708">
        <v>60.208739999999999</v>
      </c>
      <c r="D53" s="708">
        <v>10.208740999999996</v>
      </c>
      <c r="E53" s="709">
        <v>1.2041748240834964</v>
      </c>
      <c r="F53" s="707">
        <v>61.000000200000002</v>
      </c>
      <c r="G53" s="708">
        <v>25.416666750000001</v>
      </c>
      <c r="H53" s="708">
        <v>7.49526</v>
      </c>
      <c r="I53" s="708">
        <v>25.585450000000002</v>
      </c>
      <c r="J53" s="708">
        <v>0.16878325000000061</v>
      </c>
      <c r="K53" s="710">
        <v>0.41943360518218492</v>
      </c>
      <c r="L53" s="270"/>
      <c r="M53" s="706" t="str">
        <f t="shared" si="0"/>
        <v/>
      </c>
    </row>
    <row r="54" spans="1:13" ht="14.45" customHeight="1" x14ac:dyDescent="0.2">
      <c r="A54" s="711" t="s">
        <v>378</v>
      </c>
      <c r="B54" s="707">
        <v>8.5833080000000006</v>
      </c>
      <c r="C54" s="708">
        <v>9.3894099999999998</v>
      </c>
      <c r="D54" s="708">
        <v>0.80610199999999921</v>
      </c>
      <c r="E54" s="709">
        <v>1.0939150733027405</v>
      </c>
      <c r="F54" s="707">
        <v>8.4046646999999997</v>
      </c>
      <c r="G54" s="708">
        <v>3.5019436249999996</v>
      </c>
      <c r="H54" s="708">
        <v>0.53770000000000007</v>
      </c>
      <c r="I54" s="708">
        <v>3.4104999999999999</v>
      </c>
      <c r="J54" s="708">
        <v>-9.1443624999999695E-2</v>
      </c>
      <c r="K54" s="710">
        <v>0.40578656278816216</v>
      </c>
      <c r="L54" s="270"/>
      <c r="M54" s="706" t="str">
        <f t="shared" si="0"/>
        <v/>
      </c>
    </row>
    <row r="55" spans="1:13" ht="14.45" customHeight="1" x14ac:dyDescent="0.2">
      <c r="A55" s="711" t="s">
        <v>379</v>
      </c>
      <c r="B55" s="707">
        <v>0</v>
      </c>
      <c r="C55" s="708">
        <v>6.7983000000000002</v>
      </c>
      <c r="D55" s="708">
        <v>6.7983000000000002</v>
      </c>
      <c r="E55" s="709">
        <v>0</v>
      </c>
      <c r="F55" s="707">
        <v>0</v>
      </c>
      <c r="G55" s="708">
        <v>0</v>
      </c>
      <c r="H55" s="708">
        <v>1.797E-2</v>
      </c>
      <c r="I55" s="708">
        <v>3.34782</v>
      </c>
      <c r="J55" s="708">
        <v>3.34782</v>
      </c>
      <c r="K55" s="710">
        <v>0</v>
      </c>
      <c r="L55" s="270"/>
      <c r="M55" s="706" t="str">
        <f t="shared" si="0"/>
        <v/>
      </c>
    </row>
    <row r="56" spans="1:13" ht="14.45" customHeight="1" x14ac:dyDescent="0.2">
      <c r="A56" s="711" t="s">
        <v>380</v>
      </c>
      <c r="B56" s="707">
        <v>0</v>
      </c>
      <c r="C56" s="708">
        <v>20.750220000000002</v>
      </c>
      <c r="D56" s="708">
        <v>20.750220000000002</v>
      </c>
      <c r="E56" s="709">
        <v>0</v>
      </c>
      <c r="F56" s="707">
        <v>0</v>
      </c>
      <c r="G56" s="708">
        <v>0</v>
      </c>
      <c r="H56" s="708">
        <v>1.5824400000000001</v>
      </c>
      <c r="I56" s="708">
        <v>8.745569999999999</v>
      </c>
      <c r="J56" s="708">
        <v>8.745569999999999</v>
      </c>
      <c r="K56" s="710">
        <v>0</v>
      </c>
      <c r="L56" s="270"/>
      <c r="M56" s="706" t="str">
        <f t="shared" si="0"/>
        <v/>
      </c>
    </row>
    <row r="57" spans="1:13" ht="14.45" customHeight="1" x14ac:dyDescent="0.2">
      <c r="A57" s="711" t="s">
        <v>381</v>
      </c>
      <c r="B57" s="707">
        <v>0</v>
      </c>
      <c r="C57" s="708">
        <v>5.8869099999999994</v>
      </c>
      <c r="D57" s="708">
        <v>5.8869099999999994</v>
      </c>
      <c r="E57" s="709">
        <v>0</v>
      </c>
      <c r="F57" s="707">
        <v>0</v>
      </c>
      <c r="G57" s="708">
        <v>0</v>
      </c>
      <c r="H57" s="708">
        <v>2.39072</v>
      </c>
      <c r="I57" s="708">
        <v>3.8314400000000002</v>
      </c>
      <c r="J57" s="708">
        <v>3.8314400000000002</v>
      </c>
      <c r="K57" s="710">
        <v>0</v>
      </c>
      <c r="L57" s="270"/>
      <c r="M57" s="706" t="str">
        <f t="shared" si="0"/>
        <v/>
      </c>
    </row>
    <row r="58" spans="1:13" ht="14.45" customHeight="1" x14ac:dyDescent="0.2">
      <c r="A58" s="711" t="s">
        <v>382</v>
      </c>
      <c r="B58" s="707">
        <v>10</v>
      </c>
      <c r="C58" s="708">
        <v>9.0665300000000002</v>
      </c>
      <c r="D58" s="708">
        <v>-0.9334699999999998</v>
      </c>
      <c r="E58" s="709">
        <v>0.90665300000000004</v>
      </c>
      <c r="F58" s="707">
        <v>9.9999999000000006</v>
      </c>
      <c r="G58" s="708">
        <v>4.1666666250000004</v>
      </c>
      <c r="H58" s="708">
        <v>1.5427500000000001</v>
      </c>
      <c r="I58" s="708">
        <v>4.4661099999999996</v>
      </c>
      <c r="J58" s="708">
        <v>0.29944337499999918</v>
      </c>
      <c r="K58" s="710">
        <v>0.44661100446610996</v>
      </c>
      <c r="L58" s="270"/>
      <c r="M58" s="706" t="str">
        <f t="shared" si="0"/>
        <v/>
      </c>
    </row>
    <row r="59" spans="1:13" ht="14.45" customHeight="1" x14ac:dyDescent="0.2">
      <c r="A59" s="711" t="s">
        <v>383</v>
      </c>
      <c r="B59" s="707">
        <v>32.591788999999999</v>
      </c>
      <c r="C59" s="708">
        <v>42.301000000000002</v>
      </c>
      <c r="D59" s="708">
        <v>9.7092110000000034</v>
      </c>
      <c r="E59" s="709">
        <v>1.2979035916070765</v>
      </c>
      <c r="F59" s="707">
        <v>39.678618100000001</v>
      </c>
      <c r="G59" s="708">
        <v>16.532757541666669</v>
      </c>
      <c r="H59" s="708">
        <v>3.7352699999999999</v>
      </c>
      <c r="I59" s="708">
        <v>9.7585200000000007</v>
      </c>
      <c r="J59" s="708">
        <v>-6.7742375416666682</v>
      </c>
      <c r="K59" s="710">
        <v>0.24593900864707788</v>
      </c>
      <c r="L59" s="270"/>
      <c r="M59" s="706" t="str">
        <f t="shared" si="0"/>
        <v/>
      </c>
    </row>
    <row r="60" spans="1:13" ht="14.45" customHeight="1" x14ac:dyDescent="0.2">
      <c r="A60" s="711" t="s">
        <v>384</v>
      </c>
      <c r="B60" s="707">
        <v>0</v>
      </c>
      <c r="C60" s="708">
        <v>4.5318800000000001</v>
      </c>
      <c r="D60" s="708">
        <v>4.5318800000000001</v>
      </c>
      <c r="E60" s="709">
        <v>0</v>
      </c>
      <c r="F60" s="707">
        <v>0</v>
      </c>
      <c r="G60" s="708">
        <v>0</v>
      </c>
      <c r="H60" s="708">
        <v>0</v>
      </c>
      <c r="I60" s="708">
        <v>0</v>
      </c>
      <c r="J60" s="708">
        <v>0</v>
      </c>
      <c r="K60" s="710">
        <v>0</v>
      </c>
      <c r="L60" s="270"/>
      <c r="M60" s="706" t="str">
        <f t="shared" si="0"/>
        <v/>
      </c>
    </row>
    <row r="61" spans="1:13" ht="14.45" customHeight="1" x14ac:dyDescent="0.2">
      <c r="A61" s="711" t="s">
        <v>385</v>
      </c>
      <c r="B61" s="707">
        <v>160.000001</v>
      </c>
      <c r="C61" s="708">
        <v>162.43629999999999</v>
      </c>
      <c r="D61" s="708">
        <v>2.4362989999999911</v>
      </c>
      <c r="E61" s="709">
        <v>1.015226868654832</v>
      </c>
      <c r="F61" s="707">
        <v>164.99999969999999</v>
      </c>
      <c r="G61" s="708">
        <v>68.749999875</v>
      </c>
      <c r="H61" s="708">
        <v>14.64517</v>
      </c>
      <c r="I61" s="708">
        <v>68.01482</v>
      </c>
      <c r="J61" s="708">
        <v>-0.73517987500000004</v>
      </c>
      <c r="K61" s="710">
        <v>0.41221103105250495</v>
      </c>
      <c r="L61" s="270"/>
      <c r="M61" s="706" t="str">
        <f t="shared" si="0"/>
        <v/>
      </c>
    </row>
    <row r="62" spans="1:13" ht="14.45" customHeight="1" x14ac:dyDescent="0.2">
      <c r="A62" s="711" t="s">
        <v>386</v>
      </c>
      <c r="B62" s="707">
        <v>1001.9027619999999</v>
      </c>
      <c r="C62" s="708">
        <v>698.28306000000009</v>
      </c>
      <c r="D62" s="708">
        <v>-303.61970199999985</v>
      </c>
      <c r="E62" s="709">
        <v>0.69695691686295613</v>
      </c>
      <c r="F62" s="707">
        <v>689.97784050000007</v>
      </c>
      <c r="G62" s="708">
        <v>287.49076687500002</v>
      </c>
      <c r="H62" s="708">
        <v>37.983739999999997</v>
      </c>
      <c r="I62" s="708">
        <v>300.05871000000002</v>
      </c>
      <c r="J62" s="708">
        <v>12.567943124999999</v>
      </c>
      <c r="K62" s="710">
        <v>0.43488166197128758</v>
      </c>
      <c r="L62" s="270"/>
      <c r="M62" s="706" t="str">
        <f t="shared" si="0"/>
        <v>X</v>
      </c>
    </row>
    <row r="63" spans="1:13" ht="14.45" customHeight="1" x14ac:dyDescent="0.2">
      <c r="A63" s="711" t="s">
        <v>387</v>
      </c>
      <c r="B63" s="707">
        <v>0</v>
      </c>
      <c r="C63" s="708">
        <v>10.0823</v>
      </c>
      <c r="D63" s="708">
        <v>10.0823</v>
      </c>
      <c r="E63" s="709">
        <v>0</v>
      </c>
      <c r="F63" s="707">
        <v>0</v>
      </c>
      <c r="G63" s="708">
        <v>0</v>
      </c>
      <c r="H63" s="708">
        <v>0</v>
      </c>
      <c r="I63" s="708">
        <v>10.003200000000001</v>
      </c>
      <c r="J63" s="708">
        <v>10.003200000000001</v>
      </c>
      <c r="K63" s="710">
        <v>0</v>
      </c>
      <c r="L63" s="270"/>
      <c r="M63" s="706" t="str">
        <f t="shared" si="0"/>
        <v/>
      </c>
    </row>
    <row r="64" spans="1:13" ht="14.45" customHeight="1" x14ac:dyDescent="0.2">
      <c r="A64" s="711" t="s">
        <v>388</v>
      </c>
      <c r="B64" s="707">
        <v>1.9611339999999999</v>
      </c>
      <c r="C64" s="708">
        <v>2.2051999999999996</v>
      </c>
      <c r="D64" s="708">
        <v>0.24406599999999967</v>
      </c>
      <c r="E64" s="709">
        <v>1.1244514653256736</v>
      </c>
      <c r="F64" s="707">
        <v>2.0805257999999998</v>
      </c>
      <c r="G64" s="708">
        <v>0.8668857499999999</v>
      </c>
      <c r="H64" s="708">
        <v>0</v>
      </c>
      <c r="I64" s="708">
        <v>0</v>
      </c>
      <c r="J64" s="708">
        <v>-0.8668857499999999</v>
      </c>
      <c r="K64" s="710">
        <v>0</v>
      </c>
      <c r="L64" s="270"/>
      <c r="M64" s="706" t="str">
        <f t="shared" si="0"/>
        <v/>
      </c>
    </row>
    <row r="65" spans="1:13" ht="14.45" customHeight="1" x14ac:dyDescent="0.2">
      <c r="A65" s="711" t="s">
        <v>389</v>
      </c>
      <c r="B65" s="707">
        <v>12.724915999999999</v>
      </c>
      <c r="C65" s="708">
        <v>35.750889999999998</v>
      </c>
      <c r="D65" s="708">
        <v>23.025973999999998</v>
      </c>
      <c r="E65" s="709">
        <v>2.8095187425991655</v>
      </c>
      <c r="F65" s="707">
        <v>3.2293395999999999</v>
      </c>
      <c r="G65" s="708">
        <v>1.3455581666666667</v>
      </c>
      <c r="H65" s="708">
        <v>0</v>
      </c>
      <c r="I65" s="708">
        <v>0</v>
      </c>
      <c r="J65" s="708">
        <v>-1.3455581666666667</v>
      </c>
      <c r="K65" s="710">
        <v>0</v>
      </c>
      <c r="L65" s="270"/>
      <c r="M65" s="706" t="str">
        <f t="shared" si="0"/>
        <v/>
      </c>
    </row>
    <row r="66" spans="1:13" ht="14.45" customHeight="1" x14ac:dyDescent="0.2">
      <c r="A66" s="711" t="s">
        <v>390</v>
      </c>
      <c r="B66" s="707">
        <v>933.6922340000001</v>
      </c>
      <c r="C66" s="708">
        <v>634.89830000000006</v>
      </c>
      <c r="D66" s="708">
        <v>-298.79393400000004</v>
      </c>
      <c r="E66" s="709">
        <v>0.67998669891475183</v>
      </c>
      <c r="F66" s="707">
        <v>639.01424109999994</v>
      </c>
      <c r="G66" s="708">
        <v>266.25593379166662</v>
      </c>
      <c r="H66" s="708">
        <v>37.924239999999998</v>
      </c>
      <c r="I66" s="708">
        <v>283.46179999999998</v>
      </c>
      <c r="J66" s="708">
        <v>17.205866208333362</v>
      </c>
      <c r="K66" s="710">
        <v>0.44359230478502087</v>
      </c>
      <c r="L66" s="270"/>
      <c r="M66" s="706" t="str">
        <f t="shared" si="0"/>
        <v/>
      </c>
    </row>
    <row r="67" spans="1:13" ht="14.45" customHeight="1" x14ac:dyDescent="0.2">
      <c r="A67" s="711" t="s">
        <v>391</v>
      </c>
      <c r="B67" s="707">
        <v>0.91703000000000001</v>
      </c>
      <c r="C67" s="708">
        <v>1.4278</v>
      </c>
      <c r="D67" s="708">
        <v>0.51076999999999995</v>
      </c>
      <c r="E67" s="709">
        <v>1.5569828686084424</v>
      </c>
      <c r="F67" s="707">
        <v>6.6537338999999998</v>
      </c>
      <c r="G67" s="708">
        <v>2.7723891250000001</v>
      </c>
      <c r="H67" s="708">
        <v>0</v>
      </c>
      <c r="I67" s="708">
        <v>0</v>
      </c>
      <c r="J67" s="708">
        <v>-2.7723891250000001</v>
      </c>
      <c r="K67" s="710">
        <v>0</v>
      </c>
      <c r="L67" s="270"/>
      <c r="M67" s="706" t="str">
        <f t="shared" si="0"/>
        <v/>
      </c>
    </row>
    <row r="68" spans="1:13" ht="14.45" customHeight="1" x14ac:dyDescent="0.2">
      <c r="A68" s="711" t="s">
        <v>392</v>
      </c>
      <c r="B68" s="707">
        <v>22.915976999999998</v>
      </c>
      <c r="C68" s="708">
        <v>11.157350000000001</v>
      </c>
      <c r="D68" s="708">
        <v>-11.758626999999997</v>
      </c>
      <c r="E68" s="709">
        <v>0.48688083427557993</v>
      </c>
      <c r="F68" s="707">
        <v>9.0000000999999994</v>
      </c>
      <c r="G68" s="708">
        <v>3.7500000416666661</v>
      </c>
      <c r="H68" s="708">
        <v>5.9499999999999997E-2</v>
      </c>
      <c r="I68" s="708">
        <v>6.5937099999999997</v>
      </c>
      <c r="J68" s="708">
        <v>2.8437099583333336</v>
      </c>
      <c r="K68" s="710">
        <v>0.73263443630406189</v>
      </c>
      <c r="L68" s="270"/>
      <c r="M68" s="706" t="str">
        <f t="shared" si="0"/>
        <v/>
      </c>
    </row>
    <row r="69" spans="1:13" ht="14.45" customHeight="1" x14ac:dyDescent="0.2">
      <c r="A69" s="711" t="s">
        <v>393</v>
      </c>
      <c r="B69" s="707">
        <v>29.691471</v>
      </c>
      <c r="C69" s="708">
        <v>2.7612199999999998</v>
      </c>
      <c r="D69" s="708">
        <v>-26.930250999999998</v>
      </c>
      <c r="E69" s="709">
        <v>9.299707650052097E-2</v>
      </c>
      <c r="F69" s="707">
        <v>30</v>
      </c>
      <c r="G69" s="708">
        <v>12.5</v>
      </c>
      <c r="H69" s="708">
        <v>0</v>
      </c>
      <c r="I69" s="708">
        <v>0</v>
      </c>
      <c r="J69" s="708">
        <v>-12.5</v>
      </c>
      <c r="K69" s="710">
        <v>0</v>
      </c>
      <c r="L69" s="270"/>
      <c r="M69" s="706" t="str">
        <f t="shared" si="0"/>
        <v/>
      </c>
    </row>
    <row r="70" spans="1:13" ht="14.45" customHeight="1" x14ac:dyDescent="0.2">
      <c r="A70" s="711" t="s">
        <v>394</v>
      </c>
      <c r="B70" s="707">
        <v>600.00000299999999</v>
      </c>
      <c r="C70" s="708">
        <v>617.52472</v>
      </c>
      <c r="D70" s="708">
        <v>17.52471700000001</v>
      </c>
      <c r="E70" s="709">
        <v>1.0292078615206273</v>
      </c>
      <c r="F70" s="707">
        <v>600.00000069999999</v>
      </c>
      <c r="G70" s="708">
        <v>250.00000029166668</v>
      </c>
      <c r="H70" s="708">
        <v>84.765600000000006</v>
      </c>
      <c r="I70" s="708">
        <v>312.12602000000004</v>
      </c>
      <c r="J70" s="708">
        <v>62.126019708333359</v>
      </c>
      <c r="K70" s="710">
        <v>0.52021003272642174</v>
      </c>
      <c r="L70" s="270"/>
      <c r="M70" s="706" t="str">
        <f t="shared" ref="M70:M133" si="1">IF(A70="HV","HV",IF(OR(LEFT(A70,16)="               5",LEFT(A70,16)="               6",LEFT(A70,16)="               7",LEFT(A70,16)="               8"),"X",""))</f>
        <v>X</v>
      </c>
    </row>
    <row r="71" spans="1:13" ht="14.45" customHeight="1" x14ac:dyDescent="0.2">
      <c r="A71" s="711" t="s">
        <v>395</v>
      </c>
      <c r="B71" s="707">
        <v>0</v>
      </c>
      <c r="C71" s="708">
        <v>29.805759999999999</v>
      </c>
      <c r="D71" s="708">
        <v>29.805759999999999</v>
      </c>
      <c r="E71" s="709">
        <v>0</v>
      </c>
      <c r="F71" s="707">
        <v>0</v>
      </c>
      <c r="G71" s="708">
        <v>0</v>
      </c>
      <c r="H71" s="708">
        <v>8.9990400000000008</v>
      </c>
      <c r="I71" s="708">
        <v>18.526490000000003</v>
      </c>
      <c r="J71" s="708">
        <v>18.526490000000003</v>
      </c>
      <c r="K71" s="710">
        <v>0</v>
      </c>
      <c r="L71" s="270"/>
      <c r="M71" s="706" t="str">
        <f t="shared" si="1"/>
        <v/>
      </c>
    </row>
    <row r="72" spans="1:13" ht="14.45" customHeight="1" x14ac:dyDescent="0.2">
      <c r="A72" s="711" t="s">
        <v>396</v>
      </c>
      <c r="B72" s="707">
        <v>0</v>
      </c>
      <c r="C72" s="708">
        <v>2.7067700000000001</v>
      </c>
      <c r="D72" s="708">
        <v>2.7067700000000001</v>
      </c>
      <c r="E72" s="709">
        <v>0</v>
      </c>
      <c r="F72" s="707">
        <v>0</v>
      </c>
      <c r="G72" s="708">
        <v>0</v>
      </c>
      <c r="H72" s="708">
        <v>0</v>
      </c>
      <c r="I72" s="708">
        <v>0.85304999999999997</v>
      </c>
      <c r="J72" s="708">
        <v>0.85304999999999997</v>
      </c>
      <c r="K72" s="710">
        <v>0</v>
      </c>
      <c r="L72" s="270"/>
      <c r="M72" s="706" t="str">
        <f t="shared" si="1"/>
        <v/>
      </c>
    </row>
    <row r="73" spans="1:13" ht="14.45" customHeight="1" x14ac:dyDescent="0.2">
      <c r="A73" s="711" t="s">
        <v>397</v>
      </c>
      <c r="B73" s="707">
        <v>0</v>
      </c>
      <c r="C73" s="708">
        <v>1.9347000000000001</v>
      </c>
      <c r="D73" s="708">
        <v>1.9347000000000001</v>
      </c>
      <c r="E73" s="709">
        <v>0</v>
      </c>
      <c r="F73" s="707">
        <v>0</v>
      </c>
      <c r="G73" s="708">
        <v>0</v>
      </c>
      <c r="H73" s="708">
        <v>0</v>
      </c>
      <c r="I73" s="708">
        <v>1.4217500000000001</v>
      </c>
      <c r="J73" s="708">
        <v>1.4217500000000001</v>
      </c>
      <c r="K73" s="710">
        <v>0</v>
      </c>
      <c r="L73" s="270"/>
      <c r="M73" s="706" t="str">
        <f t="shared" si="1"/>
        <v/>
      </c>
    </row>
    <row r="74" spans="1:13" ht="14.45" customHeight="1" x14ac:dyDescent="0.2">
      <c r="A74" s="711" t="s">
        <v>398</v>
      </c>
      <c r="B74" s="707">
        <v>0</v>
      </c>
      <c r="C74" s="708">
        <v>-2.7E-2</v>
      </c>
      <c r="D74" s="708">
        <v>-2.7E-2</v>
      </c>
      <c r="E74" s="709">
        <v>0</v>
      </c>
      <c r="F74" s="707">
        <v>0</v>
      </c>
      <c r="G74" s="708">
        <v>0</v>
      </c>
      <c r="H74" s="708">
        <v>0</v>
      </c>
      <c r="I74" s="708">
        <v>0</v>
      </c>
      <c r="J74" s="708">
        <v>0</v>
      </c>
      <c r="K74" s="710">
        <v>0</v>
      </c>
      <c r="L74" s="270"/>
      <c r="M74" s="706" t="str">
        <f t="shared" si="1"/>
        <v/>
      </c>
    </row>
    <row r="75" spans="1:13" ht="14.45" customHeight="1" x14ac:dyDescent="0.2">
      <c r="A75" s="711" t="s">
        <v>399</v>
      </c>
      <c r="B75" s="707">
        <v>250.000001</v>
      </c>
      <c r="C75" s="708">
        <v>236.60182</v>
      </c>
      <c r="D75" s="708">
        <v>-13.398180999999994</v>
      </c>
      <c r="E75" s="709">
        <v>0.94640727621437093</v>
      </c>
      <c r="F75" s="707">
        <v>259.99999980000001</v>
      </c>
      <c r="G75" s="708">
        <v>108.33333325</v>
      </c>
      <c r="H75" s="708">
        <v>27.343310000000002</v>
      </c>
      <c r="I75" s="708">
        <v>89.962609999999998</v>
      </c>
      <c r="J75" s="708">
        <v>-18.370723249999998</v>
      </c>
      <c r="K75" s="710">
        <v>0.34601003872770003</v>
      </c>
      <c r="L75" s="270"/>
      <c r="M75" s="706" t="str">
        <f t="shared" si="1"/>
        <v/>
      </c>
    </row>
    <row r="76" spans="1:13" ht="14.45" customHeight="1" x14ac:dyDescent="0.2">
      <c r="A76" s="711" t="s">
        <v>400</v>
      </c>
      <c r="B76" s="707">
        <v>205.00000299999999</v>
      </c>
      <c r="C76" s="708">
        <v>198.24639999999999</v>
      </c>
      <c r="D76" s="708">
        <v>-6.7536029999999982</v>
      </c>
      <c r="E76" s="709">
        <v>0.96705559560406451</v>
      </c>
      <c r="F76" s="707">
        <v>195.00000039999998</v>
      </c>
      <c r="G76" s="708">
        <v>81.250000166666666</v>
      </c>
      <c r="H76" s="708">
        <v>3.5969799999999998</v>
      </c>
      <c r="I76" s="708">
        <v>71.009559999999993</v>
      </c>
      <c r="J76" s="708">
        <v>-10.240440166666673</v>
      </c>
      <c r="K76" s="710">
        <v>0.36415158899661215</v>
      </c>
      <c r="L76" s="270"/>
      <c r="M76" s="706" t="str">
        <f t="shared" si="1"/>
        <v/>
      </c>
    </row>
    <row r="77" spans="1:13" ht="14.45" customHeight="1" x14ac:dyDescent="0.2">
      <c r="A77" s="711" t="s">
        <v>401</v>
      </c>
      <c r="B77" s="707">
        <v>144.999999</v>
      </c>
      <c r="C77" s="708">
        <v>148.25627</v>
      </c>
      <c r="D77" s="708">
        <v>3.2562709999999981</v>
      </c>
      <c r="E77" s="709">
        <v>1.0224570415341865</v>
      </c>
      <c r="F77" s="707">
        <v>145.0000005</v>
      </c>
      <c r="G77" s="708">
        <v>60.416666875000004</v>
      </c>
      <c r="H77" s="708">
        <v>14.23517</v>
      </c>
      <c r="I77" s="708">
        <v>53.066290000000002</v>
      </c>
      <c r="J77" s="708">
        <v>-7.350376875000002</v>
      </c>
      <c r="K77" s="710">
        <v>0.36597441253112273</v>
      </c>
      <c r="L77" s="270"/>
      <c r="M77" s="706" t="str">
        <f t="shared" si="1"/>
        <v/>
      </c>
    </row>
    <row r="78" spans="1:13" ht="14.45" customHeight="1" x14ac:dyDescent="0.2">
      <c r="A78" s="711" t="s">
        <v>402</v>
      </c>
      <c r="B78" s="707">
        <v>0</v>
      </c>
      <c r="C78" s="708">
        <v>0</v>
      </c>
      <c r="D78" s="708">
        <v>0</v>
      </c>
      <c r="E78" s="709">
        <v>0</v>
      </c>
      <c r="F78" s="707">
        <v>0</v>
      </c>
      <c r="G78" s="708">
        <v>0</v>
      </c>
      <c r="H78" s="708">
        <v>0</v>
      </c>
      <c r="I78" s="708">
        <v>1.43397</v>
      </c>
      <c r="J78" s="708">
        <v>1.43397</v>
      </c>
      <c r="K78" s="710">
        <v>0</v>
      </c>
      <c r="L78" s="270"/>
      <c r="M78" s="706" t="str">
        <f t="shared" si="1"/>
        <v/>
      </c>
    </row>
    <row r="79" spans="1:13" ht="14.45" customHeight="1" x14ac:dyDescent="0.2">
      <c r="A79" s="711" t="s">
        <v>403</v>
      </c>
      <c r="B79" s="707">
        <v>0</v>
      </c>
      <c r="C79" s="708">
        <v>0</v>
      </c>
      <c r="D79" s="708">
        <v>0</v>
      </c>
      <c r="E79" s="709">
        <v>0</v>
      </c>
      <c r="F79" s="707">
        <v>0</v>
      </c>
      <c r="G79" s="708">
        <v>0</v>
      </c>
      <c r="H79" s="708">
        <v>23.957999999999998</v>
      </c>
      <c r="I79" s="708">
        <v>54.45</v>
      </c>
      <c r="J79" s="708">
        <v>54.45</v>
      </c>
      <c r="K79" s="710">
        <v>0</v>
      </c>
      <c r="L79" s="270"/>
      <c r="M79" s="706" t="str">
        <f t="shared" si="1"/>
        <v/>
      </c>
    </row>
    <row r="80" spans="1:13" ht="14.45" customHeight="1" x14ac:dyDescent="0.2">
      <c r="A80" s="711" t="s">
        <v>404</v>
      </c>
      <c r="B80" s="707">
        <v>0</v>
      </c>
      <c r="C80" s="708">
        <v>0</v>
      </c>
      <c r="D80" s="708">
        <v>0</v>
      </c>
      <c r="E80" s="709">
        <v>0</v>
      </c>
      <c r="F80" s="707">
        <v>0</v>
      </c>
      <c r="G80" s="708">
        <v>0</v>
      </c>
      <c r="H80" s="708">
        <v>1.2862</v>
      </c>
      <c r="I80" s="708">
        <v>8.3592000000000013</v>
      </c>
      <c r="J80" s="708">
        <v>8.3592000000000013</v>
      </c>
      <c r="K80" s="710">
        <v>0</v>
      </c>
      <c r="L80" s="270"/>
      <c r="M80" s="706" t="str">
        <f t="shared" si="1"/>
        <v/>
      </c>
    </row>
    <row r="81" spans="1:13" ht="14.45" customHeight="1" x14ac:dyDescent="0.2">
      <c r="A81" s="711" t="s">
        <v>405</v>
      </c>
      <c r="B81" s="707">
        <v>0</v>
      </c>
      <c r="C81" s="708">
        <v>0</v>
      </c>
      <c r="D81" s="708">
        <v>0</v>
      </c>
      <c r="E81" s="709">
        <v>0</v>
      </c>
      <c r="F81" s="707">
        <v>0</v>
      </c>
      <c r="G81" s="708">
        <v>0</v>
      </c>
      <c r="H81" s="708">
        <v>5.3468999999999998</v>
      </c>
      <c r="I81" s="708">
        <v>12.7851</v>
      </c>
      <c r="J81" s="708">
        <v>12.7851</v>
      </c>
      <c r="K81" s="710">
        <v>0</v>
      </c>
      <c r="L81" s="270"/>
      <c r="M81" s="706" t="str">
        <f t="shared" si="1"/>
        <v/>
      </c>
    </row>
    <row r="82" spans="1:13" ht="14.45" customHeight="1" x14ac:dyDescent="0.2">
      <c r="A82" s="711" t="s">
        <v>406</v>
      </c>
      <c r="B82" s="707">
        <v>0</v>
      </c>
      <c r="C82" s="708">
        <v>0</v>
      </c>
      <c r="D82" s="708">
        <v>0</v>
      </c>
      <c r="E82" s="709">
        <v>0</v>
      </c>
      <c r="F82" s="707">
        <v>0</v>
      </c>
      <c r="G82" s="708">
        <v>0</v>
      </c>
      <c r="H82" s="708">
        <v>0</v>
      </c>
      <c r="I82" s="708">
        <v>0.25800000000000001</v>
      </c>
      <c r="J82" s="708">
        <v>0.25800000000000001</v>
      </c>
      <c r="K82" s="710">
        <v>0</v>
      </c>
      <c r="L82" s="270"/>
      <c r="M82" s="706" t="str">
        <f t="shared" si="1"/>
        <v/>
      </c>
    </row>
    <row r="83" spans="1:13" ht="14.45" customHeight="1" x14ac:dyDescent="0.2">
      <c r="A83" s="711" t="s">
        <v>407</v>
      </c>
      <c r="B83" s="707">
        <v>0</v>
      </c>
      <c r="C83" s="708">
        <v>0.13200000000000001</v>
      </c>
      <c r="D83" s="708">
        <v>0.13200000000000001</v>
      </c>
      <c r="E83" s="709">
        <v>0</v>
      </c>
      <c r="F83" s="707">
        <v>0</v>
      </c>
      <c r="G83" s="708">
        <v>0</v>
      </c>
      <c r="H83" s="708">
        <v>0</v>
      </c>
      <c r="I83" s="708">
        <v>0.13200000000000001</v>
      </c>
      <c r="J83" s="708">
        <v>0.13200000000000001</v>
      </c>
      <c r="K83" s="710">
        <v>0</v>
      </c>
      <c r="L83" s="270"/>
      <c r="M83" s="706" t="str">
        <f t="shared" si="1"/>
        <v>X</v>
      </c>
    </row>
    <row r="84" spans="1:13" ht="14.45" customHeight="1" x14ac:dyDescent="0.2">
      <c r="A84" s="711" t="s">
        <v>408</v>
      </c>
      <c r="B84" s="707">
        <v>0</v>
      </c>
      <c r="C84" s="708">
        <v>0.13200000000000001</v>
      </c>
      <c r="D84" s="708">
        <v>0.13200000000000001</v>
      </c>
      <c r="E84" s="709">
        <v>0</v>
      </c>
      <c r="F84" s="707">
        <v>0</v>
      </c>
      <c r="G84" s="708">
        <v>0</v>
      </c>
      <c r="H84" s="708">
        <v>0</v>
      </c>
      <c r="I84" s="708">
        <v>0.13200000000000001</v>
      </c>
      <c r="J84" s="708">
        <v>0.13200000000000001</v>
      </c>
      <c r="K84" s="710">
        <v>0</v>
      </c>
      <c r="L84" s="270"/>
      <c r="M84" s="706" t="str">
        <f t="shared" si="1"/>
        <v/>
      </c>
    </row>
    <row r="85" spans="1:13" ht="14.45" customHeight="1" x14ac:dyDescent="0.2">
      <c r="A85" s="711" t="s">
        <v>409</v>
      </c>
      <c r="B85" s="707">
        <v>2352.0459270000001</v>
      </c>
      <c r="C85" s="708">
        <v>2356.0219999999999</v>
      </c>
      <c r="D85" s="708">
        <v>3.9760729999998148</v>
      </c>
      <c r="E85" s="709">
        <v>1.0016904742183632</v>
      </c>
      <c r="F85" s="707">
        <v>2316.8353225999999</v>
      </c>
      <c r="G85" s="708">
        <v>965.3480510833333</v>
      </c>
      <c r="H85" s="708">
        <v>165.453</v>
      </c>
      <c r="I85" s="708">
        <v>1034.617</v>
      </c>
      <c r="J85" s="708">
        <v>69.268948916666659</v>
      </c>
      <c r="K85" s="710">
        <v>0.44656475577164961</v>
      </c>
      <c r="L85" s="270"/>
      <c r="M85" s="706" t="str">
        <f t="shared" si="1"/>
        <v/>
      </c>
    </row>
    <row r="86" spans="1:13" ht="14.45" customHeight="1" x14ac:dyDescent="0.2">
      <c r="A86" s="711" t="s">
        <v>410</v>
      </c>
      <c r="B86" s="707">
        <v>2352.0459270000001</v>
      </c>
      <c r="C86" s="708">
        <v>2356.0219999999999</v>
      </c>
      <c r="D86" s="708">
        <v>3.9760729999998148</v>
      </c>
      <c r="E86" s="709">
        <v>1.0016904742183632</v>
      </c>
      <c r="F86" s="707">
        <v>2316.8353225999999</v>
      </c>
      <c r="G86" s="708">
        <v>965.3480510833333</v>
      </c>
      <c r="H86" s="708">
        <v>165.453</v>
      </c>
      <c r="I86" s="708">
        <v>1034.617</v>
      </c>
      <c r="J86" s="708">
        <v>69.268948916666659</v>
      </c>
      <c r="K86" s="710">
        <v>0.44656475577164961</v>
      </c>
      <c r="L86" s="270"/>
      <c r="M86" s="706" t="str">
        <f t="shared" si="1"/>
        <v>X</v>
      </c>
    </row>
    <row r="87" spans="1:13" ht="14.45" customHeight="1" x14ac:dyDescent="0.2">
      <c r="A87" s="711" t="s">
        <v>411</v>
      </c>
      <c r="B87" s="707">
        <v>919.96231699999998</v>
      </c>
      <c r="C87" s="708">
        <v>978.44</v>
      </c>
      <c r="D87" s="708">
        <v>58.47768300000007</v>
      </c>
      <c r="E87" s="709">
        <v>1.0635653025340168</v>
      </c>
      <c r="F87" s="707">
        <v>890.35537439999996</v>
      </c>
      <c r="G87" s="708">
        <v>370.98140599999999</v>
      </c>
      <c r="H87" s="708">
        <v>67.509</v>
      </c>
      <c r="I87" s="708">
        <v>349.50299999999999</v>
      </c>
      <c r="J87" s="708">
        <v>-21.478406000000007</v>
      </c>
      <c r="K87" s="710">
        <v>0.39254325862358719</v>
      </c>
      <c r="L87" s="270"/>
      <c r="M87" s="706" t="str">
        <f t="shared" si="1"/>
        <v/>
      </c>
    </row>
    <row r="88" spans="1:13" ht="14.45" customHeight="1" x14ac:dyDescent="0.2">
      <c r="A88" s="711" t="s">
        <v>412</v>
      </c>
      <c r="B88" s="707">
        <v>365.68254400000001</v>
      </c>
      <c r="C88" s="708">
        <v>350.834</v>
      </c>
      <c r="D88" s="708">
        <v>-14.848544000000004</v>
      </c>
      <c r="E88" s="709">
        <v>0.95939498823876046</v>
      </c>
      <c r="F88" s="707">
        <v>382.01971109999999</v>
      </c>
      <c r="G88" s="708">
        <v>159.17487962499999</v>
      </c>
      <c r="H88" s="708">
        <v>28.876999999999999</v>
      </c>
      <c r="I88" s="708">
        <v>149.428</v>
      </c>
      <c r="J88" s="708">
        <v>-9.7468796249999912</v>
      </c>
      <c r="K88" s="710">
        <v>0.39115259149778464</v>
      </c>
      <c r="L88" s="270"/>
      <c r="M88" s="706" t="str">
        <f t="shared" si="1"/>
        <v/>
      </c>
    </row>
    <row r="89" spans="1:13" ht="14.45" customHeight="1" x14ac:dyDescent="0.2">
      <c r="A89" s="711" t="s">
        <v>413</v>
      </c>
      <c r="B89" s="707">
        <v>1066.4010660000001</v>
      </c>
      <c r="C89" s="708">
        <v>1026.748</v>
      </c>
      <c r="D89" s="708">
        <v>-39.653066000000081</v>
      </c>
      <c r="E89" s="709">
        <v>0.96281599178371402</v>
      </c>
      <c r="F89" s="707">
        <v>1044.4602371000001</v>
      </c>
      <c r="G89" s="708">
        <v>435.19176545833341</v>
      </c>
      <c r="H89" s="708">
        <v>69.066999999999993</v>
      </c>
      <c r="I89" s="708">
        <v>535.68600000000004</v>
      </c>
      <c r="J89" s="708">
        <v>100.49423454166663</v>
      </c>
      <c r="K89" s="710">
        <v>0.51288309594950299</v>
      </c>
      <c r="L89" s="270"/>
      <c r="M89" s="706" t="str">
        <f t="shared" si="1"/>
        <v/>
      </c>
    </row>
    <row r="90" spans="1:13" ht="14.45" customHeight="1" x14ac:dyDescent="0.2">
      <c r="A90" s="711" t="s">
        <v>414</v>
      </c>
      <c r="B90" s="707">
        <v>5511.7609540000003</v>
      </c>
      <c r="C90" s="708">
        <v>8539.9819200000093</v>
      </c>
      <c r="D90" s="708">
        <v>3028.220966000009</v>
      </c>
      <c r="E90" s="709">
        <v>1.5494107947120539</v>
      </c>
      <c r="F90" s="707">
        <v>9873.5538004000009</v>
      </c>
      <c r="G90" s="708">
        <v>4113.9807501666673</v>
      </c>
      <c r="H90" s="708">
        <v>584.64211999999998</v>
      </c>
      <c r="I90" s="708">
        <v>2749.0867200000002</v>
      </c>
      <c r="J90" s="708">
        <v>-1364.8940301666671</v>
      </c>
      <c r="K90" s="710">
        <v>0.27842930474421768</v>
      </c>
      <c r="L90" s="270"/>
      <c r="M90" s="706" t="str">
        <f t="shared" si="1"/>
        <v/>
      </c>
    </row>
    <row r="91" spans="1:13" ht="14.45" customHeight="1" x14ac:dyDescent="0.2">
      <c r="A91" s="711" t="s">
        <v>415</v>
      </c>
      <c r="B91" s="707">
        <v>1525.109549</v>
      </c>
      <c r="C91" s="708">
        <v>3301.4994799999999</v>
      </c>
      <c r="D91" s="708">
        <v>1776.3899309999999</v>
      </c>
      <c r="E91" s="709">
        <v>2.1647621852245056</v>
      </c>
      <c r="F91" s="707">
        <v>4614.4177369999998</v>
      </c>
      <c r="G91" s="708">
        <v>1922.6740570833331</v>
      </c>
      <c r="H91" s="708">
        <v>146.7603</v>
      </c>
      <c r="I91" s="708">
        <v>573.33066000000008</v>
      </c>
      <c r="J91" s="708">
        <v>-1349.343397083333</v>
      </c>
      <c r="K91" s="710">
        <v>0.12424767168408622</v>
      </c>
      <c r="L91" s="270"/>
      <c r="M91" s="706" t="str">
        <f t="shared" si="1"/>
        <v/>
      </c>
    </row>
    <row r="92" spans="1:13" ht="14.45" customHeight="1" x14ac:dyDescent="0.2">
      <c r="A92" s="711" t="s">
        <v>416</v>
      </c>
      <c r="B92" s="707">
        <v>1525.109549</v>
      </c>
      <c r="C92" s="708">
        <v>3301.4994799999999</v>
      </c>
      <c r="D92" s="708">
        <v>1776.3899309999999</v>
      </c>
      <c r="E92" s="709">
        <v>2.1647621852245056</v>
      </c>
      <c r="F92" s="707">
        <v>4614.4177369999998</v>
      </c>
      <c r="G92" s="708">
        <v>1922.6740570833331</v>
      </c>
      <c r="H92" s="708">
        <v>146.7603</v>
      </c>
      <c r="I92" s="708">
        <v>573.33066000000008</v>
      </c>
      <c r="J92" s="708">
        <v>-1349.343397083333</v>
      </c>
      <c r="K92" s="710">
        <v>0.12424767168408622</v>
      </c>
      <c r="L92" s="270"/>
      <c r="M92" s="706" t="str">
        <f t="shared" si="1"/>
        <v>X</v>
      </c>
    </row>
    <row r="93" spans="1:13" ht="14.45" customHeight="1" x14ac:dyDescent="0.2">
      <c r="A93" s="711" t="s">
        <v>417</v>
      </c>
      <c r="B93" s="707">
        <v>926.58720499999993</v>
      </c>
      <c r="C93" s="708">
        <v>1749.8187800000001</v>
      </c>
      <c r="D93" s="708">
        <v>823.23157500000013</v>
      </c>
      <c r="E93" s="709">
        <v>1.8884555825482181</v>
      </c>
      <c r="F93" s="707">
        <v>1791.4131873000001</v>
      </c>
      <c r="G93" s="708">
        <v>746.42216137499997</v>
      </c>
      <c r="H93" s="708">
        <v>126.03878</v>
      </c>
      <c r="I93" s="708">
        <v>368.10048999999998</v>
      </c>
      <c r="J93" s="708">
        <v>-378.32167137499999</v>
      </c>
      <c r="K93" s="710">
        <v>0.20548050701513329</v>
      </c>
      <c r="L93" s="270"/>
      <c r="M93" s="706" t="str">
        <f t="shared" si="1"/>
        <v/>
      </c>
    </row>
    <row r="94" spans="1:13" ht="14.45" customHeight="1" x14ac:dyDescent="0.2">
      <c r="A94" s="711" t="s">
        <v>418</v>
      </c>
      <c r="B94" s="707">
        <v>0</v>
      </c>
      <c r="C94" s="708">
        <v>0.96799999999999997</v>
      </c>
      <c r="D94" s="708">
        <v>0.96799999999999997</v>
      </c>
      <c r="E94" s="709">
        <v>0</v>
      </c>
      <c r="F94" s="707">
        <v>0.93647590000000003</v>
      </c>
      <c r="G94" s="708">
        <v>0.39019829166666664</v>
      </c>
      <c r="H94" s="708">
        <v>0</v>
      </c>
      <c r="I94" s="708">
        <v>1.21</v>
      </c>
      <c r="J94" s="708">
        <v>0.81980170833333332</v>
      </c>
      <c r="K94" s="710">
        <v>1.2920780983258617</v>
      </c>
      <c r="L94" s="270"/>
      <c r="M94" s="706" t="str">
        <f t="shared" si="1"/>
        <v/>
      </c>
    </row>
    <row r="95" spans="1:13" ht="14.45" customHeight="1" x14ac:dyDescent="0.2">
      <c r="A95" s="711" t="s">
        <v>419</v>
      </c>
      <c r="B95" s="707">
        <v>4.9284509999999999</v>
      </c>
      <c r="C95" s="708">
        <v>1160.8224299999999</v>
      </c>
      <c r="D95" s="708">
        <v>1155.8939789999999</v>
      </c>
      <c r="E95" s="709">
        <v>235.53494394080411</v>
      </c>
      <c r="F95" s="707">
        <v>49.554072500000004</v>
      </c>
      <c r="G95" s="708">
        <v>20.647530208333333</v>
      </c>
      <c r="H95" s="708">
        <v>0</v>
      </c>
      <c r="I95" s="708">
        <v>0.53800000000000003</v>
      </c>
      <c r="J95" s="708">
        <v>-20.109530208333332</v>
      </c>
      <c r="K95" s="710">
        <v>1.0856827155830633E-2</v>
      </c>
      <c r="L95" s="270"/>
      <c r="M95" s="706" t="str">
        <f t="shared" si="1"/>
        <v/>
      </c>
    </row>
    <row r="96" spans="1:13" ht="14.45" customHeight="1" x14ac:dyDescent="0.2">
      <c r="A96" s="711" t="s">
        <v>420</v>
      </c>
      <c r="B96" s="707">
        <v>429.35959800000001</v>
      </c>
      <c r="C96" s="708">
        <v>212.29469</v>
      </c>
      <c r="D96" s="708">
        <v>-217.064908</v>
      </c>
      <c r="E96" s="709">
        <v>0.49444496172646407</v>
      </c>
      <c r="F96" s="707">
        <v>77.999999899999992</v>
      </c>
      <c r="G96" s="708">
        <v>32.499999958333333</v>
      </c>
      <c r="H96" s="708">
        <v>4.9585799999999995</v>
      </c>
      <c r="I96" s="708">
        <v>88.798270000000002</v>
      </c>
      <c r="J96" s="708">
        <v>56.298270041666669</v>
      </c>
      <c r="K96" s="710">
        <v>1.1384393604338967</v>
      </c>
      <c r="L96" s="270"/>
      <c r="M96" s="706" t="str">
        <f t="shared" si="1"/>
        <v/>
      </c>
    </row>
    <row r="97" spans="1:13" ht="14.45" customHeight="1" x14ac:dyDescent="0.2">
      <c r="A97" s="711" t="s">
        <v>421</v>
      </c>
      <c r="B97" s="707">
        <v>57.185180000000003</v>
      </c>
      <c r="C97" s="708">
        <v>75.755320000000012</v>
      </c>
      <c r="D97" s="708">
        <v>18.570140000000009</v>
      </c>
      <c r="E97" s="709">
        <v>1.3247369335901367</v>
      </c>
      <c r="F97" s="707">
        <v>67.514001000000007</v>
      </c>
      <c r="G97" s="708">
        <v>28.130833750000001</v>
      </c>
      <c r="H97" s="708">
        <v>9.7129399999999997</v>
      </c>
      <c r="I97" s="708">
        <v>25.588330000000003</v>
      </c>
      <c r="J97" s="708">
        <v>-2.5425037499999981</v>
      </c>
      <c r="K97" s="710">
        <v>0.37900775573943546</v>
      </c>
      <c r="L97" s="270"/>
      <c r="M97" s="706" t="str">
        <f t="shared" si="1"/>
        <v/>
      </c>
    </row>
    <row r="98" spans="1:13" ht="14.45" customHeight="1" x14ac:dyDescent="0.2">
      <c r="A98" s="711" t="s">
        <v>422</v>
      </c>
      <c r="B98" s="707">
        <v>0.32739100000000004</v>
      </c>
      <c r="C98" s="708">
        <v>0</v>
      </c>
      <c r="D98" s="708">
        <v>-0.32739100000000004</v>
      </c>
      <c r="E98" s="709">
        <v>0</v>
      </c>
      <c r="F98" s="707">
        <v>0</v>
      </c>
      <c r="G98" s="708">
        <v>0</v>
      </c>
      <c r="H98" s="708">
        <v>0</v>
      </c>
      <c r="I98" s="708">
        <v>0</v>
      </c>
      <c r="J98" s="708">
        <v>0</v>
      </c>
      <c r="K98" s="710">
        <v>0</v>
      </c>
      <c r="L98" s="270"/>
      <c r="M98" s="706" t="str">
        <f t="shared" si="1"/>
        <v/>
      </c>
    </row>
    <row r="99" spans="1:13" ht="14.45" customHeight="1" x14ac:dyDescent="0.2">
      <c r="A99" s="711" t="s">
        <v>423</v>
      </c>
      <c r="B99" s="707">
        <v>9.6762610000000002</v>
      </c>
      <c r="C99" s="708">
        <v>0</v>
      </c>
      <c r="D99" s="708">
        <v>-9.6762610000000002</v>
      </c>
      <c r="E99" s="709">
        <v>0</v>
      </c>
      <c r="F99" s="707">
        <v>32.000000399999998</v>
      </c>
      <c r="G99" s="708">
        <v>13.3333335</v>
      </c>
      <c r="H99" s="708">
        <v>0</v>
      </c>
      <c r="I99" s="708">
        <v>0</v>
      </c>
      <c r="J99" s="708">
        <v>-13.3333335</v>
      </c>
      <c r="K99" s="710">
        <v>0</v>
      </c>
      <c r="L99" s="270"/>
      <c r="M99" s="706" t="str">
        <f t="shared" si="1"/>
        <v/>
      </c>
    </row>
    <row r="100" spans="1:13" ht="14.45" customHeight="1" x14ac:dyDescent="0.2">
      <c r="A100" s="711" t="s">
        <v>424</v>
      </c>
      <c r="B100" s="707">
        <v>73.279228000000003</v>
      </c>
      <c r="C100" s="708">
        <v>96.025600000000011</v>
      </c>
      <c r="D100" s="708">
        <v>22.746372000000008</v>
      </c>
      <c r="E100" s="709">
        <v>1.3104068181504316</v>
      </c>
      <c r="F100" s="707">
        <v>2524.9999991999998</v>
      </c>
      <c r="G100" s="708">
        <v>1052.083333</v>
      </c>
      <c r="H100" s="708">
        <v>6.05</v>
      </c>
      <c r="I100" s="708">
        <v>85.151570000000007</v>
      </c>
      <c r="J100" s="708">
        <v>-966.93176300000005</v>
      </c>
      <c r="K100" s="710">
        <v>3.3723394070090583E-2</v>
      </c>
      <c r="L100" s="270"/>
      <c r="M100" s="706" t="str">
        <f t="shared" si="1"/>
        <v/>
      </c>
    </row>
    <row r="101" spans="1:13" ht="14.45" customHeight="1" x14ac:dyDescent="0.2">
      <c r="A101" s="711" t="s">
        <v>425</v>
      </c>
      <c r="B101" s="707">
        <v>23.766235000000002</v>
      </c>
      <c r="C101" s="708">
        <v>5.8146599999999999</v>
      </c>
      <c r="D101" s="708">
        <v>-17.951575000000002</v>
      </c>
      <c r="E101" s="709">
        <v>0.24466054467609191</v>
      </c>
      <c r="F101" s="707">
        <v>70.000000799999995</v>
      </c>
      <c r="G101" s="708">
        <v>29.166667</v>
      </c>
      <c r="H101" s="708">
        <v>0</v>
      </c>
      <c r="I101" s="708">
        <v>3.944</v>
      </c>
      <c r="J101" s="708">
        <v>-25.222667000000001</v>
      </c>
      <c r="K101" s="710">
        <v>5.6342856498938783E-2</v>
      </c>
      <c r="L101" s="270"/>
      <c r="M101" s="706" t="str">
        <f t="shared" si="1"/>
        <v/>
      </c>
    </row>
    <row r="102" spans="1:13" ht="14.45" customHeight="1" x14ac:dyDescent="0.2">
      <c r="A102" s="711" t="s">
        <v>426</v>
      </c>
      <c r="B102" s="707">
        <v>0</v>
      </c>
      <c r="C102" s="708">
        <v>187.499</v>
      </c>
      <c r="D102" s="708">
        <v>187.499</v>
      </c>
      <c r="E102" s="709">
        <v>0</v>
      </c>
      <c r="F102" s="707">
        <v>0</v>
      </c>
      <c r="G102" s="708">
        <v>0</v>
      </c>
      <c r="H102" s="708">
        <v>0</v>
      </c>
      <c r="I102" s="708">
        <v>29.613</v>
      </c>
      <c r="J102" s="708">
        <v>29.613</v>
      </c>
      <c r="K102" s="710">
        <v>0</v>
      </c>
      <c r="L102" s="270"/>
      <c r="M102" s="706" t="str">
        <f t="shared" si="1"/>
        <v/>
      </c>
    </row>
    <row r="103" spans="1:13" ht="14.45" customHeight="1" x14ac:dyDescent="0.2">
      <c r="A103" s="711" t="s">
        <v>427</v>
      </c>
      <c r="B103" s="707">
        <v>0</v>
      </c>
      <c r="C103" s="708">
        <v>110.324</v>
      </c>
      <c r="D103" s="708">
        <v>110.324</v>
      </c>
      <c r="E103" s="709">
        <v>0</v>
      </c>
      <c r="F103" s="707">
        <v>0</v>
      </c>
      <c r="G103" s="708">
        <v>0</v>
      </c>
      <c r="H103" s="708">
        <v>0</v>
      </c>
      <c r="I103" s="708">
        <v>23.649000000000001</v>
      </c>
      <c r="J103" s="708">
        <v>23.649000000000001</v>
      </c>
      <c r="K103" s="710">
        <v>0</v>
      </c>
      <c r="L103" s="270"/>
      <c r="M103" s="706" t="str">
        <f t="shared" si="1"/>
        <v>X</v>
      </c>
    </row>
    <row r="104" spans="1:13" ht="14.45" customHeight="1" x14ac:dyDescent="0.2">
      <c r="A104" s="711" t="s">
        <v>428</v>
      </c>
      <c r="B104" s="707">
        <v>0</v>
      </c>
      <c r="C104" s="708">
        <v>82.543999999999997</v>
      </c>
      <c r="D104" s="708">
        <v>82.543999999999997</v>
      </c>
      <c r="E104" s="709">
        <v>0</v>
      </c>
      <c r="F104" s="707">
        <v>0</v>
      </c>
      <c r="G104" s="708">
        <v>0</v>
      </c>
      <c r="H104" s="708">
        <v>0</v>
      </c>
      <c r="I104" s="708">
        <v>18.163</v>
      </c>
      <c r="J104" s="708">
        <v>18.163</v>
      </c>
      <c r="K104" s="710">
        <v>0</v>
      </c>
      <c r="L104" s="270"/>
      <c r="M104" s="706" t="str">
        <f t="shared" si="1"/>
        <v/>
      </c>
    </row>
    <row r="105" spans="1:13" ht="14.45" customHeight="1" x14ac:dyDescent="0.2">
      <c r="A105" s="711" t="s">
        <v>429</v>
      </c>
      <c r="B105" s="707">
        <v>0</v>
      </c>
      <c r="C105" s="708">
        <v>27.78</v>
      </c>
      <c r="D105" s="708">
        <v>27.78</v>
      </c>
      <c r="E105" s="709">
        <v>0</v>
      </c>
      <c r="F105" s="707">
        <v>0</v>
      </c>
      <c r="G105" s="708">
        <v>0</v>
      </c>
      <c r="H105" s="708">
        <v>0</v>
      </c>
      <c r="I105" s="708">
        <v>5.4859999999999998</v>
      </c>
      <c r="J105" s="708">
        <v>5.4859999999999998</v>
      </c>
      <c r="K105" s="710">
        <v>0</v>
      </c>
      <c r="L105" s="270"/>
      <c r="M105" s="706" t="str">
        <f t="shared" si="1"/>
        <v/>
      </c>
    </row>
    <row r="106" spans="1:13" ht="14.45" customHeight="1" x14ac:dyDescent="0.2">
      <c r="A106" s="711" t="s">
        <v>430</v>
      </c>
      <c r="B106" s="707">
        <v>0</v>
      </c>
      <c r="C106" s="708">
        <v>77.174999999999997</v>
      </c>
      <c r="D106" s="708">
        <v>77.174999999999997</v>
      </c>
      <c r="E106" s="709">
        <v>0</v>
      </c>
      <c r="F106" s="707">
        <v>0</v>
      </c>
      <c r="G106" s="708">
        <v>0</v>
      </c>
      <c r="H106" s="708">
        <v>0</v>
      </c>
      <c r="I106" s="708">
        <v>5.9640000000000004</v>
      </c>
      <c r="J106" s="708">
        <v>5.9640000000000004</v>
      </c>
      <c r="K106" s="710">
        <v>0</v>
      </c>
      <c r="L106" s="270"/>
      <c r="M106" s="706" t="str">
        <f t="shared" si="1"/>
        <v>X</v>
      </c>
    </row>
    <row r="107" spans="1:13" ht="14.45" customHeight="1" x14ac:dyDescent="0.2">
      <c r="A107" s="711" t="s">
        <v>431</v>
      </c>
      <c r="B107" s="707">
        <v>0</v>
      </c>
      <c r="C107" s="708">
        <v>54.475000000000001</v>
      </c>
      <c r="D107" s="708">
        <v>54.475000000000001</v>
      </c>
      <c r="E107" s="709">
        <v>0</v>
      </c>
      <c r="F107" s="707">
        <v>0</v>
      </c>
      <c r="G107" s="708">
        <v>0</v>
      </c>
      <c r="H107" s="708">
        <v>0</v>
      </c>
      <c r="I107" s="708">
        <v>5.9640000000000004</v>
      </c>
      <c r="J107" s="708">
        <v>5.9640000000000004</v>
      </c>
      <c r="K107" s="710">
        <v>0</v>
      </c>
      <c r="L107" s="270"/>
      <c r="M107" s="706" t="str">
        <f t="shared" si="1"/>
        <v/>
      </c>
    </row>
    <row r="108" spans="1:13" ht="14.45" customHeight="1" x14ac:dyDescent="0.2">
      <c r="A108" s="711" t="s">
        <v>432</v>
      </c>
      <c r="B108" s="707">
        <v>0</v>
      </c>
      <c r="C108" s="708">
        <v>22.7</v>
      </c>
      <c r="D108" s="708">
        <v>22.7</v>
      </c>
      <c r="E108" s="709">
        <v>0</v>
      </c>
      <c r="F108" s="707">
        <v>0</v>
      </c>
      <c r="G108" s="708">
        <v>0</v>
      </c>
      <c r="H108" s="708">
        <v>0</v>
      </c>
      <c r="I108" s="708">
        <v>0</v>
      </c>
      <c r="J108" s="708">
        <v>0</v>
      </c>
      <c r="K108" s="710">
        <v>0</v>
      </c>
      <c r="L108" s="270"/>
      <c r="M108" s="706" t="str">
        <f t="shared" si="1"/>
        <v/>
      </c>
    </row>
    <row r="109" spans="1:13" ht="14.45" customHeight="1" x14ac:dyDescent="0.2">
      <c r="A109" s="711" t="s">
        <v>433</v>
      </c>
      <c r="B109" s="707">
        <v>3986.6514049999996</v>
      </c>
      <c r="C109" s="708">
        <v>5050.98344</v>
      </c>
      <c r="D109" s="708">
        <v>1064.3320350000004</v>
      </c>
      <c r="E109" s="709">
        <v>1.2669739405018283</v>
      </c>
      <c r="F109" s="707">
        <v>5259.1360633999902</v>
      </c>
      <c r="G109" s="708">
        <v>2191.3066930833293</v>
      </c>
      <c r="H109" s="708">
        <v>437.88182</v>
      </c>
      <c r="I109" s="708">
        <v>2146.1430599999999</v>
      </c>
      <c r="J109" s="708">
        <v>-45.163633083329387</v>
      </c>
      <c r="K109" s="710">
        <v>0.40807901414372899</v>
      </c>
      <c r="L109" s="270"/>
      <c r="M109" s="706" t="str">
        <f t="shared" si="1"/>
        <v/>
      </c>
    </row>
    <row r="110" spans="1:13" ht="14.45" customHeight="1" x14ac:dyDescent="0.2">
      <c r="A110" s="711" t="s">
        <v>434</v>
      </c>
      <c r="B110" s="707">
        <v>32.797964</v>
      </c>
      <c r="C110" s="708">
        <v>26.999410000000001</v>
      </c>
      <c r="D110" s="708">
        <v>-5.7985539999999993</v>
      </c>
      <c r="E110" s="709">
        <v>0.8232038427751186</v>
      </c>
      <c r="F110" s="707">
        <v>28.5228465</v>
      </c>
      <c r="G110" s="708">
        <v>11.884519375</v>
      </c>
      <c r="H110" s="708">
        <v>2.3129200000000001</v>
      </c>
      <c r="I110" s="708">
        <v>11.05585</v>
      </c>
      <c r="J110" s="708">
        <v>-0.82866937500000049</v>
      </c>
      <c r="K110" s="710">
        <v>0.38761383791060261</v>
      </c>
      <c r="L110" s="270"/>
      <c r="M110" s="706" t="str">
        <f t="shared" si="1"/>
        <v>X</v>
      </c>
    </row>
    <row r="111" spans="1:13" ht="14.45" customHeight="1" x14ac:dyDescent="0.2">
      <c r="A111" s="711" t="s">
        <v>435</v>
      </c>
      <c r="B111" s="707">
        <v>13.054658999999999</v>
      </c>
      <c r="C111" s="708">
        <v>10.378200000000001</v>
      </c>
      <c r="D111" s="708">
        <v>-2.6764589999999977</v>
      </c>
      <c r="E111" s="709">
        <v>0.79498055062181261</v>
      </c>
      <c r="F111" s="707">
        <v>10.520088100000001</v>
      </c>
      <c r="G111" s="708">
        <v>4.3833700416666668</v>
      </c>
      <c r="H111" s="708">
        <v>0.63670000000000004</v>
      </c>
      <c r="I111" s="708">
        <v>2.7930999999999999</v>
      </c>
      <c r="J111" s="708">
        <v>-1.5902700416666669</v>
      </c>
      <c r="K111" s="710">
        <v>0.26550157883183506</v>
      </c>
      <c r="L111" s="270"/>
      <c r="M111" s="706" t="str">
        <f t="shared" si="1"/>
        <v/>
      </c>
    </row>
    <row r="112" spans="1:13" ht="14.45" customHeight="1" x14ac:dyDescent="0.2">
      <c r="A112" s="711" t="s">
        <v>436</v>
      </c>
      <c r="B112" s="707">
        <v>19.743304999999999</v>
      </c>
      <c r="C112" s="708">
        <v>16.621209999999998</v>
      </c>
      <c r="D112" s="708">
        <v>-3.1220950000000016</v>
      </c>
      <c r="E112" s="709">
        <v>0.84186563495828071</v>
      </c>
      <c r="F112" s="707">
        <v>18.002758399999998</v>
      </c>
      <c r="G112" s="708">
        <v>7.5011493333333323</v>
      </c>
      <c r="H112" s="708">
        <v>1.67622</v>
      </c>
      <c r="I112" s="708">
        <v>8.2627500000000005</v>
      </c>
      <c r="J112" s="708">
        <v>0.76160066666666815</v>
      </c>
      <c r="K112" s="710">
        <v>0.45897133185989997</v>
      </c>
      <c r="L112" s="270"/>
      <c r="M112" s="706" t="str">
        <f t="shared" si="1"/>
        <v/>
      </c>
    </row>
    <row r="113" spans="1:13" ht="14.45" customHeight="1" x14ac:dyDescent="0.2">
      <c r="A113" s="711" t="s">
        <v>437</v>
      </c>
      <c r="B113" s="707">
        <v>103.80494800000001</v>
      </c>
      <c r="C113" s="708">
        <v>96.340630000000004</v>
      </c>
      <c r="D113" s="708">
        <v>-7.4643180000000058</v>
      </c>
      <c r="E113" s="709">
        <v>0.92809284967803263</v>
      </c>
      <c r="F113" s="707">
        <v>99.305817399999995</v>
      </c>
      <c r="G113" s="708">
        <v>41.377423916666665</v>
      </c>
      <c r="H113" s="708">
        <v>0</v>
      </c>
      <c r="I113" s="708">
        <v>55.308</v>
      </c>
      <c r="J113" s="708">
        <v>13.930576083333335</v>
      </c>
      <c r="K113" s="710">
        <v>0.5569462237768158</v>
      </c>
      <c r="L113" s="270"/>
      <c r="M113" s="706" t="str">
        <f t="shared" si="1"/>
        <v>X</v>
      </c>
    </row>
    <row r="114" spans="1:13" ht="14.45" customHeight="1" x14ac:dyDescent="0.2">
      <c r="A114" s="711" t="s">
        <v>438</v>
      </c>
      <c r="B114" s="707">
        <v>46.999991999999999</v>
      </c>
      <c r="C114" s="708">
        <v>45.9</v>
      </c>
      <c r="D114" s="708">
        <v>-1.0999920000000003</v>
      </c>
      <c r="E114" s="709">
        <v>0.97659591090994224</v>
      </c>
      <c r="F114" s="707">
        <v>45.9</v>
      </c>
      <c r="G114" s="708">
        <v>19.125</v>
      </c>
      <c r="H114" s="708">
        <v>0</v>
      </c>
      <c r="I114" s="708">
        <v>22.274999999999999</v>
      </c>
      <c r="J114" s="708">
        <v>3.1499999999999986</v>
      </c>
      <c r="K114" s="710">
        <v>0.48529411764705882</v>
      </c>
      <c r="L114" s="270"/>
      <c r="M114" s="706" t="str">
        <f t="shared" si="1"/>
        <v/>
      </c>
    </row>
    <row r="115" spans="1:13" ht="14.45" customHeight="1" x14ac:dyDescent="0.2">
      <c r="A115" s="711" t="s">
        <v>439</v>
      </c>
      <c r="B115" s="707">
        <v>56.804955999999997</v>
      </c>
      <c r="C115" s="708">
        <v>50.440629999999999</v>
      </c>
      <c r="D115" s="708">
        <v>-6.3643259999999984</v>
      </c>
      <c r="E115" s="709">
        <v>0.88796178277120752</v>
      </c>
      <c r="F115" s="707">
        <v>53.405817399999997</v>
      </c>
      <c r="G115" s="708">
        <v>22.252423916666665</v>
      </c>
      <c r="H115" s="708">
        <v>0</v>
      </c>
      <c r="I115" s="708">
        <v>33.033000000000001</v>
      </c>
      <c r="J115" s="708">
        <v>10.780576083333337</v>
      </c>
      <c r="K115" s="710">
        <v>0.61852812311791339</v>
      </c>
      <c r="L115" s="270"/>
      <c r="M115" s="706" t="str">
        <f t="shared" si="1"/>
        <v/>
      </c>
    </row>
    <row r="116" spans="1:13" ht="14.45" customHeight="1" x14ac:dyDescent="0.2">
      <c r="A116" s="711" t="s">
        <v>440</v>
      </c>
      <c r="B116" s="707">
        <v>2680.1349720000003</v>
      </c>
      <c r="C116" s="708">
        <v>3546.5460499999999</v>
      </c>
      <c r="D116" s="708">
        <v>866.41107799999963</v>
      </c>
      <c r="E116" s="709">
        <v>1.323271434853692</v>
      </c>
      <c r="F116" s="707">
        <v>4231.6678795999997</v>
      </c>
      <c r="G116" s="708">
        <v>1763.1949498333333</v>
      </c>
      <c r="H116" s="708">
        <v>334.54151000000002</v>
      </c>
      <c r="I116" s="708">
        <v>1636.9348400000001</v>
      </c>
      <c r="J116" s="708">
        <v>-126.26010983333322</v>
      </c>
      <c r="K116" s="710">
        <v>0.38682970558519636</v>
      </c>
      <c r="L116" s="270"/>
      <c r="M116" s="706" t="str">
        <f t="shared" si="1"/>
        <v>X</v>
      </c>
    </row>
    <row r="117" spans="1:13" ht="14.45" customHeight="1" x14ac:dyDescent="0.2">
      <c r="A117" s="711" t="s">
        <v>441</v>
      </c>
      <c r="B117" s="707">
        <v>1637.4372069999999</v>
      </c>
      <c r="C117" s="708">
        <v>1603.2793700000002</v>
      </c>
      <c r="D117" s="708">
        <v>-34.157836999999745</v>
      </c>
      <c r="E117" s="709">
        <v>0.97913945227702415</v>
      </c>
      <c r="F117" s="707">
        <v>1766.4525232999999</v>
      </c>
      <c r="G117" s="708">
        <v>736.02188470833323</v>
      </c>
      <c r="H117" s="708">
        <v>148.184</v>
      </c>
      <c r="I117" s="708">
        <v>718.53902000000005</v>
      </c>
      <c r="J117" s="708">
        <v>-17.482864708333182</v>
      </c>
      <c r="K117" s="710">
        <v>0.40676950584421068</v>
      </c>
      <c r="L117" s="270"/>
      <c r="M117" s="706" t="str">
        <f t="shared" si="1"/>
        <v/>
      </c>
    </row>
    <row r="118" spans="1:13" ht="14.45" customHeight="1" x14ac:dyDescent="0.2">
      <c r="A118" s="711" t="s">
        <v>442</v>
      </c>
      <c r="B118" s="707">
        <v>0</v>
      </c>
      <c r="C118" s="708">
        <v>66.126499999999993</v>
      </c>
      <c r="D118" s="708">
        <v>66.126499999999993</v>
      </c>
      <c r="E118" s="709">
        <v>0</v>
      </c>
      <c r="F118" s="707">
        <v>40.474731200000001</v>
      </c>
      <c r="G118" s="708">
        <v>16.864471333333334</v>
      </c>
      <c r="H118" s="708">
        <v>0</v>
      </c>
      <c r="I118" s="708">
        <v>4.3559999999999999</v>
      </c>
      <c r="J118" s="708">
        <v>-12.508471333333334</v>
      </c>
      <c r="K118" s="710">
        <v>0.1076227036190916</v>
      </c>
      <c r="L118" s="270"/>
      <c r="M118" s="706" t="str">
        <f t="shared" si="1"/>
        <v/>
      </c>
    </row>
    <row r="119" spans="1:13" ht="14.45" customHeight="1" x14ac:dyDescent="0.2">
      <c r="A119" s="711" t="s">
        <v>443</v>
      </c>
      <c r="B119" s="707">
        <v>3.6058150000000002</v>
      </c>
      <c r="C119" s="708">
        <v>1.597</v>
      </c>
      <c r="D119" s="708">
        <v>-2.0088150000000002</v>
      </c>
      <c r="E119" s="709">
        <v>0.44289571151043522</v>
      </c>
      <c r="F119" s="707">
        <v>1.5781079999999998</v>
      </c>
      <c r="G119" s="708">
        <v>0.65754499999999994</v>
      </c>
      <c r="H119" s="708">
        <v>0</v>
      </c>
      <c r="I119" s="708">
        <v>0</v>
      </c>
      <c r="J119" s="708">
        <v>-0.65754499999999994</v>
      </c>
      <c r="K119" s="710">
        <v>0</v>
      </c>
      <c r="L119" s="270"/>
      <c r="M119" s="706" t="str">
        <f t="shared" si="1"/>
        <v/>
      </c>
    </row>
    <row r="120" spans="1:13" ht="14.45" customHeight="1" x14ac:dyDescent="0.2">
      <c r="A120" s="711" t="s">
        <v>444</v>
      </c>
      <c r="B120" s="707">
        <v>1039.09195</v>
      </c>
      <c r="C120" s="708">
        <v>1154.8752899999999</v>
      </c>
      <c r="D120" s="708">
        <v>115.78333999999995</v>
      </c>
      <c r="E120" s="709">
        <v>1.1114274246855631</v>
      </c>
      <c r="F120" s="707">
        <v>1162.2125154999999</v>
      </c>
      <c r="G120" s="708">
        <v>484.25521479166662</v>
      </c>
      <c r="H120" s="708">
        <v>84.674480000000003</v>
      </c>
      <c r="I120" s="708">
        <v>451.71845999999999</v>
      </c>
      <c r="J120" s="708">
        <v>-32.536754791666624</v>
      </c>
      <c r="K120" s="710">
        <v>0.38867113714195761</v>
      </c>
      <c r="L120" s="270"/>
      <c r="M120" s="706" t="str">
        <f t="shared" si="1"/>
        <v/>
      </c>
    </row>
    <row r="121" spans="1:13" ht="14.45" customHeight="1" x14ac:dyDescent="0.2">
      <c r="A121" s="711" t="s">
        <v>445</v>
      </c>
      <c r="B121" s="707">
        <v>0</v>
      </c>
      <c r="C121" s="708">
        <v>720.66789000000006</v>
      </c>
      <c r="D121" s="708">
        <v>720.66789000000006</v>
      </c>
      <c r="E121" s="709">
        <v>0</v>
      </c>
      <c r="F121" s="707">
        <v>1260.9500016000002</v>
      </c>
      <c r="G121" s="708">
        <v>525.39583400000004</v>
      </c>
      <c r="H121" s="708">
        <v>101.68303</v>
      </c>
      <c r="I121" s="708">
        <v>462.32135999999997</v>
      </c>
      <c r="J121" s="708">
        <v>-63.074474000000066</v>
      </c>
      <c r="K121" s="710">
        <v>0.36664527492237398</v>
      </c>
      <c r="L121" s="270"/>
      <c r="M121" s="706" t="str">
        <f t="shared" si="1"/>
        <v/>
      </c>
    </row>
    <row r="122" spans="1:13" ht="14.45" customHeight="1" x14ac:dyDescent="0.2">
      <c r="A122" s="711" t="s">
        <v>446</v>
      </c>
      <c r="B122" s="707">
        <v>1169.9135209999999</v>
      </c>
      <c r="C122" s="708">
        <v>1363.3543999999999</v>
      </c>
      <c r="D122" s="708">
        <v>193.440879</v>
      </c>
      <c r="E122" s="709">
        <v>1.1653463059685418</v>
      </c>
      <c r="F122" s="707">
        <v>884.40324720000001</v>
      </c>
      <c r="G122" s="708">
        <v>368.50135299999999</v>
      </c>
      <c r="H122" s="708">
        <v>101.02739</v>
      </c>
      <c r="I122" s="708">
        <v>442.84436999999997</v>
      </c>
      <c r="J122" s="708">
        <v>74.343016999999975</v>
      </c>
      <c r="K122" s="710">
        <v>0.50072675716878567</v>
      </c>
      <c r="L122" s="270"/>
      <c r="M122" s="706" t="str">
        <f t="shared" si="1"/>
        <v>X</v>
      </c>
    </row>
    <row r="123" spans="1:13" ht="14.45" customHeight="1" x14ac:dyDescent="0.2">
      <c r="A123" s="711" t="s">
        <v>447</v>
      </c>
      <c r="B123" s="707">
        <v>29.949417</v>
      </c>
      <c r="C123" s="708">
        <v>32.229999999999997</v>
      </c>
      <c r="D123" s="708">
        <v>2.2805829999999965</v>
      </c>
      <c r="E123" s="709">
        <v>1.0761478261830604</v>
      </c>
      <c r="F123" s="707">
        <v>27.362282899999997</v>
      </c>
      <c r="G123" s="708">
        <v>11.400951208333332</v>
      </c>
      <c r="H123" s="708">
        <v>0</v>
      </c>
      <c r="I123" s="708">
        <v>0</v>
      </c>
      <c r="J123" s="708">
        <v>-11.400951208333332</v>
      </c>
      <c r="K123" s="710">
        <v>0</v>
      </c>
      <c r="L123" s="270"/>
      <c r="M123" s="706" t="str">
        <f t="shared" si="1"/>
        <v/>
      </c>
    </row>
    <row r="124" spans="1:13" ht="14.45" customHeight="1" x14ac:dyDescent="0.2">
      <c r="A124" s="711" t="s">
        <v>448</v>
      </c>
      <c r="B124" s="707">
        <v>749.82970799999998</v>
      </c>
      <c r="C124" s="708">
        <v>866.49963000000002</v>
      </c>
      <c r="D124" s="708">
        <v>116.66992200000004</v>
      </c>
      <c r="E124" s="709">
        <v>1.1555952248293688</v>
      </c>
      <c r="F124" s="707">
        <v>770.04096389999995</v>
      </c>
      <c r="G124" s="708">
        <v>320.85040162500002</v>
      </c>
      <c r="H124" s="708">
        <v>67.062640000000002</v>
      </c>
      <c r="I124" s="708">
        <v>268.62079</v>
      </c>
      <c r="J124" s="708">
        <v>-52.229611625000018</v>
      </c>
      <c r="K124" s="710">
        <v>0.34883961060918828</v>
      </c>
      <c r="L124" s="270"/>
      <c r="M124" s="706" t="str">
        <f t="shared" si="1"/>
        <v/>
      </c>
    </row>
    <row r="125" spans="1:13" ht="14.45" customHeight="1" x14ac:dyDescent="0.2">
      <c r="A125" s="711" t="s">
        <v>449</v>
      </c>
      <c r="B125" s="707">
        <v>5</v>
      </c>
      <c r="C125" s="708">
        <v>3.2320000000000002</v>
      </c>
      <c r="D125" s="708">
        <v>-1.7679999999999998</v>
      </c>
      <c r="E125" s="709">
        <v>0.64640000000000009</v>
      </c>
      <c r="F125" s="707">
        <v>7</v>
      </c>
      <c r="G125" s="708">
        <v>2.916666666666667</v>
      </c>
      <c r="H125" s="708">
        <v>0</v>
      </c>
      <c r="I125" s="708">
        <v>1.2110000000000001</v>
      </c>
      <c r="J125" s="708">
        <v>-1.7056666666666669</v>
      </c>
      <c r="K125" s="710">
        <v>0.17300000000000001</v>
      </c>
      <c r="L125" s="270"/>
      <c r="M125" s="706" t="str">
        <f t="shared" si="1"/>
        <v/>
      </c>
    </row>
    <row r="126" spans="1:13" ht="14.45" customHeight="1" x14ac:dyDescent="0.2">
      <c r="A126" s="711" t="s">
        <v>450</v>
      </c>
      <c r="B126" s="707">
        <v>9.2635459999999998</v>
      </c>
      <c r="C126" s="708">
        <v>0</v>
      </c>
      <c r="D126" s="708">
        <v>-9.2635459999999998</v>
      </c>
      <c r="E126" s="709">
        <v>0</v>
      </c>
      <c r="F126" s="707">
        <v>0</v>
      </c>
      <c r="G126" s="708">
        <v>0</v>
      </c>
      <c r="H126" s="708">
        <v>0</v>
      </c>
      <c r="I126" s="708">
        <v>0</v>
      </c>
      <c r="J126" s="708">
        <v>0</v>
      </c>
      <c r="K126" s="710">
        <v>0</v>
      </c>
      <c r="L126" s="270"/>
      <c r="M126" s="706" t="str">
        <f t="shared" si="1"/>
        <v/>
      </c>
    </row>
    <row r="127" spans="1:13" ht="14.45" customHeight="1" x14ac:dyDescent="0.2">
      <c r="A127" s="711" t="s">
        <v>451</v>
      </c>
      <c r="B127" s="707">
        <v>375.87084999999996</v>
      </c>
      <c r="C127" s="708">
        <v>461.39277000000004</v>
      </c>
      <c r="D127" s="708">
        <v>85.52192000000008</v>
      </c>
      <c r="E127" s="709">
        <v>1.2275300678411216</v>
      </c>
      <c r="F127" s="707">
        <v>0</v>
      </c>
      <c r="G127" s="708">
        <v>0</v>
      </c>
      <c r="H127" s="708">
        <v>32.875749999999996</v>
      </c>
      <c r="I127" s="708">
        <v>158.41257000000002</v>
      </c>
      <c r="J127" s="708">
        <v>158.41257000000002</v>
      </c>
      <c r="K127" s="710">
        <v>0</v>
      </c>
      <c r="L127" s="270"/>
      <c r="M127" s="706" t="str">
        <f t="shared" si="1"/>
        <v/>
      </c>
    </row>
    <row r="128" spans="1:13" ht="14.45" customHeight="1" x14ac:dyDescent="0.2">
      <c r="A128" s="711" t="s">
        <v>452</v>
      </c>
      <c r="B128" s="707">
        <v>0</v>
      </c>
      <c r="C128" s="708">
        <v>0</v>
      </c>
      <c r="D128" s="708">
        <v>0</v>
      </c>
      <c r="E128" s="709">
        <v>0</v>
      </c>
      <c r="F128" s="707">
        <v>30</v>
      </c>
      <c r="G128" s="708">
        <v>12.5</v>
      </c>
      <c r="H128" s="708">
        <v>0</v>
      </c>
      <c r="I128" s="708">
        <v>10.815899999999999</v>
      </c>
      <c r="J128" s="708">
        <v>-1.6841000000000008</v>
      </c>
      <c r="K128" s="710">
        <v>0.36052999999999996</v>
      </c>
      <c r="L128" s="270"/>
      <c r="M128" s="706" t="str">
        <f t="shared" si="1"/>
        <v/>
      </c>
    </row>
    <row r="129" spans="1:13" ht="14.45" customHeight="1" x14ac:dyDescent="0.2">
      <c r="A129" s="711" t="s">
        <v>453</v>
      </c>
      <c r="B129" s="707">
        <v>0</v>
      </c>
      <c r="C129" s="708">
        <v>0</v>
      </c>
      <c r="D129" s="708">
        <v>0</v>
      </c>
      <c r="E129" s="709">
        <v>0</v>
      </c>
      <c r="F129" s="707">
        <v>50.000000399999998</v>
      </c>
      <c r="G129" s="708">
        <v>20.833333499999998</v>
      </c>
      <c r="H129" s="708">
        <v>1.089</v>
      </c>
      <c r="I129" s="708">
        <v>3.7841100000000001</v>
      </c>
      <c r="J129" s="708">
        <v>-17.049223499999997</v>
      </c>
      <c r="K129" s="710">
        <v>7.5682199394542404E-2</v>
      </c>
      <c r="L129" s="270"/>
      <c r="M129" s="706" t="str">
        <f t="shared" si="1"/>
        <v/>
      </c>
    </row>
    <row r="130" spans="1:13" ht="14.45" customHeight="1" x14ac:dyDescent="0.2">
      <c r="A130" s="711" t="s">
        <v>454</v>
      </c>
      <c r="B130" s="707">
        <v>0</v>
      </c>
      <c r="C130" s="708">
        <v>17.74295</v>
      </c>
      <c r="D130" s="708">
        <v>17.74295</v>
      </c>
      <c r="E130" s="709">
        <v>0</v>
      </c>
      <c r="F130" s="707">
        <v>15.236272699999999</v>
      </c>
      <c r="G130" s="708">
        <v>6.3484469583333327</v>
      </c>
      <c r="H130" s="708">
        <v>0</v>
      </c>
      <c r="I130" s="708">
        <v>0</v>
      </c>
      <c r="J130" s="708">
        <v>-6.3484469583333327</v>
      </c>
      <c r="K130" s="710">
        <v>0</v>
      </c>
      <c r="L130" s="270"/>
      <c r="M130" s="706" t="str">
        <f t="shared" si="1"/>
        <v>X</v>
      </c>
    </row>
    <row r="131" spans="1:13" ht="14.45" customHeight="1" x14ac:dyDescent="0.2">
      <c r="A131" s="711" t="s">
        <v>455</v>
      </c>
      <c r="B131" s="707">
        <v>0</v>
      </c>
      <c r="C131" s="708">
        <v>5.2859999999999996</v>
      </c>
      <c r="D131" s="708">
        <v>5.2859999999999996</v>
      </c>
      <c r="E131" s="709">
        <v>0</v>
      </c>
      <c r="F131" s="707">
        <v>0</v>
      </c>
      <c r="G131" s="708">
        <v>0</v>
      </c>
      <c r="H131" s="708">
        <v>0</v>
      </c>
      <c r="I131" s="708">
        <v>0</v>
      </c>
      <c r="J131" s="708">
        <v>0</v>
      </c>
      <c r="K131" s="710">
        <v>0</v>
      </c>
      <c r="L131" s="270"/>
      <c r="M131" s="706" t="str">
        <f t="shared" si="1"/>
        <v/>
      </c>
    </row>
    <row r="132" spans="1:13" ht="14.45" customHeight="1" x14ac:dyDescent="0.2">
      <c r="A132" s="711" t="s">
        <v>456</v>
      </c>
      <c r="B132" s="707">
        <v>0</v>
      </c>
      <c r="C132" s="708">
        <v>12.456950000000001</v>
      </c>
      <c r="D132" s="708">
        <v>12.456950000000001</v>
      </c>
      <c r="E132" s="709">
        <v>0</v>
      </c>
      <c r="F132" s="707">
        <v>15.236272699999999</v>
      </c>
      <c r="G132" s="708">
        <v>6.3484469583333327</v>
      </c>
      <c r="H132" s="708">
        <v>0</v>
      </c>
      <c r="I132" s="708">
        <v>0</v>
      </c>
      <c r="J132" s="708">
        <v>-6.3484469583333327</v>
      </c>
      <c r="K132" s="710">
        <v>0</v>
      </c>
      <c r="L132" s="270"/>
      <c r="M132" s="706" t="str">
        <f t="shared" si="1"/>
        <v/>
      </c>
    </row>
    <row r="133" spans="1:13" ht="14.45" customHeight="1" x14ac:dyDescent="0.2">
      <c r="A133" s="711" t="s">
        <v>457</v>
      </c>
      <c r="B133" s="707">
        <v>97572.131496000002</v>
      </c>
      <c r="C133" s="708">
        <v>101278.28469</v>
      </c>
      <c r="D133" s="708">
        <v>3706.1531939999986</v>
      </c>
      <c r="E133" s="709">
        <v>1.0379837268816039</v>
      </c>
      <c r="F133" s="707">
        <v>107886.6679627</v>
      </c>
      <c r="G133" s="708">
        <v>44952.778317791664</v>
      </c>
      <c r="H133" s="708">
        <v>8523.07755</v>
      </c>
      <c r="I133" s="708">
        <v>41732.966399999998</v>
      </c>
      <c r="J133" s="708">
        <v>-3219.8119177916669</v>
      </c>
      <c r="K133" s="710">
        <v>0.38682227552368631</v>
      </c>
      <c r="L133" s="270"/>
      <c r="M133" s="706" t="str">
        <f t="shared" si="1"/>
        <v/>
      </c>
    </row>
    <row r="134" spans="1:13" ht="14.45" customHeight="1" x14ac:dyDescent="0.2">
      <c r="A134" s="711" t="s">
        <v>458</v>
      </c>
      <c r="B134" s="707">
        <v>70805.289999999994</v>
      </c>
      <c r="C134" s="708">
        <v>75038.407999999996</v>
      </c>
      <c r="D134" s="708">
        <v>4233.1180000000022</v>
      </c>
      <c r="E134" s="709">
        <v>1.0597853352482562</v>
      </c>
      <c r="F134" s="707">
        <v>79459.459131199998</v>
      </c>
      <c r="G134" s="708">
        <v>33108.107971333331</v>
      </c>
      <c r="H134" s="708">
        <v>6282.34</v>
      </c>
      <c r="I134" s="708">
        <v>30761.885999999999</v>
      </c>
      <c r="J134" s="708">
        <v>-2346.2219713333325</v>
      </c>
      <c r="K134" s="710">
        <v>0.38713938323198643</v>
      </c>
      <c r="L134" s="270"/>
      <c r="M134" s="706" t="str">
        <f t="shared" ref="M134:M197" si="2">IF(A134="HV","HV",IF(OR(LEFT(A134,16)="               5",LEFT(A134,16)="               6",LEFT(A134,16)="               7",LEFT(A134,16)="               8"),"X",""))</f>
        <v/>
      </c>
    </row>
    <row r="135" spans="1:13" ht="14.45" customHeight="1" x14ac:dyDescent="0.2">
      <c r="A135" s="711" t="s">
        <v>459</v>
      </c>
      <c r="B135" s="707">
        <v>70570.460000000006</v>
      </c>
      <c r="C135" s="708">
        <v>74783.3</v>
      </c>
      <c r="D135" s="708">
        <v>4212.8399999999965</v>
      </c>
      <c r="E135" s="709">
        <v>1.0596969326825982</v>
      </c>
      <c r="F135" s="707">
        <v>79202.792270999998</v>
      </c>
      <c r="G135" s="708">
        <v>33001.163446250001</v>
      </c>
      <c r="H135" s="708">
        <v>6256.9179999999997</v>
      </c>
      <c r="I135" s="708">
        <v>30630.134999999998</v>
      </c>
      <c r="J135" s="708">
        <v>-2371.0284462500022</v>
      </c>
      <c r="K135" s="710">
        <v>0.38673049423808237</v>
      </c>
      <c r="L135" s="270"/>
      <c r="M135" s="706" t="str">
        <f t="shared" si="2"/>
        <v>X</v>
      </c>
    </row>
    <row r="136" spans="1:13" ht="14.45" customHeight="1" x14ac:dyDescent="0.2">
      <c r="A136" s="711" t="s">
        <v>460</v>
      </c>
      <c r="B136" s="707">
        <v>70570.460000000006</v>
      </c>
      <c r="C136" s="708">
        <v>74783.3</v>
      </c>
      <c r="D136" s="708">
        <v>4212.8399999999965</v>
      </c>
      <c r="E136" s="709">
        <v>1.0596969326825982</v>
      </c>
      <c r="F136" s="707">
        <v>79202.792270999998</v>
      </c>
      <c r="G136" s="708">
        <v>33001.163446250001</v>
      </c>
      <c r="H136" s="708">
        <v>6256.9179999999997</v>
      </c>
      <c r="I136" s="708">
        <v>30630.134999999998</v>
      </c>
      <c r="J136" s="708">
        <v>-2371.0284462500022</v>
      </c>
      <c r="K136" s="710">
        <v>0.38673049423808237</v>
      </c>
      <c r="L136" s="270"/>
      <c r="M136" s="706" t="str">
        <f t="shared" si="2"/>
        <v/>
      </c>
    </row>
    <row r="137" spans="1:13" ht="14.45" customHeight="1" x14ac:dyDescent="0.2">
      <c r="A137" s="711" t="s">
        <v>461</v>
      </c>
      <c r="B137" s="707">
        <v>0</v>
      </c>
      <c r="C137" s="708">
        <v>0.129</v>
      </c>
      <c r="D137" s="708">
        <v>0.129</v>
      </c>
      <c r="E137" s="709">
        <v>0</v>
      </c>
      <c r="F137" s="707">
        <v>0</v>
      </c>
      <c r="G137" s="708">
        <v>0</v>
      </c>
      <c r="H137" s="708">
        <v>0</v>
      </c>
      <c r="I137" s="708">
        <v>2E-3</v>
      </c>
      <c r="J137" s="708">
        <v>2E-3</v>
      </c>
      <c r="K137" s="710">
        <v>0</v>
      </c>
      <c r="L137" s="270"/>
      <c r="M137" s="706" t="str">
        <f t="shared" si="2"/>
        <v>X</v>
      </c>
    </row>
    <row r="138" spans="1:13" ht="14.45" customHeight="1" x14ac:dyDescent="0.2">
      <c r="A138" s="711" t="s">
        <v>462</v>
      </c>
      <c r="B138" s="707">
        <v>0</v>
      </c>
      <c r="C138" s="708">
        <v>0.129</v>
      </c>
      <c r="D138" s="708">
        <v>0.129</v>
      </c>
      <c r="E138" s="709">
        <v>0</v>
      </c>
      <c r="F138" s="707">
        <v>0</v>
      </c>
      <c r="G138" s="708">
        <v>0</v>
      </c>
      <c r="H138" s="708">
        <v>0</v>
      </c>
      <c r="I138" s="708">
        <v>2E-3</v>
      </c>
      <c r="J138" s="708">
        <v>2E-3</v>
      </c>
      <c r="K138" s="710">
        <v>0</v>
      </c>
      <c r="L138" s="270"/>
      <c r="M138" s="706" t="str">
        <f t="shared" si="2"/>
        <v/>
      </c>
    </row>
    <row r="139" spans="1:13" ht="14.45" customHeight="1" x14ac:dyDescent="0.2">
      <c r="A139" s="711" t="s">
        <v>463</v>
      </c>
      <c r="B139" s="707">
        <v>105.6</v>
      </c>
      <c r="C139" s="708">
        <v>0</v>
      </c>
      <c r="D139" s="708">
        <v>-105.6</v>
      </c>
      <c r="E139" s="709">
        <v>0</v>
      </c>
      <c r="F139" s="707">
        <v>0</v>
      </c>
      <c r="G139" s="708">
        <v>0</v>
      </c>
      <c r="H139" s="708">
        <v>0</v>
      </c>
      <c r="I139" s="708">
        <v>0</v>
      </c>
      <c r="J139" s="708">
        <v>0</v>
      </c>
      <c r="K139" s="710">
        <v>0</v>
      </c>
      <c r="L139" s="270"/>
      <c r="M139" s="706" t="str">
        <f t="shared" si="2"/>
        <v>X</v>
      </c>
    </row>
    <row r="140" spans="1:13" ht="14.45" customHeight="1" x14ac:dyDescent="0.2">
      <c r="A140" s="711" t="s">
        <v>464</v>
      </c>
      <c r="B140" s="707">
        <v>105.6</v>
      </c>
      <c r="C140" s="708">
        <v>0</v>
      </c>
      <c r="D140" s="708">
        <v>-105.6</v>
      </c>
      <c r="E140" s="709">
        <v>0</v>
      </c>
      <c r="F140" s="707">
        <v>0</v>
      </c>
      <c r="G140" s="708">
        <v>0</v>
      </c>
      <c r="H140" s="708">
        <v>0</v>
      </c>
      <c r="I140" s="708">
        <v>0</v>
      </c>
      <c r="J140" s="708">
        <v>0</v>
      </c>
      <c r="K140" s="710">
        <v>0</v>
      </c>
      <c r="L140" s="270"/>
      <c r="M140" s="706" t="str">
        <f t="shared" si="2"/>
        <v/>
      </c>
    </row>
    <row r="141" spans="1:13" ht="14.45" customHeight="1" x14ac:dyDescent="0.2">
      <c r="A141" s="711" t="s">
        <v>465</v>
      </c>
      <c r="B141" s="707">
        <v>76.55</v>
      </c>
      <c r="C141" s="708">
        <v>185.72900000000001</v>
      </c>
      <c r="D141" s="708">
        <v>109.17900000000002</v>
      </c>
      <c r="E141" s="709">
        <v>2.4262442847811889</v>
      </c>
      <c r="F141" s="707">
        <v>162.92052619999998</v>
      </c>
      <c r="G141" s="708">
        <v>67.883552583333326</v>
      </c>
      <c r="H141" s="708">
        <v>24.672000000000001</v>
      </c>
      <c r="I141" s="708">
        <v>122.749</v>
      </c>
      <c r="J141" s="708">
        <v>54.865447416666669</v>
      </c>
      <c r="K141" s="710">
        <v>0.75342869841528914</v>
      </c>
      <c r="L141" s="270"/>
      <c r="M141" s="706" t="str">
        <f t="shared" si="2"/>
        <v>X</v>
      </c>
    </row>
    <row r="142" spans="1:13" ht="14.45" customHeight="1" x14ac:dyDescent="0.2">
      <c r="A142" s="711" t="s">
        <v>466</v>
      </c>
      <c r="B142" s="707">
        <v>76.55</v>
      </c>
      <c r="C142" s="708">
        <v>185.72900000000001</v>
      </c>
      <c r="D142" s="708">
        <v>109.17900000000002</v>
      </c>
      <c r="E142" s="709">
        <v>2.4262442847811889</v>
      </c>
      <c r="F142" s="707">
        <v>162.92052619999998</v>
      </c>
      <c r="G142" s="708">
        <v>67.883552583333326</v>
      </c>
      <c r="H142" s="708">
        <v>24.672000000000001</v>
      </c>
      <c r="I142" s="708">
        <v>122.749</v>
      </c>
      <c r="J142" s="708">
        <v>54.865447416666669</v>
      </c>
      <c r="K142" s="710">
        <v>0.75342869841528914</v>
      </c>
      <c r="L142" s="270"/>
      <c r="M142" s="706" t="str">
        <f t="shared" si="2"/>
        <v/>
      </c>
    </row>
    <row r="143" spans="1:13" ht="14.45" customHeight="1" x14ac:dyDescent="0.2">
      <c r="A143" s="711" t="s">
        <v>467</v>
      </c>
      <c r="B143" s="707">
        <v>52.68</v>
      </c>
      <c r="C143" s="708">
        <v>69.25</v>
      </c>
      <c r="D143" s="708">
        <v>16.57</v>
      </c>
      <c r="E143" s="709">
        <v>1.314540622627183</v>
      </c>
      <c r="F143" s="707">
        <v>93.746334000000004</v>
      </c>
      <c r="G143" s="708">
        <v>39.060972500000005</v>
      </c>
      <c r="H143" s="708">
        <v>0.75</v>
      </c>
      <c r="I143" s="708">
        <v>9</v>
      </c>
      <c r="J143" s="708">
        <v>-30.060972500000005</v>
      </c>
      <c r="K143" s="710">
        <v>9.6003754130801533E-2</v>
      </c>
      <c r="L143" s="270"/>
      <c r="M143" s="706" t="str">
        <f t="shared" si="2"/>
        <v>X</v>
      </c>
    </row>
    <row r="144" spans="1:13" ht="14.45" customHeight="1" x14ac:dyDescent="0.2">
      <c r="A144" s="711" t="s">
        <v>468</v>
      </c>
      <c r="B144" s="707">
        <v>52.68</v>
      </c>
      <c r="C144" s="708">
        <v>69.25</v>
      </c>
      <c r="D144" s="708">
        <v>16.57</v>
      </c>
      <c r="E144" s="709">
        <v>1.314540622627183</v>
      </c>
      <c r="F144" s="707">
        <v>93.746334000000004</v>
      </c>
      <c r="G144" s="708">
        <v>39.060972500000005</v>
      </c>
      <c r="H144" s="708">
        <v>0.75</v>
      </c>
      <c r="I144" s="708">
        <v>9</v>
      </c>
      <c r="J144" s="708">
        <v>-30.060972500000005</v>
      </c>
      <c r="K144" s="710">
        <v>9.6003754130801533E-2</v>
      </c>
      <c r="L144" s="270"/>
      <c r="M144" s="706" t="str">
        <f t="shared" si="2"/>
        <v/>
      </c>
    </row>
    <row r="145" spans="1:13" ht="14.45" customHeight="1" x14ac:dyDescent="0.2">
      <c r="A145" s="711" t="s">
        <v>469</v>
      </c>
      <c r="B145" s="707">
        <v>24934.82</v>
      </c>
      <c r="C145" s="708">
        <v>24740.412840000001</v>
      </c>
      <c r="D145" s="708">
        <v>-194.40715999999884</v>
      </c>
      <c r="E145" s="709">
        <v>0.99220338626867977</v>
      </c>
      <c r="F145" s="707">
        <v>26506.3689012</v>
      </c>
      <c r="G145" s="708">
        <v>11044.320375499999</v>
      </c>
      <c r="H145" s="708">
        <v>2115.09114</v>
      </c>
      <c r="I145" s="708">
        <v>10356.01987</v>
      </c>
      <c r="J145" s="708">
        <v>-688.30050549999942</v>
      </c>
      <c r="K145" s="710">
        <v>0.39069930357496691</v>
      </c>
      <c r="L145" s="270"/>
      <c r="M145" s="706" t="str">
        <f t="shared" si="2"/>
        <v/>
      </c>
    </row>
    <row r="146" spans="1:13" ht="14.45" customHeight="1" x14ac:dyDescent="0.2">
      <c r="A146" s="711" t="s">
        <v>470</v>
      </c>
      <c r="B146" s="707">
        <v>6807.49</v>
      </c>
      <c r="C146" s="708">
        <v>6736.73657</v>
      </c>
      <c r="D146" s="708">
        <v>-70.753429999999753</v>
      </c>
      <c r="E146" s="709">
        <v>0.98960653192292614</v>
      </c>
      <c r="F146" s="707">
        <v>7151.3513207999995</v>
      </c>
      <c r="G146" s="708">
        <v>2979.7297169999997</v>
      </c>
      <c r="H146" s="708">
        <v>563.18944999999997</v>
      </c>
      <c r="I146" s="708">
        <v>2757.51451</v>
      </c>
      <c r="J146" s="708">
        <v>-222.21520699999974</v>
      </c>
      <c r="K146" s="710">
        <v>0.38559348944019234</v>
      </c>
      <c r="L146" s="270"/>
      <c r="M146" s="706" t="str">
        <f t="shared" si="2"/>
        <v>X</v>
      </c>
    </row>
    <row r="147" spans="1:13" ht="14.45" customHeight="1" x14ac:dyDescent="0.2">
      <c r="A147" s="711" t="s">
        <v>471</v>
      </c>
      <c r="B147" s="707">
        <v>6807.49</v>
      </c>
      <c r="C147" s="708">
        <v>6736.73657</v>
      </c>
      <c r="D147" s="708">
        <v>-70.753429999999753</v>
      </c>
      <c r="E147" s="709">
        <v>0.98960653192292614</v>
      </c>
      <c r="F147" s="707">
        <v>7151.3513207999995</v>
      </c>
      <c r="G147" s="708">
        <v>2979.7297169999997</v>
      </c>
      <c r="H147" s="708">
        <v>563.18944999999997</v>
      </c>
      <c r="I147" s="708">
        <v>2757.51451</v>
      </c>
      <c r="J147" s="708">
        <v>-222.21520699999974</v>
      </c>
      <c r="K147" s="710">
        <v>0.38559348944019234</v>
      </c>
      <c r="L147" s="270"/>
      <c r="M147" s="706" t="str">
        <f t="shared" si="2"/>
        <v/>
      </c>
    </row>
    <row r="148" spans="1:13" ht="14.45" customHeight="1" x14ac:dyDescent="0.2">
      <c r="A148" s="711" t="s">
        <v>472</v>
      </c>
      <c r="B148" s="707">
        <v>18127.330000000002</v>
      </c>
      <c r="C148" s="708">
        <v>18003.67627</v>
      </c>
      <c r="D148" s="708">
        <v>-123.65373000000181</v>
      </c>
      <c r="E148" s="709">
        <v>0.99317860214383469</v>
      </c>
      <c r="F148" s="707">
        <v>19355.017580400003</v>
      </c>
      <c r="G148" s="708">
        <v>8064.5906585000012</v>
      </c>
      <c r="H148" s="708">
        <v>1551.9016899999999</v>
      </c>
      <c r="I148" s="708">
        <v>7598.5053600000001</v>
      </c>
      <c r="J148" s="708">
        <v>-466.08529850000104</v>
      </c>
      <c r="K148" s="710">
        <v>0.39258581545772819</v>
      </c>
      <c r="L148" s="270"/>
      <c r="M148" s="706" t="str">
        <f t="shared" si="2"/>
        <v>X</v>
      </c>
    </row>
    <row r="149" spans="1:13" ht="14.45" customHeight="1" x14ac:dyDescent="0.2">
      <c r="A149" s="711" t="s">
        <v>473</v>
      </c>
      <c r="B149" s="707">
        <v>18127.330000000002</v>
      </c>
      <c r="C149" s="708">
        <v>18003.67627</v>
      </c>
      <c r="D149" s="708">
        <v>-123.65373000000181</v>
      </c>
      <c r="E149" s="709">
        <v>0.99317860214383469</v>
      </c>
      <c r="F149" s="707">
        <v>19355.017580400003</v>
      </c>
      <c r="G149" s="708">
        <v>8064.5906585000012</v>
      </c>
      <c r="H149" s="708">
        <v>1551.9016899999999</v>
      </c>
      <c r="I149" s="708">
        <v>7598.5053600000001</v>
      </c>
      <c r="J149" s="708">
        <v>-466.08529850000104</v>
      </c>
      <c r="K149" s="710">
        <v>0.39258581545772819</v>
      </c>
      <c r="L149" s="270"/>
      <c r="M149" s="706" t="str">
        <f t="shared" si="2"/>
        <v/>
      </c>
    </row>
    <row r="150" spans="1:13" ht="14.45" customHeight="1" x14ac:dyDescent="0.2">
      <c r="A150" s="711" t="s">
        <v>474</v>
      </c>
      <c r="B150" s="707">
        <v>317.14149599999996</v>
      </c>
      <c r="C150" s="708">
        <v>0</v>
      </c>
      <c r="D150" s="708">
        <v>-317.14149599999996</v>
      </c>
      <c r="E150" s="709">
        <v>0</v>
      </c>
      <c r="F150" s="707">
        <v>331.65074599999997</v>
      </c>
      <c r="G150" s="708">
        <v>138.18781083333332</v>
      </c>
      <c r="H150" s="708">
        <v>0</v>
      </c>
      <c r="I150" s="708">
        <v>0</v>
      </c>
      <c r="J150" s="708">
        <v>-138.18781083333332</v>
      </c>
      <c r="K150" s="710">
        <v>0</v>
      </c>
      <c r="L150" s="270"/>
      <c r="M150" s="706" t="str">
        <f t="shared" si="2"/>
        <v/>
      </c>
    </row>
    <row r="151" spans="1:13" ht="14.45" customHeight="1" x14ac:dyDescent="0.2">
      <c r="A151" s="711" t="s">
        <v>475</v>
      </c>
      <c r="B151" s="707">
        <v>317.14149599999996</v>
      </c>
      <c r="C151" s="708">
        <v>0</v>
      </c>
      <c r="D151" s="708">
        <v>-317.14149599999996</v>
      </c>
      <c r="E151" s="709">
        <v>0</v>
      </c>
      <c r="F151" s="707">
        <v>331.65074599999997</v>
      </c>
      <c r="G151" s="708">
        <v>138.18781083333332</v>
      </c>
      <c r="H151" s="708">
        <v>0</v>
      </c>
      <c r="I151" s="708">
        <v>0</v>
      </c>
      <c r="J151" s="708">
        <v>-138.18781083333332</v>
      </c>
      <c r="K151" s="710">
        <v>0</v>
      </c>
      <c r="L151" s="270"/>
      <c r="M151" s="706" t="str">
        <f t="shared" si="2"/>
        <v>X</v>
      </c>
    </row>
    <row r="152" spans="1:13" ht="14.45" customHeight="1" x14ac:dyDescent="0.2">
      <c r="A152" s="711" t="s">
        <v>476</v>
      </c>
      <c r="B152" s="707">
        <v>317.14149599999996</v>
      </c>
      <c r="C152" s="708">
        <v>0</v>
      </c>
      <c r="D152" s="708">
        <v>-317.14149599999996</v>
      </c>
      <c r="E152" s="709">
        <v>0</v>
      </c>
      <c r="F152" s="707">
        <v>331.65074599999997</v>
      </c>
      <c r="G152" s="708">
        <v>138.18781083333332</v>
      </c>
      <c r="H152" s="708">
        <v>0</v>
      </c>
      <c r="I152" s="708">
        <v>0</v>
      </c>
      <c r="J152" s="708">
        <v>-138.18781083333332</v>
      </c>
      <c r="K152" s="710">
        <v>0</v>
      </c>
      <c r="L152" s="270"/>
      <c r="M152" s="706" t="str">
        <f t="shared" si="2"/>
        <v/>
      </c>
    </row>
    <row r="153" spans="1:13" ht="14.45" customHeight="1" x14ac:dyDescent="0.2">
      <c r="A153" s="711" t="s">
        <v>477</v>
      </c>
      <c r="B153" s="707">
        <v>1514.88</v>
      </c>
      <c r="C153" s="708">
        <v>1499.4638500000001</v>
      </c>
      <c r="D153" s="708">
        <v>-15.416150000000016</v>
      </c>
      <c r="E153" s="709">
        <v>0.98982351737431351</v>
      </c>
      <c r="F153" s="707">
        <v>1589.1891843000001</v>
      </c>
      <c r="G153" s="708">
        <v>662.16216012500001</v>
      </c>
      <c r="H153" s="708">
        <v>125.64641</v>
      </c>
      <c r="I153" s="708">
        <v>615.06052999999997</v>
      </c>
      <c r="J153" s="708">
        <v>-47.101630125000042</v>
      </c>
      <c r="K153" s="710">
        <v>0.38702788571451263</v>
      </c>
      <c r="L153" s="270"/>
      <c r="M153" s="706" t="str">
        <f t="shared" si="2"/>
        <v/>
      </c>
    </row>
    <row r="154" spans="1:13" ht="14.45" customHeight="1" x14ac:dyDescent="0.2">
      <c r="A154" s="711" t="s">
        <v>478</v>
      </c>
      <c r="B154" s="707">
        <v>1514.88</v>
      </c>
      <c r="C154" s="708">
        <v>1499.4638500000001</v>
      </c>
      <c r="D154" s="708">
        <v>-15.416150000000016</v>
      </c>
      <c r="E154" s="709">
        <v>0.98982351737431351</v>
      </c>
      <c r="F154" s="707">
        <v>1589.1891843000001</v>
      </c>
      <c r="G154" s="708">
        <v>662.16216012500001</v>
      </c>
      <c r="H154" s="708">
        <v>125.64641</v>
      </c>
      <c r="I154" s="708">
        <v>615.06052999999997</v>
      </c>
      <c r="J154" s="708">
        <v>-47.101630125000042</v>
      </c>
      <c r="K154" s="710">
        <v>0.38702788571451263</v>
      </c>
      <c r="L154" s="270"/>
      <c r="M154" s="706" t="str">
        <f t="shared" si="2"/>
        <v>X</v>
      </c>
    </row>
    <row r="155" spans="1:13" ht="14.45" customHeight="1" x14ac:dyDescent="0.2">
      <c r="A155" s="711" t="s">
        <v>479</v>
      </c>
      <c r="B155" s="707">
        <v>1514.88</v>
      </c>
      <c r="C155" s="708">
        <v>1499.4638500000001</v>
      </c>
      <c r="D155" s="708">
        <v>-15.416150000000016</v>
      </c>
      <c r="E155" s="709">
        <v>0.98982351737431351</v>
      </c>
      <c r="F155" s="707">
        <v>1589.1891843000001</v>
      </c>
      <c r="G155" s="708">
        <v>662.16216012500001</v>
      </c>
      <c r="H155" s="708">
        <v>125.64641</v>
      </c>
      <c r="I155" s="708">
        <v>615.06052999999997</v>
      </c>
      <c r="J155" s="708">
        <v>-47.101630125000042</v>
      </c>
      <c r="K155" s="710">
        <v>0.38702788571451263</v>
      </c>
      <c r="L155" s="270"/>
      <c r="M155" s="706" t="str">
        <f t="shared" si="2"/>
        <v/>
      </c>
    </row>
    <row r="156" spans="1:13" ht="14.45" customHeight="1" x14ac:dyDescent="0.2">
      <c r="A156" s="711" t="s">
        <v>480</v>
      </c>
      <c r="B156" s="707">
        <v>0</v>
      </c>
      <c r="C156" s="708">
        <v>151.76779999999999</v>
      </c>
      <c r="D156" s="708">
        <v>151.76779999999999</v>
      </c>
      <c r="E156" s="709">
        <v>0</v>
      </c>
      <c r="F156" s="707">
        <v>139.64551920000002</v>
      </c>
      <c r="G156" s="708">
        <v>58.18563300000001</v>
      </c>
      <c r="H156" s="708">
        <v>0.49214999999999998</v>
      </c>
      <c r="I156" s="708">
        <v>13.416399999999999</v>
      </c>
      <c r="J156" s="708">
        <v>-44.769233000000014</v>
      </c>
      <c r="K156" s="710">
        <v>9.6074690236104598E-2</v>
      </c>
      <c r="L156" s="270"/>
      <c r="M156" s="706" t="str">
        <f t="shared" si="2"/>
        <v/>
      </c>
    </row>
    <row r="157" spans="1:13" ht="14.45" customHeight="1" x14ac:dyDescent="0.2">
      <c r="A157" s="711" t="s">
        <v>481</v>
      </c>
      <c r="B157" s="707">
        <v>0</v>
      </c>
      <c r="C157" s="708">
        <v>151.76779999999999</v>
      </c>
      <c r="D157" s="708">
        <v>151.76779999999999</v>
      </c>
      <c r="E157" s="709">
        <v>0</v>
      </c>
      <c r="F157" s="707">
        <v>139.64551920000002</v>
      </c>
      <c r="G157" s="708">
        <v>58.18563300000001</v>
      </c>
      <c r="H157" s="708">
        <v>0.49214999999999998</v>
      </c>
      <c r="I157" s="708">
        <v>13.416399999999999</v>
      </c>
      <c r="J157" s="708">
        <v>-44.769233000000014</v>
      </c>
      <c r="K157" s="710">
        <v>9.6074690236104598E-2</v>
      </c>
      <c r="L157" s="270"/>
      <c r="M157" s="706" t="str">
        <f t="shared" si="2"/>
        <v/>
      </c>
    </row>
    <row r="158" spans="1:13" ht="14.45" customHeight="1" x14ac:dyDescent="0.2">
      <c r="A158" s="711" t="s">
        <v>482</v>
      </c>
      <c r="B158" s="707">
        <v>0</v>
      </c>
      <c r="C158" s="708">
        <v>80.183800000000005</v>
      </c>
      <c r="D158" s="708">
        <v>80.183800000000005</v>
      </c>
      <c r="E158" s="709">
        <v>0</v>
      </c>
      <c r="F158" s="707">
        <v>85.290633600000007</v>
      </c>
      <c r="G158" s="708">
        <v>35.537764000000003</v>
      </c>
      <c r="H158" s="708">
        <v>0.49214999999999998</v>
      </c>
      <c r="I158" s="708">
        <v>6.7163999999999993</v>
      </c>
      <c r="J158" s="708">
        <v>-28.821364000000003</v>
      </c>
      <c r="K158" s="710">
        <v>7.8747216622857857E-2</v>
      </c>
      <c r="L158" s="270"/>
      <c r="M158" s="706" t="str">
        <f t="shared" si="2"/>
        <v>X</v>
      </c>
    </row>
    <row r="159" spans="1:13" ht="14.45" customHeight="1" x14ac:dyDescent="0.2">
      <c r="A159" s="711" t="s">
        <v>483</v>
      </c>
      <c r="B159" s="707">
        <v>0</v>
      </c>
      <c r="C159" s="708">
        <v>4.8688000000000002</v>
      </c>
      <c r="D159" s="708">
        <v>4.8688000000000002</v>
      </c>
      <c r="E159" s="709">
        <v>0</v>
      </c>
      <c r="F159" s="707">
        <v>5.1927827999999998</v>
      </c>
      <c r="G159" s="708">
        <v>2.1636595000000001</v>
      </c>
      <c r="H159" s="708">
        <v>0.49214999999999998</v>
      </c>
      <c r="I159" s="708">
        <v>0.83640000000000003</v>
      </c>
      <c r="J159" s="708">
        <v>-1.3272595</v>
      </c>
      <c r="K159" s="710">
        <v>0.1610697062083937</v>
      </c>
      <c r="L159" s="270"/>
      <c r="M159" s="706" t="str">
        <f t="shared" si="2"/>
        <v/>
      </c>
    </row>
    <row r="160" spans="1:13" ht="14.45" customHeight="1" x14ac:dyDescent="0.2">
      <c r="A160" s="711" t="s">
        <v>484</v>
      </c>
      <c r="B160" s="707">
        <v>0</v>
      </c>
      <c r="C160" s="708">
        <v>20.55</v>
      </c>
      <c r="D160" s="708">
        <v>20.55</v>
      </c>
      <c r="E160" s="709">
        <v>0</v>
      </c>
      <c r="F160" s="707">
        <v>32.760835200000002</v>
      </c>
      <c r="G160" s="708">
        <v>13.650348000000001</v>
      </c>
      <c r="H160" s="708">
        <v>0</v>
      </c>
      <c r="I160" s="708">
        <v>1</v>
      </c>
      <c r="J160" s="708">
        <v>-12.650348000000001</v>
      </c>
      <c r="K160" s="710">
        <v>3.0524252324311926E-2</v>
      </c>
      <c r="L160" s="270"/>
      <c r="M160" s="706" t="str">
        <f t="shared" si="2"/>
        <v/>
      </c>
    </row>
    <row r="161" spans="1:13" ht="14.45" customHeight="1" x14ac:dyDescent="0.2">
      <c r="A161" s="711" t="s">
        <v>485</v>
      </c>
      <c r="B161" s="707">
        <v>0</v>
      </c>
      <c r="C161" s="708">
        <v>36.155000000000001</v>
      </c>
      <c r="D161" s="708">
        <v>36.155000000000001</v>
      </c>
      <c r="E161" s="709">
        <v>0</v>
      </c>
      <c r="F161" s="707">
        <v>40.131535200000002</v>
      </c>
      <c r="G161" s="708">
        <v>16.721473</v>
      </c>
      <c r="H161" s="708">
        <v>0</v>
      </c>
      <c r="I161" s="708">
        <v>4.88</v>
      </c>
      <c r="J161" s="708">
        <v>-11.841473000000001</v>
      </c>
      <c r="K161" s="710">
        <v>0.12160013255610515</v>
      </c>
      <c r="L161" s="270"/>
      <c r="M161" s="706" t="str">
        <f t="shared" si="2"/>
        <v/>
      </c>
    </row>
    <row r="162" spans="1:13" ht="14.45" customHeight="1" x14ac:dyDescent="0.2">
      <c r="A162" s="711" t="s">
        <v>486</v>
      </c>
      <c r="B162" s="707">
        <v>0</v>
      </c>
      <c r="C162" s="708">
        <v>0.11</v>
      </c>
      <c r="D162" s="708">
        <v>0.11</v>
      </c>
      <c r="E162" s="709">
        <v>0</v>
      </c>
      <c r="F162" s="707">
        <v>0.120522</v>
      </c>
      <c r="G162" s="708">
        <v>5.0217499999999998E-2</v>
      </c>
      <c r="H162" s="708">
        <v>0</v>
      </c>
      <c r="I162" s="708">
        <v>0</v>
      </c>
      <c r="J162" s="708">
        <v>-5.0217499999999998E-2</v>
      </c>
      <c r="K162" s="710">
        <v>0</v>
      </c>
      <c r="L162" s="270"/>
      <c r="M162" s="706" t="str">
        <f t="shared" si="2"/>
        <v/>
      </c>
    </row>
    <row r="163" spans="1:13" ht="14.45" customHeight="1" x14ac:dyDescent="0.2">
      <c r="A163" s="711" t="s">
        <v>487</v>
      </c>
      <c r="B163" s="707">
        <v>0</v>
      </c>
      <c r="C163" s="708">
        <v>18.5</v>
      </c>
      <c r="D163" s="708">
        <v>18.5</v>
      </c>
      <c r="E163" s="709">
        <v>0</v>
      </c>
      <c r="F163" s="707">
        <v>7.0849584000000005</v>
      </c>
      <c r="G163" s="708">
        <v>2.9520660000000003</v>
      </c>
      <c r="H163" s="708">
        <v>0</v>
      </c>
      <c r="I163" s="708">
        <v>0</v>
      </c>
      <c r="J163" s="708">
        <v>-2.9520660000000003</v>
      </c>
      <c r="K163" s="710">
        <v>0</v>
      </c>
      <c r="L163" s="270"/>
      <c r="M163" s="706" t="str">
        <f t="shared" si="2"/>
        <v/>
      </c>
    </row>
    <row r="164" spans="1:13" ht="14.45" customHeight="1" x14ac:dyDescent="0.2">
      <c r="A164" s="711" t="s">
        <v>488</v>
      </c>
      <c r="B164" s="707">
        <v>0</v>
      </c>
      <c r="C164" s="708">
        <v>25.879000000000001</v>
      </c>
      <c r="D164" s="708">
        <v>25.879000000000001</v>
      </c>
      <c r="E164" s="709">
        <v>0</v>
      </c>
      <c r="F164" s="707">
        <v>20.361063600000001</v>
      </c>
      <c r="G164" s="708">
        <v>8.4837765000000012</v>
      </c>
      <c r="H164" s="708">
        <v>0</v>
      </c>
      <c r="I164" s="708">
        <v>5.6</v>
      </c>
      <c r="J164" s="708">
        <v>-2.8837765000000015</v>
      </c>
      <c r="K164" s="710">
        <v>0.2750347481847657</v>
      </c>
      <c r="L164" s="270"/>
      <c r="M164" s="706" t="str">
        <f t="shared" si="2"/>
        <v>X</v>
      </c>
    </row>
    <row r="165" spans="1:13" ht="14.45" customHeight="1" x14ac:dyDescent="0.2">
      <c r="A165" s="711" t="s">
        <v>489</v>
      </c>
      <c r="B165" s="707">
        <v>0</v>
      </c>
      <c r="C165" s="708">
        <v>25.879000000000001</v>
      </c>
      <c r="D165" s="708">
        <v>25.879000000000001</v>
      </c>
      <c r="E165" s="709">
        <v>0</v>
      </c>
      <c r="F165" s="707">
        <v>20.361063600000001</v>
      </c>
      <c r="G165" s="708">
        <v>8.4837765000000012</v>
      </c>
      <c r="H165" s="708">
        <v>0</v>
      </c>
      <c r="I165" s="708">
        <v>5.6</v>
      </c>
      <c r="J165" s="708">
        <v>-2.8837765000000015</v>
      </c>
      <c r="K165" s="710">
        <v>0.2750347481847657</v>
      </c>
      <c r="L165" s="270"/>
      <c r="M165" s="706" t="str">
        <f t="shared" si="2"/>
        <v/>
      </c>
    </row>
    <row r="166" spans="1:13" ht="14.45" customHeight="1" x14ac:dyDescent="0.2">
      <c r="A166" s="711" t="s">
        <v>490</v>
      </c>
      <c r="B166" s="707">
        <v>0</v>
      </c>
      <c r="C166" s="708">
        <v>15.8</v>
      </c>
      <c r="D166" s="708">
        <v>15.8</v>
      </c>
      <c r="E166" s="709">
        <v>0</v>
      </c>
      <c r="F166" s="707">
        <v>6.3477012000000004</v>
      </c>
      <c r="G166" s="708">
        <v>2.6448755000000004</v>
      </c>
      <c r="H166" s="708">
        <v>0</v>
      </c>
      <c r="I166" s="708">
        <v>1.1000000000000001</v>
      </c>
      <c r="J166" s="708">
        <v>-1.5448755000000003</v>
      </c>
      <c r="K166" s="710">
        <v>0.17329108055684789</v>
      </c>
      <c r="L166" s="270"/>
      <c r="M166" s="706" t="str">
        <f t="shared" si="2"/>
        <v>X</v>
      </c>
    </row>
    <row r="167" spans="1:13" ht="14.45" customHeight="1" x14ac:dyDescent="0.2">
      <c r="A167" s="711" t="s">
        <v>491</v>
      </c>
      <c r="B167" s="707">
        <v>0</v>
      </c>
      <c r="C167" s="708">
        <v>15.8</v>
      </c>
      <c r="D167" s="708">
        <v>15.8</v>
      </c>
      <c r="E167" s="709">
        <v>0</v>
      </c>
      <c r="F167" s="707">
        <v>6.3477012000000004</v>
      </c>
      <c r="G167" s="708">
        <v>2.6448755000000004</v>
      </c>
      <c r="H167" s="708">
        <v>0</v>
      </c>
      <c r="I167" s="708">
        <v>1.1000000000000001</v>
      </c>
      <c r="J167" s="708">
        <v>-1.5448755000000003</v>
      </c>
      <c r="K167" s="710">
        <v>0.17329108055684789</v>
      </c>
      <c r="L167" s="270"/>
      <c r="M167" s="706" t="str">
        <f t="shared" si="2"/>
        <v/>
      </c>
    </row>
    <row r="168" spans="1:13" ht="14.45" customHeight="1" x14ac:dyDescent="0.2">
      <c r="A168" s="711" t="s">
        <v>492</v>
      </c>
      <c r="B168" s="707">
        <v>0</v>
      </c>
      <c r="C168" s="708">
        <v>29.905000000000001</v>
      </c>
      <c r="D168" s="708">
        <v>29.905000000000001</v>
      </c>
      <c r="E168" s="709">
        <v>0</v>
      </c>
      <c r="F168" s="707">
        <v>27.646120800000002</v>
      </c>
      <c r="G168" s="708">
        <v>11.519217000000001</v>
      </c>
      <c r="H168" s="708">
        <v>0</v>
      </c>
      <c r="I168" s="708">
        <v>0</v>
      </c>
      <c r="J168" s="708">
        <v>-11.519217000000001</v>
      </c>
      <c r="K168" s="710">
        <v>0</v>
      </c>
      <c r="L168" s="270"/>
      <c r="M168" s="706" t="str">
        <f t="shared" si="2"/>
        <v>X</v>
      </c>
    </row>
    <row r="169" spans="1:13" ht="14.45" customHeight="1" x14ac:dyDescent="0.2">
      <c r="A169" s="711" t="s">
        <v>493</v>
      </c>
      <c r="B169" s="707">
        <v>0</v>
      </c>
      <c r="C169" s="708">
        <v>29.905000000000001</v>
      </c>
      <c r="D169" s="708">
        <v>29.905000000000001</v>
      </c>
      <c r="E169" s="709">
        <v>0</v>
      </c>
      <c r="F169" s="707">
        <v>27.646120800000002</v>
      </c>
      <c r="G169" s="708">
        <v>11.519217000000001</v>
      </c>
      <c r="H169" s="708">
        <v>0</v>
      </c>
      <c r="I169" s="708">
        <v>0</v>
      </c>
      <c r="J169" s="708">
        <v>-11.519217000000001</v>
      </c>
      <c r="K169" s="710">
        <v>0</v>
      </c>
      <c r="L169" s="270"/>
      <c r="M169" s="706" t="str">
        <f t="shared" si="2"/>
        <v/>
      </c>
    </row>
    <row r="170" spans="1:13" ht="14.45" customHeight="1" x14ac:dyDescent="0.2">
      <c r="A170" s="711" t="s">
        <v>494</v>
      </c>
      <c r="B170" s="707">
        <v>6109.9999960000005</v>
      </c>
      <c r="C170" s="708">
        <v>6364.7415999999994</v>
      </c>
      <c r="D170" s="708">
        <v>254.74160399999892</v>
      </c>
      <c r="E170" s="709">
        <v>1.0416925702400603</v>
      </c>
      <c r="F170" s="707">
        <v>4570.6323144000098</v>
      </c>
      <c r="G170" s="708">
        <v>1904.4301310000039</v>
      </c>
      <c r="H170" s="708">
        <v>387.21395000000001</v>
      </c>
      <c r="I170" s="708">
        <v>1989.9826</v>
      </c>
      <c r="J170" s="708">
        <v>85.552468999996108</v>
      </c>
      <c r="K170" s="710">
        <v>0.435384529560704</v>
      </c>
      <c r="L170" s="270"/>
      <c r="M170" s="706" t="str">
        <f t="shared" si="2"/>
        <v/>
      </c>
    </row>
    <row r="171" spans="1:13" ht="14.45" customHeight="1" x14ac:dyDescent="0.2">
      <c r="A171" s="711" t="s">
        <v>495</v>
      </c>
      <c r="B171" s="707">
        <v>5982.9999960000005</v>
      </c>
      <c r="C171" s="708">
        <v>6041.93696</v>
      </c>
      <c r="D171" s="708">
        <v>58.936963999999534</v>
      </c>
      <c r="E171" s="709">
        <v>1.0098507377635639</v>
      </c>
      <c r="F171" s="707">
        <v>4560.1369002000101</v>
      </c>
      <c r="G171" s="708">
        <v>1900.0570417500044</v>
      </c>
      <c r="H171" s="708">
        <v>387.21395000000001</v>
      </c>
      <c r="I171" s="708">
        <v>1939.52981</v>
      </c>
      <c r="J171" s="708">
        <v>39.472768249995625</v>
      </c>
      <c r="K171" s="710">
        <v>0.42532271562174617</v>
      </c>
      <c r="L171" s="270"/>
      <c r="M171" s="706" t="str">
        <f t="shared" si="2"/>
        <v/>
      </c>
    </row>
    <row r="172" spans="1:13" ht="14.45" customHeight="1" x14ac:dyDescent="0.2">
      <c r="A172" s="711" t="s">
        <v>496</v>
      </c>
      <c r="B172" s="707">
        <v>5982.9999960000005</v>
      </c>
      <c r="C172" s="708">
        <v>6002.7879599999997</v>
      </c>
      <c r="D172" s="708">
        <v>19.787963999999192</v>
      </c>
      <c r="E172" s="709">
        <v>1.0033073648693345</v>
      </c>
      <c r="F172" s="707">
        <v>4560.1369002000101</v>
      </c>
      <c r="G172" s="708">
        <v>1900.0570417500044</v>
      </c>
      <c r="H172" s="708">
        <v>385.60894999999999</v>
      </c>
      <c r="I172" s="708">
        <v>1931.0528100000001</v>
      </c>
      <c r="J172" s="708">
        <v>30.995768249995763</v>
      </c>
      <c r="K172" s="710">
        <v>0.42346378020258624</v>
      </c>
      <c r="L172" s="270"/>
      <c r="M172" s="706" t="str">
        <f t="shared" si="2"/>
        <v>X</v>
      </c>
    </row>
    <row r="173" spans="1:13" ht="14.45" customHeight="1" x14ac:dyDescent="0.2">
      <c r="A173" s="711" t="s">
        <v>497</v>
      </c>
      <c r="B173" s="707">
        <v>218.00000399999999</v>
      </c>
      <c r="C173" s="708">
        <v>255.39828</v>
      </c>
      <c r="D173" s="708">
        <v>37.39827600000001</v>
      </c>
      <c r="E173" s="709">
        <v>1.1715517216229043</v>
      </c>
      <c r="F173" s="707">
        <v>312.25999920000004</v>
      </c>
      <c r="G173" s="708">
        <v>130.10833300000002</v>
      </c>
      <c r="H173" s="708">
        <v>24.483430000000002</v>
      </c>
      <c r="I173" s="708">
        <v>123.36698</v>
      </c>
      <c r="J173" s="708">
        <v>-6.7413530000000179</v>
      </c>
      <c r="K173" s="710">
        <v>0.39507775672856654</v>
      </c>
      <c r="L173" s="270"/>
      <c r="M173" s="706" t="str">
        <f t="shared" si="2"/>
        <v/>
      </c>
    </row>
    <row r="174" spans="1:13" ht="14.45" customHeight="1" x14ac:dyDescent="0.2">
      <c r="A174" s="711" t="s">
        <v>498</v>
      </c>
      <c r="B174" s="707">
        <v>1504.000008</v>
      </c>
      <c r="C174" s="708">
        <v>1481.4092700000001</v>
      </c>
      <c r="D174" s="708">
        <v>-22.590737999999874</v>
      </c>
      <c r="E174" s="709">
        <v>0.98497956257989605</v>
      </c>
      <c r="F174" s="707">
        <v>1303.1135609999999</v>
      </c>
      <c r="G174" s="708">
        <v>542.9639837499999</v>
      </c>
      <c r="H174" s="708">
        <v>118.34842</v>
      </c>
      <c r="I174" s="708">
        <v>591.88714000000004</v>
      </c>
      <c r="J174" s="708">
        <v>48.923156250000147</v>
      </c>
      <c r="K174" s="710">
        <v>0.45420994586672103</v>
      </c>
      <c r="L174" s="270"/>
      <c r="M174" s="706" t="str">
        <f t="shared" si="2"/>
        <v/>
      </c>
    </row>
    <row r="175" spans="1:13" ht="14.45" customHeight="1" x14ac:dyDescent="0.2">
      <c r="A175" s="711" t="s">
        <v>499</v>
      </c>
      <c r="B175" s="707">
        <v>45.999995999999996</v>
      </c>
      <c r="C175" s="708">
        <v>45.66</v>
      </c>
      <c r="D175" s="708">
        <v>-0.3399959999999993</v>
      </c>
      <c r="E175" s="709">
        <v>0.99260878196598101</v>
      </c>
      <c r="F175" s="707">
        <v>45.66</v>
      </c>
      <c r="G175" s="708">
        <v>19.024999999999999</v>
      </c>
      <c r="H175" s="708">
        <v>3.8050000000000002</v>
      </c>
      <c r="I175" s="708">
        <v>19.024999999999999</v>
      </c>
      <c r="J175" s="708">
        <v>0</v>
      </c>
      <c r="K175" s="710">
        <v>0.41666666666666669</v>
      </c>
      <c r="L175" s="270"/>
      <c r="M175" s="706" t="str">
        <f t="shared" si="2"/>
        <v/>
      </c>
    </row>
    <row r="176" spans="1:13" ht="14.45" customHeight="1" x14ac:dyDescent="0.2">
      <c r="A176" s="711" t="s">
        <v>500</v>
      </c>
      <c r="B176" s="707">
        <v>1105.999992</v>
      </c>
      <c r="C176" s="708">
        <v>1110.62528</v>
      </c>
      <c r="D176" s="708">
        <v>4.625287999999955</v>
      </c>
      <c r="E176" s="709">
        <v>1.0041819964136129</v>
      </c>
      <c r="F176" s="707">
        <v>1142.9609399999999</v>
      </c>
      <c r="G176" s="708">
        <v>476.23372499999994</v>
      </c>
      <c r="H176" s="708">
        <v>92.706119999999999</v>
      </c>
      <c r="I176" s="708">
        <v>464.51483000000002</v>
      </c>
      <c r="J176" s="708">
        <v>-11.718894999999918</v>
      </c>
      <c r="K176" s="710">
        <v>0.40641356475401519</v>
      </c>
      <c r="L176" s="270"/>
      <c r="M176" s="706" t="str">
        <f t="shared" si="2"/>
        <v/>
      </c>
    </row>
    <row r="177" spans="1:13" ht="14.45" customHeight="1" x14ac:dyDescent="0.2">
      <c r="A177" s="711" t="s">
        <v>501</v>
      </c>
      <c r="B177" s="707">
        <v>3097.000008</v>
      </c>
      <c r="C177" s="708">
        <v>3097.50873</v>
      </c>
      <c r="D177" s="708">
        <v>0.50872200000003431</v>
      </c>
      <c r="E177" s="709">
        <v>1.0001642628345773</v>
      </c>
      <c r="F177" s="707">
        <v>1746.7386000000001</v>
      </c>
      <c r="G177" s="708">
        <v>727.80775000000006</v>
      </c>
      <c r="H177" s="708">
        <v>145.55957999999998</v>
      </c>
      <c r="I177" s="708">
        <v>727.79985999999997</v>
      </c>
      <c r="J177" s="708">
        <v>-7.8900000000885484E-3</v>
      </c>
      <c r="K177" s="710">
        <v>0.41666214967711823</v>
      </c>
      <c r="L177" s="270"/>
      <c r="M177" s="706" t="str">
        <f t="shared" si="2"/>
        <v/>
      </c>
    </row>
    <row r="178" spans="1:13" ht="14.45" customHeight="1" x14ac:dyDescent="0.2">
      <c r="A178" s="711" t="s">
        <v>502</v>
      </c>
      <c r="B178" s="707">
        <v>11.999988</v>
      </c>
      <c r="C178" s="708">
        <v>12.186399999999999</v>
      </c>
      <c r="D178" s="708">
        <v>0.18641199999999891</v>
      </c>
      <c r="E178" s="709">
        <v>1.015534348867682</v>
      </c>
      <c r="F178" s="707">
        <v>9.4037999999999986</v>
      </c>
      <c r="G178" s="708">
        <v>3.9182499999999991</v>
      </c>
      <c r="H178" s="708">
        <v>0.70640000000000003</v>
      </c>
      <c r="I178" s="708">
        <v>4.4589999999999996</v>
      </c>
      <c r="J178" s="708">
        <v>0.54075000000000051</v>
      </c>
      <c r="K178" s="710">
        <v>0.47417001637635853</v>
      </c>
      <c r="L178" s="270"/>
      <c r="M178" s="706" t="str">
        <f t="shared" si="2"/>
        <v/>
      </c>
    </row>
    <row r="179" spans="1:13" ht="14.45" customHeight="1" x14ac:dyDescent="0.2">
      <c r="A179" s="711" t="s">
        <v>503</v>
      </c>
      <c r="B179" s="707">
        <v>0</v>
      </c>
      <c r="C179" s="708">
        <v>39.149000000000001</v>
      </c>
      <c r="D179" s="708">
        <v>39.149000000000001</v>
      </c>
      <c r="E179" s="709">
        <v>0</v>
      </c>
      <c r="F179" s="707">
        <v>0</v>
      </c>
      <c r="G179" s="708">
        <v>0</v>
      </c>
      <c r="H179" s="708">
        <v>1.605</v>
      </c>
      <c r="I179" s="708">
        <v>8.4770000000000003</v>
      </c>
      <c r="J179" s="708">
        <v>8.4770000000000003</v>
      </c>
      <c r="K179" s="710">
        <v>0</v>
      </c>
      <c r="L179" s="270"/>
      <c r="M179" s="706" t="str">
        <f t="shared" si="2"/>
        <v>X</v>
      </c>
    </row>
    <row r="180" spans="1:13" ht="14.45" customHeight="1" x14ac:dyDescent="0.2">
      <c r="A180" s="711" t="s">
        <v>504</v>
      </c>
      <c r="B180" s="707">
        <v>0</v>
      </c>
      <c r="C180" s="708">
        <v>39.149000000000001</v>
      </c>
      <c r="D180" s="708">
        <v>39.149000000000001</v>
      </c>
      <c r="E180" s="709">
        <v>0</v>
      </c>
      <c r="F180" s="707">
        <v>0</v>
      </c>
      <c r="G180" s="708">
        <v>0</v>
      </c>
      <c r="H180" s="708">
        <v>1.605</v>
      </c>
      <c r="I180" s="708">
        <v>8.4770000000000003</v>
      </c>
      <c r="J180" s="708">
        <v>8.4770000000000003</v>
      </c>
      <c r="K180" s="710">
        <v>0</v>
      </c>
      <c r="L180" s="270"/>
      <c r="M180" s="706" t="str">
        <f t="shared" si="2"/>
        <v/>
      </c>
    </row>
    <row r="181" spans="1:13" ht="14.45" customHeight="1" x14ac:dyDescent="0.2">
      <c r="A181" s="711" t="s">
        <v>505</v>
      </c>
      <c r="B181" s="707">
        <v>127</v>
      </c>
      <c r="C181" s="708">
        <v>322.80464000000001</v>
      </c>
      <c r="D181" s="708">
        <v>195.80464000000001</v>
      </c>
      <c r="E181" s="709">
        <v>2.5417688188976379</v>
      </c>
      <c r="F181" s="707">
        <v>10.495414199999999</v>
      </c>
      <c r="G181" s="708">
        <v>4.3730892499999996</v>
      </c>
      <c r="H181" s="708">
        <v>0</v>
      </c>
      <c r="I181" s="708">
        <v>50.45279</v>
      </c>
      <c r="J181" s="708">
        <v>46.079700750000001</v>
      </c>
      <c r="K181" s="710">
        <v>4.8071270974708176</v>
      </c>
      <c r="L181" s="270"/>
      <c r="M181" s="706" t="str">
        <f t="shared" si="2"/>
        <v/>
      </c>
    </row>
    <row r="182" spans="1:13" ht="14.45" customHeight="1" x14ac:dyDescent="0.2">
      <c r="A182" s="711" t="s">
        <v>506</v>
      </c>
      <c r="B182" s="707">
        <v>127</v>
      </c>
      <c r="C182" s="708">
        <v>231.32559000000001</v>
      </c>
      <c r="D182" s="708">
        <v>104.32559000000001</v>
      </c>
      <c r="E182" s="709">
        <v>1.8214613385826772</v>
      </c>
      <c r="F182" s="707">
        <v>0</v>
      </c>
      <c r="G182" s="708">
        <v>0</v>
      </c>
      <c r="H182" s="708">
        <v>0</v>
      </c>
      <c r="I182" s="708">
        <v>45.541400000000003</v>
      </c>
      <c r="J182" s="708">
        <v>45.541400000000003</v>
      </c>
      <c r="K182" s="710">
        <v>0</v>
      </c>
      <c r="L182" s="270"/>
      <c r="M182" s="706" t="str">
        <f t="shared" si="2"/>
        <v>X</v>
      </c>
    </row>
    <row r="183" spans="1:13" ht="14.45" customHeight="1" x14ac:dyDescent="0.2">
      <c r="A183" s="711" t="s">
        <v>507</v>
      </c>
      <c r="B183" s="707">
        <v>127</v>
      </c>
      <c r="C183" s="708">
        <v>231.32559000000001</v>
      </c>
      <c r="D183" s="708">
        <v>104.32559000000001</v>
      </c>
      <c r="E183" s="709">
        <v>1.8214613385826772</v>
      </c>
      <c r="F183" s="707">
        <v>0</v>
      </c>
      <c r="G183" s="708">
        <v>0</v>
      </c>
      <c r="H183" s="708">
        <v>0</v>
      </c>
      <c r="I183" s="708">
        <v>45.541400000000003</v>
      </c>
      <c r="J183" s="708">
        <v>45.541400000000003</v>
      </c>
      <c r="K183" s="710">
        <v>0</v>
      </c>
      <c r="L183" s="270"/>
      <c r="M183" s="706" t="str">
        <f t="shared" si="2"/>
        <v/>
      </c>
    </row>
    <row r="184" spans="1:13" ht="14.45" customHeight="1" x14ac:dyDescent="0.2">
      <c r="A184" s="711" t="s">
        <v>508</v>
      </c>
      <c r="B184" s="707">
        <v>0</v>
      </c>
      <c r="C184" s="708">
        <v>28.55885</v>
      </c>
      <c r="D184" s="708">
        <v>28.55885</v>
      </c>
      <c r="E184" s="709">
        <v>0</v>
      </c>
      <c r="F184" s="707">
        <v>0</v>
      </c>
      <c r="G184" s="708">
        <v>0</v>
      </c>
      <c r="H184" s="708">
        <v>0</v>
      </c>
      <c r="I184" s="708">
        <v>4.9113899999999999</v>
      </c>
      <c r="J184" s="708">
        <v>4.9113899999999999</v>
      </c>
      <c r="K184" s="710">
        <v>0</v>
      </c>
      <c r="L184" s="270"/>
      <c r="M184" s="706" t="str">
        <f t="shared" si="2"/>
        <v>X</v>
      </c>
    </row>
    <row r="185" spans="1:13" ht="14.45" customHeight="1" x14ac:dyDescent="0.2">
      <c r="A185" s="711" t="s">
        <v>509</v>
      </c>
      <c r="B185" s="707">
        <v>0</v>
      </c>
      <c r="C185" s="708">
        <v>25.374980000000001</v>
      </c>
      <c r="D185" s="708">
        <v>25.374980000000001</v>
      </c>
      <c r="E185" s="709">
        <v>0</v>
      </c>
      <c r="F185" s="707">
        <v>0</v>
      </c>
      <c r="G185" s="708">
        <v>0</v>
      </c>
      <c r="H185" s="708">
        <v>0</v>
      </c>
      <c r="I185" s="708">
        <v>0</v>
      </c>
      <c r="J185" s="708">
        <v>0</v>
      </c>
      <c r="K185" s="710">
        <v>0</v>
      </c>
      <c r="L185" s="270"/>
      <c r="M185" s="706" t="str">
        <f t="shared" si="2"/>
        <v/>
      </c>
    </row>
    <row r="186" spans="1:13" ht="14.45" customHeight="1" x14ac:dyDescent="0.2">
      <c r="A186" s="711" t="s">
        <v>510</v>
      </c>
      <c r="B186" s="707">
        <v>0</v>
      </c>
      <c r="C186" s="708">
        <v>3.1838699999999998</v>
      </c>
      <c r="D186" s="708">
        <v>3.1838699999999998</v>
      </c>
      <c r="E186" s="709">
        <v>0</v>
      </c>
      <c r="F186" s="707">
        <v>0</v>
      </c>
      <c r="G186" s="708">
        <v>0</v>
      </c>
      <c r="H186" s="708">
        <v>0</v>
      </c>
      <c r="I186" s="708">
        <v>0</v>
      </c>
      <c r="J186" s="708">
        <v>0</v>
      </c>
      <c r="K186" s="710">
        <v>0</v>
      </c>
      <c r="L186" s="270"/>
      <c r="M186" s="706" t="str">
        <f t="shared" si="2"/>
        <v/>
      </c>
    </row>
    <row r="187" spans="1:13" ht="14.45" customHeight="1" x14ac:dyDescent="0.2">
      <c r="A187" s="711" t="s">
        <v>511</v>
      </c>
      <c r="B187" s="707">
        <v>0</v>
      </c>
      <c r="C187" s="708">
        <v>0</v>
      </c>
      <c r="D187" s="708">
        <v>0</v>
      </c>
      <c r="E187" s="709">
        <v>0</v>
      </c>
      <c r="F187" s="707">
        <v>0</v>
      </c>
      <c r="G187" s="708">
        <v>0</v>
      </c>
      <c r="H187" s="708">
        <v>0</v>
      </c>
      <c r="I187" s="708">
        <v>4.9113899999999999</v>
      </c>
      <c r="J187" s="708">
        <v>4.9113899999999999</v>
      </c>
      <c r="K187" s="710">
        <v>0</v>
      </c>
      <c r="L187" s="270"/>
      <c r="M187" s="706" t="str">
        <f t="shared" si="2"/>
        <v/>
      </c>
    </row>
    <row r="188" spans="1:13" ht="14.45" customHeight="1" x14ac:dyDescent="0.2">
      <c r="A188" s="711" t="s">
        <v>512</v>
      </c>
      <c r="B188" s="707">
        <v>0</v>
      </c>
      <c r="C188" s="708">
        <v>4.4770000000000003</v>
      </c>
      <c r="D188" s="708">
        <v>4.4770000000000003</v>
      </c>
      <c r="E188" s="709">
        <v>0</v>
      </c>
      <c r="F188" s="707">
        <v>10.495414199999999</v>
      </c>
      <c r="G188" s="708">
        <v>4.3730892499999996</v>
      </c>
      <c r="H188" s="708">
        <v>0</v>
      </c>
      <c r="I188" s="708">
        <v>0</v>
      </c>
      <c r="J188" s="708">
        <v>-4.3730892499999996</v>
      </c>
      <c r="K188" s="710">
        <v>0</v>
      </c>
      <c r="L188" s="270"/>
      <c r="M188" s="706" t="str">
        <f t="shared" si="2"/>
        <v>X</v>
      </c>
    </row>
    <row r="189" spans="1:13" ht="14.45" customHeight="1" x14ac:dyDescent="0.2">
      <c r="A189" s="711" t="s">
        <v>513</v>
      </c>
      <c r="B189" s="707">
        <v>0</v>
      </c>
      <c r="C189" s="708">
        <v>4.4770000000000003</v>
      </c>
      <c r="D189" s="708">
        <v>4.4770000000000003</v>
      </c>
      <c r="E189" s="709">
        <v>0</v>
      </c>
      <c r="F189" s="707">
        <v>10.495414199999999</v>
      </c>
      <c r="G189" s="708">
        <v>4.3730892499999996</v>
      </c>
      <c r="H189" s="708">
        <v>0</v>
      </c>
      <c r="I189" s="708">
        <v>0</v>
      </c>
      <c r="J189" s="708">
        <v>-4.3730892499999996</v>
      </c>
      <c r="K189" s="710">
        <v>0</v>
      </c>
      <c r="L189" s="270"/>
      <c r="M189" s="706" t="str">
        <f t="shared" si="2"/>
        <v/>
      </c>
    </row>
    <row r="190" spans="1:13" ht="14.45" customHeight="1" x14ac:dyDescent="0.2">
      <c r="A190" s="711" t="s">
        <v>514</v>
      </c>
      <c r="B190" s="707">
        <v>0</v>
      </c>
      <c r="C190" s="708">
        <v>58.443199999999997</v>
      </c>
      <c r="D190" s="708">
        <v>58.443199999999997</v>
      </c>
      <c r="E190" s="709">
        <v>0</v>
      </c>
      <c r="F190" s="707">
        <v>0</v>
      </c>
      <c r="G190" s="708">
        <v>0</v>
      </c>
      <c r="H190" s="708">
        <v>0</v>
      </c>
      <c r="I190" s="708">
        <v>0</v>
      </c>
      <c r="J190" s="708">
        <v>0</v>
      </c>
      <c r="K190" s="710">
        <v>0</v>
      </c>
      <c r="L190" s="270"/>
      <c r="M190" s="706" t="str">
        <f t="shared" si="2"/>
        <v>X</v>
      </c>
    </row>
    <row r="191" spans="1:13" ht="14.45" customHeight="1" x14ac:dyDescent="0.2">
      <c r="A191" s="711" t="s">
        <v>515</v>
      </c>
      <c r="B191" s="707">
        <v>0</v>
      </c>
      <c r="C191" s="708">
        <v>35.937199999999997</v>
      </c>
      <c r="D191" s="708">
        <v>35.937199999999997</v>
      </c>
      <c r="E191" s="709">
        <v>0</v>
      </c>
      <c r="F191" s="707">
        <v>0</v>
      </c>
      <c r="G191" s="708">
        <v>0</v>
      </c>
      <c r="H191" s="708">
        <v>0</v>
      </c>
      <c r="I191" s="708">
        <v>0</v>
      </c>
      <c r="J191" s="708">
        <v>0</v>
      </c>
      <c r="K191" s="710">
        <v>0</v>
      </c>
      <c r="L191" s="270"/>
      <c r="M191" s="706" t="str">
        <f t="shared" si="2"/>
        <v/>
      </c>
    </row>
    <row r="192" spans="1:13" ht="14.45" customHeight="1" x14ac:dyDescent="0.2">
      <c r="A192" s="711" t="s">
        <v>516</v>
      </c>
      <c r="B192" s="707">
        <v>0</v>
      </c>
      <c r="C192" s="708">
        <v>22.506</v>
      </c>
      <c r="D192" s="708">
        <v>22.506</v>
      </c>
      <c r="E192" s="709">
        <v>0</v>
      </c>
      <c r="F192" s="707">
        <v>0</v>
      </c>
      <c r="G192" s="708">
        <v>0</v>
      </c>
      <c r="H192" s="708">
        <v>0</v>
      </c>
      <c r="I192" s="708">
        <v>0</v>
      </c>
      <c r="J192" s="708">
        <v>0</v>
      </c>
      <c r="K192" s="710">
        <v>0</v>
      </c>
      <c r="L192" s="270"/>
      <c r="M192" s="706" t="str">
        <f t="shared" si="2"/>
        <v/>
      </c>
    </row>
    <row r="193" spans="1:13" ht="14.45" customHeight="1" x14ac:dyDescent="0.2">
      <c r="A193" s="711" t="s">
        <v>517</v>
      </c>
      <c r="B193" s="707">
        <v>188629.166612</v>
      </c>
      <c r="C193" s="708">
        <v>198986.50241999998</v>
      </c>
      <c r="D193" s="708">
        <v>10357.335807999974</v>
      </c>
      <c r="E193" s="709">
        <v>1.0549084534169864</v>
      </c>
      <c r="F193" s="707">
        <v>140.8994156</v>
      </c>
      <c r="G193" s="708">
        <v>58.708089833333332</v>
      </c>
      <c r="H193" s="708">
        <v>16631.518690000001</v>
      </c>
      <c r="I193" s="708">
        <v>74746.047619999998</v>
      </c>
      <c r="J193" s="708">
        <v>74687.339530166661</v>
      </c>
      <c r="K193" s="710">
        <v>530.49224726521857</v>
      </c>
      <c r="L193" s="270"/>
      <c r="M193" s="706" t="str">
        <f t="shared" si="2"/>
        <v/>
      </c>
    </row>
    <row r="194" spans="1:13" ht="14.45" customHeight="1" x14ac:dyDescent="0.2">
      <c r="A194" s="711" t="s">
        <v>518</v>
      </c>
      <c r="B194" s="707">
        <v>188629.166612</v>
      </c>
      <c r="C194" s="708">
        <v>198811.45299000002</v>
      </c>
      <c r="D194" s="708">
        <v>10182.286378000019</v>
      </c>
      <c r="E194" s="709">
        <v>1.0539804451288513</v>
      </c>
      <c r="F194" s="707">
        <v>0.42972160000000004</v>
      </c>
      <c r="G194" s="708">
        <v>0.17905066666666666</v>
      </c>
      <c r="H194" s="708">
        <v>16624.397689999998</v>
      </c>
      <c r="I194" s="708">
        <v>74730.676619999998</v>
      </c>
      <c r="J194" s="708">
        <v>74730.497569333325</v>
      </c>
      <c r="K194" s="710">
        <v>173904.86449831704</v>
      </c>
      <c r="L194" s="270"/>
      <c r="M194" s="706" t="str">
        <f t="shared" si="2"/>
        <v/>
      </c>
    </row>
    <row r="195" spans="1:13" ht="14.45" customHeight="1" x14ac:dyDescent="0.2">
      <c r="A195" s="711" t="s">
        <v>519</v>
      </c>
      <c r="B195" s="707">
        <v>188629.166612</v>
      </c>
      <c r="C195" s="708">
        <v>198811.45299000002</v>
      </c>
      <c r="D195" s="708">
        <v>10182.286378000019</v>
      </c>
      <c r="E195" s="709">
        <v>1.0539804451288513</v>
      </c>
      <c r="F195" s="707">
        <v>0.42972160000000004</v>
      </c>
      <c r="G195" s="708">
        <v>0.17905066666666666</v>
      </c>
      <c r="H195" s="708">
        <v>16624.397689999998</v>
      </c>
      <c r="I195" s="708">
        <v>74730.676619999998</v>
      </c>
      <c r="J195" s="708">
        <v>74730.497569333325</v>
      </c>
      <c r="K195" s="710">
        <v>173904.86449831704</v>
      </c>
      <c r="L195" s="270"/>
      <c r="M195" s="706" t="str">
        <f t="shared" si="2"/>
        <v/>
      </c>
    </row>
    <row r="196" spans="1:13" ht="14.45" customHeight="1" x14ac:dyDescent="0.2">
      <c r="A196" s="711" t="s">
        <v>520</v>
      </c>
      <c r="B196" s="707">
        <v>1.7041269999999999</v>
      </c>
      <c r="C196" s="708">
        <v>0.44241000000000003</v>
      </c>
      <c r="D196" s="708">
        <v>-1.261717</v>
      </c>
      <c r="E196" s="709">
        <v>0.25961093275325142</v>
      </c>
      <c r="F196" s="707">
        <v>0.42972160000000004</v>
      </c>
      <c r="G196" s="708">
        <v>0.17905066666666666</v>
      </c>
      <c r="H196" s="708">
        <v>0</v>
      </c>
      <c r="I196" s="708">
        <v>0</v>
      </c>
      <c r="J196" s="708">
        <v>-0.17905066666666666</v>
      </c>
      <c r="K196" s="710">
        <v>0</v>
      </c>
      <c r="L196" s="270"/>
      <c r="M196" s="706" t="str">
        <f t="shared" si="2"/>
        <v>X</v>
      </c>
    </row>
    <row r="197" spans="1:13" ht="14.45" customHeight="1" x14ac:dyDescent="0.2">
      <c r="A197" s="711" t="s">
        <v>521</v>
      </c>
      <c r="B197" s="707">
        <v>0.46138499999999999</v>
      </c>
      <c r="C197" s="708">
        <v>0.35041</v>
      </c>
      <c r="D197" s="708">
        <v>-0.11097499999999999</v>
      </c>
      <c r="E197" s="709">
        <v>0.75947419183545195</v>
      </c>
      <c r="F197" s="707">
        <v>0.34400770000000003</v>
      </c>
      <c r="G197" s="708">
        <v>0.14333654166666668</v>
      </c>
      <c r="H197" s="708">
        <v>0</v>
      </c>
      <c r="I197" s="708">
        <v>0</v>
      </c>
      <c r="J197" s="708">
        <v>-0.14333654166666668</v>
      </c>
      <c r="K197" s="710">
        <v>0</v>
      </c>
      <c r="L197" s="270"/>
      <c r="M197" s="706" t="str">
        <f t="shared" si="2"/>
        <v/>
      </c>
    </row>
    <row r="198" spans="1:13" ht="14.45" customHeight="1" x14ac:dyDescent="0.2">
      <c r="A198" s="711" t="s">
        <v>522</v>
      </c>
      <c r="B198" s="707">
        <v>0</v>
      </c>
      <c r="C198" s="708">
        <v>9.1999999999999998E-2</v>
      </c>
      <c r="D198" s="708">
        <v>9.1999999999999998E-2</v>
      </c>
      <c r="E198" s="709">
        <v>0</v>
      </c>
      <c r="F198" s="707">
        <v>8.5713899999999996E-2</v>
      </c>
      <c r="G198" s="708">
        <v>3.5714124999999999E-2</v>
      </c>
      <c r="H198" s="708">
        <v>0</v>
      </c>
      <c r="I198" s="708">
        <v>0</v>
      </c>
      <c r="J198" s="708">
        <v>-3.5714124999999999E-2</v>
      </c>
      <c r="K198" s="710">
        <v>0</v>
      </c>
      <c r="L198" s="270"/>
      <c r="M198" s="706" t="str">
        <f t="shared" ref="M198:M261" si="3">IF(A198="HV","HV",IF(OR(LEFT(A198,16)="               5",LEFT(A198,16)="               6",LEFT(A198,16)="               7",LEFT(A198,16)="               8"),"X",""))</f>
        <v/>
      </c>
    </row>
    <row r="199" spans="1:13" ht="14.45" customHeight="1" x14ac:dyDescent="0.2">
      <c r="A199" s="711" t="s">
        <v>523</v>
      </c>
      <c r="B199" s="707">
        <v>1.242742</v>
      </c>
      <c r="C199" s="708">
        <v>0</v>
      </c>
      <c r="D199" s="708">
        <v>-1.242742</v>
      </c>
      <c r="E199" s="709">
        <v>0</v>
      </c>
      <c r="F199" s="707">
        <v>0</v>
      </c>
      <c r="G199" s="708">
        <v>0</v>
      </c>
      <c r="H199" s="708">
        <v>0</v>
      </c>
      <c r="I199" s="708">
        <v>0</v>
      </c>
      <c r="J199" s="708">
        <v>0</v>
      </c>
      <c r="K199" s="710">
        <v>0</v>
      </c>
      <c r="L199" s="270"/>
      <c r="M199" s="706" t="str">
        <f t="shared" si="3"/>
        <v/>
      </c>
    </row>
    <row r="200" spans="1:13" ht="14.45" customHeight="1" x14ac:dyDescent="0.2">
      <c r="A200" s="711" t="s">
        <v>524</v>
      </c>
      <c r="B200" s="707">
        <v>4.5554899999999998</v>
      </c>
      <c r="C200" s="708">
        <v>589.21073000000001</v>
      </c>
      <c r="D200" s="708">
        <v>584.65524000000005</v>
      </c>
      <c r="E200" s="709">
        <v>129.34080197739431</v>
      </c>
      <c r="F200" s="707">
        <v>0</v>
      </c>
      <c r="G200" s="708">
        <v>0</v>
      </c>
      <c r="H200" s="708">
        <v>0.43164999999999998</v>
      </c>
      <c r="I200" s="708">
        <v>2.03607</v>
      </c>
      <c r="J200" s="708">
        <v>2.03607</v>
      </c>
      <c r="K200" s="710">
        <v>0</v>
      </c>
      <c r="L200" s="270"/>
      <c r="M200" s="706" t="str">
        <f t="shared" si="3"/>
        <v>X</v>
      </c>
    </row>
    <row r="201" spans="1:13" ht="14.45" customHeight="1" x14ac:dyDescent="0.2">
      <c r="A201" s="711" t="s">
        <v>525</v>
      </c>
      <c r="B201" s="707">
        <v>4.5554899999999998</v>
      </c>
      <c r="C201" s="708">
        <v>2.1475599999999999</v>
      </c>
      <c r="D201" s="708">
        <v>-2.4079299999999999</v>
      </c>
      <c r="E201" s="709">
        <v>0.47142239363932309</v>
      </c>
      <c r="F201" s="707">
        <v>0</v>
      </c>
      <c r="G201" s="708">
        <v>0</v>
      </c>
      <c r="H201" s="708">
        <v>0</v>
      </c>
      <c r="I201" s="708">
        <v>0</v>
      </c>
      <c r="J201" s="708">
        <v>0</v>
      </c>
      <c r="K201" s="710">
        <v>0</v>
      </c>
      <c r="L201" s="270"/>
      <c r="M201" s="706" t="str">
        <f t="shared" si="3"/>
        <v/>
      </c>
    </row>
    <row r="202" spans="1:13" ht="14.45" customHeight="1" x14ac:dyDescent="0.2">
      <c r="A202" s="711" t="s">
        <v>526</v>
      </c>
      <c r="B202" s="707">
        <v>0</v>
      </c>
      <c r="C202" s="708">
        <v>587.06317000000001</v>
      </c>
      <c r="D202" s="708">
        <v>587.06317000000001</v>
      </c>
      <c r="E202" s="709">
        <v>0</v>
      </c>
      <c r="F202" s="707">
        <v>0</v>
      </c>
      <c r="G202" s="708">
        <v>0</v>
      </c>
      <c r="H202" s="708">
        <v>0.43164999999999998</v>
      </c>
      <c r="I202" s="708">
        <v>2.03607</v>
      </c>
      <c r="J202" s="708">
        <v>2.03607</v>
      </c>
      <c r="K202" s="710">
        <v>0</v>
      </c>
      <c r="L202" s="270"/>
      <c r="M202" s="706" t="str">
        <f t="shared" si="3"/>
        <v/>
      </c>
    </row>
    <row r="203" spans="1:13" ht="14.45" customHeight="1" x14ac:dyDescent="0.2">
      <c r="A203" s="711" t="s">
        <v>527</v>
      </c>
      <c r="B203" s="707">
        <v>188622.906995</v>
      </c>
      <c r="C203" s="708">
        <v>191607.47712999998</v>
      </c>
      <c r="D203" s="708">
        <v>2984.5701349999872</v>
      </c>
      <c r="E203" s="709">
        <v>1.0158229463353521</v>
      </c>
      <c r="F203" s="707">
        <v>0</v>
      </c>
      <c r="G203" s="708">
        <v>0</v>
      </c>
      <c r="H203" s="708">
        <v>16623.966039999999</v>
      </c>
      <c r="I203" s="708">
        <v>74719.57815999999</v>
      </c>
      <c r="J203" s="708">
        <v>74719.57815999999</v>
      </c>
      <c r="K203" s="710">
        <v>0</v>
      </c>
      <c r="L203" s="270"/>
      <c r="M203" s="706" t="str">
        <f t="shared" si="3"/>
        <v>X</v>
      </c>
    </row>
    <row r="204" spans="1:13" ht="14.45" customHeight="1" x14ac:dyDescent="0.2">
      <c r="A204" s="711" t="s">
        <v>528</v>
      </c>
      <c r="B204" s="707">
        <v>188622.906995</v>
      </c>
      <c r="C204" s="708">
        <v>191607.47712999998</v>
      </c>
      <c r="D204" s="708">
        <v>2984.5701349999872</v>
      </c>
      <c r="E204" s="709">
        <v>1.0158229463353521</v>
      </c>
      <c r="F204" s="707">
        <v>0</v>
      </c>
      <c r="G204" s="708">
        <v>0</v>
      </c>
      <c r="H204" s="708">
        <v>16623.966039999999</v>
      </c>
      <c r="I204" s="708">
        <v>74719.57815999999</v>
      </c>
      <c r="J204" s="708">
        <v>74719.57815999999</v>
      </c>
      <c r="K204" s="710">
        <v>0</v>
      </c>
      <c r="L204" s="270"/>
      <c r="M204" s="706" t="str">
        <f t="shared" si="3"/>
        <v/>
      </c>
    </row>
    <row r="205" spans="1:13" ht="14.45" customHeight="1" x14ac:dyDescent="0.2">
      <c r="A205" s="711" t="s">
        <v>529</v>
      </c>
      <c r="B205" s="707">
        <v>0</v>
      </c>
      <c r="C205" s="708">
        <v>6614.3227200000001</v>
      </c>
      <c r="D205" s="708">
        <v>6614.3227200000001</v>
      </c>
      <c r="E205" s="709">
        <v>0</v>
      </c>
      <c r="F205" s="707">
        <v>0</v>
      </c>
      <c r="G205" s="708">
        <v>0</v>
      </c>
      <c r="H205" s="708">
        <v>0</v>
      </c>
      <c r="I205" s="708">
        <v>9.0623899999999988</v>
      </c>
      <c r="J205" s="708">
        <v>9.0623899999999988</v>
      </c>
      <c r="K205" s="710">
        <v>0</v>
      </c>
      <c r="L205" s="270"/>
      <c r="M205" s="706" t="str">
        <f t="shared" si="3"/>
        <v>X</v>
      </c>
    </row>
    <row r="206" spans="1:13" ht="14.45" customHeight="1" x14ac:dyDescent="0.2">
      <c r="A206" s="711" t="s">
        <v>530</v>
      </c>
      <c r="B206" s="707">
        <v>0</v>
      </c>
      <c r="C206" s="708">
        <v>6614.3227200000001</v>
      </c>
      <c r="D206" s="708">
        <v>6614.3227200000001</v>
      </c>
      <c r="E206" s="709">
        <v>0</v>
      </c>
      <c r="F206" s="707">
        <v>0</v>
      </c>
      <c r="G206" s="708">
        <v>0</v>
      </c>
      <c r="H206" s="708">
        <v>0</v>
      </c>
      <c r="I206" s="708">
        <v>9.0623899999999988</v>
      </c>
      <c r="J206" s="708">
        <v>9.0623899999999988</v>
      </c>
      <c r="K206" s="710">
        <v>0</v>
      </c>
      <c r="L206" s="270"/>
      <c r="M206" s="706" t="str">
        <f t="shared" si="3"/>
        <v/>
      </c>
    </row>
    <row r="207" spans="1:13" ht="14.45" customHeight="1" x14ac:dyDescent="0.2">
      <c r="A207" s="711" t="s">
        <v>531</v>
      </c>
      <c r="B207" s="707">
        <v>0</v>
      </c>
      <c r="C207" s="708">
        <v>74.794429999999991</v>
      </c>
      <c r="D207" s="708">
        <v>74.794429999999991</v>
      </c>
      <c r="E207" s="709">
        <v>0</v>
      </c>
      <c r="F207" s="707">
        <v>4.3169529000000004</v>
      </c>
      <c r="G207" s="708">
        <v>1.7987303750000003</v>
      </c>
      <c r="H207" s="708">
        <v>0.75</v>
      </c>
      <c r="I207" s="708">
        <v>9</v>
      </c>
      <c r="J207" s="708">
        <v>7.2012696250000001</v>
      </c>
      <c r="K207" s="710">
        <v>2.0848038439335297</v>
      </c>
      <c r="L207" s="270"/>
      <c r="M207" s="706" t="str">
        <f t="shared" si="3"/>
        <v/>
      </c>
    </row>
    <row r="208" spans="1:13" ht="14.45" customHeight="1" x14ac:dyDescent="0.2">
      <c r="A208" s="711" t="s">
        <v>532</v>
      </c>
      <c r="B208" s="707">
        <v>0</v>
      </c>
      <c r="C208" s="708">
        <v>69.25</v>
      </c>
      <c r="D208" s="708">
        <v>69.25</v>
      </c>
      <c r="E208" s="709">
        <v>0</v>
      </c>
      <c r="F208" s="707">
        <v>0</v>
      </c>
      <c r="G208" s="708">
        <v>0</v>
      </c>
      <c r="H208" s="708">
        <v>0.75</v>
      </c>
      <c r="I208" s="708">
        <v>9</v>
      </c>
      <c r="J208" s="708">
        <v>9</v>
      </c>
      <c r="K208" s="710">
        <v>0</v>
      </c>
      <c r="L208" s="270"/>
      <c r="M208" s="706" t="str">
        <f t="shared" si="3"/>
        <v/>
      </c>
    </row>
    <row r="209" spans="1:13" ht="14.45" customHeight="1" x14ac:dyDescent="0.2">
      <c r="A209" s="711" t="s">
        <v>533</v>
      </c>
      <c r="B209" s="707">
        <v>0</v>
      </c>
      <c r="C209" s="708">
        <v>69.25</v>
      </c>
      <c r="D209" s="708">
        <v>69.25</v>
      </c>
      <c r="E209" s="709">
        <v>0</v>
      </c>
      <c r="F209" s="707">
        <v>0</v>
      </c>
      <c r="G209" s="708">
        <v>0</v>
      </c>
      <c r="H209" s="708">
        <v>0.75</v>
      </c>
      <c r="I209" s="708">
        <v>9</v>
      </c>
      <c r="J209" s="708">
        <v>9</v>
      </c>
      <c r="K209" s="710">
        <v>0</v>
      </c>
      <c r="L209" s="270"/>
      <c r="M209" s="706" t="str">
        <f t="shared" si="3"/>
        <v>X</v>
      </c>
    </row>
    <row r="210" spans="1:13" ht="14.45" customHeight="1" x14ac:dyDescent="0.2">
      <c r="A210" s="711" t="s">
        <v>534</v>
      </c>
      <c r="B210" s="707">
        <v>0</v>
      </c>
      <c r="C210" s="708">
        <v>69.25</v>
      </c>
      <c r="D210" s="708">
        <v>69.25</v>
      </c>
      <c r="E210" s="709">
        <v>0</v>
      </c>
      <c r="F210" s="707">
        <v>0</v>
      </c>
      <c r="G210" s="708">
        <v>0</v>
      </c>
      <c r="H210" s="708">
        <v>0.75</v>
      </c>
      <c r="I210" s="708">
        <v>9</v>
      </c>
      <c r="J210" s="708">
        <v>9</v>
      </c>
      <c r="K210" s="710">
        <v>0</v>
      </c>
      <c r="L210" s="270"/>
      <c r="M210" s="706" t="str">
        <f t="shared" si="3"/>
        <v/>
      </c>
    </row>
    <row r="211" spans="1:13" ht="14.45" customHeight="1" x14ac:dyDescent="0.2">
      <c r="A211" s="711" t="s">
        <v>535</v>
      </c>
      <c r="B211" s="707">
        <v>0</v>
      </c>
      <c r="C211" s="708">
        <v>5.5444300000000002</v>
      </c>
      <c r="D211" s="708">
        <v>5.5444300000000002</v>
      </c>
      <c r="E211" s="709">
        <v>0</v>
      </c>
      <c r="F211" s="707">
        <v>4.3169529000000004</v>
      </c>
      <c r="G211" s="708">
        <v>1.7987303750000003</v>
      </c>
      <c r="H211" s="708">
        <v>0</v>
      </c>
      <c r="I211" s="708">
        <v>0</v>
      </c>
      <c r="J211" s="708">
        <v>-1.7987303750000003</v>
      </c>
      <c r="K211" s="710">
        <v>0</v>
      </c>
      <c r="L211" s="270"/>
      <c r="M211" s="706" t="str">
        <f t="shared" si="3"/>
        <v/>
      </c>
    </row>
    <row r="212" spans="1:13" ht="14.45" customHeight="1" x14ac:dyDescent="0.2">
      <c r="A212" s="711" t="s">
        <v>536</v>
      </c>
      <c r="B212" s="707">
        <v>0</v>
      </c>
      <c r="C212" s="708">
        <v>-2.5000000000000001E-4</v>
      </c>
      <c r="D212" s="708">
        <v>-2.5000000000000001E-4</v>
      </c>
      <c r="E212" s="709">
        <v>0</v>
      </c>
      <c r="F212" s="707">
        <v>0</v>
      </c>
      <c r="G212" s="708">
        <v>0</v>
      </c>
      <c r="H212" s="708">
        <v>0</v>
      </c>
      <c r="I212" s="708">
        <v>0</v>
      </c>
      <c r="J212" s="708">
        <v>0</v>
      </c>
      <c r="K212" s="710">
        <v>0</v>
      </c>
      <c r="L212" s="270"/>
      <c r="M212" s="706" t="str">
        <f t="shared" si="3"/>
        <v>X</v>
      </c>
    </row>
    <row r="213" spans="1:13" ht="14.45" customHeight="1" x14ac:dyDescent="0.2">
      <c r="A213" s="711" t="s">
        <v>537</v>
      </c>
      <c r="B213" s="707">
        <v>0</v>
      </c>
      <c r="C213" s="708">
        <v>-2.5000000000000001E-4</v>
      </c>
      <c r="D213" s="708">
        <v>-2.5000000000000001E-4</v>
      </c>
      <c r="E213" s="709">
        <v>0</v>
      </c>
      <c r="F213" s="707">
        <v>0</v>
      </c>
      <c r="G213" s="708">
        <v>0</v>
      </c>
      <c r="H213" s="708">
        <v>0</v>
      </c>
      <c r="I213" s="708">
        <v>0</v>
      </c>
      <c r="J213" s="708">
        <v>0</v>
      </c>
      <c r="K213" s="710">
        <v>0</v>
      </c>
      <c r="L213" s="270"/>
      <c r="M213" s="706" t="str">
        <f t="shared" si="3"/>
        <v/>
      </c>
    </row>
    <row r="214" spans="1:13" ht="14.45" customHeight="1" x14ac:dyDescent="0.2">
      <c r="A214" s="711" t="s">
        <v>538</v>
      </c>
      <c r="B214" s="707">
        <v>0</v>
      </c>
      <c r="C214" s="708">
        <v>5.5446800000000005</v>
      </c>
      <c r="D214" s="708">
        <v>5.5446800000000005</v>
      </c>
      <c r="E214" s="709">
        <v>0</v>
      </c>
      <c r="F214" s="707">
        <v>4.3169529000000004</v>
      </c>
      <c r="G214" s="708">
        <v>1.7987303750000003</v>
      </c>
      <c r="H214" s="708">
        <v>0</v>
      </c>
      <c r="I214" s="708">
        <v>0</v>
      </c>
      <c r="J214" s="708">
        <v>-1.7987303750000003</v>
      </c>
      <c r="K214" s="710">
        <v>0</v>
      </c>
      <c r="L214" s="270"/>
      <c r="M214" s="706" t="str">
        <f t="shared" si="3"/>
        <v>X</v>
      </c>
    </row>
    <row r="215" spans="1:13" ht="14.45" customHeight="1" x14ac:dyDescent="0.2">
      <c r="A215" s="711" t="s">
        <v>539</v>
      </c>
      <c r="B215" s="707">
        <v>0</v>
      </c>
      <c r="C215" s="708">
        <v>0.16200000000000001</v>
      </c>
      <c r="D215" s="708">
        <v>0.16200000000000001</v>
      </c>
      <c r="E215" s="709">
        <v>0</v>
      </c>
      <c r="F215" s="707">
        <v>9.9149500000000002E-2</v>
      </c>
      <c r="G215" s="708">
        <v>4.1312291666666667E-2</v>
      </c>
      <c r="H215" s="708">
        <v>0</v>
      </c>
      <c r="I215" s="708">
        <v>0</v>
      </c>
      <c r="J215" s="708">
        <v>-4.1312291666666667E-2</v>
      </c>
      <c r="K215" s="710">
        <v>0</v>
      </c>
      <c r="L215" s="270"/>
      <c r="M215" s="706" t="str">
        <f t="shared" si="3"/>
        <v/>
      </c>
    </row>
    <row r="216" spans="1:13" ht="14.45" customHeight="1" x14ac:dyDescent="0.2">
      <c r="A216" s="711" t="s">
        <v>540</v>
      </c>
      <c r="B216" s="707">
        <v>0</v>
      </c>
      <c r="C216" s="708">
        <v>5.21E-2</v>
      </c>
      <c r="D216" s="708">
        <v>5.21E-2</v>
      </c>
      <c r="E216" s="709">
        <v>0</v>
      </c>
      <c r="F216" s="707">
        <v>0</v>
      </c>
      <c r="G216" s="708">
        <v>0</v>
      </c>
      <c r="H216" s="708">
        <v>0</v>
      </c>
      <c r="I216" s="708">
        <v>0</v>
      </c>
      <c r="J216" s="708">
        <v>0</v>
      </c>
      <c r="K216" s="710">
        <v>0</v>
      </c>
      <c r="L216" s="270"/>
      <c r="M216" s="706" t="str">
        <f t="shared" si="3"/>
        <v/>
      </c>
    </row>
    <row r="217" spans="1:13" ht="14.45" customHeight="1" x14ac:dyDescent="0.2">
      <c r="A217" s="711" t="s">
        <v>541</v>
      </c>
      <c r="B217" s="707">
        <v>0</v>
      </c>
      <c r="C217" s="708">
        <v>5.3305800000000003</v>
      </c>
      <c r="D217" s="708">
        <v>5.3305800000000003</v>
      </c>
      <c r="E217" s="709">
        <v>0</v>
      </c>
      <c r="F217" s="707">
        <v>4.2178034000000002</v>
      </c>
      <c r="G217" s="708">
        <v>1.7574180833333333</v>
      </c>
      <c r="H217" s="708">
        <v>0</v>
      </c>
      <c r="I217" s="708">
        <v>0</v>
      </c>
      <c r="J217" s="708">
        <v>-1.7574180833333333</v>
      </c>
      <c r="K217" s="710">
        <v>0</v>
      </c>
      <c r="L217" s="270"/>
      <c r="M217" s="706" t="str">
        <f t="shared" si="3"/>
        <v/>
      </c>
    </row>
    <row r="218" spans="1:13" ht="14.45" customHeight="1" x14ac:dyDescent="0.2">
      <c r="A218" s="711" t="s">
        <v>542</v>
      </c>
      <c r="B218" s="707">
        <v>0</v>
      </c>
      <c r="C218" s="708">
        <v>100.255</v>
      </c>
      <c r="D218" s="708">
        <v>100.255</v>
      </c>
      <c r="E218" s="709">
        <v>0</v>
      </c>
      <c r="F218" s="707">
        <v>136.15274110000001</v>
      </c>
      <c r="G218" s="708">
        <v>56.730308791666673</v>
      </c>
      <c r="H218" s="708">
        <v>6.3710000000000004</v>
      </c>
      <c r="I218" s="708">
        <v>6.3710000000000004</v>
      </c>
      <c r="J218" s="708">
        <v>-50.35930879166667</v>
      </c>
      <c r="K218" s="710">
        <v>4.6793035149550875E-2</v>
      </c>
      <c r="L218" s="270"/>
      <c r="M218" s="706" t="str">
        <f t="shared" si="3"/>
        <v/>
      </c>
    </row>
    <row r="219" spans="1:13" ht="14.45" customHeight="1" x14ac:dyDescent="0.2">
      <c r="A219" s="711" t="s">
        <v>543</v>
      </c>
      <c r="B219" s="707">
        <v>0</v>
      </c>
      <c r="C219" s="708">
        <v>100.255</v>
      </c>
      <c r="D219" s="708">
        <v>100.255</v>
      </c>
      <c r="E219" s="709">
        <v>0</v>
      </c>
      <c r="F219" s="707">
        <v>136.15274110000001</v>
      </c>
      <c r="G219" s="708">
        <v>56.730308791666673</v>
      </c>
      <c r="H219" s="708">
        <v>6.3710000000000004</v>
      </c>
      <c r="I219" s="708">
        <v>6.3710000000000004</v>
      </c>
      <c r="J219" s="708">
        <v>-50.35930879166667</v>
      </c>
      <c r="K219" s="710">
        <v>4.6793035149550875E-2</v>
      </c>
      <c r="L219" s="270"/>
      <c r="M219" s="706" t="str">
        <f t="shared" si="3"/>
        <v/>
      </c>
    </row>
    <row r="220" spans="1:13" ht="14.45" customHeight="1" x14ac:dyDescent="0.2">
      <c r="A220" s="711" t="s">
        <v>544</v>
      </c>
      <c r="B220" s="707">
        <v>0</v>
      </c>
      <c r="C220" s="708">
        <v>100.255</v>
      </c>
      <c r="D220" s="708">
        <v>100.255</v>
      </c>
      <c r="E220" s="709">
        <v>0</v>
      </c>
      <c r="F220" s="707">
        <v>136.15274110000001</v>
      </c>
      <c r="G220" s="708">
        <v>56.730308791666673</v>
      </c>
      <c r="H220" s="708">
        <v>6.3710000000000004</v>
      </c>
      <c r="I220" s="708">
        <v>6.3710000000000004</v>
      </c>
      <c r="J220" s="708">
        <v>-50.35930879166667</v>
      </c>
      <c r="K220" s="710">
        <v>4.6793035149550875E-2</v>
      </c>
      <c r="L220" s="270"/>
      <c r="M220" s="706" t="str">
        <f t="shared" si="3"/>
        <v>X</v>
      </c>
    </row>
    <row r="221" spans="1:13" ht="14.45" customHeight="1" x14ac:dyDescent="0.2">
      <c r="A221" s="711" t="s">
        <v>545</v>
      </c>
      <c r="B221" s="707">
        <v>0</v>
      </c>
      <c r="C221" s="708">
        <v>100.255</v>
      </c>
      <c r="D221" s="708">
        <v>100.255</v>
      </c>
      <c r="E221" s="709">
        <v>0</v>
      </c>
      <c r="F221" s="707">
        <v>136.15274110000001</v>
      </c>
      <c r="G221" s="708">
        <v>56.730308791666673</v>
      </c>
      <c r="H221" s="708">
        <v>6.3710000000000004</v>
      </c>
      <c r="I221" s="708">
        <v>6.3710000000000004</v>
      </c>
      <c r="J221" s="708">
        <v>-50.35930879166667</v>
      </c>
      <c r="K221" s="710">
        <v>4.6793035149550875E-2</v>
      </c>
      <c r="L221" s="270"/>
      <c r="M221" s="706" t="str">
        <f t="shared" si="3"/>
        <v/>
      </c>
    </row>
    <row r="222" spans="1:13" ht="14.45" customHeight="1" x14ac:dyDescent="0.2">
      <c r="A222" s="711" t="s">
        <v>546</v>
      </c>
      <c r="B222" s="707">
        <v>0</v>
      </c>
      <c r="C222" s="708">
        <v>13891.53285</v>
      </c>
      <c r="D222" s="708">
        <v>13891.53285</v>
      </c>
      <c r="E222" s="709">
        <v>0</v>
      </c>
      <c r="F222" s="707">
        <v>0</v>
      </c>
      <c r="G222" s="708">
        <v>0</v>
      </c>
      <c r="H222" s="708">
        <v>1060.78973</v>
      </c>
      <c r="I222" s="708">
        <v>5996.8500800000002</v>
      </c>
      <c r="J222" s="708">
        <v>5996.8500800000002</v>
      </c>
      <c r="K222" s="710">
        <v>0</v>
      </c>
      <c r="L222" s="270"/>
      <c r="M222" s="706" t="str">
        <f t="shared" si="3"/>
        <v/>
      </c>
    </row>
    <row r="223" spans="1:13" ht="14.45" customHeight="1" x14ac:dyDescent="0.2">
      <c r="A223" s="711" t="s">
        <v>547</v>
      </c>
      <c r="B223" s="707">
        <v>0</v>
      </c>
      <c r="C223" s="708">
        <v>13891.53285</v>
      </c>
      <c r="D223" s="708">
        <v>13891.53285</v>
      </c>
      <c r="E223" s="709">
        <v>0</v>
      </c>
      <c r="F223" s="707">
        <v>0</v>
      </c>
      <c r="G223" s="708">
        <v>0</v>
      </c>
      <c r="H223" s="708">
        <v>1060.78973</v>
      </c>
      <c r="I223" s="708">
        <v>5996.8500800000002</v>
      </c>
      <c r="J223" s="708">
        <v>5996.8500800000002</v>
      </c>
      <c r="K223" s="710">
        <v>0</v>
      </c>
      <c r="L223" s="270"/>
      <c r="M223" s="706" t="str">
        <f t="shared" si="3"/>
        <v/>
      </c>
    </row>
    <row r="224" spans="1:13" ht="14.45" customHeight="1" x14ac:dyDescent="0.2">
      <c r="A224" s="711" t="s">
        <v>548</v>
      </c>
      <c r="B224" s="707">
        <v>0</v>
      </c>
      <c r="C224" s="708">
        <v>13891.53285</v>
      </c>
      <c r="D224" s="708">
        <v>13891.53285</v>
      </c>
      <c r="E224" s="709">
        <v>0</v>
      </c>
      <c r="F224" s="707">
        <v>0</v>
      </c>
      <c r="G224" s="708">
        <v>0</v>
      </c>
      <c r="H224" s="708">
        <v>1060.78973</v>
      </c>
      <c r="I224" s="708">
        <v>5996.8500800000002</v>
      </c>
      <c r="J224" s="708">
        <v>5996.8500800000002</v>
      </c>
      <c r="K224" s="710">
        <v>0</v>
      </c>
      <c r="L224" s="270"/>
      <c r="M224" s="706" t="str">
        <f t="shared" si="3"/>
        <v/>
      </c>
    </row>
    <row r="225" spans="1:13" ht="14.45" customHeight="1" x14ac:dyDescent="0.2">
      <c r="A225" s="711" t="s">
        <v>549</v>
      </c>
      <c r="B225" s="707">
        <v>0</v>
      </c>
      <c r="C225" s="708">
        <v>393.96021000000002</v>
      </c>
      <c r="D225" s="708">
        <v>393.96021000000002</v>
      </c>
      <c r="E225" s="709">
        <v>0</v>
      </c>
      <c r="F225" s="707">
        <v>0</v>
      </c>
      <c r="G225" s="708">
        <v>0</v>
      </c>
      <c r="H225" s="708">
        <v>201.83565999999999</v>
      </c>
      <c r="I225" s="708">
        <v>313.97561999999999</v>
      </c>
      <c r="J225" s="708">
        <v>313.97561999999999</v>
      </c>
      <c r="K225" s="710">
        <v>0</v>
      </c>
      <c r="L225" s="270"/>
      <c r="M225" s="706" t="str">
        <f t="shared" si="3"/>
        <v>X</v>
      </c>
    </row>
    <row r="226" spans="1:13" ht="14.45" customHeight="1" x14ac:dyDescent="0.2">
      <c r="A226" s="711" t="s">
        <v>550</v>
      </c>
      <c r="B226" s="707">
        <v>0</v>
      </c>
      <c r="C226" s="708">
        <v>393.96021000000002</v>
      </c>
      <c r="D226" s="708">
        <v>393.96021000000002</v>
      </c>
      <c r="E226" s="709">
        <v>0</v>
      </c>
      <c r="F226" s="707">
        <v>0</v>
      </c>
      <c r="G226" s="708">
        <v>0</v>
      </c>
      <c r="H226" s="708">
        <v>201.83565999999999</v>
      </c>
      <c r="I226" s="708">
        <v>313.97561999999999</v>
      </c>
      <c r="J226" s="708">
        <v>313.97561999999999</v>
      </c>
      <c r="K226" s="710">
        <v>0</v>
      </c>
      <c r="L226" s="270"/>
      <c r="M226" s="706" t="str">
        <f t="shared" si="3"/>
        <v/>
      </c>
    </row>
    <row r="227" spans="1:13" ht="14.45" customHeight="1" x14ac:dyDescent="0.2">
      <c r="A227" s="711" t="s">
        <v>551</v>
      </c>
      <c r="B227" s="707">
        <v>0</v>
      </c>
      <c r="C227" s="708">
        <v>53.140999999999998</v>
      </c>
      <c r="D227" s="708">
        <v>53.140999999999998</v>
      </c>
      <c r="E227" s="709">
        <v>0</v>
      </c>
      <c r="F227" s="707">
        <v>0</v>
      </c>
      <c r="G227" s="708">
        <v>0</v>
      </c>
      <c r="H227" s="708">
        <v>3.74</v>
      </c>
      <c r="I227" s="708">
        <v>15.51</v>
      </c>
      <c r="J227" s="708">
        <v>15.51</v>
      </c>
      <c r="K227" s="710">
        <v>0</v>
      </c>
      <c r="L227" s="270"/>
      <c r="M227" s="706" t="str">
        <f t="shared" si="3"/>
        <v>X</v>
      </c>
    </row>
    <row r="228" spans="1:13" ht="14.45" customHeight="1" x14ac:dyDescent="0.2">
      <c r="A228" s="711" t="s">
        <v>552</v>
      </c>
      <c r="B228" s="707">
        <v>0</v>
      </c>
      <c r="C228" s="708">
        <v>53.140999999999998</v>
      </c>
      <c r="D228" s="708">
        <v>53.140999999999998</v>
      </c>
      <c r="E228" s="709">
        <v>0</v>
      </c>
      <c r="F228" s="707">
        <v>0</v>
      </c>
      <c r="G228" s="708">
        <v>0</v>
      </c>
      <c r="H228" s="708">
        <v>3.74</v>
      </c>
      <c r="I228" s="708">
        <v>15.51</v>
      </c>
      <c r="J228" s="708">
        <v>15.51</v>
      </c>
      <c r="K228" s="710">
        <v>0</v>
      </c>
      <c r="L228" s="270"/>
      <c r="M228" s="706" t="str">
        <f t="shared" si="3"/>
        <v/>
      </c>
    </row>
    <row r="229" spans="1:13" ht="14.45" customHeight="1" x14ac:dyDescent="0.2">
      <c r="A229" s="711" t="s">
        <v>553</v>
      </c>
      <c r="B229" s="707">
        <v>0</v>
      </c>
      <c r="C229" s="708">
        <v>144.71494000000001</v>
      </c>
      <c r="D229" s="708">
        <v>144.71494000000001</v>
      </c>
      <c r="E229" s="709">
        <v>0</v>
      </c>
      <c r="F229" s="707">
        <v>0</v>
      </c>
      <c r="G229" s="708">
        <v>0</v>
      </c>
      <c r="H229" s="708">
        <v>12.005100000000001</v>
      </c>
      <c r="I229" s="708">
        <v>49.621540000000003</v>
      </c>
      <c r="J229" s="708">
        <v>49.621540000000003</v>
      </c>
      <c r="K229" s="710">
        <v>0</v>
      </c>
      <c r="L229" s="270"/>
      <c r="M229" s="706" t="str">
        <f t="shared" si="3"/>
        <v>X</v>
      </c>
    </row>
    <row r="230" spans="1:13" ht="14.45" customHeight="1" x14ac:dyDescent="0.2">
      <c r="A230" s="711" t="s">
        <v>554</v>
      </c>
      <c r="B230" s="707">
        <v>0</v>
      </c>
      <c r="C230" s="708">
        <v>74.426000000000002</v>
      </c>
      <c r="D230" s="708">
        <v>74.426000000000002</v>
      </c>
      <c r="E230" s="709">
        <v>0</v>
      </c>
      <c r="F230" s="707">
        <v>0</v>
      </c>
      <c r="G230" s="708">
        <v>0</v>
      </c>
      <c r="H230" s="708">
        <v>9.7560000000000002</v>
      </c>
      <c r="I230" s="708">
        <v>30.562000000000001</v>
      </c>
      <c r="J230" s="708">
        <v>30.562000000000001</v>
      </c>
      <c r="K230" s="710">
        <v>0</v>
      </c>
      <c r="L230" s="270"/>
      <c r="M230" s="706" t="str">
        <f t="shared" si="3"/>
        <v/>
      </c>
    </row>
    <row r="231" spans="1:13" ht="14.45" customHeight="1" x14ac:dyDescent="0.2">
      <c r="A231" s="711" t="s">
        <v>555</v>
      </c>
      <c r="B231" s="707">
        <v>0</v>
      </c>
      <c r="C231" s="708">
        <v>42.1355</v>
      </c>
      <c r="D231" s="708">
        <v>42.1355</v>
      </c>
      <c r="E231" s="709">
        <v>0</v>
      </c>
      <c r="F231" s="707">
        <v>0</v>
      </c>
      <c r="G231" s="708">
        <v>0</v>
      </c>
      <c r="H231" s="708">
        <v>0</v>
      </c>
      <c r="I231" s="708">
        <v>0.71079999999999999</v>
      </c>
      <c r="J231" s="708">
        <v>0.71079999999999999</v>
      </c>
      <c r="K231" s="710">
        <v>0</v>
      </c>
      <c r="L231" s="270"/>
      <c r="M231" s="706" t="str">
        <f t="shared" si="3"/>
        <v/>
      </c>
    </row>
    <row r="232" spans="1:13" ht="14.45" customHeight="1" x14ac:dyDescent="0.2">
      <c r="A232" s="711" t="s">
        <v>556</v>
      </c>
      <c r="B232" s="707">
        <v>0</v>
      </c>
      <c r="C232" s="708">
        <v>28.15344</v>
      </c>
      <c r="D232" s="708">
        <v>28.15344</v>
      </c>
      <c r="E232" s="709">
        <v>0</v>
      </c>
      <c r="F232" s="707">
        <v>0</v>
      </c>
      <c r="G232" s="708">
        <v>0</v>
      </c>
      <c r="H232" s="708">
        <v>2.2490999999999999</v>
      </c>
      <c r="I232" s="708">
        <v>18.348740000000003</v>
      </c>
      <c r="J232" s="708">
        <v>18.348740000000003</v>
      </c>
      <c r="K232" s="710">
        <v>0</v>
      </c>
      <c r="L232" s="270"/>
      <c r="M232" s="706" t="str">
        <f t="shared" si="3"/>
        <v/>
      </c>
    </row>
    <row r="233" spans="1:13" ht="14.45" customHeight="1" x14ac:dyDescent="0.2">
      <c r="A233" s="711" t="s">
        <v>557</v>
      </c>
      <c r="B233" s="707">
        <v>0</v>
      </c>
      <c r="C233" s="708">
        <v>45.701560000000001</v>
      </c>
      <c r="D233" s="708">
        <v>45.701560000000001</v>
      </c>
      <c r="E233" s="709">
        <v>0</v>
      </c>
      <c r="F233" s="707">
        <v>0</v>
      </c>
      <c r="G233" s="708">
        <v>0</v>
      </c>
      <c r="H233" s="708">
        <v>5.9454200000000004</v>
      </c>
      <c r="I233" s="708">
        <v>25.47297</v>
      </c>
      <c r="J233" s="708">
        <v>25.47297</v>
      </c>
      <c r="K233" s="710">
        <v>0</v>
      </c>
      <c r="L233" s="270"/>
      <c r="M233" s="706" t="str">
        <f t="shared" si="3"/>
        <v>X</v>
      </c>
    </row>
    <row r="234" spans="1:13" ht="14.45" customHeight="1" x14ac:dyDescent="0.2">
      <c r="A234" s="711" t="s">
        <v>558</v>
      </c>
      <c r="B234" s="707">
        <v>0</v>
      </c>
      <c r="C234" s="708">
        <v>45.701560000000001</v>
      </c>
      <c r="D234" s="708">
        <v>45.701560000000001</v>
      </c>
      <c r="E234" s="709">
        <v>0</v>
      </c>
      <c r="F234" s="707">
        <v>0</v>
      </c>
      <c r="G234" s="708">
        <v>0</v>
      </c>
      <c r="H234" s="708">
        <v>5.9454200000000004</v>
      </c>
      <c r="I234" s="708">
        <v>25.47297</v>
      </c>
      <c r="J234" s="708">
        <v>25.47297</v>
      </c>
      <c r="K234" s="710">
        <v>0</v>
      </c>
      <c r="L234" s="270"/>
      <c r="M234" s="706" t="str">
        <f t="shared" si="3"/>
        <v/>
      </c>
    </row>
    <row r="235" spans="1:13" ht="14.45" customHeight="1" x14ac:dyDescent="0.2">
      <c r="A235" s="711" t="s">
        <v>559</v>
      </c>
      <c r="B235" s="707">
        <v>0</v>
      </c>
      <c r="C235" s="708">
        <v>276.70693999999997</v>
      </c>
      <c r="D235" s="708">
        <v>276.70693999999997</v>
      </c>
      <c r="E235" s="709">
        <v>0</v>
      </c>
      <c r="F235" s="707">
        <v>0</v>
      </c>
      <c r="G235" s="708">
        <v>0</v>
      </c>
      <c r="H235" s="708">
        <v>0</v>
      </c>
      <c r="I235" s="708">
        <v>0</v>
      </c>
      <c r="J235" s="708">
        <v>0</v>
      </c>
      <c r="K235" s="710">
        <v>0</v>
      </c>
      <c r="L235" s="270"/>
      <c r="M235" s="706" t="str">
        <f t="shared" si="3"/>
        <v>X</v>
      </c>
    </row>
    <row r="236" spans="1:13" ht="14.45" customHeight="1" x14ac:dyDescent="0.2">
      <c r="A236" s="711" t="s">
        <v>560</v>
      </c>
      <c r="B236" s="707">
        <v>0</v>
      </c>
      <c r="C236" s="708">
        <v>276.70693999999997</v>
      </c>
      <c r="D236" s="708">
        <v>276.70693999999997</v>
      </c>
      <c r="E236" s="709">
        <v>0</v>
      </c>
      <c r="F236" s="707">
        <v>0</v>
      </c>
      <c r="G236" s="708">
        <v>0</v>
      </c>
      <c r="H236" s="708">
        <v>0</v>
      </c>
      <c r="I236" s="708">
        <v>0</v>
      </c>
      <c r="J236" s="708">
        <v>0</v>
      </c>
      <c r="K236" s="710">
        <v>0</v>
      </c>
      <c r="L236" s="270"/>
      <c r="M236" s="706" t="str">
        <f t="shared" si="3"/>
        <v/>
      </c>
    </row>
    <row r="237" spans="1:13" ht="14.45" customHeight="1" x14ac:dyDescent="0.2">
      <c r="A237" s="711" t="s">
        <v>561</v>
      </c>
      <c r="B237" s="707">
        <v>0</v>
      </c>
      <c r="C237" s="708">
        <v>1.9950000000000001</v>
      </c>
      <c r="D237" s="708">
        <v>1.9950000000000001</v>
      </c>
      <c r="E237" s="709">
        <v>0</v>
      </c>
      <c r="F237" s="707">
        <v>0</v>
      </c>
      <c r="G237" s="708">
        <v>0</v>
      </c>
      <c r="H237" s="708">
        <v>0.19600000000000001</v>
      </c>
      <c r="I237" s="708">
        <v>0.82299999999999995</v>
      </c>
      <c r="J237" s="708">
        <v>0.82299999999999995</v>
      </c>
      <c r="K237" s="710">
        <v>0</v>
      </c>
      <c r="L237" s="270"/>
      <c r="M237" s="706" t="str">
        <f t="shared" si="3"/>
        <v>X</v>
      </c>
    </row>
    <row r="238" spans="1:13" ht="14.45" customHeight="1" x14ac:dyDescent="0.2">
      <c r="A238" s="711" t="s">
        <v>562</v>
      </c>
      <c r="B238" s="707">
        <v>0</v>
      </c>
      <c r="C238" s="708">
        <v>1.9950000000000001</v>
      </c>
      <c r="D238" s="708">
        <v>1.9950000000000001</v>
      </c>
      <c r="E238" s="709">
        <v>0</v>
      </c>
      <c r="F238" s="707">
        <v>0</v>
      </c>
      <c r="G238" s="708">
        <v>0</v>
      </c>
      <c r="H238" s="708">
        <v>0.19600000000000001</v>
      </c>
      <c r="I238" s="708">
        <v>0.82299999999999995</v>
      </c>
      <c r="J238" s="708">
        <v>0.82299999999999995</v>
      </c>
      <c r="K238" s="710">
        <v>0</v>
      </c>
      <c r="L238" s="270"/>
      <c r="M238" s="706" t="str">
        <f t="shared" si="3"/>
        <v/>
      </c>
    </row>
    <row r="239" spans="1:13" ht="14.45" customHeight="1" x14ac:dyDescent="0.2">
      <c r="A239" s="711" t="s">
        <v>563</v>
      </c>
      <c r="B239" s="707">
        <v>0</v>
      </c>
      <c r="C239" s="708">
        <v>1106.74595</v>
      </c>
      <c r="D239" s="708">
        <v>1106.74595</v>
      </c>
      <c r="E239" s="709">
        <v>0</v>
      </c>
      <c r="F239" s="707">
        <v>0</v>
      </c>
      <c r="G239" s="708">
        <v>0</v>
      </c>
      <c r="H239" s="708">
        <v>0</v>
      </c>
      <c r="I239" s="708">
        <v>725.40137000000004</v>
      </c>
      <c r="J239" s="708">
        <v>725.40137000000004</v>
      </c>
      <c r="K239" s="710">
        <v>0</v>
      </c>
      <c r="L239" s="270"/>
      <c r="M239" s="706" t="str">
        <f t="shared" si="3"/>
        <v>X</v>
      </c>
    </row>
    <row r="240" spans="1:13" ht="14.45" customHeight="1" x14ac:dyDescent="0.2">
      <c r="A240" s="711" t="s">
        <v>564</v>
      </c>
      <c r="B240" s="707">
        <v>0</v>
      </c>
      <c r="C240" s="708">
        <v>1106.74595</v>
      </c>
      <c r="D240" s="708">
        <v>1106.74595</v>
      </c>
      <c r="E240" s="709">
        <v>0</v>
      </c>
      <c r="F240" s="707">
        <v>0</v>
      </c>
      <c r="G240" s="708">
        <v>0</v>
      </c>
      <c r="H240" s="708">
        <v>0</v>
      </c>
      <c r="I240" s="708">
        <v>725.40137000000004</v>
      </c>
      <c r="J240" s="708">
        <v>725.40137000000004</v>
      </c>
      <c r="K240" s="710">
        <v>0</v>
      </c>
      <c r="L240" s="270"/>
      <c r="M240" s="706" t="str">
        <f t="shared" si="3"/>
        <v/>
      </c>
    </row>
    <row r="241" spans="1:13" ht="14.45" customHeight="1" x14ac:dyDescent="0.2">
      <c r="A241" s="711" t="s">
        <v>565</v>
      </c>
      <c r="B241" s="707">
        <v>0</v>
      </c>
      <c r="C241" s="708">
        <v>1589.2450900000001</v>
      </c>
      <c r="D241" s="708">
        <v>1589.2450900000001</v>
      </c>
      <c r="E241" s="709">
        <v>0</v>
      </c>
      <c r="F241" s="707">
        <v>0</v>
      </c>
      <c r="G241" s="708">
        <v>0</v>
      </c>
      <c r="H241" s="708">
        <v>137.02099999999999</v>
      </c>
      <c r="I241" s="708">
        <v>686.58530000000007</v>
      </c>
      <c r="J241" s="708">
        <v>686.58530000000007</v>
      </c>
      <c r="K241" s="710">
        <v>0</v>
      </c>
      <c r="L241" s="270"/>
      <c r="M241" s="706" t="str">
        <f t="shared" si="3"/>
        <v>X</v>
      </c>
    </row>
    <row r="242" spans="1:13" ht="14.45" customHeight="1" x14ac:dyDescent="0.2">
      <c r="A242" s="711" t="s">
        <v>566</v>
      </c>
      <c r="B242" s="707">
        <v>0</v>
      </c>
      <c r="C242" s="708">
        <v>1589.2450900000001</v>
      </c>
      <c r="D242" s="708">
        <v>1589.2450900000001</v>
      </c>
      <c r="E242" s="709">
        <v>0</v>
      </c>
      <c r="F242" s="707">
        <v>0</v>
      </c>
      <c r="G242" s="708">
        <v>0</v>
      </c>
      <c r="H242" s="708">
        <v>137.02099999999999</v>
      </c>
      <c r="I242" s="708">
        <v>686.58530000000007</v>
      </c>
      <c r="J242" s="708">
        <v>686.58530000000007</v>
      </c>
      <c r="K242" s="710">
        <v>0</v>
      </c>
      <c r="L242" s="270"/>
      <c r="M242" s="706" t="str">
        <f t="shared" si="3"/>
        <v/>
      </c>
    </row>
    <row r="243" spans="1:13" ht="14.45" customHeight="1" x14ac:dyDescent="0.2">
      <c r="A243" s="711" t="s">
        <v>567</v>
      </c>
      <c r="B243" s="707">
        <v>0</v>
      </c>
      <c r="C243" s="708">
        <v>10279.32216</v>
      </c>
      <c r="D243" s="708">
        <v>10279.32216</v>
      </c>
      <c r="E243" s="709">
        <v>0</v>
      </c>
      <c r="F243" s="707">
        <v>0</v>
      </c>
      <c r="G243" s="708">
        <v>0</v>
      </c>
      <c r="H243" s="708">
        <v>700.04655000000002</v>
      </c>
      <c r="I243" s="708">
        <v>4179.4602800000002</v>
      </c>
      <c r="J243" s="708">
        <v>4179.4602800000002</v>
      </c>
      <c r="K243" s="710">
        <v>0</v>
      </c>
      <c r="L243" s="270"/>
      <c r="M243" s="706" t="str">
        <f t="shared" si="3"/>
        <v>X</v>
      </c>
    </row>
    <row r="244" spans="1:13" ht="14.45" customHeight="1" x14ac:dyDescent="0.2">
      <c r="A244" s="711" t="s">
        <v>568</v>
      </c>
      <c r="B244" s="707">
        <v>0</v>
      </c>
      <c r="C244" s="708">
        <v>10279.32216</v>
      </c>
      <c r="D244" s="708">
        <v>10279.32216</v>
      </c>
      <c r="E244" s="709">
        <v>0</v>
      </c>
      <c r="F244" s="707">
        <v>0</v>
      </c>
      <c r="G244" s="708">
        <v>0</v>
      </c>
      <c r="H244" s="708">
        <v>700.04655000000002</v>
      </c>
      <c r="I244" s="708">
        <v>4179.4602800000002</v>
      </c>
      <c r="J244" s="708">
        <v>4179.4602800000002</v>
      </c>
      <c r="K244" s="710">
        <v>0</v>
      </c>
      <c r="L244" s="270"/>
      <c r="M244" s="706" t="str">
        <f t="shared" si="3"/>
        <v/>
      </c>
    </row>
    <row r="245" spans="1:13" ht="14.45" customHeight="1" x14ac:dyDescent="0.2">
      <c r="A245" s="711" t="s">
        <v>569</v>
      </c>
      <c r="B245" s="707">
        <v>0</v>
      </c>
      <c r="C245" s="708">
        <v>29.423590000000001</v>
      </c>
      <c r="D245" s="708">
        <v>29.423590000000001</v>
      </c>
      <c r="E245" s="709">
        <v>0</v>
      </c>
      <c r="F245" s="707">
        <v>0</v>
      </c>
      <c r="G245" s="708">
        <v>0</v>
      </c>
      <c r="H245" s="708">
        <v>2.1548000000000003</v>
      </c>
      <c r="I245" s="708">
        <v>14.511659999999999</v>
      </c>
      <c r="J245" s="708">
        <v>14.511659999999999</v>
      </c>
      <c r="K245" s="710">
        <v>0</v>
      </c>
      <c r="L245" s="270"/>
      <c r="M245" s="706" t="str">
        <f t="shared" si="3"/>
        <v/>
      </c>
    </row>
    <row r="246" spans="1:13" ht="14.45" customHeight="1" x14ac:dyDescent="0.2">
      <c r="A246" s="711" t="s">
        <v>570</v>
      </c>
      <c r="B246" s="707">
        <v>0</v>
      </c>
      <c r="C246" s="708">
        <v>29.423590000000001</v>
      </c>
      <c r="D246" s="708">
        <v>29.423590000000001</v>
      </c>
      <c r="E246" s="709">
        <v>0</v>
      </c>
      <c r="F246" s="707">
        <v>0</v>
      </c>
      <c r="G246" s="708">
        <v>0</v>
      </c>
      <c r="H246" s="708">
        <v>2.1548000000000003</v>
      </c>
      <c r="I246" s="708">
        <v>14.511659999999999</v>
      </c>
      <c r="J246" s="708">
        <v>14.511659999999999</v>
      </c>
      <c r="K246" s="710">
        <v>0</v>
      </c>
      <c r="L246" s="270"/>
      <c r="M246" s="706" t="str">
        <f t="shared" si="3"/>
        <v/>
      </c>
    </row>
    <row r="247" spans="1:13" ht="14.45" customHeight="1" x14ac:dyDescent="0.2">
      <c r="A247" s="711" t="s">
        <v>571</v>
      </c>
      <c r="B247" s="707">
        <v>0</v>
      </c>
      <c r="C247" s="708">
        <v>29.423590000000001</v>
      </c>
      <c r="D247" s="708">
        <v>29.423590000000001</v>
      </c>
      <c r="E247" s="709">
        <v>0</v>
      </c>
      <c r="F247" s="707">
        <v>0</v>
      </c>
      <c r="G247" s="708">
        <v>0</v>
      </c>
      <c r="H247" s="708">
        <v>2.1548000000000003</v>
      </c>
      <c r="I247" s="708">
        <v>14.511659999999999</v>
      </c>
      <c r="J247" s="708">
        <v>14.511659999999999</v>
      </c>
      <c r="K247" s="710">
        <v>0</v>
      </c>
      <c r="L247" s="270"/>
      <c r="M247" s="706" t="str">
        <f t="shared" si="3"/>
        <v/>
      </c>
    </row>
    <row r="248" spans="1:13" ht="14.45" customHeight="1" x14ac:dyDescent="0.2">
      <c r="A248" s="711" t="s">
        <v>572</v>
      </c>
      <c r="B248" s="707">
        <v>0</v>
      </c>
      <c r="C248" s="708">
        <v>29.423590000000001</v>
      </c>
      <c r="D248" s="708">
        <v>29.423590000000001</v>
      </c>
      <c r="E248" s="709">
        <v>0</v>
      </c>
      <c r="F248" s="707">
        <v>0</v>
      </c>
      <c r="G248" s="708">
        <v>0</v>
      </c>
      <c r="H248" s="708">
        <v>2.1548000000000003</v>
      </c>
      <c r="I248" s="708">
        <v>14.511659999999999</v>
      </c>
      <c r="J248" s="708">
        <v>14.511659999999999</v>
      </c>
      <c r="K248" s="710">
        <v>0</v>
      </c>
      <c r="L248" s="270"/>
      <c r="M248" s="706" t="str">
        <f t="shared" si="3"/>
        <v>X</v>
      </c>
    </row>
    <row r="249" spans="1:13" ht="14.45" customHeight="1" x14ac:dyDescent="0.2">
      <c r="A249" s="711" t="s">
        <v>573</v>
      </c>
      <c r="B249" s="707">
        <v>0</v>
      </c>
      <c r="C249" s="708">
        <v>24.94659</v>
      </c>
      <c r="D249" s="708">
        <v>24.94659</v>
      </c>
      <c r="E249" s="709">
        <v>0</v>
      </c>
      <c r="F249" s="707">
        <v>0</v>
      </c>
      <c r="G249" s="708">
        <v>0</v>
      </c>
      <c r="H249" s="708">
        <v>2.1548000000000003</v>
      </c>
      <c r="I249" s="708">
        <v>14.186059999999999</v>
      </c>
      <c r="J249" s="708">
        <v>14.186059999999999</v>
      </c>
      <c r="K249" s="710">
        <v>0</v>
      </c>
      <c r="L249" s="270"/>
      <c r="M249" s="706" t="str">
        <f t="shared" si="3"/>
        <v/>
      </c>
    </row>
    <row r="250" spans="1:13" ht="14.45" customHeight="1" x14ac:dyDescent="0.2">
      <c r="A250" s="711" t="s">
        <v>574</v>
      </c>
      <c r="B250" s="707">
        <v>0</v>
      </c>
      <c r="C250" s="708">
        <v>4.4770000000000003</v>
      </c>
      <c r="D250" s="708">
        <v>4.4770000000000003</v>
      </c>
      <c r="E250" s="709">
        <v>0</v>
      </c>
      <c r="F250" s="707">
        <v>0</v>
      </c>
      <c r="G250" s="708">
        <v>0</v>
      </c>
      <c r="H250" s="708">
        <v>0</v>
      </c>
      <c r="I250" s="708">
        <v>0.3256</v>
      </c>
      <c r="J250" s="708">
        <v>0.3256</v>
      </c>
      <c r="K250" s="710">
        <v>0</v>
      </c>
      <c r="L250" s="270"/>
      <c r="M250" s="706" t="str">
        <f t="shared" si="3"/>
        <v/>
      </c>
    </row>
    <row r="251" spans="1:13" ht="14.45" customHeight="1" x14ac:dyDescent="0.2">
      <c r="A251" s="711"/>
      <c r="B251" s="707"/>
      <c r="C251" s="708"/>
      <c r="D251" s="708"/>
      <c r="E251" s="709"/>
      <c r="F251" s="707"/>
      <c r="G251" s="708"/>
      <c r="H251" s="708"/>
      <c r="I251" s="708"/>
      <c r="J251" s="708"/>
      <c r="K251" s="710"/>
      <c r="L251" s="270"/>
      <c r="M251" s="706" t="str">
        <f t="shared" si="3"/>
        <v/>
      </c>
    </row>
    <row r="252" spans="1:13" ht="14.45" customHeight="1" x14ac:dyDescent="0.2">
      <c r="A252" s="711"/>
      <c r="B252" s="707"/>
      <c r="C252" s="708"/>
      <c r="D252" s="708"/>
      <c r="E252" s="709"/>
      <c r="F252" s="707"/>
      <c r="G252" s="708"/>
      <c r="H252" s="708"/>
      <c r="I252" s="708"/>
      <c r="J252" s="708"/>
      <c r="K252" s="710"/>
      <c r="L252" s="270"/>
      <c r="M252" s="706" t="str">
        <f t="shared" si="3"/>
        <v/>
      </c>
    </row>
    <row r="253" spans="1:13" ht="14.45" customHeight="1" x14ac:dyDescent="0.2">
      <c r="A253" s="711"/>
      <c r="B253" s="707"/>
      <c r="C253" s="708"/>
      <c r="D253" s="708"/>
      <c r="E253" s="709"/>
      <c r="F253" s="707"/>
      <c r="G253" s="708"/>
      <c r="H253" s="708"/>
      <c r="I253" s="708"/>
      <c r="J253" s="708"/>
      <c r="K253" s="710"/>
      <c r="L253" s="270"/>
      <c r="M253" s="706" t="str">
        <f t="shared" si="3"/>
        <v/>
      </c>
    </row>
    <row r="254" spans="1:13" ht="14.45" customHeight="1" x14ac:dyDescent="0.2">
      <c r="A254" s="711"/>
      <c r="B254" s="707"/>
      <c r="C254" s="708"/>
      <c r="D254" s="708"/>
      <c r="E254" s="709"/>
      <c r="F254" s="707"/>
      <c r="G254" s="708"/>
      <c r="H254" s="708"/>
      <c r="I254" s="708"/>
      <c r="J254" s="708"/>
      <c r="K254" s="710"/>
      <c r="L254" s="270"/>
      <c r="M254" s="706" t="str">
        <f t="shared" si="3"/>
        <v/>
      </c>
    </row>
    <row r="255" spans="1:13" ht="14.45" customHeight="1" x14ac:dyDescent="0.2">
      <c r="A255" s="711"/>
      <c r="B255" s="707"/>
      <c r="C255" s="708"/>
      <c r="D255" s="708"/>
      <c r="E255" s="709"/>
      <c r="F255" s="707"/>
      <c r="G255" s="708"/>
      <c r="H255" s="708"/>
      <c r="I255" s="708"/>
      <c r="J255" s="708"/>
      <c r="K255" s="710"/>
      <c r="L255" s="270"/>
      <c r="M255" s="706" t="str">
        <f t="shared" si="3"/>
        <v/>
      </c>
    </row>
    <row r="256" spans="1:13" ht="14.45" customHeight="1" x14ac:dyDescent="0.2">
      <c r="A256" s="711"/>
      <c r="B256" s="707"/>
      <c r="C256" s="708"/>
      <c r="D256" s="708"/>
      <c r="E256" s="709"/>
      <c r="F256" s="707"/>
      <c r="G256" s="708"/>
      <c r="H256" s="708"/>
      <c r="I256" s="708"/>
      <c r="J256" s="708"/>
      <c r="K256" s="710"/>
      <c r="L256" s="270"/>
      <c r="M256" s="706" t="str">
        <f t="shared" si="3"/>
        <v/>
      </c>
    </row>
    <row r="257" spans="1:13" ht="14.45" customHeight="1" x14ac:dyDescent="0.2">
      <c r="A257" s="711"/>
      <c r="B257" s="707"/>
      <c r="C257" s="708"/>
      <c r="D257" s="708"/>
      <c r="E257" s="709"/>
      <c r="F257" s="707"/>
      <c r="G257" s="708"/>
      <c r="H257" s="708"/>
      <c r="I257" s="708"/>
      <c r="J257" s="708"/>
      <c r="K257" s="710"/>
      <c r="L257" s="270"/>
      <c r="M257" s="706" t="str">
        <f t="shared" si="3"/>
        <v/>
      </c>
    </row>
    <row r="258" spans="1:13" ht="14.45" customHeight="1" x14ac:dyDescent="0.2">
      <c r="A258" s="711"/>
      <c r="B258" s="707"/>
      <c r="C258" s="708"/>
      <c r="D258" s="708"/>
      <c r="E258" s="709"/>
      <c r="F258" s="707"/>
      <c r="G258" s="708"/>
      <c r="H258" s="708"/>
      <c r="I258" s="708"/>
      <c r="J258" s="708"/>
      <c r="K258" s="710"/>
      <c r="L258" s="270"/>
      <c r="M258" s="706" t="str">
        <f t="shared" si="3"/>
        <v/>
      </c>
    </row>
    <row r="259" spans="1:13" ht="14.45" customHeight="1" x14ac:dyDescent="0.2">
      <c r="A259" s="711"/>
      <c r="B259" s="707"/>
      <c r="C259" s="708"/>
      <c r="D259" s="708"/>
      <c r="E259" s="709"/>
      <c r="F259" s="707"/>
      <c r="G259" s="708"/>
      <c r="H259" s="708"/>
      <c r="I259" s="708"/>
      <c r="J259" s="708"/>
      <c r="K259" s="710"/>
      <c r="L259" s="270"/>
      <c r="M259" s="706" t="str">
        <f t="shared" si="3"/>
        <v/>
      </c>
    </row>
    <row r="260" spans="1:13" ht="14.45" customHeight="1" x14ac:dyDescent="0.2">
      <c r="A260" s="711"/>
      <c r="B260" s="707"/>
      <c r="C260" s="708"/>
      <c r="D260" s="708"/>
      <c r="E260" s="709"/>
      <c r="F260" s="707"/>
      <c r="G260" s="708"/>
      <c r="H260" s="708"/>
      <c r="I260" s="708"/>
      <c r="J260" s="708"/>
      <c r="K260" s="710"/>
      <c r="L260" s="270"/>
      <c r="M260" s="706" t="str">
        <f t="shared" si="3"/>
        <v/>
      </c>
    </row>
    <row r="261" spans="1:13" ht="14.45" customHeight="1" x14ac:dyDescent="0.2">
      <c r="A261" s="711"/>
      <c r="B261" s="707"/>
      <c r="C261" s="708"/>
      <c r="D261" s="708"/>
      <c r="E261" s="709"/>
      <c r="F261" s="707"/>
      <c r="G261" s="708"/>
      <c r="H261" s="708"/>
      <c r="I261" s="708"/>
      <c r="J261" s="708"/>
      <c r="K261" s="710"/>
      <c r="L261" s="270"/>
      <c r="M261" s="706" t="str">
        <f t="shared" si="3"/>
        <v/>
      </c>
    </row>
    <row r="262" spans="1:13" ht="14.45" customHeight="1" x14ac:dyDescent="0.2">
      <c r="A262" s="711"/>
      <c r="B262" s="707"/>
      <c r="C262" s="708"/>
      <c r="D262" s="708"/>
      <c r="E262" s="709"/>
      <c r="F262" s="707"/>
      <c r="G262" s="708"/>
      <c r="H262" s="708"/>
      <c r="I262" s="708"/>
      <c r="J262" s="708"/>
      <c r="K262" s="710"/>
      <c r="L262" s="270"/>
      <c r="M262" s="706" t="str">
        <f t="shared" ref="M262:M325" si="4">IF(A262="HV","HV",IF(OR(LEFT(A262,16)="               5",LEFT(A262,16)="               6",LEFT(A262,16)="               7",LEFT(A262,16)="               8"),"X",""))</f>
        <v/>
      </c>
    </row>
    <row r="263" spans="1:13" ht="14.45" customHeight="1" x14ac:dyDescent="0.2">
      <c r="A263" s="711"/>
      <c r="B263" s="707"/>
      <c r="C263" s="708"/>
      <c r="D263" s="708"/>
      <c r="E263" s="709"/>
      <c r="F263" s="707"/>
      <c r="G263" s="708"/>
      <c r="H263" s="708"/>
      <c r="I263" s="708"/>
      <c r="J263" s="708"/>
      <c r="K263" s="710"/>
      <c r="L263" s="270"/>
      <c r="M263" s="706" t="str">
        <f t="shared" si="4"/>
        <v/>
      </c>
    </row>
    <row r="264" spans="1:13" ht="14.45" customHeight="1" x14ac:dyDescent="0.2">
      <c r="A264" s="711"/>
      <c r="B264" s="707"/>
      <c r="C264" s="708"/>
      <c r="D264" s="708"/>
      <c r="E264" s="709"/>
      <c r="F264" s="707"/>
      <c r="G264" s="708"/>
      <c r="H264" s="708"/>
      <c r="I264" s="708"/>
      <c r="J264" s="708"/>
      <c r="K264" s="710"/>
      <c r="L264" s="270"/>
      <c r="M264" s="706" t="str">
        <f t="shared" si="4"/>
        <v/>
      </c>
    </row>
    <row r="265" spans="1:13" ht="14.45" customHeight="1" x14ac:dyDescent="0.2">
      <c r="A265" s="711"/>
      <c r="B265" s="707"/>
      <c r="C265" s="708"/>
      <c r="D265" s="708"/>
      <c r="E265" s="709"/>
      <c r="F265" s="707"/>
      <c r="G265" s="708"/>
      <c r="H265" s="708"/>
      <c r="I265" s="708"/>
      <c r="J265" s="708"/>
      <c r="K265" s="710"/>
      <c r="L265" s="270"/>
      <c r="M265" s="706" t="str">
        <f t="shared" si="4"/>
        <v/>
      </c>
    </row>
    <row r="266" spans="1:13" ht="14.45" customHeight="1" x14ac:dyDescent="0.2">
      <c r="A266" s="711"/>
      <c r="B266" s="707"/>
      <c r="C266" s="708"/>
      <c r="D266" s="708"/>
      <c r="E266" s="709"/>
      <c r="F266" s="707"/>
      <c r="G266" s="708"/>
      <c r="H266" s="708"/>
      <c r="I266" s="708"/>
      <c r="J266" s="708"/>
      <c r="K266" s="710"/>
      <c r="L266" s="270"/>
      <c r="M266" s="706" t="str">
        <f t="shared" si="4"/>
        <v/>
      </c>
    </row>
    <row r="267" spans="1:13" ht="14.45" customHeight="1" x14ac:dyDescent="0.2">
      <c r="A267" s="711"/>
      <c r="B267" s="707"/>
      <c r="C267" s="708"/>
      <c r="D267" s="708"/>
      <c r="E267" s="709"/>
      <c r="F267" s="707"/>
      <c r="G267" s="708"/>
      <c r="H267" s="708"/>
      <c r="I267" s="708"/>
      <c r="J267" s="708"/>
      <c r="K267" s="710"/>
      <c r="L267" s="270"/>
      <c r="M267" s="706" t="str">
        <f t="shared" si="4"/>
        <v/>
      </c>
    </row>
    <row r="268" spans="1:13" ht="14.45" customHeight="1" x14ac:dyDescent="0.2">
      <c r="A268" s="711"/>
      <c r="B268" s="707"/>
      <c r="C268" s="708"/>
      <c r="D268" s="708"/>
      <c r="E268" s="709"/>
      <c r="F268" s="707"/>
      <c r="G268" s="708"/>
      <c r="H268" s="708"/>
      <c r="I268" s="708"/>
      <c r="J268" s="708"/>
      <c r="K268" s="710"/>
      <c r="L268" s="270"/>
      <c r="M268" s="706" t="str">
        <f t="shared" si="4"/>
        <v/>
      </c>
    </row>
    <row r="269" spans="1:13" ht="14.45" customHeight="1" x14ac:dyDescent="0.2">
      <c r="A269" s="711"/>
      <c r="B269" s="707"/>
      <c r="C269" s="708"/>
      <c r="D269" s="708"/>
      <c r="E269" s="709"/>
      <c r="F269" s="707"/>
      <c r="G269" s="708"/>
      <c r="H269" s="708"/>
      <c r="I269" s="708"/>
      <c r="J269" s="708"/>
      <c r="K269" s="710"/>
      <c r="L269" s="270"/>
      <c r="M269" s="706" t="str">
        <f t="shared" si="4"/>
        <v/>
      </c>
    </row>
    <row r="270" spans="1:13" ht="14.45" customHeight="1" x14ac:dyDescent="0.2">
      <c r="A270" s="711"/>
      <c r="B270" s="707"/>
      <c r="C270" s="708"/>
      <c r="D270" s="708"/>
      <c r="E270" s="709"/>
      <c r="F270" s="707"/>
      <c r="G270" s="708"/>
      <c r="H270" s="708"/>
      <c r="I270" s="708"/>
      <c r="J270" s="708"/>
      <c r="K270" s="710"/>
      <c r="L270" s="270"/>
      <c r="M270" s="706" t="str">
        <f t="shared" si="4"/>
        <v/>
      </c>
    </row>
    <row r="271" spans="1:13" ht="14.45" customHeight="1" x14ac:dyDescent="0.2">
      <c r="A271" s="711"/>
      <c r="B271" s="707"/>
      <c r="C271" s="708"/>
      <c r="D271" s="708"/>
      <c r="E271" s="709"/>
      <c r="F271" s="707"/>
      <c r="G271" s="708"/>
      <c r="H271" s="708"/>
      <c r="I271" s="708"/>
      <c r="J271" s="708"/>
      <c r="K271" s="710"/>
      <c r="L271" s="270"/>
      <c r="M271" s="706" t="str">
        <f t="shared" si="4"/>
        <v/>
      </c>
    </row>
    <row r="272" spans="1:13" ht="14.45" customHeight="1" x14ac:dyDescent="0.2">
      <c r="A272" s="711"/>
      <c r="B272" s="707"/>
      <c r="C272" s="708"/>
      <c r="D272" s="708"/>
      <c r="E272" s="709"/>
      <c r="F272" s="707"/>
      <c r="G272" s="708"/>
      <c r="H272" s="708"/>
      <c r="I272" s="708"/>
      <c r="J272" s="708"/>
      <c r="K272" s="710"/>
      <c r="L272" s="270"/>
      <c r="M272" s="706" t="str">
        <f t="shared" si="4"/>
        <v/>
      </c>
    </row>
    <row r="273" spans="1:13" ht="14.45" customHeight="1" x14ac:dyDescent="0.2">
      <c r="A273" s="711"/>
      <c r="B273" s="707"/>
      <c r="C273" s="708"/>
      <c r="D273" s="708"/>
      <c r="E273" s="709"/>
      <c r="F273" s="707"/>
      <c r="G273" s="708"/>
      <c r="H273" s="708"/>
      <c r="I273" s="708"/>
      <c r="J273" s="708"/>
      <c r="K273" s="710"/>
      <c r="L273" s="270"/>
      <c r="M273" s="706" t="str">
        <f t="shared" si="4"/>
        <v/>
      </c>
    </row>
    <row r="274" spans="1:13" ht="14.45" customHeight="1" x14ac:dyDescent="0.2">
      <c r="A274" s="711"/>
      <c r="B274" s="707"/>
      <c r="C274" s="708"/>
      <c r="D274" s="708"/>
      <c r="E274" s="709"/>
      <c r="F274" s="707"/>
      <c r="G274" s="708"/>
      <c r="H274" s="708"/>
      <c r="I274" s="708"/>
      <c r="J274" s="708"/>
      <c r="K274" s="710"/>
      <c r="L274" s="270"/>
      <c r="M274" s="706" t="str">
        <f t="shared" si="4"/>
        <v/>
      </c>
    </row>
    <row r="275" spans="1:13" ht="14.45" customHeight="1" x14ac:dyDescent="0.2">
      <c r="A275" s="711"/>
      <c r="B275" s="707"/>
      <c r="C275" s="708"/>
      <c r="D275" s="708"/>
      <c r="E275" s="709"/>
      <c r="F275" s="707"/>
      <c r="G275" s="708"/>
      <c r="H275" s="708"/>
      <c r="I275" s="708"/>
      <c r="J275" s="708"/>
      <c r="K275" s="710"/>
      <c r="L275" s="270"/>
      <c r="M275" s="706" t="str">
        <f t="shared" si="4"/>
        <v/>
      </c>
    </row>
    <row r="276" spans="1:13" ht="14.45" customHeight="1" x14ac:dyDescent="0.2">
      <c r="A276" s="711"/>
      <c r="B276" s="707"/>
      <c r="C276" s="708"/>
      <c r="D276" s="708"/>
      <c r="E276" s="709"/>
      <c r="F276" s="707"/>
      <c r="G276" s="708"/>
      <c r="H276" s="708"/>
      <c r="I276" s="708"/>
      <c r="J276" s="708"/>
      <c r="K276" s="710"/>
      <c r="L276" s="270"/>
      <c r="M276" s="706" t="str">
        <f t="shared" si="4"/>
        <v/>
      </c>
    </row>
    <row r="277" spans="1:13" ht="14.45" customHeight="1" x14ac:dyDescent="0.2">
      <c r="A277" s="711"/>
      <c r="B277" s="707"/>
      <c r="C277" s="708"/>
      <c r="D277" s="708"/>
      <c r="E277" s="709"/>
      <c r="F277" s="707"/>
      <c r="G277" s="708"/>
      <c r="H277" s="708"/>
      <c r="I277" s="708"/>
      <c r="J277" s="708"/>
      <c r="K277" s="710"/>
      <c r="L277" s="270"/>
      <c r="M277" s="706" t="str">
        <f t="shared" si="4"/>
        <v/>
      </c>
    </row>
    <row r="278" spans="1:13" ht="14.45" customHeight="1" x14ac:dyDescent="0.2">
      <c r="A278" s="711"/>
      <c r="B278" s="707"/>
      <c r="C278" s="708"/>
      <c r="D278" s="708"/>
      <c r="E278" s="709"/>
      <c r="F278" s="707"/>
      <c r="G278" s="708"/>
      <c r="H278" s="708"/>
      <c r="I278" s="708"/>
      <c r="J278" s="708"/>
      <c r="K278" s="710"/>
      <c r="L278" s="270"/>
      <c r="M278" s="706" t="str">
        <f t="shared" si="4"/>
        <v/>
      </c>
    </row>
    <row r="279" spans="1:13" ht="14.45" customHeight="1" x14ac:dyDescent="0.2">
      <c r="A279" s="711"/>
      <c r="B279" s="707"/>
      <c r="C279" s="708"/>
      <c r="D279" s="708"/>
      <c r="E279" s="709"/>
      <c r="F279" s="707"/>
      <c r="G279" s="708"/>
      <c r="H279" s="708"/>
      <c r="I279" s="708"/>
      <c r="J279" s="708"/>
      <c r="K279" s="710"/>
      <c r="L279" s="270"/>
      <c r="M279" s="706" t="str">
        <f t="shared" si="4"/>
        <v/>
      </c>
    </row>
    <row r="280" spans="1:13" ht="14.45" customHeight="1" x14ac:dyDescent="0.2">
      <c r="A280" s="711"/>
      <c r="B280" s="707"/>
      <c r="C280" s="708"/>
      <c r="D280" s="708"/>
      <c r="E280" s="709"/>
      <c r="F280" s="707"/>
      <c r="G280" s="708"/>
      <c r="H280" s="708"/>
      <c r="I280" s="708"/>
      <c r="J280" s="708"/>
      <c r="K280" s="710"/>
      <c r="L280" s="270"/>
      <c r="M280" s="706" t="str">
        <f t="shared" si="4"/>
        <v/>
      </c>
    </row>
    <row r="281" spans="1:13" ht="14.45" customHeight="1" x14ac:dyDescent="0.2">
      <c r="A281" s="711"/>
      <c r="B281" s="707"/>
      <c r="C281" s="708"/>
      <c r="D281" s="708"/>
      <c r="E281" s="709"/>
      <c r="F281" s="707"/>
      <c r="G281" s="708"/>
      <c r="H281" s="708"/>
      <c r="I281" s="708"/>
      <c r="J281" s="708"/>
      <c r="K281" s="710"/>
      <c r="L281" s="270"/>
      <c r="M281" s="706" t="str">
        <f t="shared" si="4"/>
        <v/>
      </c>
    </row>
    <row r="282" spans="1:13" ht="14.45" customHeight="1" x14ac:dyDescent="0.2">
      <c r="A282" s="711"/>
      <c r="B282" s="707"/>
      <c r="C282" s="708"/>
      <c r="D282" s="708"/>
      <c r="E282" s="709"/>
      <c r="F282" s="707"/>
      <c r="G282" s="708"/>
      <c r="H282" s="708"/>
      <c r="I282" s="708"/>
      <c r="J282" s="708"/>
      <c r="K282" s="710"/>
      <c r="L282" s="270"/>
      <c r="M282" s="706" t="str">
        <f t="shared" si="4"/>
        <v/>
      </c>
    </row>
    <row r="283" spans="1:13" ht="14.45" customHeight="1" x14ac:dyDescent="0.2">
      <c r="A283" s="711"/>
      <c r="B283" s="707"/>
      <c r="C283" s="708"/>
      <c r="D283" s="708"/>
      <c r="E283" s="709"/>
      <c r="F283" s="707"/>
      <c r="G283" s="708"/>
      <c r="H283" s="708"/>
      <c r="I283" s="708"/>
      <c r="J283" s="708"/>
      <c r="K283" s="710"/>
      <c r="L283" s="270"/>
      <c r="M283" s="706" t="str">
        <f t="shared" si="4"/>
        <v/>
      </c>
    </row>
    <row r="284" spans="1:13" ht="14.45" customHeight="1" x14ac:dyDescent="0.2">
      <c r="A284" s="711"/>
      <c r="B284" s="707"/>
      <c r="C284" s="708"/>
      <c r="D284" s="708"/>
      <c r="E284" s="709"/>
      <c r="F284" s="707"/>
      <c r="G284" s="708"/>
      <c r="H284" s="708"/>
      <c r="I284" s="708"/>
      <c r="J284" s="708"/>
      <c r="K284" s="710"/>
      <c r="L284" s="270"/>
      <c r="M284" s="706" t="str">
        <f t="shared" si="4"/>
        <v/>
      </c>
    </row>
    <row r="285" spans="1:13" ht="14.45" customHeight="1" x14ac:dyDescent="0.2">
      <c r="A285" s="711"/>
      <c r="B285" s="707"/>
      <c r="C285" s="708"/>
      <c r="D285" s="708"/>
      <c r="E285" s="709"/>
      <c r="F285" s="707"/>
      <c r="G285" s="708"/>
      <c r="H285" s="708"/>
      <c r="I285" s="708"/>
      <c r="J285" s="708"/>
      <c r="K285" s="710"/>
      <c r="L285" s="270"/>
      <c r="M285" s="706" t="str">
        <f t="shared" si="4"/>
        <v/>
      </c>
    </row>
    <row r="286" spans="1:13" ht="14.45" customHeight="1" x14ac:dyDescent="0.2">
      <c r="A286" s="711"/>
      <c r="B286" s="707"/>
      <c r="C286" s="708"/>
      <c r="D286" s="708"/>
      <c r="E286" s="709"/>
      <c r="F286" s="707"/>
      <c r="G286" s="708"/>
      <c r="H286" s="708"/>
      <c r="I286" s="708"/>
      <c r="J286" s="708"/>
      <c r="K286" s="710"/>
      <c r="L286" s="270"/>
      <c r="M286" s="706" t="str">
        <f t="shared" si="4"/>
        <v/>
      </c>
    </row>
    <row r="287" spans="1:13" ht="14.45" customHeight="1" x14ac:dyDescent="0.2">
      <c r="A287" s="711"/>
      <c r="B287" s="707"/>
      <c r="C287" s="708"/>
      <c r="D287" s="708"/>
      <c r="E287" s="709"/>
      <c r="F287" s="707"/>
      <c r="G287" s="708"/>
      <c r="H287" s="708"/>
      <c r="I287" s="708"/>
      <c r="J287" s="708"/>
      <c r="K287" s="710"/>
      <c r="L287" s="270"/>
      <c r="M287" s="706" t="str">
        <f t="shared" si="4"/>
        <v/>
      </c>
    </row>
    <row r="288" spans="1:13" ht="14.45" customHeight="1" x14ac:dyDescent="0.2">
      <c r="A288" s="711"/>
      <c r="B288" s="707"/>
      <c r="C288" s="708"/>
      <c r="D288" s="708"/>
      <c r="E288" s="709"/>
      <c r="F288" s="707"/>
      <c r="G288" s="708"/>
      <c r="H288" s="708"/>
      <c r="I288" s="708"/>
      <c r="J288" s="708"/>
      <c r="K288" s="710"/>
      <c r="L288" s="270"/>
      <c r="M288" s="706" t="str">
        <f t="shared" si="4"/>
        <v/>
      </c>
    </row>
    <row r="289" spans="1:13" ht="14.45" customHeight="1" x14ac:dyDescent="0.2">
      <c r="A289" s="711"/>
      <c r="B289" s="707"/>
      <c r="C289" s="708"/>
      <c r="D289" s="708"/>
      <c r="E289" s="709"/>
      <c r="F289" s="707"/>
      <c r="G289" s="708"/>
      <c r="H289" s="708"/>
      <c r="I289" s="708"/>
      <c r="J289" s="708"/>
      <c r="K289" s="710"/>
      <c r="L289" s="270"/>
      <c r="M289" s="706" t="str">
        <f t="shared" si="4"/>
        <v/>
      </c>
    </row>
    <row r="290" spans="1:13" ht="14.45" customHeight="1" x14ac:dyDescent="0.2">
      <c r="A290" s="711"/>
      <c r="B290" s="707"/>
      <c r="C290" s="708"/>
      <c r="D290" s="708"/>
      <c r="E290" s="709"/>
      <c r="F290" s="707"/>
      <c r="G290" s="708"/>
      <c r="H290" s="708"/>
      <c r="I290" s="708"/>
      <c r="J290" s="708"/>
      <c r="K290" s="710"/>
      <c r="L290" s="270"/>
      <c r="M290" s="706" t="str">
        <f t="shared" si="4"/>
        <v/>
      </c>
    </row>
    <row r="291" spans="1:13" ht="14.45" customHeight="1" x14ac:dyDescent="0.2">
      <c r="A291" s="711"/>
      <c r="B291" s="707"/>
      <c r="C291" s="708"/>
      <c r="D291" s="708"/>
      <c r="E291" s="709"/>
      <c r="F291" s="707"/>
      <c r="G291" s="708"/>
      <c r="H291" s="708"/>
      <c r="I291" s="708"/>
      <c r="J291" s="708"/>
      <c r="K291" s="710"/>
      <c r="L291" s="270"/>
      <c r="M291" s="706" t="str">
        <f t="shared" si="4"/>
        <v/>
      </c>
    </row>
    <row r="292" spans="1:13" ht="14.45" customHeight="1" x14ac:dyDescent="0.2">
      <c r="A292" s="711"/>
      <c r="B292" s="707"/>
      <c r="C292" s="708"/>
      <c r="D292" s="708"/>
      <c r="E292" s="709"/>
      <c r="F292" s="707"/>
      <c r="G292" s="708"/>
      <c r="H292" s="708"/>
      <c r="I292" s="708"/>
      <c r="J292" s="708"/>
      <c r="K292" s="710"/>
      <c r="L292" s="270"/>
      <c r="M292" s="706" t="str">
        <f t="shared" si="4"/>
        <v/>
      </c>
    </row>
    <row r="293" spans="1:13" ht="14.45" customHeight="1" x14ac:dyDescent="0.2">
      <c r="A293" s="711"/>
      <c r="B293" s="707"/>
      <c r="C293" s="708"/>
      <c r="D293" s="708"/>
      <c r="E293" s="709"/>
      <c r="F293" s="707"/>
      <c r="G293" s="708"/>
      <c r="H293" s="708"/>
      <c r="I293" s="708"/>
      <c r="J293" s="708"/>
      <c r="K293" s="710"/>
      <c r="L293" s="270"/>
      <c r="M293" s="706" t="str">
        <f t="shared" si="4"/>
        <v/>
      </c>
    </row>
    <row r="294" spans="1:13" ht="14.45" customHeight="1" x14ac:dyDescent="0.2">
      <c r="A294" s="711"/>
      <c r="B294" s="707"/>
      <c r="C294" s="708"/>
      <c r="D294" s="708"/>
      <c r="E294" s="709"/>
      <c r="F294" s="707"/>
      <c r="G294" s="708"/>
      <c r="H294" s="708"/>
      <c r="I294" s="708"/>
      <c r="J294" s="708"/>
      <c r="K294" s="710"/>
      <c r="L294" s="270"/>
      <c r="M294" s="706" t="str">
        <f t="shared" si="4"/>
        <v/>
      </c>
    </row>
    <row r="295" spans="1:13" ht="14.45" customHeight="1" x14ac:dyDescent="0.2">
      <c r="A295" s="711"/>
      <c r="B295" s="707"/>
      <c r="C295" s="708"/>
      <c r="D295" s="708"/>
      <c r="E295" s="709"/>
      <c r="F295" s="707"/>
      <c r="G295" s="708"/>
      <c r="H295" s="708"/>
      <c r="I295" s="708"/>
      <c r="J295" s="708"/>
      <c r="K295" s="710"/>
      <c r="L295" s="270"/>
      <c r="M295" s="706" t="str">
        <f t="shared" si="4"/>
        <v/>
      </c>
    </row>
    <row r="296" spans="1:13" ht="14.45" customHeight="1" x14ac:dyDescent="0.2">
      <c r="A296" s="711"/>
      <c r="B296" s="707"/>
      <c r="C296" s="708"/>
      <c r="D296" s="708"/>
      <c r="E296" s="709"/>
      <c r="F296" s="707"/>
      <c r="G296" s="708"/>
      <c r="H296" s="708"/>
      <c r="I296" s="708"/>
      <c r="J296" s="708"/>
      <c r="K296" s="710"/>
      <c r="L296" s="270"/>
      <c r="M296" s="706" t="str">
        <f t="shared" si="4"/>
        <v/>
      </c>
    </row>
    <row r="297" spans="1:13" ht="14.45" customHeight="1" x14ac:dyDescent="0.2">
      <c r="A297" s="711"/>
      <c r="B297" s="707"/>
      <c r="C297" s="708"/>
      <c r="D297" s="708"/>
      <c r="E297" s="709"/>
      <c r="F297" s="707"/>
      <c r="G297" s="708"/>
      <c r="H297" s="708"/>
      <c r="I297" s="708"/>
      <c r="J297" s="708"/>
      <c r="K297" s="710"/>
      <c r="L297" s="270"/>
      <c r="M297" s="706" t="str">
        <f t="shared" si="4"/>
        <v/>
      </c>
    </row>
    <row r="298" spans="1:13" ht="14.45" customHeight="1" x14ac:dyDescent="0.2">
      <c r="A298" s="711"/>
      <c r="B298" s="707"/>
      <c r="C298" s="708"/>
      <c r="D298" s="708"/>
      <c r="E298" s="709"/>
      <c r="F298" s="707"/>
      <c r="G298" s="708"/>
      <c r="H298" s="708"/>
      <c r="I298" s="708"/>
      <c r="J298" s="708"/>
      <c r="K298" s="710"/>
      <c r="L298" s="270"/>
      <c r="M298" s="706" t="str">
        <f t="shared" si="4"/>
        <v/>
      </c>
    </row>
    <row r="299" spans="1:13" ht="14.45" customHeight="1" x14ac:dyDescent="0.2">
      <c r="A299" s="711"/>
      <c r="B299" s="707"/>
      <c r="C299" s="708"/>
      <c r="D299" s="708"/>
      <c r="E299" s="709"/>
      <c r="F299" s="707"/>
      <c r="G299" s="708"/>
      <c r="H299" s="708"/>
      <c r="I299" s="708"/>
      <c r="J299" s="708"/>
      <c r="K299" s="710"/>
      <c r="L299" s="270"/>
      <c r="M299" s="706" t="str">
        <f t="shared" si="4"/>
        <v/>
      </c>
    </row>
    <row r="300" spans="1:13" ht="14.45" customHeight="1" x14ac:dyDescent="0.2">
      <c r="A300" s="711"/>
      <c r="B300" s="707"/>
      <c r="C300" s="708"/>
      <c r="D300" s="708"/>
      <c r="E300" s="709"/>
      <c r="F300" s="707"/>
      <c r="G300" s="708"/>
      <c r="H300" s="708"/>
      <c r="I300" s="708"/>
      <c r="J300" s="708"/>
      <c r="K300" s="710"/>
      <c r="L300" s="270"/>
      <c r="M300" s="706" t="str">
        <f t="shared" si="4"/>
        <v/>
      </c>
    </row>
    <row r="301" spans="1:13" ht="14.45" customHeight="1" x14ac:dyDescent="0.2">
      <c r="A301" s="711"/>
      <c r="B301" s="707"/>
      <c r="C301" s="708"/>
      <c r="D301" s="708"/>
      <c r="E301" s="709"/>
      <c r="F301" s="707"/>
      <c r="G301" s="708"/>
      <c r="H301" s="708"/>
      <c r="I301" s="708"/>
      <c r="J301" s="708"/>
      <c r="K301" s="710"/>
      <c r="L301" s="270"/>
      <c r="M301" s="706" t="str">
        <f t="shared" si="4"/>
        <v/>
      </c>
    </row>
    <row r="302" spans="1:13" ht="14.45" customHeight="1" x14ac:dyDescent="0.2">
      <c r="A302" s="711"/>
      <c r="B302" s="707"/>
      <c r="C302" s="708"/>
      <c r="D302" s="708"/>
      <c r="E302" s="709"/>
      <c r="F302" s="707"/>
      <c r="G302" s="708"/>
      <c r="H302" s="708"/>
      <c r="I302" s="708"/>
      <c r="J302" s="708"/>
      <c r="K302" s="710"/>
      <c r="L302" s="270"/>
      <c r="M302" s="706" t="str">
        <f t="shared" si="4"/>
        <v/>
      </c>
    </row>
    <row r="303" spans="1:13" ht="14.45" customHeight="1" x14ac:dyDescent="0.2">
      <c r="A303" s="711"/>
      <c r="B303" s="707"/>
      <c r="C303" s="708"/>
      <c r="D303" s="708"/>
      <c r="E303" s="709"/>
      <c r="F303" s="707"/>
      <c r="G303" s="708"/>
      <c r="H303" s="708"/>
      <c r="I303" s="708"/>
      <c r="J303" s="708"/>
      <c r="K303" s="710"/>
      <c r="L303" s="270"/>
      <c r="M303" s="706" t="str">
        <f t="shared" si="4"/>
        <v/>
      </c>
    </row>
    <row r="304" spans="1:13" ht="14.45" customHeight="1" x14ac:dyDescent="0.2">
      <c r="A304" s="711"/>
      <c r="B304" s="707"/>
      <c r="C304" s="708"/>
      <c r="D304" s="708"/>
      <c r="E304" s="709"/>
      <c r="F304" s="707"/>
      <c r="G304" s="708"/>
      <c r="H304" s="708"/>
      <c r="I304" s="708"/>
      <c r="J304" s="708"/>
      <c r="K304" s="710"/>
      <c r="L304" s="270"/>
      <c r="M304" s="706" t="str">
        <f t="shared" si="4"/>
        <v/>
      </c>
    </row>
    <row r="305" spans="1:13" ht="14.45" customHeight="1" x14ac:dyDescent="0.2">
      <c r="A305" s="711"/>
      <c r="B305" s="707"/>
      <c r="C305" s="708"/>
      <c r="D305" s="708"/>
      <c r="E305" s="709"/>
      <c r="F305" s="707"/>
      <c r="G305" s="708"/>
      <c r="H305" s="708"/>
      <c r="I305" s="708"/>
      <c r="J305" s="708"/>
      <c r="K305" s="710"/>
      <c r="L305" s="270"/>
      <c r="M305" s="706" t="str">
        <f t="shared" si="4"/>
        <v/>
      </c>
    </row>
    <row r="306" spans="1:13" ht="14.45" customHeight="1" x14ac:dyDescent="0.2">
      <c r="A306" s="711"/>
      <c r="B306" s="707"/>
      <c r="C306" s="708"/>
      <c r="D306" s="708"/>
      <c r="E306" s="709"/>
      <c r="F306" s="707"/>
      <c r="G306" s="708"/>
      <c r="H306" s="708"/>
      <c r="I306" s="708"/>
      <c r="J306" s="708"/>
      <c r="K306" s="710"/>
      <c r="L306" s="270"/>
      <c r="M306" s="706" t="str">
        <f t="shared" si="4"/>
        <v/>
      </c>
    </row>
    <row r="307" spans="1:13" ht="14.45" customHeight="1" x14ac:dyDescent="0.2">
      <c r="A307" s="711"/>
      <c r="B307" s="707"/>
      <c r="C307" s="708"/>
      <c r="D307" s="708"/>
      <c r="E307" s="709"/>
      <c r="F307" s="707"/>
      <c r="G307" s="708"/>
      <c r="H307" s="708"/>
      <c r="I307" s="708"/>
      <c r="J307" s="708"/>
      <c r="K307" s="710"/>
      <c r="L307" s="270"/>
      <c r="M307" s="706" t="str">
        <f t="shared" si="4"/>
        <v/>
      </c>
    </row>
    <row r="308" spans="1:13" ht="14.45" customHeight="1" x14ac:dyDescent="0.2">
      <c r="A308" s="711"/>
      <c r="B308" s="707"/>
      <c r="C308" s="708"/>
      <c r="D308" s="708"/>
      <c r="E308" s="709"/>
      <c r="F308" s="707"/>
      <c r="G308" s="708"/>
      <c r="H308" s="708"/>
      <c r="I308" s="708"/>
      <c r="J308" s="708"/>
      <c r="K308" s="710"/>
      <c r="L308" s="270"/>
      <c r="M308" s="706" t="str">
        <f t="shared" si="4"/>
        <v/>
      </c>
    </row>
    <row r="309" spans="1:13" ht="14.45" customHeight="1" x14ac:dyDescent="0.2">
      <c r="A309" s="711"/>
      <c r="B309" s="707"/>
      <c r="C309" s="708"/>
      <c r="D309" s="708"/>
      <c r="E309" s="709"/>
      <c r="F309" s="707"/>
      <c r="G309" s="708"/>
      <c r="H309" s="708"/>
      <c r="I309" s="708"/>
      <c r="J309" s="708"/>
      <c r="K309" s="710"/>
      <c r="L309" s="270"/>
      <c r="M309" s="706" t="str">
        <f t="shared" si="4"/>
        <v/>
      </c>
    </row>
    <row r="310" spans="1:13" ht="14.45" customHeight="1" x14ac:dyDescent="0.2">
      <c r="A310" s="711"/>
      <c r="B310" s="707"/>
      <c r="C310" s="708"/>
      <c r="D310" s="708"/>
      <c r="E310" s="709"/>
      <c r="F310" s="707"/>
      <c r="G310" s="708"/>
      <c r="H310" s="708"/>
      <c r="I310" s="708"/>
      <c r="J310" s="708"/>
      <c r="K310" s="710"/>
      <c r="L310" s="270"/>
      <c r="M310" s="706" t="str">
        <f t="shared" si="4"/>
        <v/>
      </c>
    </row>
    <row r="311" spans="1:13" ht="14.45" customHeight="1" x14ac:dyDescent="0.2">
      <c r="A311" s="711"/>
      <c r="B311" s="707"/>
      <c r="C311" s="708"/>
      <c r="D311" s="708"/>
      <c r="E311" s="709"/>
      <c r="F311" s="707"/>
      <c r="G311" s="708"/>
      <c r="H311" s="708"/>
      <c r="I311" s="708"/>
      <c r="J311" s="708"/>
      <c r="K311" s="710"/>
      <c r="L311" s="270"/>
      <c r="M311" s="706" t="str">
        <f t="shared" si="4"/>
        <v/>
      </c>
    </row>
    <row r="312" spans="1:13" ht="14.45" customHeight="1" x14ac:dyDescent="0.2">
      <c r="A312" s="711"/>
      <c r="B312" s="707"/>
      <c r="C312" s="708"/>
      <c r="D312" s="708"/>
      <c r="E312" s="709"/>
      <c r="F312" s="707"/>
      <c r="G312" s="708"/>
      <c r="H312" s="708"/>
      <c r="I312" s="708"/>
      <c r="J312" s="708"/>
      <c r="K312" s="710"/>
      <c r="L312" s="270"/>
      <c r="M312" s="706" t="str">
        <f t="shared" si="4"/>
        <v/>
      </c>
    </row>
    <row r="313" spans="1:13" ht="14.45" customHeight="1" x14ac:dyDescent="0.2">
      <c r="A313" s="711"/>
      <c r="B313" s="707"/>
      <c r="C313" s="708"/>
      <c r="D313" s="708"/>
      <c r="E313" s="709"/>
      <c r="F313" s="707"/>
      <c r="G313" s="708"/>
      <c r="H313" s="708"/>
      <c r="I313" s="708"/>
      <c r="J313" s="708"/>
      <c r="K313" s="710"/>
      <c r="L313" s="270"/>
      <c r="M313" s="706" t="str">
        <f t="shared" si="4"/>
        <v/>
      </c>
    </row>
    <row r="314" spans="1:13" ht="14.45" customHeight="1" x14ac:dyDescent="0.2">
      <c r="A314" s="711"/>
      <c r="B314" s="707"/>
      <c r="C314" s="708"/>
      <c r="D314" s="708"/>
      <c r="E314" s="709"/>
      <c r="F314" s="707"/>
      <c r="G314" s="708"/>
      <c r="H314" s="708"/>
      <c r="I314" s="708"/>
      <c r="J314" s="708"/>
      <c r="K314" s="710"/>
      <c r="L314" s="270"/>
      <c r="M314" s="706" t="str">
        <f t="shared" si="4"/>
        <v/>
      </c>
    </row>
    <row r="315" spans="1:13" ht="14.45" customHeight="1" x14ac:dyDescent="0.2">
      <c r="A315" s="711"/>
      <c r="B315" s="707"/>
      <c r="C315" s="708"/>
      <c r="D315" s="708"/>
      <c r="E315" s="709"/>
      <c r="F315" s="707"/>
      <c r="G315" s="708"/>
      <c r="H315" s="708"/>
      <c r="I315" s="708"/>
      <c r="J315" s="708"/>
      <c r="K315" s="710"/>
      <c r="L315" s="270"/>
      <c r="M315" s="706" t="str">
        <f t="shared" si="4"/>
        <v/>
      </c>
    </row>
    <row r="316" spans="1:13" ht="14.45" customHeight="1" x14ac:dyDescent="0.2">
      <c r="A316" s="711"/>
      <c r="B316" s="707"/>
      <c r="C316" s="708"/>
      <c r="D316" s="708"/>
      <c r="E316" s="709"/>
      <c r="F316" s="707"/>
      <c r="G316" s="708"/>
      <c r="H316" s="708"/>
      <c r="I316" s="708"/>
      <c r="J316" s="708"/>
      <c r="K316" s="710"/>
      <c r="L316" s="270"/>
      <c r="M316" s="706" t="str">
        <f t="shared" si="4"/>
        <v/>
      </c>
    </row>
    <row r="317" spans="1:13" ht="14.45" customHeight="1" x14ac:dyDescent="0.2">
      <c r="A317" s="711"/>
      <c r="B317" s="707"/>
      <c r="C317" s="708"/>
      <c r="D317" s="708"/>
      <c r="E317" s="709"/>
      <c r="F317" s="707"/>
      <c r="G317" s="708"/>
      <c r="H317" s="708"/>
      <c r="I317" s="708"/>
      <c r="J317" s="708"/>
      <c r="K317" s="710"/>
      <c r="L317" s="270"/>
      <c r="M317" s="706" t="str">
        <f t="shared" si="4"/>
        <v/>
      </c>
    </row>
    <row r="318" spans="1:13" ht="14.45" customHeight="1" x14ac:dyDescent="0.2">
      <c r="A318" s="711"/>
      <c r="B318" s="707"/>
      <c r="C318" s="708"/>
      <c r="D318" s="708"/>
      <c r="E318" s="709"/>
      <c r="F318" s="707"/>
      <c r="G318" s="708"/>
      <c r="H318" s="708"/>
      <c r="I318" s="708"/>
      <c r="J318" s="708"/>
      <c r="K318" s="710"/>
      <c r="L318" s="270"/>
      <c r="M318" s="706" t="str">
        <f t="shared" si="4"/>
        <v/>
      </c>
    </row>
    <row r="319" spans="1:13" ht="14.45" customHeight="1" x14ac:dyDescent="0.2">
      <c r="A319" s="711"/>
      <c r="B319" s="707"/>
      <c r="C319" s="708"/>
      <c r="D319" s="708"/>
      <c r="E319" s="709"/>
      <c r="F319" s="707"/>
      <c r="G319" s="708"/>
      <c r="H319" s="708"/>
      <c r="I319" s="708"/>
      <c r="J319" s="708"/>
      <c r="K319" s="710"/>
      <c r="L319" s="270"/>
      <c r="M319" s="706" t="str">
        <f t="shared" si="4"/>
        <v/>
      </c>
    </row>
    <row r="320" spans="1:13" ht="14.45" customHeight="1" x14ac:dyDescent="0.2">
      <c r="A320" s="711"/>
      <c r="B320" s="707"/>
      <c r="C320" s="708"/>
      <c r="D320" s="708"/>
      <c r="E320" s="709"/>
      <c r="F320" s="707"/>
      <c r="G320" s="708"/>
      <c r="H320" s="708"/>
      <c r="I320" s="708"/>
      <c r="J320" s="708"/>
      <c r="K320" s="710"/>
      <c r="L320" s="270"/>
      <c r="M320" s="706" t="str">
        <f t="shared" si="4"/>
        <v/>
      </c>
    </row>
    <row r="321" spans="1:13" ht="14.45" customHeight="1" x14ac:dyDescent="0.2">
      <c r="A321" s="711"/>
      <c r="B321" s="707"/>
      <c r="C321" s="708"/>
      <c r="D321" s="708"/>
      <c r="E321" s="709"/>
      <c r="F321" s="707"/>
      <c r="G321" s="708"/>
      <c r="H321" s="708"/>
      <c r="I321" s="708"/>
      <c r="J321" s="708"/>
      <c r="K321" s="710"/>
      <c r="L321" s="270"/>
      <c r="M321" s="706" t="str">
        <f t="shared" si="4"/>
        <v/>
      </c>
    </row>
    <row r="322" spans="1:13" ht="14.45" customHeight="1" x14ac:dyDescent="0.2">
      <c r="A322" s="711"/>
      <c r="B322" s="707"/>
      <c r="C322" s="708"/>
      <c r="D322" s="708"/>
      <c r="E322" s="709"/>
      <c r="F322" s="707"/>
      <c r="G322" s="708"/>
      <c r="H322" s="708"/>
      <c r="I322" s="708"/>
      <c r="J322" s="708"/>
      <c r="K322" s="710"/>
      <c r="L322" s="270"/>
      <c r="M322" s="706" t="str">
        <f t="shared" si="4"/>
        <v/>
      </c>
    </row>
    <row r="323" spans="1:13" ht="14.45" customHeight="1" x14ac:dyDescent="0.2">
      <c r="A323" s="711"/>
      <c r="B323" s="707"/>
      <c r="C323" s="708"/>
      <c r="D323" s="708"/>
      <c r="E323" s="709"/>
      <c r="F323" s="707"/>
      <c r="G323" s="708"/>
      <c r="H323" s="708"/>
      <c r="I323" s="708"/>
      <c r="J323" s="708"/>
      <c r="K323" s="710"/>
      <c r="L323" s="270"/>
      <c r="M323" s="706" t="str">
        <f t="shared" si="4"/>
        <v/>
      </c>
    </row>
    <row r="324" spans="1:13" ht="14.45" customHeight="1" x14ac:dyDescent="0.2">
      <c r="A324" s="711"/>
      <c r="B324" s="707"/>
      <c r="C324" s="708"/>
      <c r="D324" s="708"/>
      <c r="E324" s="709"/>
      <c r="F324" s="707"/>
      <c r="G324" s="708"/>
      <c r="H324" s="708"/>
      <c r="I324" s="708"/>
      <c r="J324" s="708"/>
      <c r="K324" s="710"/>
      <c r="L324" s="270"/>
      <c r="M324" s="706" t="str">
        <f t="shared" si="4"/>
        <v/>
      </c>
    </row>
    <row r="325" spans="1:13" ht="14.45" customHeight="1" x14ac:dyDescent="0.2">
      <c r="A325" s="711"/>
      <c r="B325" s="707"/>
      <c r="C325" s="708"/>
      <c r="D325" s="708"/>
      <c r="E325" s="709"/>
      <c r="F325" s="707"/>
      <c r="G325" s="708"/>
      <c r="H325" s="708"/>
      <c r="I325" s="708"/>
      <c r="J325" s="708"/>
      <c r="K325" s="710"/>
      <c r="L325" s="270"/>
      <c r="M325" s="706" t="str">
        <f t="shared" si="4"/>
        <v/>
      </c>
    </row>
    <row r="326" spans="1:13" ht="14.45" customHeight="1" x14ac:dyDescent="0.2">
      <c r="A326" s="711"/>
      <c r="B326" s="707"/>
      <c r="C326" s="708"/>
      <c r="D326" s="708"/>
      <c r="E326" s="709"/>
      <c r="F326" s="707"/>
      <c r="G326" s="708"/>
      <c r="H326" s="708"/>
      <c r="I326" s="708"/>
      <c r="J326" s="708"/>
      <c r="K326" s="710"/>
      <c r="L326" s="270"/>
      <c r="M326" s="706" t="str">
        <f t="shared" ref="M326:M389" si="5">IF(A326="HV","HV",IF(OR(LEFT(A326,16)="               5",LEFT(A326,16)="               6",LEFT(A326,16)="               7",LEFT(A326,16)="               8"),"X",""))</f>
        <v/>
      </c>
    </row>
    <row r="327" spans="1:13" ht="14.45" customHeight="1" x14ac:dyDescent="0.2">
      <c r="A327" s="711"/>
      <c r="B327" s="707"/>
      <c r="C327" s="708"/>
      <c r="D327" s="708"/>
      <c r="E327" s="709"/>
      <c r="F327" s="707"/>
      <c r="G327" s="708"/>
      <c r="H327" s="708"/>
      <c r="I327" s="708"/>
      <c r="J327" s="708"/>
      <c r="K327" s="710"/>
      <c r="L327" s="270"/>
      <c r="M327" s="706" t="str">
        <f t="shared" si="5"/>
        <v/>
      </c>
    </row>
    <row r="328" spans="1:13" ht="14.45" customHeight="1" x14ac:dyDescent="0.2">
      <c r="A328" s="711"/>
      <c r="B328" s="707"/>
      <c r="C328" s="708"/>
      <c r="D328" s="708"/>
      <c r="E328" s="709"/>
      <c r="F328" s="707"/>
      <c r="G328" s="708"/>
      <c r="H328" s="708"/>
      <c r="I328" s="708"/>
      <c r="J328" s="708"/>
      <c r="K328" s="710"/>
      <c r="L328" s="270"/>
      <c r="M328" s="706" t="str">
        <f t="shared" si="5"/>
        <v/>
      </c>
    </row>
    <row r="329" spans="1:13" ht="14.45" customHeight="1" x14ac:dyDescent="0.2">
      <c r="A329" s="711"/>
      <c r="B329" s="707"/>
      <c r="C329" s="708"/>
      <c r="D329" s="708"/>
      <c r="E329" s="709"/>
      <c r="F329" s="707"/>
      <c r="G329" s="708"/>
      <c r="H329" s="708"/>
      <c r="I329" s="708"/>
      <c r="J329" s="708"/>
      <c r="K329" s="710"/>
      <c r="L329" s="270"/>
      <c r="M329" s="706" t="str">
        <f t="shared" si="5"/>
        <v/>
      </c>
    </row>
    <row r="330" spans="1:13" ht="14.45" customHeight="1" x14ac:dyDescent="0.2">
      <c r="A330" s="711"/>
      <c r="B330" s="707"/>
      <c r="C330" s="708"/>
      <c r="D330" s="708"/>
      <c r="E330" s="709"/>
      <c r="F330" s="707"/>
      <c r="G330" s="708"/>
      <c r="H330" s="708"/>
      <c r="I330" s="708"/>
      <c r="J330" s="708"/>
      <c r="K330" s="710"/>
      <c r="L330" s="270"/>
      <c r="M330" s="706" t="str">
        <f t="shared" si="5"/>
        <v/>
      </c>
    </row>
    <row r="331" spans="1:13" ht="14.45" customHeight="1" x14ac:dyDescent="0.2">
      <c r="A331" s="711"/>
      <c r="B331" s="707"/>
      <c r="C331" s="708"/>
      <c r="D331" s="708"/>
      <c r="E331" s="709"/>
      <c r="F331" s="707"/>
      <c r="G331" s="708"/>
      <c r="H331" s="708"/>
      <c r="I331" s="708"/>
      <c r="J331" s="708"/>
      <c r="K331" s="710"/>
      <c r="L331" s="270"/>
      <c r="M331" s="706" t="str">
        <f t="shared" si="5"/>
        <v/>
      </c>
    </row>
    <row r="332" spans="1:13" ht="14.45" customHeight="1" x14ac:dyDescent="0.2">
      <c r="A332" s="711"/>
      <c r="B332" s="707"/>
      <c r="C332" s="708"/>
      <c r="D332" s="708"/>
      <c r="E332" s="709"/>
      <c r="F332" s="707"/>
      <c r="G332" s="708"/>
      <c r="H332" s="708"/>
      <c r="I332" s="708"/>
      <c r="J332" s="708"/>
      <c r="K332" s="710"/>
      <c r="L332" s="270"/>
      <c r="M332" s="706" t="str">
        <f t="shared" si="5"/>
        <v/>
      </c>
    </row>
    <row r="333" spans="1:13" ht="14.45" customHeight="1" x14ac:dyDescent="0.2">
      <c r="A333" s="711"/>
      <c r="B333" s="707"/>
      <c r="C333" s="708"/>
      <c r="D333" s="708"/>
      <c r="E333" s="709"/>
      <c r="F333" s="707"/>
      <c r="G333" s="708"/>
      <c r="H333" s="708"/>
      <c r="I333" s="708"/>
      <c r="J333" s="708"/>
      <c r="K333" s="710"/>
      <c r="L333" s="270"/>
      <c r="M333" s="706" t="str">
        <f t="shared" si="5"/>
        <v/>
      </c>
    </row>
    <row r="334" spans="1:13" ht="14.45" customHeight="1" x14ac:dyDescent="0.2">
      <c r="A334" s="711"/>
      <c r="B334" s="707"/>
      <c r="C334" s="708"/>
      <c r="D334" s="708"/>
      <c r="E334" s="709"/>
      <c r="F334" s="707"/>
      <c r="G334" s="708"/>
      <c r="H334" s="708"/>
      <c r="I334" s="708"/>
      <c r="J334" s="708"/>
      <c r="K334" s="710"/>
      <c r="L334" s="270"/>
      <c r="M334" s="706" t="str">
        <f t="shared" si="5"/>
        <v/>
      </c>
    </row>
    <row r="335" spans="1:13" ht="14.45" customHeight="1" x14ac:dyDescent="0.2">
      <c r="A335" s="711"/>
      <c r="B335" s="707"/>
      <c r="C335" s="708"/>
      <c r="D335" s="708"/>
      <c r="E335" s="709"/>
      <c r="F335" s="707"/>
      <c r="G335" s="708"/>
      <c r="H335" s="708"/>
      <c r="I335" s="708"/>
      <c r="J335" s="708"/>
      <c r="K335" s="710"/>
      <c r="L335" s="270"/>
      <c r="M335" s="706" t="str">
        <f t="shared" si="5"/>
        <v/>
      </c>
    </row>
    <row r="336" spans="1:13" ht="14.45" customHeight="1" x14ac:dyDescent="0.2">
      <c r="A336" s="711"/>
      <c r="B336" s="707"/>
      <c r="C336" s="708"/>
      <c r="D336" s="708"/>
      <c r="E336" s="709"/>
      <c r="F336" s="707"/>
      <c r="G336" s="708"/>
      <c r="H336" s="708"/>
      <c r="I336" s="708"/>
      <c r="J336" s="708"/>
      <c r="K336" s="710"/>
      <c r="L336" s="270"/>
      <c r="M336" s="706" t="str">
        <f t="shared" si="5"/>
        <v/>
      </c>
    </row>
    <row r="337" spans="1:13" ht="14.45" customHeight="1" x14ac:dyDescent="0.2">
      <c r="A337" s="711"/>
      <c r="B337" s="707"/>
      <c r="C337" s="708"/>
      <c r="D337" s="708"/>
      <c r="E337" s="709"/>
      <c r="F337" s="707"/>
      <c r="G337" s="708"/>
      <c r="H337" s="708"/>
      <c r="I337" s="708"/>
      <c r="J337" s="708"/>
      <c r="K337" s="710"/>
      <c r="L337" s="270"/>
      <c r="M337" s="706" t="str">
        <f t="shared" si="5"/>
        <v/>
      </c>
    </row>
    <row r="338" spans="1:13" ht="14.45" customHeight="1" x14ac:dyDescent="0.2">
      <c r="A338" s="711"/>
      <c r="B338" s="707"/>
      <c r="C338" s="708"/>
      <c r="D338" s="708"/>
      <c r="E338" s="709"/>
      <c r="F338" s="707"/>
      <c r="G338" s="708"/>
      <c r="H338" s="708"/>
      <c r="I338" s="708"/>
      <c r="J338" s="708"/>
      <c r="K338" s="710"/>
      <c r="L338" s="270"/>
      <c r="M338" s="706" t="str">
        <f t="shared" si="5"/>
        <v/>
      </c>
    </row>
    <row r="339" spans="1:13" ht="14.45" customHeight="1" x14ac:dyDescent="0.2">
      <c r="A339" s="711"/>
      <c r="B339" s="707"/>
      <c r="C339" s="708"/>
      <c r="D339" s="708"/>
      <c r="E339" s="709"/>
      <c r="F339" s="707"/>
      <c r="G339" s="708"/>
      <c r="H339" s="708"/>
      <c r="I339" s="708"/>
      <c r="J339" s="708"/>
      <c r="K339" s="710"/>
      <c r="L339" s="270"/>
      <c r="M339" s="706" t="str">
        <f t="shared" si="5"/>
        <v/>
      </c>
    </row>
    <row r="340" spans="1:13" ht="14.45" customHeight="1" x14ac:dyDescent="0.2">
      <c r="A340" s="711"/>
      <c r="B340" s="707"/>
      <c r="C340" s="708"/>
      <c r="D340" s="708"/>
      <c r="E340" s="709"/>
      <c r="F340" s="707"/>
      <c r="G340" s="708"/>
      <c r="H340" s="708"/>
      <c r="I340" s="708"/>
      <c r="J340" s="708"/>
      <c r="K340" s="710"/>
      <c r="L340" s="270"/>
      <c r="M340" s="706" t="str">
        <f t="shared" si="5"/>
        <v/>
      </c>
    </row>
    <row r="341" spans="1:13" ht="14.45" customHeight="1" x14ac:dyDescent="0.2">
      <c r="A341" s="711"/>
      <c r="B341" s="707"/>
      <c r="C341" s="708"/>
      <c r="D341" s="708"/>
      <c r="E341" s="709"/>
      <c r="F341" s="707"/>
      <c r="G341" s="708"/>
      <c r="H341" s="708"/>
      <c r="I341" s="708"/>
      <c r="J341" s="708"/>
      <c r="K341" s="710"/>
      <c r="L341" s="270"/>
      <c r="M341" s="706" t="str">
        <f t="shared" si="5"/>
        <v/>
      </c>
    </row>
    <row r="342" spans="1:13" ht="14.45" customHeight="1" x14ac:dyDescent="0.2">
      <c r="A342" s="711"/>
      <c r="B342" s="707"/>
      <c r="C342" s="708"/>
      <c r="D342" s="708"/>
      <c r="E342" s="709"/>
      <c r="F342" s="707"/>
      <c r="G342" s="708"/>
      <c r="H342" s="708"/>
      <c r="I342" s="708"/>
      <c r="J342" s="708"/>
      <c r="K342" s="710"/>
      <c r="L342" s="270"/>
      <c r="M342" s="706" t="str">
        <f t="shared" si="5"/>
        <v/>
      </c>
    </row>
    <row r="343" spans="1:13" ht="14.45" customHeight="1" x14ac:dyDescent="0.2">
      <c r="A343" s="711"/>
      <c r="B343" s="707"/>
      <c r="C343" s="708"/>
      <c r="D343" s="708"/>
      <c r="E343" s="709"/>
      <c r="F343" s="707"/>
      <c r="G343" s="708"/>
      <c r="H343" s="708"/>
      <c r="I343" s="708"/>
      <c r="J343" s="708"/>
      <c r="K343" s="710"/>
      <c r="L343" s="270"/>
      <c r="M343" s="706" t="str">
        <f t="shared" si="5"/>
        <v/>
      </c>
    </row>
    <row r="344" spans="1:13" ht="14.45" customHeight="1" x14ac:dyDescent="0.2">
      <c r="A344" s="711"/>
      <c r="B344" s="707"/>
      <c r="C344" s="708"/>
      <c r="D344" s="708"/>
      <c r="E344" s="709"/>
      <c r="F344" s="707"/>
      <c r="G344" s="708"/>
      <c r="H344" s="708"/>
      <c r="I344" s="708"/>
      <c r="J344" s="708"/>
      <c r="K344" s="710"/>
      <c r="L344" s="270"/>
      <c r="M344" s="706" t="str">
        <f t="shared" si="5"/>
        <v/>
      </c>
    </row>
    <row r="345" spans="1:13" ht="14.45" customHeight="1" x14ac:dyDescent="0.2">
      <c r="A345" s="711"/>
      <c r="B345" s="707"/>
      <c r="C345" s="708"/>
      <c r="D345" s="708"/>
      <c r="E345" s="709"/>
      <c r="F345" s="707"/>
      <c r="G345" s="708"/>
      <c r="H345" s="708"/>
      <c r="I345" s="708"/>
      <c r="J345" s="708"/>
      <c r="K345" s="710"/>
      <c r="L345" s="270"/>
      <c r="M345" s="706" t="str">
        <f t="shared" si="5"/>
        <v/>
      </c>
    </row>
    <row r="346" spans="1:13" ht="14.45" customHeight="1" x14ac:dyDescent="0.2">
      <c r="A346" s="711"/>
      <c r="B346" s="707"/>
      <c r="C346" s="708"/>
      <c r="D346" s="708"/>
      <c r="E346" s="709"/>
      <c r="F346" s="707"/>
      <c r="G346" s="708"/>
      <c r="H346" s="708"/>
      <c r="I346" s="708"/>
      <c r="J346" s="708"/>
      <c r="K346" s="710"/>
      <c r="L346" s="270"/>
      <c r="M346" s="706" t="str">
        <f t="shared" si="5"/>
        <v/>
      </c>
    </row>
    <row r="347" spans="1:13" ht="14.45" customHeight="1" x14ac:dyDescent="0.2">
      <c r="A347" s="711"/>
      <c r="B347" s="707"/>
      <c r="C347" s="708"/>
      <c r="D347" s="708"/>
      <c r="E347" s="709"/>
      <c r="F347" s="707"/>
      <c r="G347" s="708"/>
      <c r="H347" s="708"/>
      <c r="I347" s="708"/>
      <c r="J347" s="708"/>
      <c r="K347" s="710"/>
      <c r="L347" s="270"/>
      <c r="M347" s="706" t="str">
        <f t="shared" si="5"/>
        <v/>
      </c>
    </row>
    <row r="348" spans="1:13" ht="14.45" customHeight="1" x14ac:dyDescent="0.2">
      <c r="A348" s="711"/>
      <c r="B348" s="707"/>
      <c r="C348" s="708"/>
      <c r="D348" s="708"/>
      <c r="E348" s="709"/>
      <c r="F348" s="707"/>
      <c r="G348" s="708"/>
      <c r="H348" s="708"/>
      <c r="I348" s="708"/>
      <c r="J348" s="708"/>
      <c r="K348" s="710"/>
      <c r="L348" s="270"/>
      <c r="M348" s="706" t="str">
        <f t="shared" si="5"/>
        <v/>
      </c>
    </row>
    <row r="349" spans="1:13" ht="14.45" customHeight="1" x14ac:dyDescent="0.2">
      <c r="A349" s="711"/>
      <c r="B349" s="707"/>
      <c r="C349" s="708"/>
      <c r="D349" s="708"/>
      <c r="E349" s="709"/>
      <c r="F349" s="707"/>
      <c r="G349" s="708"/>
      <c r="H349" s="708"/>
      <c r="I349" s="708"/>
      <c r="J349" s="708"/>
      <c r="K349" s="710"/>
      <c r="L349" s="270"/>
      <c r="M349" s="706" t="str">
        <f t="shared" si="5"/>
        <v/>
      </c>
    </row>
    <row r="350" spans="1:13" ht="14.45" customHeight="1" x14ac:dyDescent="0.2">
      <c r="A350" s="711"/>
      <c r="B350" s="707"/>
      <c r="C350" s="708"/>
      <c r="D350" s="708"/>
      <c r="E350" s="709"/>
      <c r="F350" s="707"/>
      <c r="G350" s="708"/>
      <c r="H350" s="708"/>
      <c r="I350" s="708"/>
      <c r="J350" s="708"/>
      <c r="K350" s="710"/>
      <c r="L350" s="270"/>
      <c r="M350" s="706" t="str">
        <f t="shared" si="5"/>
        <v/>
      </c>
    </row>
    <row r="351" spans="1:13" ht="14.45" customHeight="1" x14ac:dyDescent="0.2">
      <c r="A351" s="711"/>
      <c r="B351" s="707"/>
      <c r="C351" s="708"/>
      <c r="D351" s="708"/>
      <c r="E351" s="709"/>
      <c r="F351" s="707"/>
      <c r="G351" s="708"/>
      <c r="H351" s="708"/>
      <c r="I351" s="708"/>
      <c r="J351" s="708"/>
      <c r="K351" s="710"/>
      <c r="L351" s="270"/>
      <c r="M351" s="706" t="str">
        <f t="shared" si="5"/>
        <v/>
      </c>
    </row>
    <row r="352" spans="1:13" ht="14.45" customHeight="1" x14ac:dyDescent="0.2">
      <c r="A352" s="711"/>
      <c r="B352" s="707"/>
      <c r="C352" s="708"/>
      <c r="D352" s="708"/>
      <c r="E352" s="709"/>
      <c r="F352" s="707"/>
      <c r="G352" s="708"/>
      <c r="H352" s="708"/>
      <c r="I352" s="708"/>
      <c r="J352" s="708"/>
      <c r="K352" s="710"/>
      <c r="L352" s="270"/>
      <c r="M352" s="706" t="str">
        <f t="shared" si="5"/>
        <v/>
      </c>
    </row>
    <row r="353" spans="1:13" ht="14.45" customHeight="1" x14ac:dyDescent="0.2">
      <c r="A353" s="711"/>
      <c r="B353" s="707"/>
      <c r="C353" s="708"/>
      <c r="D353" s="708"/>
      <c r="E353" s="709"/>
      <c r="F353" s="707"/>
      <c r="G353" s="708"/>
      <c r="H353" s="708"/>
      <c r="I353" s="708"/>
      <c r="J353" s="708"/>
      <c r="K353" s="710"/>
      <c r="L353" s="270"/>
      <c r="M353" s="706" t="str">
        <f t="shared" si="5"/>
        <v/>
      </c>
    </row>
    <row r="354" spans="1:13" ht="14.45" customHeight="1" x14ac:dyDescent="0.2">
      <c r="A354" s="711"/>
      <c r="B354" s="707"/>
      <c r="C354" s="708"/>
      <c r="D354" s="708"/>
      <c r="E354" s="709"/>
      <c r="F354" s="707"/>
      <c r="G354" s="708"/>
      <c r="H354" s="708"/>
      <c r="I354" s="708"/>
      <c r="J354" s="708"/>
      <c r="K354" s="710"/>
      <c r="L354" s="270"/>
      <c r="M354" s="706" t="str">
        <f t="shared" si="5"/>
        <v/>
      </c>
    </row>
    <row r="355" spans="1:13" ht="14.45" customHeight="1" x14ac:dyDescent="0.2">
      <c r="A355" s="711"/>
      <c r="B355" s="707"/>
      <c r="C355" s="708"/>
      <c r="D355" s="708"/>
      <c r="E355" s="709"/>
      <c r="F355" s="707"/>
      <c r="G355" s="708"/>
      <c r="H355" s="708"/>
      <c r="I355" s="708"/>
      <c r="J355" s="708"/>
      <c r="K355" s="710"/>
      <c r="L355" s="270"/>
      <c r="M355" s="706" t="str">
        <f t="shared" si="5"/>
        <v/>
      </c>
    </row>
    <row r="356" spans="1:13" ht="14.45" customHeight="1" x14ac:dyDescent="0.2">
      <c r="A356" s="711"/>
      <c r="B356" s="707"/>
      <c r="C356" s="708"/>
      <c r="D356" s="708"/>
      <c r="E356" s="709"/>
      <c r="F356" s="707"/>
      <c r="G356" s="708"/>
      <c r="H356" s="708"/>
      <c r="I356" s="708"/>
      <c r="J356" s="708"/>
      <c r="K356" s="710"/>
      <c r="L356" s="270"/>
      <c r="M356" s="706" t="str">
        <f t="shared" si="5"/>
        <v/>
      </c>
    </row>
    <row r="357" spans="1:13" ht="14.45" customHeight="1" x14ac:dyDescent="0.2">
      <c r="A357" s="711"/>
      <c r="B357" s="707"/>
      <c r="C357" s="708"/>
      <c r="D357" s="708"/>
      <c r="E357" s="709"/>
      <c r="F357" s="707"/>
      <c r="G357" s="708"/>
      <c r="H357" s="708"/>
      <c r="I357" s="708"/>
      <c r="J357" s="708"/>
      <c r="K357" s="710"/>
      <c r="L357" s="270"/>
      <c r="M357" s="706" t="str">
        <f t="shared" si="5"/>
        <v/>
      </c>
    </row>
    <row r="358" spans="1:13" ht="14.45" customHeight="1" x14ac:dyDescent="0.2">
      <c r="A358" s="711"/>
      <c r="B358" s="707"/>
      <c r="C358" s="708"/>
      <c r="D358" s="708"/>
      <c r="E358" s="709"/>
      <c r="F358" s="707"/>
      <c r="G358" s="708"/>
      <c r="H358" s="708"/>
      <c r="I358" s="708"/>
      <c r="J358" s="708"/>
      <c r="K358" s="710"/>
      <c r="L358" s="270"/>
      <c r="M358" s="706" t="str">
        <f t="shared" si="5"/>
        <v/>
      </c>
    </row>
    <row r="359" spans="1:13" ht="14.45" customHeight="1" x14ac:dyDescent="0.2">
      <c r="A359" s="711"/>
      <c r="B359" s="707"/>
      <c r="C359" s="708"/>
      <c r="D359" s="708"/>
      <c r="E359" s="709"/>
      <c r="F359" s="707"/>
      <c r="G359" s="708"/>
      <c r="H359" s="708"/>
      <c r="I359" s="708"/>
      <c r="J359" s="708"/>
      <c r="K359" s="710"/>
      <c r="L359" s="270"/>
      <c r="M359" s="706" t="str">
        <f t="shared" si="5"/>
        <v/>
      </c>
    </row>
    <row r="360" spans="1:13" ht="14.45" customHeight="1" x14ac:dyDescent="0.2">
      <c r="A360" s="711"/>
      <c r="B360" s="707"/>
      <c r="C360" s="708"/>
      <c r="D360" s="708"/>
      <c r="E360" s="709"/>
      <c r="F360" s="707"/>
      <c r="G360" s="708"/>
      <c r="H360" s="708"/>
      <c r="I360" s="708"/>
      <c r="J360" s="708"/>
      <c r="K360" s="710"/>
      <c r="L360" s="270"/>
      <c r="M360" s="706" t="str">
        <f t="shared" si="5"/>
        <v/>
      </c>
    </row>
    <row r="361" spans="1:13" ht="14.45" customHeight="1" x14ac:dyDescent="0.2">
      <c r="A361" s="711"/>
      <c r="B361" s="707"/>
      <c r="C361" s="708"/>
      <c r="D361" s="708"/>
      <c r="E361" s="709"/>
      <c r="F361" s="707"/>
      <c r="G361" s="708"/>
      <c r="H361" s="708"/>
      <c r="I361" s="708"/>
      <c r="J361" s="708"/>
      <c r="K361" s="710"/>
      <c r="L361" s="270"/>
      <c r="M361" s="706" t="str">
        <f t="shared" si="5"/>
        <v/>
      </c>
    </row>
    <row r="362" spans="1:13" ht="14.45" customHeight="1" x14ac:dyDescent="0.2">
      <c r="A362" s="711"/>
      <c r="B362" s="707"/>
      <c r="C362" s="708"/>
      <c r="D362" s="708"/>
      <c r="E362" s="709"/>
      <c r="F362" s="707"/>
      <c r="G362" s="708"/>
      <c r="H362" s="708"/>
      <c r="I362" s="708"/>
      <c r="J362" s="708"/>
      <c r="K362" s="710"/>
      <c r="L362" s="270"/>
      <c r="M362" s="706" t="str">
        <f t="shared" si="5"/>
        <v/>
      </c>
    </row>
    <row r="363" spans="1:13" ht="14.45" customHeight="1" x14ac:dyDescent="0.2">
      <c r="A363" s="711"/>
      <c r="B363" s="707"/>
      <c r="C363" s="708"/>
      <c r="D363" s="708"/>
      <c r="E363" s="709"/>
      <c r="F363" s="707"/>
      <c r="G363" s="708"/>
      <c r="H363" s="708"/>
      <c r="I363" s="708"/>
      <c r="J363" s="708"/>
      <c r="K363" s="710"/>
      <c r="L363" s="270"/>
      <c r="M363" s="706" t="str">
        <f t="shared" si="5"/>
        <v/>
      </c>
    </row>
    <row r="364" spans="1:13" ht="14.45" customHeight="1" x14ac:dyDescent="0.2">
      <c r="A364" s="711"/>
      <c r="B364" s="707"/>
      <c r="C364" s="708"/>
      <c r="D364" s="708"/>
      <c r="E364" s="709"/>
      <c r="F364" s="707"/>
      <c r="G364" s="708"/>
      <c r="H364" s="708"/>
      <c r="I364" s="708"/>
      <c r="J364" s="708"/>
      <c r="K364" s="710"/>
      <c r="L364" s="270"/>
      <c r="M364" s="706" t="str">
        <f t="shared" si="5"/>
        <v/>
      </c>
    </row>
    <row r="365" spans="1:13" ht="14.45" customHeight="1" x14ac:dyDescent="0.2">
      <c r="A365" s="711"/>
      <c r="B365" s="707"/>
      <c r="C365" s="708"/>
      <c r="D365" s="708"/>
      <c r="E365" s="709"/>
      <c r="F365" s="707"/>
      <c r="G365" s="708"/>
      <c r="H365" s="708"/>
      <c r="I365" s="708"/>
      <c r="J365" s="708"/>
      <c r="K365" s="710"/>
      <c r="L365" s="270"/>
      <c r="M365" s="706" t="str">
        <f t="shared" si="5"/>
        <v/>
      </c>
    </row>
    <row r="366" spans="1:13" ht="14.45" customHeight="1" x14ac:dyDescent="0.2">
      <c r="A366" s="711"/>
      <c r="B366" s="707"/>
      <c r="C366" s="708"/>
      <c r="D366" s="708"/>
      <c r="E366" s="709"/>
      <c r="F366" s="707"/>
      <c r="G366" s="708"/>
      <c r="H366" s="708"/>
      <c r="I366" s="708"/>
      <c r="J366" s="708"/>
      <c r="K366" s="710"/>
      <c r="L366" s="270"/>
      <c r="M366" s="706" t="str">
        <f t="shared" si="5"/>
        <v/>
      </c>
    </row>
    <row r="367" spans="1:13" ht="14.45" customHeight="1" x14ac:dyDescent="0.2">
      <c r="A367" s="711"/>
      <c r="B367" s="707"/>
      <c r="C367" s="708"/>
      <c r="D367" s="708"/>
      <c r="E367" s="709"/>
      <c r="F367" s="707"/>
      <c r="G367" s="708"/>
      <c r="H367" s="708"/>
      <c r="I367" s="708"/>
      <c r="J367" s="708"/>
      <c r="K367" s="710"/>
      <c r="L367" s="270"/>
      <c r="M367" s="706" t="str">
        <f t="shared" si="5"/>
        <v/>
      </c>
    </row>
    <row r="368" spans="1:13" ht="14.45" customHeight="1" x14ac:dyDescent="0.2">
      <c r="A368" s="711"/>
      <c r="B368" s="707"/>
      <c r="C368" s="708"/>
      <c r="D368" s="708"/>
      <c r="E368" s="709"/>
      <c r="F368" s="707"/>
      <c r="G368" s="708"/>
      <c r="H368" s="708"/>
      <c r="I368" s="708"/>
      <c r="J368" s="708"/>
      <c r="K368" s="710"/>
      <c r="L368" s="270"/>
      <c r="M368" s="706" t="str">
        <f t="shared" si="5"/>
        <v/>
      </c>
    </row>
    <row r="369" spans="1:13" ht="14.45" customHeight="1" x14ac:dyDescent="0.2">
      <c r="A369" s="711"/>
      <c r="B369" s="707"/>
      <c r="C369" s="708"/>
      <c r="D369" s="708"/>
      <c r="E369" s="709"/>
      <c r="F369" s="707"/>
      <c r="G369" s="708"/>
      <c r="H369" s="708"/>
      <c r="I369" s="708"/>
      <c r="J369" s="708"/>
      <c r="K369" s="710"/>
      <c r="L369" s="270"/>
      <c r="M369" s="706" t="str">
        <f t="shared" si="5"/>
        <v/>
      </c>
    </row>
    <row r="370" spans="1:13" ht="14.45" customHeight="1" x14ac:dyDescent="0.2">
      <c r="A370" s="711"/>
      <c r="B370" s="707"/>
      <c r="C370" s="708"/>
      <c r="D370" s="708"/>
      <c r="E370" s="709"/>
      <c r="F370" s="707"/>
      <c r="G370" s="708"/>
      <c r="H370" s="708"/>
      <c r="I370" s="708"/>
      <c r="J370" s="708"/>
      <c r="K370" s="710"/>
      <c r="L370" s="270"/>
      <c r="M370" s="706" t="str">
        <f t="shared" si="5"/>
        <v/>
      </c>
    </row>
    <row r="371" spans="1:13" ht="14.45" customHeight="1" x14ac:dyDescent="0.2">
      <c r="A371" s="711"/>
      <c r="B371" s="707"/>
      <c r="C371" s="708"/>
      <c r="D371" s="708"/>
      <c r="E371" s="709"/>
      <c r="F371" s="707"/>
      <c r="G371" s="708"/>
      <c r="H371" s="708"/>
      <c r="I371" s="708"/>
      <c r="J371" s="708"/>
      <c r="K371" s="710"/>
      <c r="L371" s="270"/>
      <c r="M371" s="706" t="str">
        <f t="shared" si="5"/>
        <v/>
      </c>
    </row>
    <row r="372" spans="1:13" ht="14.45" customHeight="1" x14ac:dyDescent="0.2">
      <c r="A372" s="711"/>
      <c r="B372" s="707"/>
      <c r="C372" s="708"/>
      <c r="D372" s="708"/>
      <c r="E372" s="709"/>
      <c r="F372" s="707"/>
      <c r="G372" s="708"/>
      <c r="H372" s="708"/>
      <c r="I372" s="708"/>
      <c r="J372" s="708"/>
      <c r="K372" s="710"/>
      <c r="L372" s="270"/>
      <c r="M372" s="706" t="str">
        <f t="shared" si="5"/>
        <v/>
      </c>
    </row>
    <row r="373" spans="1:13" ht="14.45" customHeight="1" x14ac:dyDescent="0.2">
      <c r="A373" s="711"/>
      <c r="B373" s="707"/>
      <c r="C373" s="708"/>
      <c r="D373" s="708"/>
      <c r="E373" s="709"/>
      <c r="F373" s="707"/>
      <c r="G373" s="708"/>
      <c r="H373" s="708"/>
      <c r="I373" s="708"/>
      <c r="J373" s="708"/>
      <c r="K373" s="710"/>
      <c r="L373" s="270"/>
      <c r="M373" s="706" t="str">
        <f t="shared" si="5"/>
        <v/>
      </c>
    </row>
    <row r="374" spans="1:13" ht="14.45" customHeight="1" x14ac:dyDescent="0.2">
      <c r="A374" s="711"/>
      <c r="B374" s="707"/>
      <c r="C374" s="708"/>
      <c r="D374" s="708"/>
      <c r="E374" s="709"/>
      <c r="F374" s="707"/>
      <c r="G374" s="708"/>
      <c r="H374" s="708"/>
      <c r="I374" s="708"/>
      <c r="J374" s="708"/>
      <c r="K374" s="710"/>
      <c r="L374" s="270"/>
      <c r="M374" s="706" t="str">
        <f t="shared" si="5"/>
        <v/>
      </c>
    </row>
    <row r="375" spans="1:13" ht="14.45" customHeight="1" x14ac:dyDescent="0.2">
      <c r="A375" s="711"/>
      <c r="B375" s="707"/>
      <c r="C375" s="708"/>
      <c r="D375" s="708"/>
      <c r="E375" s="709"/>
      <c r="F375" s="707"/>
      <c r="G375" s="708"/>
      <c r="H375" s="708"/>
      <c r="I375" s="708"/>
      <c r="J375" s="708"/>
      <c r="K375" s="710"/>
      <c r="L375" s="270"/>
      <c r="M375" s="706" t="str">
        <f t="shared" si="5"/>
        <v/>
      </c>
    </row>
    <row r="376" spans="1:13" ht="14.45" customHeight="1" x14ac:dyDescent="0.2">
      <c r="A376" s="711"/>
      <c r="B376" s="707"/>
      <c r="C376" s="708"/>
      <c r="D376" s="708"/>
      <c r="E376" s="709"/>
      <c r="F376" s="707"/>
      <c r="G376" s="708"/>
      <c r="H376" s="708"/>
      <c r="I376" s="708"/>
      <c r="J376" s="708"/>
      <c r="K376" s="710"/>
      <c r="L376" s="270"/>
      <c r="M376" s="706" t="str">
        <f t="shared" si="5"/>
        <v/>
      </c>
    </row>
    <row r="377" spans="1:13" ht="14.45" customHeight="1" x14ac:dyDescent="0.2">
      <c r="A377" s="711"/>
      <c r="B377" s="707"/>
      <c r="C377" s="708"/>
      <c r="D377" s="708"/>
      <c r="E377" s="709"/>
      <c r="F377" s="707"/>
      <c r="G377" s="708"/>
      <c r="H377" s="708"/>
      <c r="I377" s="708"/>
      <c r="J377" s="708"/>
      <c r="K377" s="710"/>
      <c r="L377" s="270"/>
      <c r="M377" s="706" t="str">
        <f t="shared" si="5"/>
        <v/>
      </c>
    </row>
    <row r="378" spans="1:13" ht="14.45" customHeight="1" x14ac:dyDescent="0.2">
      <c r="A378" s="711"/>
      <c r="B378" s="707"/>
      <c r="C378" s="708"/>
      <c r="D378" s="708"/>
      <c r="E378" s="709"/>
      <c r="F378" s="707"/>
      <c r="G378" s="708"/>
      <c r="H378" s="708"/>
      <c r="I378" s="708"/>
      <c r="J378" s="708"/>
      <c r="K378" s="710"/>
      <c r="L378" s="270"/>
      <c r="M378" s="706" t="str">
        <f t="shared" si="5"/>
        <v/>
      </c>
    </row>
    <row r="379" spans="1:13" ht="14.45" customHeight="1" x14ac:dyDescent="0.2">
      <c r="A379" s="711"/>
      <c r="B379" s="707"/>
      <c r="C379" s="708"/>
      <c r="D379" s="708"/>
      <c r="E379" s="709"/>
      <c r="F379" s="707"/>
      <c r="G379" s="708"/>
      <c r="H379" s="708"/>
      <c r="I379" s="708"/>
      <c r="J379" s="708"/>
      <c r="K379" s="710"/>
      <c r="L379" s="270"/>
      <c r="M379" s="706" t="str">
        <f t="shared" si="5"/>
        <v/>
      </c>
    </row>
    <row r="380" spans="1:13" ht="14.45" customHeight="1" x14ac:dyDescent="0.2">
      <c r="A380" s="711"/>
      <c r="B380" s="707"/>
      <c r="C380" s="708"/>
      <c r="D380" s="708"/>
      <c r="E380" s="709"/>
      <c r="F380" s="707"/>
      <c r="G380" s="708"/>
      <c r="H380" s="708"/>
      <c r="I380" s="708"/>
      <c r="J380" s="708"/>
      <c r="K380" s="710"/>
      <c r="L380" s="270"/>
      <c r="M380" s="706" t="str">
        <f t="shared" si="5"/>
        <v/>
      </c>
    </row>
    <row r="381" spans="1:13" ht="14.45" customHeight="1" x14ac:dyDescent="0.2">
      <c r="A381" s="711"/>
      <c r="B381" s="707"/>
      <c r="C381" s="708"/>
      <c r="D381" s="708"/>
      <c r="E381" s="709"/>
      <c r="F381" s="707"/>
      <c r="G381" s="708"/>
      <c r="H381" s="708"/>
      <c r="I381" s="708"/>
      <c r="J381" s="708"/>
      <c r="K381" s="710"/>
      <c r="L381" s="270"/>
      <c r="M381" s="706" t="str">
        <f t="shared" si="5"/>
        <v/>
      </c>
    </row>
    <row r="382" spans="1:13" ht="14.45" customHeight="1" x14ac:dyDescent="0.2">
      <c r="A382" s="711"/>
      <c r="B382" s="707"/>
      <c r="C382" s="708"/>
      <c r="D382" s="708"/>
      <c r="E382" s="709"/>
      <c r="F382" s="707"/>
      <c r="G382" s="708"/>
      <c r="H382" s="708"/>
      <c r="I382" s="708"/>
      <c r="J382" s="708"/>
      <c r="K382" s="710"/>
      <c r="L382" s="270"/>
      <c r="M382" s="706" t="str">
        <f t="shared" si="5"/>
        <v/>
      </c>
    </row>
    <row r="383" spans="1:13" ht="14.45" customHeight="1" x14ac:dyDescent="0.2">
      <c r="A383" s="711"/>
      <c r="B383" s="707"/>
      <c r="C383" s="708"/>
      <c r="D383" s="708"/>
      <c r="E383" s="709"/>
      <c r="F383" s="707"/>
      <c r="G383" s="708"/>
      <c r="H383" s="708"/>
      <c r="I383" s="708"/>
      <c r="J383" s="708"/>
      <c r="K383" s="710"/>
      <c r="L383" s="270"/>
      <c r="M383" s="706" t="str">
        <f t="shared" si="5"/>
        <v/>
      </c>
    </row>
    <row r="384" spans="1:13" ht="14.45" customHeight="1" x14ac:dyDescent="0.2">
      <c r="A384" s="711"/>
      <c r="B384" s="707"/>
      <c r="C384" s="708"/>
      <c r="D384" s="708"/>
      <c r="E384" s="709"/>
      <c r="F384" s="707"/>
      <c r="G384" s="708"/>
      <c r="H384" s="708"/>
      <c r="I384" s="708"/>
      <c r="J384" s="708"/>
      <c r="K384" s="710"/>
      <c r="L384" s="270"/>
      <c r="M384" s="706" t="str">
        <f t="shared" si="5"/>
        <v/>
      </c>
    </row>
    <row r="385" spans="1:13" ht="14.45" customHeight="1" x14ac:dyDescent="0.2">
      <c r="A385" s="711"/>
      <c r="B385" s="707"/>
      <c r="C385" s="708"/>
      <c r="D385" s="708"/>
      <c r="E385" s="709"/>
      <c r="F385" s="707"/>
      <c r="G385" s="708"/>
      <c r="H385" s="708"/>
      <c r="I385" s="708"/>
      <c r="J385" s="708"/>
      <c r="K385" s="710"/>
      <c r="L385" s="270"/>
      <c r="M385" s="706" t="str">
        <f t="shared" si="5"/>
        <v/>
      </c>
    </row>
    <row r="386" spans="1:13" ht="14.45" customHeight="1" x14ac:dyDescent="0.2">
      <c r="A386" s="711"/>
      <c r="B386" s="707"/>
      <c r="C386" s="708"/>
      <c r="D386" s="708"/>
      <c r="E386" s="709"/>
      <c r="F386" s="707"/>
      <c r="G386" s="708"/>
      <c r="H386" s="708"/>
      <c r="I386" s="708"/>
      <c r="J386" s="708"/>
      <c r="K386" s="710"/>
      <c r="L386" s="270"/>
      <c r="M386" s="706" t="str">
        <f t="shared" si="5"/>
        <v/>
      </c>
    </row>
    <row r="387" spans="1:13" ht="14.45" customHeight="1" x14ac:dyDescent="0.2">
      <c r="A387" s="711"/>
      <c r="B387" s="707"/>
      <c r="C387" s="708"/>
      <c r="D387" s="708"/>
      <c r="E387" s="709"/>
      <c r="F387" s="707"/>
      <c r="G387" s="708"/>
      <c r="H387" s="708"/>
      <c r="I387" s="708"/>
      <c r="J387" s="708"/>
      <c r="K387" s="710"/>
      <c r="L387" s="270"/>
      <c r="M387" s="706" t="str">
        <f t="shared" si="5"/>
        <v/>
      </c>
    </row>
    <row r="388" spans="1:13" ht="14.45" customHeight="1" x14ac:dyDescent="0.2">
      <c r="A388" s="711"/>
      <c r="B388" s="707"/>
      <c r="C388" s="708"/>
      <c r="D388" s="708"/>
      <c r="E388" s="709"/>
      <c r="F388" s="707"/>
      <c r="G388" s="708"/>
      <c r="H388" s="708"/>
      <c r="I388" s="708"/>
      <c r="J388" s="708"/>
      <c r="K388" s="710"/>
      <c r="L388" s="270"/>
      <c r="M388" s="706" t="str">
        <f t="shared" si="5"/>
        <v/>
      </c>
    </row>
    <row r="389" spans="1:13" ht="14.45" customHeight="1" x14ac:dyDescent="0.2">
      <c r="A389" s="711"/>
      <c r="B389" s="707"/>
      <c r="C389" s="708"/>
      <c r="D389" s="708"/>
      <c r="E389" s="709"/>
      <c r="F389" s="707"/>
      <c r="G389" s="708"/>
      <c r="H389" s="708"/>
      <c r="I389" s="708"/>
      <c r="J389" s="708"/>
      <c r="K389" s="710"/>
      <c r="L389" s="270"/>
      <c r="M389" s="706" t="str">
        <f t="shared" si="5"/>
        <v/>
      </c>
    </row>
    <row r="390" spans="1:13" ht="14.45" customHeight="1" x14ac:dyDescent="0.2">
      <c r="A390" s="711"/>
      <c r="B390" s="707"/>
      <c r="C390" s="708"/>
      <c r="D390" s="708"/>
      <c r="E390" s="709"/>
      <c r="F390" s="707"/>
      <c r="G390" s="708"/>
      <c r="H390" s="708"/>
      <c r="I390" s="708"/>
      <c r="J390" s="708"/>
      <c r="K390" s="710"/>
      <c r="L390" s="270"/>
      <c r="M390" s="706" t="str">
        <f t="shared" ref="M390:M453" si="6">IF(A390="HV","HV",IF(OR(LEFT(A390,16)="               5",LEFT(A390,16)="               6",LEFT(A390,16)="               7",LEFT(A390,16)="               8"),"X",""))</f>
        <v/>
      </c>
    </row>
    <row r="391" spans="1:13" ht="14.45" customHeight="1" x14ac:dyDescent="0.2">
      <c r="A391" s="711"/>
      <c r="B391" s="707"/>
      <c r="C391" s="708"/>
      <c r="D391" s="708"/>
      <c r="E391" s="709"/>
      <c r="F391" s="707"/>
      <c r="G391" s="708"/>
      <c r="H391" s="708"/>
      <c r="I391" s="708"/>
      <c r="J391" s="708"/>
      <c r="K391" s="710"/>
      <c r="L391" s="270"/>
      <c r="M391" s="706" t="str">
        <f t="shared" si="6"/>
        <v/>
      </c>
    </row>
    <row r="392" spans="1:13" ht="14.45" customHeight="1" x14ac:dyDescent="0.2">
      <c r="A392" s="711"/>
      <c r="B392" s="707"/>
      <c r="C392" s="708"/>
      <c r="D392" s="708"/>
      <c r="E392" s="709"/>
      <c r="F392" s="707"/>
      <c r="G392" s="708"/>
      <c r="H392" s="708"/>
      <c r="I392" s="708"/>
      <c r="J392" s="708"/>
      <c r="K392" s="710"/>
      <c r="L392" s="270"/>
      <c r="M392" s="706" t="str">
        <f t="shared" si="6"/>
        <v/>
      </c>
    </row>
    <row r="393" spans="1:13" ht="14.45" customHeight="1" x14ac:dyDescent="0.2">
      <c r="A393" s="711"/>
      <c r="B393" s="707"/>
      <c r="C393" s="708"/>
      <c r="D393" s="708"/>
      <c r="E393" s="709"/>
      <c r="F393" s="707"/>
      <c r="G393" s="708"/>
      <c r="H393" s="708"/>
      <c r="I393" s="708"/>
      <c r="J393" s="708"/>
      <c r="K393" s="710"/>
      <c r="L393" s="270"/>
      <c r="M393" s="706" t="str">
        <f t="shared" si="6"/>
        <v/>
      </c>
    </row>
    <row r="394" spans="1:13" ht="14.45" customHeight="1" x14ac:dyDescent="0.2">
      <c r="A394" s="711"/>
      <c r="B394" s="707"/>
      <c r="C394" s="708"/>
      <c r="D394" s="708"/>
      <c r="E394" s="709"/>
      <c r="F394" s="707"/>
      <c r="G394" s="708"/>
      <c r="H394" s="708"/>
      <c r="I394" s="708"/>
      <c r="J394" s="708"/>
      <c r="K394" s="710"/>
      <c r="L394" s="270"/>
      <c r="M394" s="706" t="str">
        <f t="shared" si="6"/>
        <v/>
      </c>
    </row>
    <row r="395" spans="1:13" ht="14.45" customHeight="1" x14ac:dyDescent="0.2">
      <c r="A395" s="711"/>
      <c r="B395" s="707"/>
      <c r="C395" s="708"/>
      <c r="D395" s="708"/>
      <c r="E395" s="709"/>
      <c r="F395" s="707"/>
      <c r="G395" s="708"/>
      <c r="H395" s="708"/>
      <c r="I395" s="708"/>
      <c r="J395" s="708"/>
      <c r="K395" s="710"/>
      <c r="L395" s="270"/>
      <c r="M395" s="706" t="str">
        <f t="shared" si="6"/>
        <v/>
      </c>
    </row>
    <row r="396" spans="1:13" ht="14.45" customHeight="1" x14ac:dyDescent="0.2">
      <c r="A396" s="711"/>
      <c r="B396" s="707"/>
      <c r="C396" s="708"/>
      <c r="D396" s="708"/>
      <c r="E396" s="709"/>
      <c r="F396" s="707"/>
      <c r="G396" s="708"/>
      <c r="H396" s="708"/>
      <c r="I396" s="708"/>
      <c r="J396" s="708"/>
      <c r="K396" s="710"/>
      <c r="L396" s="270"/>
      <c r="M396" s="706" t="str">
        <f t="shared" si="6"/>
        <v/>
      </c>
    </row>
    <row r="397" spans="1:13" ht="14.45" customHeight="1" x14ac:dyDescent="0.2">
      <c r="A397" s="711"/>
      <c r="B397" s="707"/>
      <c r="C397" s="708"/>
      <c r="D397" s="708"/>
      <c r="E397" s="709"/>
      <c r="F397" s="707"/>
      <c r="G397" s="708"/>
      <c r="H397" s="708"/>
      <c r="I397" s="708"/>
      <c r="J397" s="708"/>
      <c r="K397" s="710"/>
      <c r="L397" s="270"/>
      <c r="M397" s="706" t="str">
        <f t="shared" si="6"/>
        <v/>
      </c>
    </row>
    <row r="398" spans="1:13" ht="14.45" customHeight="1" x14ac:dyDescent="0.2">
      <c r="A398" s="711"/>
      <c r="B398" s="707"/>
      <c r="C398" s="708"/>
      <c r="D398" s="708"/>
      <c r="E398" s="709"/>
      <c r="F398" s="707"/>
      <c r="G398" s="708"/>
      <c r="H398" s="708"/>
      <c r="I398" s="708"/>
      <c r="J398" s="708"/>
      <c r="K398" s="710"/>
      <c r="L398" s="270"/>
      <c r="M398" s="706" t="str">
        <f t="shared" si="6"/>
        <v/>
      </c>
    </row>
    <row r="399" spans="1:13" ht="14.45" customHeight="1" x14ac:dyDescent="0.2">
      <c r="A399" s="711"/>
      <c r="B399" s="707"/>
      <c r="C399" s="708"/>
      <c r="D399" s="708"/>
      <c r="E399" s="709"/>
      <c r="F399" s="707"/>
      <c r="G399" s="708"/>
      <c r="H399" s="708"/>
      <c r="I399" s="708"/>
      <c r="J399" s="708"/>
      <c r="K399" s="710"/>
      <c r="L399" s="270"/>
      <c r="M399" s="706" t="str">
        <f t="shared" si="6"/>
        <v/>
      </c>
    </row>
    <row r="400" spans="1:13" ht="14.45" customHeight="1" x14ac:dyDescent="0.2">
      <c r="A400" s="711"/>
      <c r="B400" s="707"/>
      <c r="C400" s="708"/>
      <c r="D400" s="708"/>
      <c r="E400" s="709"/>
      <c r="F400" s="707"/>
      <c r="G400" s="708"/>
      <c r="H400" s="708"/>
      <c r="I400" s="708"/>
      <c r="J400" s="708"/>
      <c r="K400" s="710"/>
      <c r="L400" s="270"/>
      <c r="M400" s="706" t="str">
        <f t="shared" si="6"/>
        <v/>
      </c>
    </row>
    <row r="401" spans="1:13" ht="14.45" customHeight="1" x14ac:dyDescent="0.2">
      <c r="A401" s="711"/>
      <c r="B401" s="707"/>
      <c r="C401" s="708"/>
      <c r="D401" s="708"/>
      <c r="E401" s="709"/>
      <c r="F401" s="707"/>
      <c r="G401" s="708"/>
      <c r="H401" s="708"/>
      <c r="I401" s="708"/>
      <c r="J401" s="708"/>
      <c r="K401" s="710"/>
      <c r="L401" s="270"/>
      <c r="M401" s="706" t="str">
        <f t="shared" si="6"/>
        <v/>
      </c>
    </row>
    <row r="402" spans="1:13" ht="14.45" customHeight="1" x14ac:dyDescent="0.2">
      <c r="A402" s="711"/>
      <c r="B402" s="707"/>
      <c r="C402" s="708"/>
      <c r="D402" s="708"/>
      <c r="E402" s="709"/>
      <c r="F402" s="707"/>
      <c r="G402" s="708"/>
      <c r="H402" s="708"/>
      <c r="I402" s="708"/>
      <c r="J402" s="708"/>
      <c r="K402" s="710"/>
      <c r="L402" s="270"/>
      <c r="M402" s="706" t="str">
        <f t="shared" si="6"/>
        <v/>
      </c>
    </row>
    <row r="403" spans="1:13" ht="14.45" customHeight="1" x14ac:dyDescent="0.2">
      <c r="A403" s="711"/>
      <c r="B403" s="707"/>
      <c r="C403" s="708"/>
      <c r="D403" s="708"/>
      <c r="E403" s="709"/>
      <c r="F403" s="707"/>
      <c r="G403" s="708"/>
      <c r="H403" s="708"/>
      <c r="I403" s="708"/>
      <c r="J403" s="708"/>
      <c r="K403" s="710"/>
      <c r="L403" s="270"/>
      <c r="M403" s="706" t="str">
        <f t="shared" si="6"/>
        <v/>
      </c>
    </row>
    <row r="404" spans="1:13" ht="14.45" customHeight="1" x14ac:dyDescent="0.2">
      <c r="A404" s="711"/>
      <c r="B404" s="707"/>
      <c r="C404" s="708"/>
      <c r="D404" s="708"/>
      <c r="E404" s="709"/>
      <c r="F404" s="707"/>
      <c r="G404" s="708"/>
      <c r="H404" s="708"/>
      <c r="I404" s="708"/>
      <c r="J404" s="708"/>
      <c r="K404" s="710"/>
      <c r="L404" s="270"/>
      <c r="M404" s="706" t="str">
        <f t="shared" si="6"/>
        <v/>
      </c>
    </row>
    <row r="405" spans="1:13" ht="14.45" customHeight="1" x14ac:dyDescent="0.2">
      <c r="A405" s="711"/>
      <c r="B405" s="707"/>
      <c r="C405" s="708"/>
      <c r="D405" s="708"/>
      <c r="E405" s="709"/>
      <c r="F405" s="707"/>
      <c r="G405" s="708"/>
      <c r="H405" s="708"/>
      <c r="I405" s="708"/>
      <c r="J405" s="708"/>
      <c r="K405" s="710"/>
      <c r="L405" s="270"/>
      <c r="M405" s="706" t="str">
        <f t="shared" si="6"/>
        <v/>
      </c>
    </row>
    <row r="406" spans="1:13" ht="14.45" customHeight="1" x14ac:dyDescent="0.2">
      <c r="A406" s="711"/>
      <c r="B406" s="707"/>
      <c r="C406" s="708"/>
      <c r="D406" s="708"/>
      <c r="E406" s="709"/>
      <c r="F406" s="707"/>
      <c r="G406" s="708"/>
      <c r="H406" s="708"/>
      <c r="I406" s="708"/>
      <c r="J406" s="708"/>
      <c r="K406" s="710"/>
      <c r="L406" s="270"/>
      <c r="M406" s="706" t="str">
        <f t="shared" si="6"/>
        <v/>
      </c>
    </row>
    <row r="407" spans="1:13" ht="14.45" customHeight="1" x14ac:dyDescent="0.2">
      <c r="A407" s="711"/>
      <c r="B407" s="707"/>
      <c r="C407" s="708"/>
      <c r="D407" s="708"/>
      <c r="E407" s="709"/>
      <c r="F407" s="707"/>
      <c r="G407" s="708"/>
      <c r="H407" s="708"/>
      <c r="I407" s="708"/>
      <c r="J407" s="708"/>
      <c r="K407" s="710"/>
      <c r="L407" s="270"/>
      <c r="M407" s="706" t="str">
        <f t="shared" si="6"/>
        <v/>
      </c>
    </row>
    <row r="408" spans="1:13" ht="14.45" customHeight="1" x14ac:dyDescent="0.2">
      <c r="A408" s="711"/>
      <c r="B408" s="707"/>
      <c r="C408" s="708"/>
      <c r="D408" s="708"/>
      <c r="E408" s="709"/>
      <c r="F408" s="707"/>
      <c r="G408" s="708"/>
      <c r="H408" s="708"/>
      <c r="I408" s="708"/>
      <c r="J408" s="708"/>
      <c r="K408" s="710"/>
      <c r="L408" s="270"/>
      <c r="M408" s="706" t="str">
        <f t="shared" si="6"/>
        <v/>
      </c>
    </row>
    <row r="409" spans="1:13" ht="14.45" customHeight="1" x14ac:dyDescent="0.2">
      <c r="A409" s="711"/>
      <c r="B409" s="707"/>
      <c r="C409" s="708"/>
      <c r="D409" s="708"/>
      <c r="E409" s="709"/>
      <c r="F409" s="707"/>
      <c r="G409" s="708"/>
      <c r="H409" s="708"/>
      <c r="I409" s="708"/>
      <c r="J409" s="708"/>
      <c r="K409" s="710"/>
      <c r="L409" s="270"/>
      <c r="M409" s="706" t="str">
        <f t="shared" si="6"/>
        <v/>
      </c>
    </row>
    <row r="410" spans="1:13" ht="14.45" customHeight="1" x14ac:dyDescent="0.2">
      <c r="A410" s="711"/>
      <c r="B410" s="707"/>
      <c r="C410" s="708"/>
      <c r="D410" s="708"/>
      <c r="E410" s="709"/>
      <c r="F410" s="707"/>
      <c r="G410" s="708"/>
      <c r="H410" s="708"/>
      <c r="I410" s="708"/>
      <c r="J410" s="708"/>
      <c r="K410" s="710"/>
      <c r="L410" s="270"/>
      <c r="M410" s="706" t="str">
        <f t="shared" si="6"/>
        <v/>
      </c>
    </row>
    <row r="411" spans="1:13" ht="14.45" customHeight="1" x14ac:dyDescent="0.2">
      <c r="A411" s="711"/>
      <c r="B411" s="707"/>
      <c r="C411" s="708"/>
      <c r="D411" s="708"/>
      <c r="E411" s="709"/>
      <c r="F411" s="707"/>
      <c r="G411" s="708"/>
      <c r="H411" s="708"/>
      <c r="I411" s="708"/>
      <c r="J411" s="708"/>
      <c r="K411" s="710"/>
      <c r="L411" s="270"/>
      <c r="M411" s="706" t="str">
        <f t="shared" si="6"/>
        <v/>
      </c>
    </row>
    <row r="412" spans="1:13" ht="14.45" customHeight="1" x14ac:dyDescent="0.2">
      <c r="A412" s="711"/>
      <c r="B412" s="707"/>
      <c r="C412" s="708"/>
      <c r="D412" s="708"/>
      <c r="E412" s="709"/>
      <c r="F412" s="707"/>
      <c r="G412" s="708"/>
      <c r="H412" s="708"/>
      <c r="I412" s="708"/>
      <c r="J412" s="708"/>
      <c r="K412" s="710"/>
      <c r="L412" s="270"/>
      <c r="M412" s="706" t="str">
        <f t="shared" si="6"/>
        <v/>
      </c>
    </row>
    <row r="413" spans="1:13" ht="14.45" customHeight="1" x14ac:dyDescent="0.2">
      <c r="A413" s="711"/>
      <c r="B413" s="707"/>
      <c r="C413" s="708"/>
      <c r="D413" s="708"/>
      <c r="E413" s="709"/>
      <c r="F413" s="707"/>
      <c r="G413" s="708"/>
      <c r="H413" s="708"/>
      <c r="I413" s="708"/>
      <c r="J413" s="708"/>
      <c r="K413" s="710"/>
      <c r="L413" s="270"/>
      <c r="M413" s="706" t="str">
        <f t="shared" si="6"/>
        <v/>
      </c>
    </row>
    <row r="414" spans="1:13" ht="14.45" customHeight="1" x14ac:dyDescent="0.2">
      <c r="A414" s="711"/>
      <c r="B414" s="707"/>
      <c r="C414" s="708"/>
      <c r="D414" s="708"/>
      <c r="E414" s="709"/>
      <c r="F414" s="707"/>
      <c r="G414" s="708"/>
      <c r="H414" s="708"/>
      <c r="I414" s="708"/>
      <c r="J414" s="708"/>
      <c r="K414" s="710"/>
      <c r="L414" s="270"/>
      <c r="M414" s="706" t="str">
        <f t="shared" si="6"/>
        <v/>
      </c>
    </row>
    <row r="415" spans="1:13" ht="14.45" customHeight="1" x14ac:dyDescent="0.2">
      <c r="A415" s="711"/>
      <c r="B415" s="707"/>
      <c r="C415" s="708"/>
      <c r="D415" s="708"/>
      <c r="E415" s="709"/>
      <c r="F415" s="707"/>
      <c r="G415" s="708"/>
      <c r="H415" s="708"/>
      <c r="I415" s="708"/>
      <c r="J415" s="708"/>
      <c r="K415" s="710"/>
      <c r="L415" s="270"/>
      <c r="M415" s="706" t="str">
        <f t="shared" si="6"/>
        <v/>
      </c>
    </row>
    <row r="416" spans="1:13" ht="14.45" customHeight="1" x14ac:dyDescent="0.2">
      <c r="A416" s="711"/>
      <c r="B416" s="707"/>
      <c r="C416" s="708"/>
      <c r="D416" s="708"/>
      <c r="E416" s="709"/>
      <c r="F416" s="707"/>
      <c r="G416" s="708"/>
      <c r="H416" s="708"/>
      <c r="I416" s="708"/>
      <c r="J416" s="708"/>
      <c r="K416" s="710"/>
      <c r="L416" s="270"/>
      <c r="M416" s="706" t="str">
        <f t="shared" si="6"/>
        <v/>
      </c>
    </row>
    <row r="417" spans="1:13" ht="14.45" customHeight="1" x14ac:dyDescent="0.2">
      <c r="A417" s="711"/>
      <c r="B417" s="707"/>
      <c r="C417" s="708"/>
      <c r="D417" s="708"/>
      <c r="E417" s="709"/>
      <c r="F417" s="707"/>
      <c r="G417" s="708"/>
      <c r="H417" s="708"/>
      <c r="I417" s="708"/>
      <c r="J417" s="708"/>
      <c r="K417" s="710"/>
      <c r="L417" s="270"/>
      <c r="M417" s="706" t="str">
        <f t="shared" si="6"/>
        <v/>
      </c>
    </row>
    <row r="418" spans="1:13" ht="14.45" customHeight="1" x14ac:dyDescent="0.2">
      <c r="A418" s="711"/>
      <c r="B418" s="707"/>
      <c r="C418" s="708"/>
      <c r="D418" s="708"/>
      <c r="E418" s="709"/>
      <c r="F418" s="707"/>
      <c r="G418" s="708"/>
      <c r="H418" s="708"/>
      <c r="I418" s="708"/>
      <c r="J418" s="708"/>
      <c r="K418" s="710"/>
      <c r="L418" s="270"/>
      <c r="M418" s="706" t="str">
        <f t="shared" si="6"/>
        <v/>
      </c>
    </row>
    <row r="419" spans="1:13" ht="14.45" customHeight="1" x14ac:dyDescent="0.2">
      <c r="A419" s="711"/>
      <c r="B419" s="707"/>
      <c r="C419" s="708"/>
      <c r="D419" s="708"/>
      <c r="E419" s="709"/>
      <c r="F419" s="707"/>
      <c r="G419" s="708"/>
      <c r="H419" s="708"/>
      <c r="I419" s="708"/>
      <c r="J419" s="708"/>
      <c r="K419" s="710"/>
      <c r="L419" s="270"/>
      <c r="M419" s="706" t="str">
        <f t="shared" si="6"/>
        <v/>
      </c>
    </row>
    <row r="420" spans="1:13" ht="14.45" customHeight="1" x14ac:dyDescent="0.2">
      <c r="A420" s="711"/>
      <c r="B420" s="707"/>
      <c r="C420" s="708"/>
      <c r="D420" s="708"/>
      <c r="E420" s="709"/>
      <c r="F420" s="707"/>
      <c r="G420" s="708"/>
      <c r="H420" s="708"/>
      <c r="I420" s="708"/>
      <c r="J420" s="708"/>
      <c r="K420" s="710"/>
      <c r="L420" s="270"/>
      <c r="M420" s="706" t="str">
        <f t="shared" si="6"/>
        <v/>
      </c>
    </row>
    <row r="421" spans="1:13" ht="14.45" customHeight="1" x14ac:dyDescent="0.2">
      <c r="A421" s="711"/>
      <c r="B421" s="707"/>
      <c r="C421" s="708"/>
      <c r="D421" s="708"/>
      <c r="E421" s="709"/>
      <c r="F421" s="707"/>
      <c r="G421" s="708"/>
      <c r="H421" s="708"/>
      <c r="I421" s="708"/>
      <c r="J421" s="708"/>
      <c r="K421" s="710"/>
      <c r="L421" s="270"/>
      <c r="M421" s="706" t="str">
        <f t="shared" si="6"/>
        <v/>
      </c>
    </row>
    <row r="422" spans="1:13" ht="14.45" customHeight="1" x14ac:dyDescent="0.2">
      <c r="A422" s="711"/>
      <c r="B422" s="707"/>
      <c r="C422" s="708"/>
      <c r="D422" s="708"/>
      <c r="E422" s="709"/>
      <c r="F422" s="707"/>
      <c r="G422" s="708"/>
      <c r="H422" s="708"/>
      <c r="I422" s="708"/>
      <c r="J422" s="708"/>
      <c r="K422" s="710"/>
      <c r="L422" s="270"/>
      <c r="M422" s="706" t="str">
        <f t="shared" si="6"/>
        <v/>
      </c>
    </row>
    <row r="423" spans="1:13" ht="14.45" customHeight="1" x14ac:dyDescent="0.2">
      <c r="A423" s="711"/>
      <c r="B423" s="707"/>
      <c r="C423" s="708"/>
      <c r="D423" s="708"/>
      <c r="E423" s="709"/>
      <c r="F423" s="707"/>
      <c r="G423" s="708"/>
      <c r="H423" s="708"/>
      <c r="I423" s="708"/>
      <c r="J423" s="708"/>
      <c r="K423" s="710"/>
      <c r="L423" s="270"/>
      <c r="M423" s="706" t="str">
        <f t="shared" si="6"/>
        <v/>
      </c>
    </row>
    <row r="424" spans="1:13" ht="14.45" customHeight="1" x14ac:dyDescent="0.2">
      <c r="A424" s="711"/>
      <c r="B424" s="707"/>
      <c r="C424" s="708"/>
      <c r="D424" s="708"/>
      <c r="E424" s="709"/>
      <c r="F424" s="707"/>
      <c r="G424" s="708"/>
      <c r="H424" s="708"/>
      <c r="I424" s="708"/>
      <c r="J424" s="708"/>
      <c r="K424" s="710"/>
      <c r="L424" s="270"/>
      <c r="M424" s="706" t="str">
        <f t="shared" si="6"/>
        <v/>
      </c>
    </row>
    <row r="425" spans="1:13" ht="14.45" customHeight="1" x14ac:dyDescent="0.2">
      <c r="A425" s="711"/>
      <c r="B425" s="707"/>
      <c r="C425" s="708"/>
      <c r="D425" s="708"/>
      <c r="E425" s="709"/>
      <c r="F425" s="707"/>
      <c r="G425" s="708"/>
      <c r="H425" s="708"/>
      <c r="I425" s="708"/>
      <c r="J425" s="708"/>
      <c r="K425" s="710"/>
      <c r="L425" s="270"/>
      <c r="M425" s="706" t="str">
        <f t="shared" si="6"/>
        <v/>
      </c>
    </row>
    <row r="426" spans="1:13" ht="14.45" customHeight="1" x14ac:dyDescent="0.2">
      <c r="A426" s="711"/>
      <c r="B426" s="707"/>
      <c r="C426" s="708"/>
      <c r="D426" s="708"/>
      <c r="E426" s="709"/>
      <c r="F426" s="707"/>
      <c r="G426" s="708"/>
      <c r="H426" s="708"/>
      <c r="I426" s="708"/>
      <c r="J426" s="708"/>
      <c r="K426" s="710"/>
      <c r="L426" s="270"/>
      <c r="M426" s="706" t="str">
        <f t="shared" si="6"/>
        <v/>
      </c>
    </row>
    <row r="427" spans="1:13" ht="14.45" customHeight="1" x14ac:dyDescent="0.2">
      <c r="A427" s="711"/>
      <c r="B427" s="707"/>
      <c r="C427" s="708"/>
      <c r="D427" s="708"/>
      <c r="E427" s="709"/>
      <c r="F427" s="707"/>
      <c r="G427" s="708"/>
      <c r="H427" s="708"/>
      <c r="I427" s="708"/>
      <c r="J427" s="708"/>
      <c r="K427" s="710"/>
      <c r="L427" s="270"/>
      <c r="M427" s="706" t="str">
        <f t="shared" si="6"/>
        <v/>
      </c>
    </row>
    <row r="428" spans="1:13" ht="14.45" customHeight="1" x14ac:dyDescent="0.2">
      <c r="A428" s="711"/>
      <c r="B428" s="707"/>
      <c r="C428" s="708"/>
      <c r="D428" s="708"/>
      <c r="E428" s="709"/>
      <c r="F428" s="707"/>
      <c r="G428" s="708"/>
      <c r="H428" s="708"/>
      <c r="I428" s="708"/>
      <c r="J428" s="708"/>
      <c r="K428" s="710"/>
      <c r="L428" s="270"/>
      <c r="M428" s="706" t="str">
        <f t="shared" si="6"/>
        <v/>
      </c>
    </row>
    <row r="429" spans="1:13" ht="14.45" customHeight="1" x14ac:dyDescent="0.2">
      <c r="A429" s="711"/>
      <c r="B429" s="707"/>
      <c r="C429" s="708"/>
      <c r="D429" s="708"/>
      <c r="E429" s="709"/>
      <c r="F429" s="707"/>
      <c r="G429" s="708"/>
      <c r="H429" s="708"/>
      <c r="I429" s="708"/>
      <c r="J429" s="708"/>
      <c r="K429" s="710"/>
      <c r="L429" s="270"/>
      <c r="M429" s="706" t="str">
        <f t="shared" si="6"/>
        <v/>
      </c>
    </row>
    <row r="430" spans="1:13" ht="14.45" customHeight="1" x14ac:dyDescent="0.2">
      <c r="A430" s="711"/>
      <c r="B430" s="707"/>
      <c r="C430" s="708"/>
      <c r="D430" s="708"/>
      <c r="E430" s="709"/>
      <c r="F430" s="707"/>
      <c r="G430" s="708"/>
      <c r="H430" s="708"/>
      <c r="I430" s="708"/>
      <c r="J430" s="708"/>
      <c r="K430" s="710"/>
      <c r="L430" s="270"/>
      <c r="M430" s="706" t="str">
        <f t="shared" si="6"/>
        <v/>
      </c>
    </row>
    <row r="431" spans="1:13" ht="14.45" customHeight="1" x14ac:dyDescent="0.2">
      <c r="A431" s="711"/>
      <c r="B431" s="707"/>
      <c r="C431" s="708"/>
      <c r="D431" s="708"/>
      <c r="E431" s="709"/>
      <c r="F431" s="707"/>
      <c r="G431" s="708"/>
      <c r="H431" s="708"/>
      <c r="I431" s="708"/>
      <c r="J431" s="708"/>
      <c r="K431" s="710"/>
      <c r="L431" s="270"/>
      <c r="M431" s="706" t="str">
        <f t="shared" si="6"/>
        <v/>
      </c>
    </row>
    <row r="432" spans="1:13" ht="14.45" customHeight="1" x14ac:dyDescent="0.2">
      <c r="A432" s="711"/>
      <c r="B432" s="707"/>
      <c r="C432" s="708"/>
      <c r="D432" s="708"/>
      <c r="E432" s="709"/>
      <c r="F432" s="707"/>
      <c r="G432" s="708"/>
      <c r="H432" s="708"/>
      <c r="I432" s="708"/>
      <c r="J432" s="708"/>
      <c r="K432" s="710"/>
      <c r="L432" s="270"/>
      <c r="M432" s="706" t="str">
        <f t="shared" si="6"/>
        <v/>
      </c>
    </row>
    <row r="433" spans="1:13" ht="14.45" customHeight="1" x14ac:dyDescent="0.2">
      <c r="A433" s="711"/>
      <c r="B433" s="707"/>
      <c r="C433" s="708"/>
      <c r="D433" s="708"/>
      <c r="E433" s="709"/>
      <c r="F433" s="707"/>
      <c r="G433" s="708"/>
      <c r="H433" s="708"/>
      <c r="I433" s="708"/>
      <c r="J433" s="708"/>
      <c r="K433" s="710"/>
      <c r="L433" s="270"/>
      <c r="M433" s="706" t="str">
        <f t="shared" si="6"/>
        <v/>
      </c>
    </row>
    <row r="434" spans="1:13" ht="14.45" customHeight="1" x14ac:dyDescent="0.2">
      <c r="A434" s="711"/>
      <c r="B434" s="707"/>
      <c r="C434" s="708"/>
      <c r="D434" s="708"/>
      <c r="E434" s="709"/>
      <c r="F434" s="707"/>
      <c r="G434" s="708"/>
      <c r="H434" s="708"/>
      <c r="I434" s="708"/>
      <c r="J434" s="708"/>
      <c r="K434" s="710"/>
      <c r="L434" s="270"/>
      <c r="M434" s="706" t="str">
        <f t="shared" si="6"/>
        <v/>
      </c>
    </row>
    <row r="435" spans="1:13" ht="14.45" customHeight="1" x14ac:dyDescent="0.2">
      <c r="A435" s="711"/>
      <c r="B435" s="707"/>
      <c r="C435" s="708"/>
      <c r="D435" s="708"/>
      <c r="E435" s="709"/>
      <c r="F435" s="707"/>
      <c r="G435" s="708"/>
      <c r="H435" s="708"/>
      <c r="I435" s="708"/>
      <c r="J435" s="708"/>
      <c r="K435" s="710"/>
      <c r="L435" s="270"/>
      <c r="M435" s="706" t="str">
        <f t="shared" si="6"/>
        <v/>
      </c>
    </row>
    <row r="436" spans="1:13" ht="14.45" customHeight="1" x14ac:dyDescent="0.2">
      <c r="A436" s="711"/>
      <c r="B436" s="707"/>
      <c r="C436" s="708"/>
      <c r="D436" s="708"/>
      <c r="E436" s="709"/>
      <c r="F436" s="707"/>
      <c r="G436" s="708"/>
      <c r="H436" s="708"/>
      <c r="I436" s="708"/>
      <c r="J436" s="708"/>
      <c r="K436" s="710"/>
      <c r="L436" s="270"/>
      <c r="M436" s="706" t="str">
        <f t="shared" si="6"/>
        <v/>
      </c>
    </row>
    <row r="437" spans="1:13" ht="14.45" customHeight="1" x14ac:dyDescent="0.2">
      <c r="A437" s="711"/>
      <c r="B437" s="707"/>
      <c r="C437" s="708"/>
      <c r="D437" s="708"/>
      <c r="E437" s="709"/>
      <c r="F437" s="707"/>
      <c r="G437" s="708"/>
      <c r="H437" s="708"/>
      <c r="I437" s="708"/>
      <c r="J437" s="708"/>
      <c r="K437" s="710"/>
      <c r="L437" s="270"/>
      <c r="M437" s="706" t="str">
        <f t="shared" si="6"/>
        <v/>
      </c>
    </row>
    <row r="438" spans="1:13" ht="14.45" customHeight="1" x14ac:dyDescent="0.2">
      <c r="A438" s="711"/>
      <c r="B438" s="707"/>
      <c r="C438" s="708"/>
      <c r="D438" s="708"/>
      <c r="E438" s="709"/>
      <c r="F438" s="707"/>
      <c r="G438" s="708"/>
      <c r="H438" s="708"/>
      <c r="I438" s="708"/>
      <c r="J438" s="708"/>
      <c r="K438" s="710"/>
      <c r="L438" s="270"/>
      <c r="M438" s="706" t="str">
        <f t="shared" si="6"/>
        <v/>
      </c>
    </row>
    <row r="439" spans="1:13" ht="14.45" customHeight="1" x14ac:dyDescent="0.2">
      <c r="A439" s="711"/>
      <c r="B439" s="707"/>
      <c r="C439" s="708"/>
      <c r="D439" s="708"/>
      <c r="E439" s="709"/>
      <c r="F439" s="707"/>
      <c r="G439" s="708"/>
      <c r="H439" s="708"/>
      <c r="I439" s="708"/>
      <c r="J439" s="708"/>
      <c r="K439" s="710"/>
      <c r="L439" s="270"/>
      <c r="M439" s="706" t="str">
        <f t="shared" si="6"/>
        <v/>
      </c>
    </row>
    <row r="440" spans="1:13" ht="14.45" customHeight="1" x14ac:dyDescent="0.2">
      <c r="A440" s="711"/>
      <c r="B440" s="707"/>
      <c r="C440" s="708"/>
      <c r="D440" s="708"/>
      <c r="E440" s="709"/>
      <c r="F440" s="707"/>
      <c r="G440" s="708"/>
      <c r="H440" s="708"/>
      <c r="I440" s="708"/>
      <c r="J440" s="708"/>
      <c r="K440" s="710"/>
      <c r="L440" s="270"/>
      <c r="M440" s="706" t="str">
        <f t="shared" si="6"/>
        <v/>
      </c>
    </row>
    <row r="441" spans="1:13" ht="14.45" customHeight="1" x14ac:dyDescent="0.2">
      <c r="A441" s="711"/>
      <c r="B441" s="707"/>
      <c r="C441" s="708"/>
      <c r="D441" s="708"/>
      <c r="E441" s="709"/>
      <c r="F441" s="707"/>
      <c r="G441" s="708"/>
      <c r="H441" s="708"/>
      <c r="I441" s="708"/>
      <c r="J441" s="708"/>
      <c r="K441" s="710"/>
      <c r="L441" s="270"/>
      <c r="M441" s="706" t="str">
        <f t="shared" si="6"/>
        <v/>
      </c>
    </row>
    <row r="442" spans="1:13" ht="14.45" customHeight="1" x14ac:dyDescent="0.2">
      <c r="A442" s="711"/>
      <c r="B442" s="707"/>
      <c r="C442" s="708"/>
      <c r="D442" s="708"/>
      <c r="E442" s="709"/>
      <c r="F442" s="707"/>
      <c r="G442" s="708"/>
      <c r="H442" s="708"/>
      <c r="I442" s="708"/>
      <c r="J442" s="708"/>
      <c r="K442" s="710"/>
      <c r="L442" s="270"/>
      <c r="M442" s="706" t="str">
        <f t="shared" si="6"/>
        <v/>
      </c>
    </row>
    <row r="443" spans="1:13" ht="14.45" customHeight="1" x14ac:dyDescent="0.2">
      <c r="A443" s="711"/>
      <c r="B443" s="707"/>
      <c r="C443" s="708"/>
      <c r="D443" s="708"/>
      <c r="E443" s="709"/>
      <c r="F443" s="707"/>
      <c r="G443" s="708"/>
      <c r="H443" s="708"/>
      <c r="I443" s="708"/>
      <c r="J443" s="708"/>
      <c r="K443" s="710"/>
      <c r="L443" s="270"/>
      <c r="M443" s="706" t="str">
        <f t="shared" si="6"/>
        <v/>
      </c>
    </row>
    <row r="444" spans="1:13" ht="14.45" customHeight="1" x14ac:dyDescent="0.2">
      <c r="A444" s="711"/>
      <c r="B444" s="707"/>
      <c r="C444" s="708"/>
      <c r="D444" s="708"/>
      <c r="E444" s="709"/>
      <c r="F444" s="707"/>
      <c r="G444" s="708"/>
      <c r="H444" s="708"/>
      <c r="I444" s="708"/>
      <c r="J444" s="708"/>
      <c r="K444" s="710"/>
      <c r="L444" s="270"/>
      <c r="M444" s="706" t="str">
        <f t="shared" si="6"/>
        <v/>
      </c>
    </row>
    <row r="445" spans="1:13" ht="14.45" customHeight="1" x14ac:dyDescent="0.2">
      <c r="A445" s="711"/>
      <c r="B445" s="707"/>
      <c r="C445" s="708"/>
      <c r="D445" s="708"/>
      <c r="E445" s="709"/>
      <c r="F445" s="707"/>
      <c r="G445" s="708"/>
      <c r="H445" s="708"/>
      <c r="I445" s="708"/>
      <c r="J445" s="708"/>
      <c r="K445" s="710"/>
      <c r="L445" s="270"/>
      <c r="M445" s="706" t="str">
        <f t="shared" si="6"/>
        <v/>
      </c>
    </row>
    <row r="446" spans="1:13" ht="14.45" customHeight="1" x14ac:dyDescent="0.2">
      <c r="A446" s="711"/>
      <c r="B446" s="707"/>
      <c r="C446" s="708"/>
      <c r="D446" s="708"/>
      <c r="E446" s="709"/>
      <c r="F446" s="707"/>
      <c r="G446" s="708"/>
      <c r="H446" s="708"/>
      <c r="I446" s="708"/>
      <c r="J446" s="708"/>
      <c r="K446" s="710"/>
      <c r="L446" s="270"/>
      <c r="M446" s="706" t="str">
        <f t="shared" si="6"/>
        <v/>
      </c>
    </row>
    <row r="447" spans="1:13" ht="14.45" customHeight="1" x14ac:dyDescent="0.2">
      <c r="A447" s="711"/>
      <c r="B447" s="707"/>
      <c r="C447" s="708"/>
      <c r="D447" s="708"/>
      <c r="E447" s="709"/>
      <c r="F447" s="707"/>
      <c r="G447" s="708"/>
      <c r="H447" s="708"/>
      <c r="I447" s="708"/>
      <c r="J447" s="708"/>
      <c r="K447" s="710"/>
      <c r="L447" s="270"/>
      <c r="M447" s="706" t="str">
        <f t="shared" si="6"/>
        <v/>
      </c>
    </row>
    <row r="448" spans="1:13" ht="14.45" customHeight="1" x14ac:dyDescent="0.2">
      <c r="A448" s="711"/>
      <c r="B448" s="707"/>
      <c r="C448" s="708"/>
      <c r="D448" s="708"/>
      <c r="E448" s="709"/>
      <c r="F448" s="707"/>
      <c r="G448" s="708"/>
      <c r="H448" s="708"/>
      <c r="I448" s="708"/>
      <c r="J448" s="708"/>
      <c r="K448" s="710"/>
      <c r="L448" s="270"/>
      <c r="M448" s="706" t="str">
        <f t="shared" si="6"/>
        <v/>
      </c>
    </row>
    <row r="449" spans="1:13" ht="14.45" customHeight="1" x14ac:dyDescent="0.2">
      <c r="A449" s="711"/>
      <c r="B449" s="707"/>
      <c r="C449" s="708"/>
      <c r="D449" s="708"/>
      <c r="E449" s="709"/>
      <c r="F449" s="707"/>
      <c r="G449" s="708"/>
      <c r="H449" s="708"/>
      <c r="I449" s="708"/>
      <c r="J449" s="708"/>
      <c r="K449" s="710"/>
      <c r="L449" s="270"/>
      <c r="M449" s="706" t="str">
        <f t="shared" si="6"/>
        <v/>
      </c>
    </row>
    <row r="450" spans="1:13" ht="14.45" customHeight="1" x14ac:dyDescent="0.2">
      <c r="A450" s="711"/>
      <c r="B450" s="707"/>
      <c r="C450" s="708"/>
      <c r="D450" s="708"/>
      <c r="E450" s="709"/>
      <c r="F450" s="707"/>
      <c r="G450" s="708"/>
      <c r="H450" s="708"/>
      <c r="I450" s="708"/>
      <c r="J450" s="708"/>
      <c r="K450" s="710"/>
      <c r="L450" s="270"/>
      <c r="M450" s="706" t="str">
        <f t="shared" si="6"/>
        <v/>
      </c>
    </row>
    <row r="451" spans="1:13" ht="14.45" customHeight="1" x14ac:dyDescent="0.2">
      <c r="A451" s="711"/>
      <c r="B451" s="707"/>
      <c r="C451" s="708"/>
      <c r="D451" s="708"/>
      <c r="E451" s="709"/>
      <c r="F451" s="707"/>
      <c r="G451" s="708"/>
      <c r="H451" s="708"/>
      <c r="I451" s="708"/>
      <c r="J451" s="708"/>
      <c r="K451" s="710"/>
      <c r="L451" s="270"/>
      <c r="M451" s="706" t="str">
        <f t="shared" si="6"/>
        <v/>
      </c>
    </row>
    <row r="452" spans="1:13" ht="14.45" customHeight="1" x14ac:dyDescent="0.2">
      <c r="A452" s="711"/>
      <c r="B452" s="707"/>
      <c r="C452" s="708"/>
      <c r="D452" s="708"/>
      <c r="E452" s="709"/>
      <c r="F452" s="707"/>
      <c r="G452" s="708"/>
      <c r="H452" s="708"/>
      <c r="I452" s="708"/>
      <c r="J452" s="708"/>
      <c r="K452" s="710"/>
      <c r="L452" s="270"/>
      <c r="M452" s="706" t="str">
        <f t="shared" si="6"/>
        <v/>
      </c>
    </row>
    <row r="453" spans="1:13" ht="14.45" customHeight="1" x14ac:dyDescent="0.2">
      <c r="A453" s="711"/>
      <c r="B453" s="707"/>
      <c r="C453" s="708"/>
      <c r="D453" s="708"/>
      <c r="E453" s="709"/>
      <c r="F453" s="707"/>
      <c r="G453" s="708"/>
      <c r="H453" s="708"/>
      <c r="I453" s="708"/>
      <c r="J453" s="708"/>
      <c r="K453" s="710"/>
      <c r="L453" s="270"/>
      <c r="M453" s="706" t="str">
        <f t="shared" si="6"/>
        <v/>
      </c>
    </row>
    <row r="454" spans="1:13" ht="14.45" customHeight="1" x14ac:dyDescent="0.2">
      <c r="A454" s="711"/>
      <c r="B454" s="707"/>
      <c r="C454" s="708"/>
      <c r="D454" s="708"/>
      <c r="E454" s="709"/>
      <c r="F454" s="707"/>
      <c r="G454" s="708"/>
      <c r="H454" s="708"/>
      <c r="I454" s="708"/>
      <c r="J454" s="708"/>
      <c r="K454" s="710"/>
      <c r="L454" s="270"/>
      <c r="M454" s="706" t="str">
        <f t="shared" ref="M454:M517" si="7">IF(A454="HV","HV",IF(OR(LEFT(A454,16)="               5",LEFT(A454,16)="               6",LEFT(A454,16)="               7",LEFT(A454,16)="               8"),"X",""))</f>
        <v/>
      </c>
    </row>
    <row r="455" spans="1:13" ht="14.45" customHeight="1" x14ac:dyDescent="0.2">
      <c r="A455" s="711"/>
      <c r="B455" s="707"/>
      <c r="C455" s="708"/>
      <c r="D455" s="708"/>
      <c r="E455" s="709"/>
      <c r="F455" s="707"/>
      <c r="G455" s="708"/>
      <c r="H455" s="708"/>
      <c r="I455" s="708"/>
      <c r="J455" s="708"/>
      <c r="K455" s="710"/>
      <c r="L455" s="270"/>
      <c r="M455" s="706" t="str">
        <f t="shared" si="7"/>
        <v/>
      </c>
    </row>
    <row r="456" spans="1:13" ht="14.45" customHeight="1" x14ac:dyDescent="0.2">
      <c r="A456" s="711"/>
      <c r="B456" s="707"/>
      <c r="C456" s="708"/>
      <c r="D456" s="708"/>
      <c r="E456" s="709"/>
      <c r="F456" s="707"/>
      <c r="G456" s="708"/>
      <c r="H456" s="708"/>
      <c r="I456" s="708"/>
      <c r="J456" s="708"/>
      <c r="K456" s="710"/>
      <c r="L456" s="270"/>
      <c r="M456" s="706" t="str">
        <f t="shared" si="7"/>
        <v/>
      </c>
    </row>
    <row r="457" spans="1:13" ht="14.45" customHeight="1" x14ac:dyDescent="0.2">
      <c r="A457" s="711"/>
      <c r="B457" s="707"/>
      <c r="C457" s="708"/>
      <c r="D457" s="708"/>
      <c r="E457" s="709"/>
      <c r="F457" s="707"/>
      <c r="G457" s="708"/>
      <c r="H457" s="708"/>
      <c r="I457" s="708"/>
      <c r="J457" s="708"/>
      <c r="K457" s="710"/>
      <c r="L457" s="270"/>
      <c r="M457" s="706" t="str">
        <f t="shared" si="7"/>
        <v/>
      </c>
    </row>
    <row r="458" spans="1:13" ht="14.45" customHeight="1" x14ac:dyDescent="0.2">
      <c r="A458" s="711"/>
      <c r="B458" s="707"/>
      <c r="C458" s="708"/>
      <c r="D458" s="708"/>
      <c r="E458" s="709"/>
      <c r="F458" s="707"/>
      <c r="G458" s="708"/>
      <c r="H458" s="708"/>
      <c r="I458" s="708"/>
      <c r="J458" s="708"/>
      <c r="K458" s="710"/>
      <c r="L458" s="270"/>
      <c r="M458" s="706" t="str">
        <f t="shared" si="7"/>
        <v/>
      </c>
    </row>
    <row r="459" spans="1:13" ht="14.45" customHeight="1" x14ac:dyDescent="0.2">
      <c r="A459" s="711"/>
      <c r="B459" s="707"/>
      <c r="C459" s="708"/>
      <c r="D459" s="708"/>
      <c r="E459" s="709"/>
      <c r="F459" s="707"/>
      <c r="G459" s="708"/>
      <c r="H459" s="708"/>
      <c r="I459" s="708"/>
      <c r="J459" s="708"/>
      <c r="K459" s="710"/>
      <c r="L459" s="270"/>
      <c r="M459" s="706" t="str">
        <f t="shared" si="7"/>
        <v/>
      </c>
    </row>
    <row r="460" spans="1:13" ht="14.45" customHeight="1" x14ac:dyDescent="0.2">
      <c r="A460" s="711"/>
      <c r="B460" s="707"/>
      <c r="C460" s="708"/>
      <c r="D460" s="708"/>
      <c r="E460" s="709"/>
      <c r="F460" s="707"/>
      <c r="G460" s="708"/>
      <c r="H460" s="708"/>
      <c r="I460" s="708"/>
      <c r="J460" s="708"/>
      <c r="K460" s="710"/>
      <c r="L460" s="270"/>
      <c r="M460" s="706" t="str">
        <f t="shared" si="7"/>
        <v/>
      </c>
    </row>
    <row r="461" spans="1:13" ht="14.45" customHeight="1" x14ac:dyDescent="0.2">
      <c r="A461" s="711"/>
      <c r="B461" s="707"/>
      <c r="C461" s="708"/>
      <c r="D461" s="708"/>
      <c r="E461" s="709"/>
      <c r="F461" s="707"/>
      <c r="G461" s="708"/>
      <c r="H461" s="708"/>
      <c r="I461" s="708"/>
      <c r="J461" s="708"/>
      <c r="K461" s="710"/>
      <c r="L461" s="270"/>
      <c r="M461" s="706" t="str">
        <f t="shared" si="7"/>
        <v/>
      </c>
    </row>
    <row r="462" spans="1:13" ht="14.45" customHeight="1" x14ac:dyDescent="0.2">
      <c r="A462" s="711"/>
      <c r="B462" s="707"/>
      <c r="C462" s="708"/>
      <c r="D462" s="708"/>
      <c r="E462" s="709"/>
      <c r="F462" s="707"/>
      <c r="G462" s="708"/>
      <c r="H462" s="708"/>
      <c r="I462" s="708"/>
      <c r="J462" s="708"/>
      <c r="K462" s="710"/>
      <c r="L462" s="270"/>
      <c r="M462" s="706" t="str">
        <f t="shared" si="7"/>
        <v/>
      </c>
    </row>
    <row r="463" spans="1:13" ht="14.45" customHeight="1" x14ac:dyDescent="0.2">
      <c r="A463" s="711"/>
      <c r="B463" s="707"/>
      <c r="C463" s="708"/>
      <c r="D463" s="708"/>
      <c r="E463" s="709"/>
      <c r="F463" s="707"/>
      <c r="G463" s="708"/>
      <c r="H463" s="708"/>
      <c r="I463" s="708"/>
      <c r="J463" s="708"/>
      <c r="K463" s="710"/>
      <c r="L463" s="270"/>
      <c r="M463" s="706" t="str">
        <f t="shared" si="7"/>
        <v/>
      </c>
    </row>
    <row r="464" spans="1:13" ht="14.45" customHeight="1" x14ac:dyDescent="0.2">
      <c r="A464" s="711"/>
      <c r="B464" s="707"/>
      <c r="C464" s="708"/>
      <c r="D464" s="708"/>
      <c r="E464" s="709"/>
      <c r="F464" s="707"/>
      <c r="G464" s="708"/>
      <c r="H464" s="708"/>
      <c r="I464" s="708"/>
      <c r="J464" s="708"/>
      <c r="K464" s="710"/>
      <c r="L464" s="270"/>
      <c r="M464" s="706" t="str">
        <f t="shared" si="7"/>
        <v/>
      </c>
    </row>
    <row r="465" spans="1:13" ht="14.45" customHeight="1" x14ac:dyDescent="0.2">
      <c r="A465" s="711"/>
      <c r="B465" s="707"/>
      <c r="C465" s="708"/>
      <c r="D465" s="708"/>
      <c r="E465" s="709"/>
      <c r="F465" s="707"/>
      <c r="G465" s="708"/>
      <c r="H465" s="708"/>
      <c r="I465" s="708"/>
      <c r="J465" s="708"/>
      <c r="K465" s="710"/>
      <c r="L465" s="270"/>
      <c r="M465" s="706" t="str">
        <f t="shared" si="7"/>
        <v/>
      </c>
    </row>
    <row r="466" spans="1:13" ht="14.45" customHeight="1" x14ac:dyDescent="0.2">
      <c r="A466" s="711"/>
      <c r="B466" s="707"/>
      <c r="C466" s="708"/>
      <c r="D466" s="708"/>
      <c r="E466" s="709"/>
      <c r="F466" s="707"/>
      <c r="G466" s="708"/>
      <c r="H466" s="708"/>
      <c r="I466" s="708"/>
      <c r="J466" s="708"/>
      <c r="K466" s="710"/>
      <c r="L466" s="270"/>
      <c r="M466" s="706" t="str">
        <f t="shared" si="7"/>
        <v/>
      </c>
    </row>
    <row r="467" spans="1:13" ht="14.45" customHeight="1" x14ac:dyDescent="0.2">
      <c r="A467" s="711"/>
      <c r="B467" s="707"/>
      <c r="C467" s="708"/>
      <c r="D467" s="708"/>
      <c r="E467" s="709"/>
      <c r="F467" s="707"/>
      <c r="G467" s="708"/>
      <c r="H467" s="708"/>
      <c r="I467" s="708"/>
      <c r="J467" s="708"/>
      <c r="K467" s="710"/>
      <c r="L467" s="270"/>
      <c r="M467" s="706" t="str">
        <f t="shared" si="7"/>
        <v/>
      </c>
    </row>
    <row r="468" spans="1:13" ht="14.45" customHeight="1" x14ac:dyDescent="0.2">
      <c r="A468" s="711"/>
      <c r="B468" s="707"/>
      <c r="C468" s="708"/>
      <c r="D468" s="708"/>
      <c r="E468" s="709"/>
      <c r="F468" s="707"/>
      <c r="G468" s="708"/>
      <c r="H468" s="708"/>
      <c r="I468" s="708"/>
      <c r="J468" s="708"/>
      <c r="K468" s="710"/>
      <c r="L468" s="270"/>
      <c r="M468" s="706" t="str">
        <f t="shared" si="7"/>
        <v/>
      </c>
    </row>
    <row r="469" spans="1:13" ht="14.45" customHeight="1" x14ac:dyDescent="0.2">
      <c r="A469" s="711"/>
      <c r="B469" s="707"/>
      <c r="C469" s="708"/>
      <c r="D469" s="708"/>
      <c r="E469" s="709"/>
      <c r="F469" s="707"/>
      <c r="G469" s="708"/>
      <c r="H469" s="708"/>
      <c r="I469" s="708"/>
      <c r="J469" s="708"/>
      <c r="K469" s="710"/>
      <c r="L469" s="270"/>
      <c r="M469" s="706" t="str">
        <f t="shared" si="7"/>
        <v/>
      </c>
    </row>
    <row r="470" spans="1:13" ht="14.45" customHeight="1" x14ac:dyDescent="0.2">
      <c r="A470" s="711"/>
      <c r="B470" s="707"/>
      <c r="C470" s="708"/>
      <c r="D470" s="708"/>
      <c r="E470" s="709"/>
      <c r="F470" s="707"/>
      <c r="G470" s="708"/>
      <c r="H470" s="708"/>
      <c r="I470" s="708"/>
      <c r="J470" s="708"/>
      <c r="K470" s="710"/>
      <c r="L470" s="270"/>
      <c r="M470" s="706" t="str">
        <f t="shared" si="7"/>
        <v/>
      </c>
    </row>
    <row r="471" spans="1:13" ht="14.45" customHeight="1" x14ac:dyDescent="0.2">
      <c r="A471" s="711"/>
      <c r="B471" s="707"/>
      <c r="C471" s="708"/>
      <c r="D471" s="708"/>
      <c r="E471" s="709"/>
      <c r="F471" s="707"/>
      <c r="G471" s="708"/>
      <c r="H471" s="708"/>
      <c r="I471" s="708"/>
      <c r="J471" s="708"/>
      <c r="K471" s="710"/>
      <c r="L471" s="270"/>
      <c r="M471" s="706" t="str">
        <f t="shared" si="7"/>
        <v/>
      </c>
    </row>
    <row r="472" spans="1:13" ht="14.45" customHeight="1" x14ac:dyDescent="0.2">
      <c r="A472" s="711"/>
      <c r="B472" s="707"/>
      <c r="C472" s="708"/>
      <c r="D472" s="708"/>
      <c r="E472" s="709"/>
      <c r="F472" s="707"/>
      <c r="G472" s="708"/>
      <c r="H472" s="708"/>
      <c r="I472" s="708"/>
      <c r="J472" s="708"/>
      <c r="K472" s="710"/>
      <c r="L472" s="270"/>
      <c r="M472" s="706" t="str">
        <f t="shared" si="7"/>
        <v/>
      </c>
    </row>
    <row r="473" spans="1:13" ht="14.45" customHeight="1" x14ac:dyDescent="0.2">
      <c r="A473" s="711"/>
      <c r="B473" s="707"/>
      <c r="C473" s="708"/>
      <c r="D473" s="708"/>
      <c r="E473" s="709"/>
      <c r="F473" s="707"/>
      <c r="G473" s="708"/>
      <c r="H473" s="708"/>
      <c r="I473" s="708"/>
      <c r="J473" s="708"/>
      <c r="K473" s="710"/>
      <c r="L473" s="270"/>
      <c r="M473" s="706" t="str">
        <f t="shared" si="7"/>
        <v/>
      </c>
    </row>
    <row r="474" spans="1:13" ht="14.45" customHeight="1" x14ac:dyDescent="0.2">
      <c r="A474" s="711"/>
      <c r="B474" s="707"/>
      <c r="C474" s="708"/>
      <c r="D474" s="708"/>
      <c r="E474" s="709"/>
      <c r="F474" s="707"/>
      <c r="G474" s="708"/>
      <c r="H474" s="708"/>
      <c r="I474" s="708"/>
      <c r="J474" s="708"/>
      <c r="K474" s="710"/>
      <c r="L474" s="270"/>
      <c r="M474" s="706" t="str">
        <f t="shared" si="7"/>
        <v/>
      </c>
    </row>
    <row r="475" spans="1:13" ht="14.45" customHeight="1" x14ac:dyDescent="0.2">
      <c r="A475" s="711"/>
      <c r="B475" s="707"/>
      <c r="C475" s="708"/>
      <c r="D475" s="708"/>
      <c r="E475" s="709"/>
      <c r="F475" s="707"/>
      <c r="G475" s="708"/>
      <c r="H475" s="708"/>
      <c r="I475" s="708"/>
      <c r="J475" s="708"/>
      <c r="K475" s="710"/>
      <c r="L475" s="270"/>
      <c r="M475" s="706" t="str">
        <f t="shared" si="7"/>
        <v/>
      </c>
    </row>
    <row r="476" spans="1:13" ht="14.45" customHeight="1" x14ac:dyDescent="0.2">
      <c r="A476" s="711"/>
      <c r="B476" s="707"/>
      <c r="C476" s="708"/>
      <c r="D476" s="708"/>
      <c r="E476" s="709"/>
      <c r="F476" s="707"/>
      <c r="G476" s="708"/>
      <c r="H476" s="708"/>
      <c r="I476" s="708"/>
      <c r="J476" s="708"/>
      <c r="K476" s="710"/>
      <c r="L476" s="270"/>
      <c r="M476" s="706" t="str">
        <f t="shared" si="7"/>
        <v/>
      </c>
    </row>
    <row r="477" spans="1:13" ht="14.45" customHeight="1" x14ac:dyDescent="0.2">
      <c r="A477" s="711"/>
      <c r="B477" s="707"/>
      <c r="C477" s="708"/>
      <c r="D477" s="708"/>
      <c r="E477" s="709"/>
      <c r="F477" s="707"/>
      <c r="G477" s="708"/>
      <c r="H477" s="708"/>
      <c r="I477" s="708"/>
      <c r="J477" s="708"/>
      <c r="K477" s="710"/>
      <c r="L477" s="270"/>
      <c r="M477" s="706" t="str">
        <f t="shared" si="7"/>
        <v/>
      </c>
    </row>
    <row r="478" spans="1:13" ht="14.45" customHeight="1" x14ac:dyDescent="0.2">
      <c r="A478" s="711"/>
      <c r="B478" s="707"/>
      <c r="C478" s="708"/>
      <c r="D478" s="708"/>
      <c r="E478" s="709"/>
      <c r="F478" s="707"/>
      <c r="G478" s="708"/>
      <c r="H478" s="708"/>
      <c r="I478" s="708"/>
      <c r="J478" s="708"/>
      <c r="K478" s="710"/>
      <c r="L478" s="270"/>
      <c r="M478" s="706" t="str">
        <f t="shared" si="7"/>
        <v/>
      </c>
    </row>
    <row r="479" spans="1:13" ht="14.45" customHeight="1" x14ac:dyDescent="0.2">
      <c r="A479" s="711"/>
      <c r="B479" s="707"/>
      <c r="C479" s="708"/>
      <c r="D479" s="708"/>
      <c r="E479" s="709"/>
      <c r="F479" s="707"/>
      <c r="G479" s="708"/>
      <c r="H479" s="708"/>
      <c r="I479" s="708"/>
      <c r="J479" s="708"/>
      <c r="K479" s="710"/>
      <c r="L479" s="270"/>
      <c r="M479" s="706" t="str">
        <f t="shared" si="7"/>
        <v/>
      </c>
    </row>
    <row r="480" spans="1:13" ht="14.45" customHeight="1" x14ac:dyDescent="0.2">
      <c r="A480" s="711"/>
      <c r="B480" s="707"/>
      <c r="C480" s="708"/>
      <c r="D480" s="708"/>
      <c r="E480" s="709"/>
      <c r="F480" s="707"/>
      <c r="G480" s="708"/>
      <c r="H480" s="708"/>
      <c r="I480" s="708"/>
      <c r="J480" s="708"/>
      <c r="K480" s="710"/>
      <c r="L480" s="270"/>
      <c r="M480" s="706" t="str">
        <f t="shared" si="7"/>
        <v/>
      </c>
    </row>
    <row r="481" spans="1:13" ht="14.45" customHeight="1" x14ac:dyDescent="0.2">
      <c r="A481" s="711"/>
      <c r="B481" s="707"/>
      <c r="C481" s="708"/>
      <c r="D481" s="708"/>
      <c r="E481" s="709"/>
      <c r="F481" s="707"/>
      <c r="G481" s="708"/>
      <c r="H481" s="708"/>
      <c r="I481" s="708"/>
      <c r="J481" s="708"/>
      <c r="K481" s="710"/>
      <c r="L481" s="270"/>
      <c r="M481" s="706" t="str">
        <f t="shared" si="7"/>
        <v/>
      </c>
    </row>
    <row r="482" spans="1:13" ht="14.45" customHeight="1" x14ac:dyDescent="0.2">
      <c r="A482" s="711"/>
      <c r="B482" s="707"/>
      <c r="C482" s="708"/>
      <c r="D482" s="708"/>
      <c r="E482" s="709"/>
      <c r="F482" s="707"/>
      <c r="G482" s="708"/>
      <c r="H482" s="708"/>
      <c r="I482" s="708"/>
      <c r="J482" s="708"/>
      <c r="K482" s="710"/>
      <c r="L482" s="270"/>
      <c r="M482" s="706" t="str">
        <f t="shared" si="7"/>
        <v/>
      </c>
    </row>
    <row r="483" spans="1:13" ht="14.45" customHeight="1" x14ac:dyDescent="0.2">
      <c r="A483" s="711"/>
      <c r="B483" s="707"/>
      <c r="C483" s="708"/>
      <c r="D483" s="708"/>
      <c r="E483" s="709"/>
      <c r="F483" s="707"/>
      <c r="G483" s="708"/>
      <c r="H483" s="708"/>
      <c r="I483" s="708"/>
      <c r="J483" s="708"/>
      <c r="K483" s="710"/>
      <c r="L483" s="270"/>
      <c r="M483" s="706" t="str">
        <f t="shared" si="7"/>
        <v/>
      </c>
    </row>
    <row r="484" spans="1:13" ht="14.45" customHeight="1" x14ac:dyDescent="0.2">
      <c r="A484" s="711"/>
      <c r="B484" s="707"/>
      <c r="C484" s="708"/>
      <c r="D484" s="708"/>
      <c r="E484" s="709"/>
      <c r="F484" s="707"/>
      <c r="G484" s="708"/>
      <c r="H484" s="708"/>
      <c r="I484" s="708"/>
      <c r="J484" s="708"/>
      <c r="K484" s="710"/>
      <c r="L484" s="270"/>
      <c r="M484" s="706" t="str">
        <f t="shared" si="7"/>
        <v/>
      </c>
    </row>
    <row r="485" spans="1:13" ht="14.45" customHeight="1" x14ac:dyDescent="0.2">
      <c r="A485" s="711"/>
      <c r="B485" s="707"/>
      <c r="C485" s="708"/>
      <c r="D485" s="708"/>
      <c r="E485" s="709"/>
      <c r="F485" s="707"/>
      <c r="G485" s="708"/>
      <c r="H485" s="708"/>
      <c r="I485" s="708"/>
      <c r="J485" s="708"/>
      <c r="K485" s="710"/>
      <c r="L485" s="270"/>
      <c r="M485" s="706" t="str">
        <f t="shared" si="7"/>
        <v/>
      </c>
    </row>
    <row r="486" spans="1:13" ht="14.45" customHeight="1" x14ac:dyDescent="0.2">
      <c r="A486" s="711"/>
      <c r="B486" s="707"/>
      <c r="C486" s="708"/>
      <c r="D486" s="708"/>
      <c r="E486" s="709"/>
      <c r="F486" s="707"/>
      <c r="G486" s="708"/>
      <c r="H486" s="708"/>
      <c r="I486" s="708"/>
      <c r="J486" s="708"/>
      <c r="K486" s="710"/>
      <c r="L486" s="270"/>
      <c r="M486" s="706" t="str">
        <f t="shared" si="7"/>
        <v/>
      </c>
    </row>
    <row r="487" spans="1:13" ht="14.45" customHeight="1" x14ac:dyDescent="0.2">
      <c r="A487" s="711"/>
      <c r="B487" s="707"/>
      <c r="C487" s="708"/>
      <c r="D487" s="708"/>
      <c r="E487" s="709"/>
      <c r="F487" s="707"/>
      <c r="G487" s="708"/>
      <c r="H487" s="708"/>
      <c r="I487" s="708"/>
      <c r="J487" s="708"/>
      <c r="K487" s="710"/>
      <c r="L487" s="270"/>
      <c r="M487" s="706" t="str">
        <f t="shared" si="7"/>
        <v/>
      </c>
    </row>
    <row r="488" spans="1:13" ht="14.45" customHeight="1" x14ac:dyDescent="0.2">
      <c r="A488" s="711"/>
      <c r="B488" s="707"/>
      <c r="C488" s="708"/>
      <c r="D488" s="708"/>
      <c r="E488" s="709"/>
      <c r="F488" s="707"/>
      <c r="G488" s="708"/>
      <c r="H488" s="708"/>
      <c r="I488" s="708"/>
      <c r="J488" s="708"/>
      <c r="K488" s="710"/>
      <c r="L488" s="270"/>
      <c r="M488" s="706" t="str">
        <f t="shared" si="7"/>
        <v/>
      </c>
    </row>
    <row r="489" spans="1:13" ht="14.45" customHeight="1" x14ac:dyDescent="0.2">
      <c r="A489" s="711"/>
      <c r="B489" s="707"/>
      <c r="C489" s="708"/>
      <c r="D489" s="708"/>
      <c r="E489" s="709"/>
      <c r="F489" s="707"/>
      <c r="G489" s="708"/>
      <c r="H489" s="708"/>
      <c r="I489" s="708"/>
      <c r="J489" s="708"/>
      <c r="K489" s="710"/>
      <c r="L489" s="270"/>
      <c r="M489" s="706" t="str">
        <f t="shared" si="7"/>
        <v/>
      </c>
    </row>
    <row r="490" spans="1:13" ht="14.45" customHeight="1" x14ac:dyDescent="0.2">
      <c r="A490" s="711"/>
      <c r="B490" s="707"/>
      <c r="C490" s="708"/>
      <c r="D490" s="708"/>
      <c r="E490" s="709"/>
      <c r="F490" s="707"/>
      <c r="G490" s="708"/>
      <c r="H490" s="708"/>
      <c r="I490" s="708"/>
      <c r="J490" s="708"/>
      <c r="K490" s="710"/>
      <c r="L490" s="270"/>
      <c r="M490" s="706" t="str">
        <f t="shared" si="7"/>
        <v/>
      </c>
    </row>
    <row r="491" spans="1:13" ht="14.45" customHeight="1" x14ac:dyDescent="0.2">
      <c r="A491" s="711"/>
      <c r="B491" s="707"/>
      <c r="C491" s="708"/>
      <c r="D491" s="708"/>
      <c r="E491" s="709"/>
      <c r="F491" s="707"/>
      <c r="G491" s="708"/>
      <c r="H491" s="708"/>
      <c r="I491" s="708"/>
      <c r="J491" s="708"/>
      <c r="K491" s="710"/>
      <c r="L491" s="270"/>
      <c r="M491" s="706" t="str">
        <f t="shared" si="7"/>
        <v/>
      </c>
    </row>
    <row r="492" spans="1:13" ht="14.45" customHeight="1" x14ac:dyDescent="0.2">
      <c r="A492" s="711"/>
      <c r="B492" s="707"/>
      <c r="C492" s="708"/>
      <c r="D492" s="708"/>
      <c r="E492" s="709"/>
      <c r="F492" s="707"/>
      <c r="G492" s="708"/>
      <c r="H492" s="708"/>
      <c r="I492" s="708"/>
      <c r="J492" s="708"/>
      <c r="K492" s="710"/>
      <c r="L492" s="270"/>
      <c r="M492" s="706" t="str">
        <f t="shared" si="7"/>
        <v/>
      </c>
    </row>
    <row r="493" spans="1:13" ht="14.45" customHeight="1" x14ac:dyDescent="0.2">
      <c r="A493" s="711"/>
      <c r="B493" s="707"/>
      <c r="C493" s="708"/>
      <c r="D493" s="708"/>
      <c r="E493" s="709"/>
      <c r="F493" s="707"/>
      <c r="G493" s="708"/>
      <c r="H493" s="708"/>
      <c r="I493" s="708"/>
      <c r="J493" s="708"/>
      <c r="K493" s="710"/>
      <c r="L493" s="270"/>
      <c r="M493" s="706" t="str">
        <f t="shared" si="7"/>
        <v/>
      </c>
    </row>
    <row r="494" spans="1:13" ht="14.45" customHeight="1" x14ac:dyDescent="0.2">
      <c r="A494" s="711"/>
      <c r="B494" s="707"/>
      <c r="C494" s="708"/>
      <c r="D494" s="708"/>
      <c r="E494" s="709"/>
      <c r="F494" s="707"/>
      <c r="G494" s="708"/>
      <c r="H494" s="708"/>
      <c r="I494" s="708"/>
      <c r="J494" s="708"/>
      <c r="K494" s="710"/>
      <c r="L494" s="270"/>
      <c r="M494" s="706" t="str">
        <f t="shared" si="7"/>
        <v/>
      </c>
    </row>
    <row r="495" spans="1:13" ht="14.45" customHeight="1" x14ac:dyDescent="0.2">
      <c r="A495" s="711"/>
      <c r="B495" s="707"/>
      <c r="C495" s="708"/>
      <c r="D495" s="708"/>
      <c r="E495" s="709"/>
      <c r="F495" s="707"/>
      <c r="G495" s="708"/>
      <c r="H495" s="708"/>
      <c r="I495" s="708"/>
      <c r="J495" s="708"/>
      <c r="K495" s="710"/>
      <c r="L495" s="270"/>
      <c r="M495" s="706" t="str">
        <f t="shared" si="7"/>
        <v/>
      </c>
    </row>
    <row r="496" spans="1:13" ht="14.45" customHeight="1" x14ac:dyDescent="0.2">
      <c r="A496" s="711"/>
      <c r="B496" s="707"/>
      <c r="C496" s="708"/>
      <c r="D496" s="708"/>
      <c r="E496" s="709"/>
      <c r="F496" s="707"/>
      <c r="G496" s="708"/>
      <c r="H496" s="708"/>
      <c r="I496" s="708"/>
      <c r="J496" s="708"/>
      <c r="K496" s="710"/>
      <c r="L496" s="270"/>
      <c r="M496" s="706" t="str">
        <f t="shared" si="7"/>
        <v/>
      </c>
    </row>
    <row r="497" spans="1:13" ht="14.45" customHeight="1" x14ac:dyDescent="0.2">
      <c r="A497" s="711"/>
      <c r="B497" s="707"/>
      <c r="C497" s="708"/>
      <c r="D497" s="708"/>
      <c r="E497" s="709"/>
      <c r="F497" s="707"/>
      <c r="G497" s="708"/>
      <c r="H497" s="708"/>
      <c r="I497" s="708"/>
      <c r="J497" s="708"/>
      <c r="K497" s="710"/>
      <c r="L497" s="270"/>
      <c r="M497" s="706" t="str">
        <f t="shared" si="7"/>
        <v/>
      </c>
    </row>
    <row r="498" spans="1:13" ht="14.45" customHeight="1" x14ac:dyDescent="0.2">
      <c r="A498" s="711"/>
      <c r="B498" s="707"/>
      <c r="C498" s="708"/>
      <c r="D498" s="708"/>
      <c r="E498" s="709"/>
      <c r="F498" s="707"/>
      <c r="G498" s="708"/>
      <c r="H498" s="708"/>
      <c r="I498" s="708"/>
      <c r="J498" s="708"/>
      <c r="K498" s="710"/>
      <c r="L498" s="270"/>
      <c r="M498" s="706" t="str">
        <f t="shared" si="7"/>
        <v/>
      </c>
    </row>
    <row r="499" spans="1:13" ht="14.45" customHeight="1" x14ac:dyDescent="0.2">
      <c r="A499" s="711"/>
      <c r="B499" s="707"/>
      <c r="C499" s="708"/>
      <c r="D499" s="708"/>
      <c r="E499" s="709"/>
      <c r="F499" s="707"/>
      <c r="G499" s="708"/>
      <c r="H499" s="708"/>
      <c r="I499" s="708"/>
      <c r="J499" s="708"/>
      <c r="K499" s="710"/>
      <c r="L499" s="270"/>
      <c r="M499" s="706" t="str">
        <f t="shared" si="7"/>
        <v/>
      </c>
    </row>
    <row r="500" spans="1:13" ht="14.45" customHeight="1" x14ac:dyDescent="0.2">
      <c r="A500" s="711"/>
      <c r="B500" s="707"/>
      <c r="C500" s="708"/>
      <c r="D500" s="708"/>
      <c r="E500" s="709"/>
      <c r="F500" s="707"/>
      <c r="G500" s="708"/>
      <c r="H500" s="708"/>
      <c r="I500" s="708"/>
      <c r="J500" s="708"/>
      <c r="K500" s="710"/>
      <c r="L500" s="270"/>
      <c r="M500" s="706" t="str">
        <f t="shared" si="7"/>
        <v/>
      </c>
    </row>
    <row r="501" spans="1:13" ht="14.45" customHeight="1" x14ac:dyDescent="0.2">
      <c r="A501" s="711"/>
      <c r="B501" s="707"/>
      <c r="C501" s="708"/>
      <c r="D501" s="708"/>
      <c r="E501" s="709"/>
      <c r="F501" s="707"/>
      <c r="G501" s="708"/>
      <c r="H501" s="708"/>
      <c r="I501" s="708"/>
      <c r="J501" s="708"/>
      <c r="K501" s="710"/>
      <c r="L501" s="270"/>
      <c r="M501" s="706" t="str">
        <f t="shared" si="7"/>
        <v/>
      </c>
    </row>
    <row r="502" spans="1:13" ht="14.45" customHeight="1" x14ac:dyDescent="0.2">
      <c r="A502" s="711"/>
      <c r="B502" s="707"/>
      <c r="C502" s="708"/>
      <c r="D502" s="708"/>
      <c r="E502" s="709"/>
      <c r="F502" s="707"/>
      <c r="G502" s="708"/>
      <c r="H502" s="708"/>
      <c r="I502" s="708"/>
      <c r="J502" s="708"/>
      <c r="K502" s="710"/>
      <c r="L502" s="270"/>
      <c r="M502" s="706" t="str">
        <f t="shared" si="7"/>
        <v/>
      </c>
    </row>
    <row r="503" spans="1:13" ht="14.45" customHeight="1" x14ac:dyDescent="0.2">
      <c r="A503" s="711"/>
      <c r="B503" s="707"/>
      <c r="C503" s="708"/>
      <c r="D503" s="708"/>
      <c r="E503" s="709"/>
      <c r="F503" s="707"/>
      <c r="G503" s="708"/>
      <c r="H503" s="708"/>
      <c r="I503" s="708"/>
      <c r="J503" s="708"/>
      <c r="K503" s="710"/>
      <c r="L503" s="270"/>
      <c r="M503" s="706" t="str">
        <f t="shared" si="7"/>
        <v/>
      </c>
    </row>
    <row r="504" spans="1:13" ht="14.45" customHeight="1" x14ac:dyDescent="0.2">
      <c r="A504" s="711"/>
      <c r="B504" s="707"/>
      <c r="C504" s="708"/>
      <c r="D504" s="708"/>
      <c r="E504" s="709"/>
      <c r="F504" s="707"/>
      <c r="G504" s="708"/>
      <c r="H504" s="708"/>
      <c r="I504" s="708"/>
      <c r="J504" s="708"/>
      <c r="K504" s="710"/>
      <c r="L504" s="270"/>
      <c r="M504" s="706" t="str">
        <f t="shared" si="7"/>
        <v/>
      </c>
    </row>
    <row r="505" spans="1:13" ht="14.45" customHeight="1" x14ac:dyDescent="0.2">
      <c r="A505" s="711"/>
      <c r="B505" s="707"/>
      <c r="C505" s="708"/>
      <c r="D505" s="708"/>
      <c r="E505" s="709"/>
      <c r="F505" s="707"/>
      <c r="G505" s="708"/>
      <c r="H505" s="708"/>
      <c r="I505" s="708"/>
      <c r="J505" s="708"/>
      <c r="K505" s="710"/>
      <c r="L505" s="270"/>
      <c r="M505" s="706" t="str">
        <f t="shared" si="7"/>
        <v/>
      </c>
    </row>
    <row r="506" spans="1:13" ht="14.45" customHeight="1" x14ac:dyDescent="0.2">
      <c r="A506" s="711"/>
      <c r="B506" s="707"/>
      <c r="C506" s="708"/>
      <c r="D506" s="708"/>
      <c r="E506" s="709"/>
      <c r="F506" s="707"/>
      <c r="G506" s="708"/>
      <c r="H506" s="708"/>
      <c r="I506" s="708"/>
      <c r="J506" s="708"/>
      <c r="K506" s="710"/>
      <c r="L506" s="270"/>
      <c r="M506" s="706" t="str">
        <f t="shared" si="7"/>
        <v/>
      </c>
    </row>
    <row r="507" spans="1:13" ht="14.45" customHeight="1" x14ac:dyDescent="0.2">
      <c r="A507" s="711"/>
      <c r="B507" s="707"/>
      <c r="C507" s="708"/>
      <c r="D507" s="708"/>
      <c r="E507" s="709"/>
      <c r="F507" s="707"/>
      <c r="G507" s="708"/>
      <c r="H507" s="708"/>
      <c r="I507" s="708"/>
      <c r="J507" s="708"/>
      <c r="K507" s="710"/>
      <c r="L507" s="270"/>
      <c r="M507" s="706" t="str">
        <f t="shared" si="7"/>
        <v/>
      </c>
    </row>
    <row r="508" spans="1:13" ht="14.45" customHeight="1" x14ac:dyDescent="0.2">
      <c r="A508" s="711"/>
      <c r="B508" s="707"/>
      <c r="C508" s="708"/>
      <c r="D508" s="708"/>
      <c r="E508" s="709"/>
      <c r="F508" s="707"/>
      <c r="G508" s="708"/>
      <c r="H508" s="708"/>
      <c r="I508" s="708"/>
      <c r="J508" s="708"/>
      <c r="K508" s="710"/>
      <c r="L508" s="270"/>
      <c r="M508" s="706" t="str">
        <f t="shared" si="7"/>
        <v/>
      </c>
    </row>
    <row r="509" spans="1:13" ht="14.45" customHeight="1" x14ac:dyDescent="0.2">
      <c r="A509" s="711"/>
      <c r="B509" s="707"/>
      <c r="C509" s="708"/>
      <c r="D509" s="708"/>
      <c r="E509" s="709"/>
      <c r="F509" s="707"/>
      <c r="G509" s="708"/>
      <c r="H509" s="708"/>
      <c r="I509" s="708"/>
      <c r="J509" s="708"/>
      <c r="K509" s="710"/>
      <c r="L509" s="270"/>
      <c r="M509" s="706" t="str">
        <f t="shared" si="7"/>
        <v/>
      </c>
    </row>
    <row r="510" spans="1:13" ht="14.45" customHeight="1" x14ac:dyDescent="0.2">
      <c r="A510" s="711"/>
      <c r="B510" s="707"/>
      <c r="C510" s="708"/>
      <c r="D510" s="708"/>
      <c r="E510" s="709"/>
      <c r="F510" s="707"/>
      <c r="G510" s="708"/>
      <c r="H510" s="708"/>
      <c r="I510" s="708"/>
      <c r="J510" s="708"/>
      <c r="K510" s="710"/>
      <c r="L510" s="270"/>
      <c r="M510" s="706" t="str">
        <f t="shared" si="7"/>
        <v/>
      </c>
    </row>
    <row r="511" spans="1:13" ht="14.45" customHeight="1" x14ac:dyDescent="0.2">
      <c r="A511" s="711"/>
      <c r="B511" s="707"/>
      <c r="C511" s="708"/>
      <c r="D511" s="708"/>
      <c r="E511" s="709"/>
      <c r="F511" s="707"/>
      <c r="G511" s="708"/>
      <c r="H511" s="708"/>
      <c r="I511" s="708"/>
      <c r="J511" s="708"/>
      <c r="K511" s="710"/>
      <c r="L511" s="270"/>
      <c r="M511" s="706" t="str">
        <f t="shared" si="7"/>
        <v/>
      </c>
    </row>
    <row r="512" spans="1:13" ht="14.45" customHeight="1" x14ac:dyDescent="0.2">
      <c r="A512" s="711"/>
      <c r="B512" s="707"/>
      <c r="C512" s="708"/>
      <c r="D512" s="708"/>
      <c r="E512" s="709"/>
      <c r="F512" s="707"/>
      <c r="G512" s="708"/>
      <c r="H512" s="708"/>
      <c r="I512" s="708"/>
      <c r="J512" s="708"/>
      <c r="K512" s="710"/>
      <c r="L512" s="270"/>
      <c r="M512" s="706" t="str">
        <f t="shared" si="7"/>
        <v/>
      </c>
    </row>
    <row r="513" spans="1:13" ht="14.45" customHeight="1" x14ac:dyDescent="0.2">
      <c r="A513" s="711"/>
      <c r="B513" s="707"/>
      <c r="C513" s="708"/>
      <c r="D513" s="708"/>
      <c r="E513" s="709"/>
      <c r="F513" s="707"/>
      <c r="G513" s="708"/>
      <c r="H513" s="708"/>
      <c r="I513" s="708"/>
      <c r="J513" s="708"/>
      <c r="K513" s="710"/>
      <c r="L513" s="270"/>
      <c r="M513" s="706" t="str">
        <f t="shared" si="7"/>
        <v/>
      </c>
    </row>
    <row r="514" spans="1:13" ht="14.45" customHeight="1" x14ac:dyDescent="0.2">
      <c r="A514" s="711"/>
      <c r="B514" s="707"/>
      <c r="C514" s="708"/>
      <c r="D514" s="708"/>
      <c r="E514" s="709"/>
      <c r="F514" s="707"/>
      <c r="G514" s="708"/>
      <c r="H514" s="708"/>
      <c r="I514" s="708"/>
      <c r="J514" s="708"/>
      <c r="K514" s="710"/>
      <c r="L514" s="270"/>
      <c r="M514" s="706" t="str">
        <f t="shared" si="7"/>
        <v/>
      </c>
    </row>
    <row r="515" spans="1:13" ht="14.45" customHeight="1" x14ac:dyDescent="0.2">
      <c r="A515" s="711"/>
      <c r="B515" s="707"/>
      <c r="C515" s="708"/>
      <c r="D515" s="708"/>
      <c r="E515" s="709"/>
      <c r="F515" s="707"/>
      <c r="G515" s="708"/>
      <c r="H515" s="708"/>
      <c r="I515" s="708"/>
      <c r="J515" s="708"/>
      <c r="K515" s="710"/>
      <c r="L515" s="270"/>
      <c r="M515" s="706" t="str">
        <f t="shared" si="7"/>
        <v/>
      </c>
    </row>
    <row r="516" spans="1:13" ht="14.45" customHeight="1" x14ac:dyDescent="0.2">
      <c r="A516" s="711"/>
      <c r="B516" s="707"/>
      <c r="C516" s="708"/>
      <c r="D516" s="708"/>
      <c r="E516" s="709"/>
      <c r="F516" s="707"/>
      <c r="G516" s="708"/>
      <c r="H516" s="708"/>
      <c r="I516" s="708"/>
      <c r="J516" s="708"/>
      <c r="K516" s="710"/>
      <c r="L516" s="270"/>
      <c r="M516" s="706" t="str">
        <f t="shared" si="7"/>
        <v/>
      </c>
    </row>
    <row r="517" spans="1:13" ht="14.45" customHeight="1" x14ac:dyDescent="0.2">
      <c r="A517" s="711"/>
      <c r="B517" s="707"/>
      <c r="C517" s="708"/>
      <c r="D517" s="708"/>
      <c r="E517" s="709"/>
      <c r="F517" s="707"/>
      <c r="G517" s="708"/>
      <c r="H517" s="708"/>
      <c r="I517" s="708"/>
      <c r="J517" s="708"/>
      <c r="K517" s="710"/>
      <c r="L517" s="270"/>
      <c r="M517" s="706" t="str">
        <f t="shared" si="7"/>
        <v/>
      </c>
    </row>
    <row r="518" spans="1:13" ht="14.45" customHeight="1" x14ac:dyDescent="0.2">
      <c r="A518" s="711"/>
      <c r="B518" s="707"/>
      <c r="C518" s="708"/>
      <c r="D518" s="708"/>
      <c r="E518" s="709"/>
      <c r="F518" s="707"/>
      <c r="G518" s="708"/>
      <c r="H518" s="708"/>
      <c r="I518" s="708"/>
      <c r="J518" s="708"/>
      <c r="K518" s="710"/>
      <c r="L518" s="270"/>
      <c r="M518" s="706" t="str">
        <f t="shared" ref="M518:M581" si="8">IF(A518="HV","HV",IF(OR(LEFT(A518,16)="               5",LEFT(A518,16)="               6",LEFT(A518,16)="               7",LEFT(A518,16)="               8"),"X",""))</f>
        <v/>
      </c>
    </row>
    <row r="519" spans="1:13" ht="14.45" customHeight="1" x14ac:dyDescent="0.2">
      <c r="A519" s="711"/>
      <c r="B519" s="707"/>
      <c r="C519" s="708"/>
      <c r="D519" s="708"/>
      <c r="E519" s="709"/>
      <c r="F519" s="707"/>
      <c r="G519" s="708"/>
      <c r="H519" s="708"/>
      <c r="I519" s="708"/>
      <c r="J519" s="708"/>
      <c r="K519" s="710"/>
      <c r="L519" s="270"/>
      <c r="M519" s="706" t="str">
        <f t="shared" si="8"/>
        <v/>
      </c>
    </row>
    <row r="520" spans="1:13" ht="14.45" customHeight="1" x14ac:dyDescent="0.2">
      <c r="A520" s="711"/>
      <c r="B520" s="707"/>
      <c r="C520" s="708"/>
      <c r="D520" s="708"/>
      <c r="E520" s="709"/>
      <c r="F520" s="707"/>
      <c r="G520" s="708"/>
      <c r="H520" s="708"/>
      <c r="I520" s="708"/>
      <c r="J520" s="708"/>
      <c r="K520" s="710"/>
      <c r="L520" s="270"/>
      <c r="M520" s="706" t="str">
        <f t="shared" si="8"/>
        <v/>
      </c>
    </row>
    <row r="521" spans="1:13" ht="14.45" customHeight="1" x14ac:dyDescent="0.2">
      <c r="A521" s="711"/>
      <c r="B521" s="707"/>
      <c r="C521" s="708"/>
      <c r="D521" s="708"/>
      <c r="E521" s="709"/>
      <c r="F521" s="707"/>
      <c r="G521" s="708"/>
      <c r="H521" s="708"/>
      <c r="I521" s="708"/>
      <c r="J521" s="708"/>
      <c r="K521" s="710"/>
      <c r="L521" s="270"/>
      <c r="M521" s="706" t="str">
        <f t="shared" si="8"/>
        <v/>
      </c>
    </row>
    <row r="522" spans="1:13" ht="14.45" customHeight="1" x14ac:dyDescent="0.2">
      <c r="A522" s="711"/>
      <c r="B522" s="707"/>
      <c r="C522" s="708"/>
      <c r="D522" s="708"/>
      <c r="E522" s="709"/>
      <c r="F522" s="707"/>
      <c r="G522" s="708"/>
      <c r="H522" s="708"/>
      <c r="I522" s="708"/>
      <c r="J522" s="708"/>
      <c r="K522" s="710"/>
      <c r="L522" s="270"/>
      <c r="M522" s="706" t="str">
        <f t="shared" si="8"/>
        <v/>
      </c>
    </row>
    <row r="523" spans="1:13" ht="14.45" customHeight="1" x14ac:dyDescent="0.2">
      <c r="A523" s="711"/>
      <c r="B523" s="707"/>
      <c r="C523" s="708"/>
      <c r="D523" s="708"/>
      <c r="E523" s="709"/>
      <c r="F523" s="707"/>
      <c r="G523" s="708"/>
      <c r="H523" s="708"/>
      <c r="I523" s="708"/>
      <c r="J523" s="708"/>
      <c r="K523" s="710"/>
      <c r="L523" s="270"/>
      <c r="M523" s="706" t="str">
        <f t="shared" si="8"/>
        <v/>
      </c>
    </row>
    <row r="524" spans="1:13" ht="14.45" customHeight="1" x14ac:dyDescent="0.2">
      <c r="A524" s="711"/>
      <c r="B524" s="707"/>
      <c r="C524" s="708"/>
      <c r="D524" s="708"/>
      <c r="E524" s="709"/>
      <c r="F524" s="707"/>
      <c r="G524" s="708"/>
      <c r="H524" s="708"/>
      <c r="I524" s="708"/>
      <c r="J524" s="708"/>
      <c r="K524" s="710"/>
      <c r="L524" s="270"/>
      <c r="M524" s="706" t="str">
        <f t="shared" si="8"/>
        <v/>
      </c>
    </row>
    <row r="525" spans="1:13" ht="14.45" customHeight="1" x14ac:dyDescent="0.2">
      <c r="A525" s="711"/>
      <c r="B525" s="707"/>
      <c r="C525" s="708"/>
      <c r="D525" s="708"/>
      <c r="E525" s="709"/>
      <c r="F525" s="707"/>
      <c r="G525" s="708"/>
      <c r="H525" s="708"/>
      <c r="I525" s="708"/>
      <c r="J525" s="708"/>
      <c r="K525" s="710"/>
      <c r="L525" s="270"/>
      <c r="M525" s="706" t="str">
        <f t="shared" si="8"/>
        <v/>
      </c>
    </row>
    <row r="526" spans="1:13" ht="14.45" customHeight="1" x14ac:dyDescent="0.2">
      <c r="A526" s="711"/>
      <c r="B526" s="707"/>
      <c r="C526" s="708"/>
      <c r="D526" s="708"/>
      <c r="E526" s="709"/>
      <c r="F526" s="707"/>
      <c r="G526" s="708"/>
      <c r="H526" s="708"/>
      <c r="I526" s="708"/>
      <c r="J526" s="708"/>
      <c r="K526" s="710"/>
      <c r="L526" s="270"/>
      <c r="M526" s="706" t="str">
        <f t="shared" si="8"/>
        <v/>
      </c>
    </row>
    <row r="527" spans="1:13" ht="14.45" customHeight="1" x14ac:dyDescent="0.2">
      <c r="A527" s="711"/>
      <c r="B527" s="707"/>
      <c r="C527" s="708"/>
      <c r="D527" s="708"/>
      <c r="E527" s="709"/>
      <c r="F527" s="707"/>
      <c r="G527" s="708"/>
      <c r="H527" s="708"/>
      <c r="I527" s="708"/>
      <c r="J527" s="708"/>
      <c r="K527" s="710"/>
      <c r="L527" s="270"/>
      <c r="M527" s="706" t="str">
        <f t="shared" si="8"/>
        <v/>
      </c>
    </row>
    <row r="528" spans="1:13" ht="14.45" customHeight="1" x14ac:dyDescent="0.2">
      <c r="A528" s="711"/>
      <c r="B528" s="707"/>
      <c r="C528" s="708"/>
      <c r="D528" s="708"/>
      <c r="E528" s="709"/>
      <c r="F528" s="707"/>
      <c r="G528" s="708"/>
      <c r="H528" s="708"/>
      <c r="I528" s="708"/>
      <c r="J528" s="708"/>
      <c r="K528" s="710"/>
      <c r="L528" s="270"/>
      <c r="M528" s="706" t="str">
        <f t="shared" si="8"/>
        <v/>
      </c>
    </row>
    <row r="529" spans="1:13" ht="14.45" customHeight="1" x14ac:dyDescent="0.2">
      <c r="A529" s="711"/>
      <c r="B529" s="707"/>
      <c r="C529" s="708"/>
      <c r="D529" s="708"/>
      <c r="E529" s="709"/>
      <c r="F529" s="707"/>
      <c r="G529" s="708"/>
      <c r="H529" s="708"/>
      <c r="I529" s="708"/>
      <c r="J529" s="708"/>
      <c r="K529" s="710"/>
      <c r="L529" s="270"/>
      <c r="M529" s="706" t="str">
        <f t="shared" si="8"/>
        <v/>
      </c>
    </row>
    <row r="530" spans="1:13" ht="14.45" customHeight="1" x14ac:dyDescent="0.2">
      <c r="A530" s="711"/>
      <c r="B530" s="707"/>
      <c r="C530" s="708"/>
      <c r="D530" s="708"/>
      <c r="E530" s="709"/>
      <c r="F530" s="707"/>
      <c r="G530" s="708"/>
      <c r="H530" s="708"/>
      <c r="I530" s="708"/>
      <c r="J530" s="708"/>
      <c r="K530" s="710"/>
      <c r="L530" s="270"/>
      <c r="M530" s="706" t="str">
        <f t="shared" si="8"/>
        <v/>
      </c>
    </row>
    <row r="531" spans="1:13" ht="14.45" customHeight="1" x14ac:dyDescent="0.2">
      <c r="A531" s="711"/>
      <c r="B531" s="707"/>
      <c r="C531" s="708"/>
      <c r="D531" s="708"/>
      <c r="E531" s="709"/>
      <c r="F531" s="707"/>
      <c r="G531" s="708"/>
      <c r="H531" s="708"/>
      <c r="I531" s="708"/>
      <c r="J531" s="708"/>
      <c r="K531" s="710"/>
      <c r="L531" s="270"/>
      <c r="M531" s="706" t="str">
        <f t="shared" si="8"/>
        <v/>
      </c>
    </row>
    <row r="532" spans="1:13" ht="14.45" customHeight="1" x14ac:dyDescent="0.2">
      <c r="A532" s="711"/>
      <c r="B532" s="707"/>
      <c r="C532" s="708"/>
      <c r="D532" s="708"/>
      <c r="E532" s="709"/>
      <c r="F532" s="707"/>
      <c r="G532" s="708"/>
      <c r="H532" s="708"/>
      <c r="I532" s="708"/>
      <c r="J532" s="708"/>
      <c r="K532" s="710"/>
      <c r="L532" s="270"/>
      <c r="M532" s="706" t="str">
        <f t="shared" si="8"/>
        <v/>
      </c>
    </row>
    <row r="533" spans="1:13" ht="14.45" customHeight="1" x14ac:dyDescent="0.2">
      <c r="A533" s="711"/>
      <c r="B533" s="707"/>
      <c r="C533" s="708"/>
      <c r="D533" s="708"/>
      <c r="E533" s="709"/>
      <c r="F533" s="707"/>
      <c r="G533" s="708"/>
      <c r="H533" s="708"/>
      <c r="I533" s="708"/>
      <c r="J533" s="708"/>
      <c r="K533" s="710"/>
      <c r="L533" s="270"/>
      <c r="M533" s="706" t="str">
        <f t="shared" si="8"/>
        <v/>
      </c>
    </row>
    <row r="534" spans="1:13" ht="14.45" customHeight="1" x14ac:dyDescent="0.2">
      <c r="A534" s="711"/>
      <c r="B534" s="707"/>
      <c r="C534" s="708"/>
      <c r="D534" s="708"/>
      <c r="E534" s="709"/>
      <c r="F534" s="707"/>
      <c r="G534" s="708"/>
      <c r="H534" s="708"/>
      <c r="I534" s="708"/>
      <c r="J534" s="708"/>
      <c r="K534" s="710"/>
      <c r="L534" s="270"/>
      <c r="M534" s="706" t="str">
        <f t="shared" si="8"/>
        <v/>
      </c>
    </row>
    <row r="535" spans="1:13" ht="14.45" customHeight="1" x14ac:dyDescent="0.2">
      <c r="A535" s="711"/>
      <c r="B535" s="707"/>
      <c r="C535" s="708"/>
      <c r="D535" s="708"/>
      <c r="E535" s="709"/>
      <c r="F535" s="707"/>
      <c r="G535" s="708"/>
      <c r="H535" s="708"/>
      <c r="I535" s="708"/>
      <c r="J535" s="708"/>
      <c r="K535" s="710"/>
      <c r="L535" s="270"/>
      <c r="M535" s="706" t="str">
        <f t="shared" si="8"/>
        <v/>
      </c>
    </row>
    <row r="536" spans="1:13" ht="14.45" customHeight="1" x14ac:dyDescent="0.2">
      <c r="A536" s="711"/>
      <c r="B536" s="707"/>
      <c r="C536" s="708"/>
      <c r="D536" s="708"/>
      <c r="E536" s="709"/>
      <c r="F536" s="707"/>
      <c r="G536" s="708"/>
      <c r="H536" s="708"/>
      <c r="I536" s="708"/>
      <c r="J536" s="708"/>
      <c r="K536" s="710"/>
      <c r="L536" s="270"/>
      <c r="M536" s="706" t="str">
        <f t="shared" si="8"/>
        <v/>
      </c>
    </row>
    <row r="537" spans="1:13" ht="14.45" customHeight="1" x14ac:dyDescent="0.2">
      <c r="A537" s="711"/>
      <c r="B537" s="707"/>
      <c r="C537" s="708"/>
      <c r="D537" s="708"/>
      <c r="E537" s="709"/>
      <c r="F537" s="707"/>
      <c r="G537" s="708"/>
      <c r="H537" s="708"/>
      <c r="I537" s="708"/>
      <c r="J537" s="708"/>
      <c r="K537" s="710"/>
      <c r="L537" s="270"/>
      <c r="M537" s="706" t="str">
        <f t="shared" si="8"/>
        <v/>
      </c>
    </row>
    <row r="538" spans="1:13" ht="14.45" customHeight="1" x14ac:dyDescent="0.2">
      <c r="A538" s="711"/>
      <c r="B538" s="707"/>
      <c r="C538" s="708"/>
      <c r="D538" s="708"/>
      <c r="E538" s="709"/>
      <c r="F538" s="707"/>
      <c r="G538" s="708"/>
      <c r="H538" s="708"/>
      <c r="I538" s="708"/>
      <c r="J538" s="708"/>
      <c r="K538" s="710"/>
      <c r="L538" s="270"/>
      <c r="M538" s="706" t="str">
        <f t="shared" si="8"/>
        <v/>
      </c>
    </row>
    <row r="539" spans="1:13" ht="14.45" customHeight="1" x14ac:dyDescent="0.2">
      <c r="A539" s="711"/>
      <c r="B539" s="707"/>
      <c r="C539" s="708"/>
      <c r="D539" s="708"/>
      <c r="E539" s="709"/>
      <c r="F539" s="707"/>
      <c r="G539" s="708"/>
      <c r="H539" s="708"/>
      <c r="I539" s="708"/>
      <c r="J539" s="708"/>
      <c r="K539" s="710"/>
      <c r="L539" s="270"/>
      <c r="M539" s="706" t="str">
        <f t="shared" si="8"/>
        <v/>
      </c>
    </row>
    <row r="540" spans="1:13" ht="14.45" customHeight="1" x14ac:dyDescent="0.2">
      <c r="A540" s="711"/>
      <c r="B540" s="707"/>
      <c r="C540" s="708"/>
      <c r="D540" s="708"/>
      <c r="E540" s="709"/>
      <c r="F540" s="707"/>
      <c r="G540" s="708"/>
      <c r="H540" s="708"/>
      <c r="I540" s="708"/>
      <c r="J540" s="708"/>
      <c r="K540" s="710"/>
      <c r="L540" s="270"/>
      <c r="M540" s="706" t="str">
        <f t="shared" si="8"/>
        <v/>
      </c>
    </row>
    <row r="541" spans="1:13" ht="14.45" customHeight="1" x14ac:dyDescent="0.2">
      <c r="A541" s="711"/>
      <c r="B541" s="707"/>
      <c r="C541" s="708"/>
      <c r="D541" s="708"/>
      <c r="E541" s="709"/>
      <c r="F541" s="707"/>
      <c r="G541" s="708"/>
      <c r="H541" s="708"/>
      <c r="I541" s="708"/>
      <c r="J541" s="708"/>
      <c r="K541" s="710"/>
      <c r="L541" s="270"/>
      <c r="M541" s="706" t="str">
        <f t="shared" si="8"/>
        <v/>
      </c>
    </row>
    <row r="542" spans="1:13" ht="14.45" customHeight="1" x14ac:dyDescent="0.2">
      <c r="A542" s="711"/>
      <c r="B542" s="707"/>
      <c r="C542" s="708"/>
      <c r="D542" s="708"/>
      <c r="E542" s="709"/>
      <c r="F542" s="707"/>
      <c r="G542" s="708"/>
      <c r="H542" s="708"/>
      <c r="I542" s="708"/>
      <c r="J542" s="708"/>
      <c r="K542" s="710"/>
      <c r="L542" s="270"/>
      <c r="M542" s="706" t="str">
        <f t="shared" si="8"/>
        <v/>
      </c>
    </row>
    <row r="543" spans="1:13" ht="14.45" customHeight="1" x14ac:dyDescent="0.2">
      <c r="A543" s="711"/>
      <c r="B543" s="707"/>
      <c r="C543" s="708"/>
      <c r="D543" s="708"/>
      <c r="E543" s="709"/>
      <c r="F543" s="707"/>
      <c r="G543" s="708"/>
      <c r="H543" s="708"/>
      <c r="I543" s="708"/>
      <c r="J543" s="708"/>
      <c r="K543" s="710"/>
      <c r="L543" s="270"/>
      <c r="M543" s="706" t="str">
        <f t="shared" si="8"/>
        <v/>
      </c>
    </row>
    <row r="544" spans="1:13" ht="14.45" customHeight="1" x14ac:dyDescent="0.2">
      <c r="A544" s="711"/>
      <c r="B544" s="707"/>
      <c r="C544" s="708"/>
      <c r="D544" s="708"/>
      <c r="E544" s="709"/>
      <c r="F544" s="707"/>
      <c r="G544" s="708"/>
      <c r="H544" s="708"/>
      <c r="I544" s="708"/>
      <c r="J544" s="708"/>
      <c r="K544" s="710"/>
      <c r="L544" s="270"/>
      <c r="M544" s="706" t="str">
        <f t="shared" si="8"/>
        <v/>
      </c>
    </row>
    <row r="545" spans="1:13" ht="14.45" customHeight="1" x14ac:dyDescent="0.2">
      <c r="A545" s="711"/>
      <c r="B545" s="707"/>
      <c r="C545" s="708"/>
      <c r="D545" s="708"/>
      <c r="E545" s="709"/>
      <c r="F545" s="707"/>
      <c r="G545" s="708"/>
      <c r="H545" s="708"/>
      <c r="I545" s="708"/>
      <c r="J545" s="708"/>
      <c r="K545" s="710"/>
      <c r="L545" s="270"/>
      <c r="M545" s="706" t="str">
        <f t="shared" si="8"/>
        <v/>
      </c>
    </row>
    <row r="546" spans="1:13" ht="14.45" customHeight="1" x14ac:dyDescent="0.2">
      <c r="A546" s="711"/>
      <c r="B546" s="707"/>
      <c r="C546" s="708"/>
      <c r="D546" s="708"/>
      <c r="E546" s="709"/>
      <c r="F546" s="707"/>
      <c r="G546" s="708"/>
      <c r="H546" s="708"/>
      <c r="I546" s="708"/>
      <c r="J546" s="708"/>
      <c r="K546" s="710"/>
      <c r="L546" s="270"/>
      <c r="M546" s="706" t="str">
        <f t="shared" si="8"/>
        <v/>
      </c>
    </row>
    <row r="547" spans="1:13" ht="14.45" customHeight="1" x14ac:dyDescent="0.2">
      <c r="A547" s="711"/>
      <c r="B547" s="707"/>
      <c r="C547" s="708"/>
      <c r="D547" s="708"/>
      <c r="E547" s="709"/>
      <c r="F547" s="707"/>
      <c r="G547" s="708"/>
      <c r="H547" s="708"/>
      <c r="I547" s="708"/>
      <c r="J547" s="708"/>
      <c r="K547" s="710"/>
      <c r="L547" s="270"/>
      <c r="M547" s="706" t="str">
        <f t="shared" si="8"/>
        <v/>
      </c>
    </row>
    <row r="548" spans="1:13" ht="14.45" customHeight="1" x14ac:dyDescent="0.2">
      <c r="A548" s="711"/>
      <c r="B548" s="707"/>
      <c r="C548" s="708"/>
      <c r="D548" s="708"/>
      <c r="E548" s="709"/>
      <c r="F548" s="707"/>
      <c r="G548" s="708"/>
      <c r="H548" s="708"/>
      <c r="I548" s="708"/>
      <c r="J548" s="708"/>
      <c r="K548" s="710"/>
      <c r="L548" s="270"/>
      <c r="M548" s="706" t="str">
        <f t="shared" si="8"/>
        <v/>
      </c>
    </row>
    <row r="549" spans="1:13" ht="14.45" customHeight="1" x14ac:dyDescent="0.2">
      <c r="A549" s="711"/>
      <c r="B549" s="707"/>
      <c r="C549" s="708"/>
      <c r="D549" s="708"/>
      <c r="E549" s="709"/>
      <c r="F549" s="707"/>
      <c r="G549" s="708"/>
      <c r="H549" s="708"/>
      <c r="I549" s="708"/>
      <c r="J549" s="708"/>
      <c r="K549" s="710"/>
      <c r="L549" s="270"/>
      <c r="M549" s="706" t="str">
        <f t="shared" si="8"/>
        <v/>
      </c>
    </row>
    <row r="550" spans="1:13" ht="14.45" customHeight="1" x14ac:dyDescent="0.2">
      <c r="A550" s="711"/>
      <c r="B550" s="707"/>
      <c r="C550" s="708"/>
      <c r="D550" s="708"/>
      <c r="E550" s="709"/>
      <c r="F550" s="707"/>
      <c r="G550" s="708"/>
      <c r="H550" s="708"/>
      <c r="I550" s="708"/>
      <c r="J550" s="708"/>
      <c r="K550" s="710"/>
      <c r="L550" s="270"/>
      <c r="M550" s="706" t="str">
        <f t="shared" si="8"/>
        <v/>
      </c>
    </row>
    <row r="551" spans="1:13" ht="14.45" customHeight="1" x14ac:dyDescent="0.2">
      <c r="A551" s="711"/>
      <c r="B551" s="707"/>
      <c r="C551" s="708"/>
      <c r="D551" s="708"/>
      <c r="E551" s="709"/>
      <c r="F551" s="707"/>
      <c r="G551" s="708"/>
      <c r="H551" s="708"/>
      <c r="I551" s="708"/>
      <c r="J551" s="708"/>
      <c r="K551" s="710"/>
      <c r="L551" s="270"/>
      <c r="M551" s="706" t="str">
        <f t="shared" si="8"/>
        <v/>
      </c>
    </row>
    <row r="552" spans="1:13" ht="14.45" customHeight="1" x14ac:dyDescent="0.2">
      <c r="A552" s="711"/>
      <c r="B552" s="707"/>
      <c r="C552" s="708"/>
      <c r="D552" s="708"/>
      <c r="E552" s="709"/>
      <c r="F552" s="707"/>
      <c r="G552" s="708"/>
      <c r="H552" s="708"/>
      <c r="I552" s="708"/>
      <c r="J552" s="708"/>
      <c r="K552" s="710"/>
      <c r="L552" s="270"/>
      <c r="M552" s="706" t="str">
        <f t="shared" si="8"/>
        <v/>
      </c>
    </row>
    <row r="553" spans="1:13" ht="14.45" customHeight="1" x14ac:dyDescent="0.2">
      <c r="A553" s="711"/>
      <c r="B553" s="707"/>
      <c r="C553" s="708"/>
      <c r="D553" s="708"/>
      <c r="E553" s="709"/>
      <c r="F553" s="707"/>
      <c r="G553" s="708"/>
      <c r="H553" s="708"/>
      <c r="I553" s="708"/>
      <c r="J553" s="708"/>
      <c r="K553" s="710"/>
      <c r="L553" s="270"/>
      <c r="M553" s="706" t="str">
        <f t="shared" si="8"/>
        <v/>
      </c>
    </row>
    <row r="554" spans="1:13" ht="14.45" customHeight="1" x14ac:dyDescent="0.2">
      <c r="A554" s="711"/>
      <c r="B554" s="707"/>
      <c r="C554" s="708"/>
      <c r="D554" s="708"/>
      <c r="E554" s="709"/>
      <c r="F554" s="707"/>
      <c r="G554" s="708"/>
      <c r="H554" s="708"/>
      <c r="I554" s="708"/>
      <c r="J554" s="708"/>
      <c r="K554" s="710"/>
      <c r="L554" s="270"/>
      <c r="M554" s="706" t="str">
        <f t="shared" si="8"/>
        <v/>
      </c>
    </row>
    <row r="555" spans="1:13" ht="14.45" customHeight="1" x14ac:dyDescent="0.2">
      <c r="A555" s="711"/>
      <c r="B555" s="707"/>
      <c r="C555" s="708"/>
      <c r="D555" s="708"/>
      <c r="E555" s="709"/>
      <c r="F555" s="707"/>
      <c r="G555" s="708"/>
      <c r="H555" s="708"/>
      <c r="I555" s="708"/>
      <c r="J555" s="708"/>
      <c r="K555" s="710"/>
      <c r="L555" s="270"/>
      <c r="M555" s="706" t="str">
        <f t="shared" si="8"/>
        <v/>
      </c>
    </row>
    <row r="556" spans="1:13" ht="14.45" customHeight="1" x14ac:dyDescent="0.2">
      <c r="A556" s="711"/>
      <c r="B556" s="707"/>
      <c r="C556" s="708"/>
      <c r="D556" s="708"/>
      <c r="E556" s="709"/>
      <c r="F556" s="707"/>
      <c r="G556" s="708"/>
      <c r="H556" s="708"/>
      <c r="I556" s="708"/>
      <c r="J556" s="708"/>
      <c r="K556" s="710"/>
      <c r="L556" s="270"/>
      <c r="M556" s="706" t="str">
        <f t="shared" si="8"/>
        <v/>
      </c>
    </row>
    <row r="557" spans="1:13" ht="14.45" customHeight="1" x14ac:dyDescent="0.2">
      <c r="A557" s="711"/>
      <c r="B557" s="707"/>
      <c r="C557" s="708"/>
      <c r="D557" s="708"/>
      <c r="E557" s="709"/>
      <c r="F557" s="707"/>
      <c r="G557" s="708"/>
      <c r="H557" s="708"/>
      <c r="I557" s="708"/>
      <c r="J557" s="708"/>
      <c r="K557" s="710"/>
      <c r="L557" s="270"/>
      <c r="M557" s="706" t="str">
        <f t="shared" si="8"/>
        <v/>
      </c>
    </row>
    <row r="558" spans="1:13" ht="14.45" customHeight="1" x14ac:dyDescent="0.2">
      <c r="A558" s="711"/>
      <c r="B558" s="707"/>
      <c r="C558" s="708"/>
      <c r="D558" s="708"/>
      <c r="E558" s="709"/>
      <c r="F558" s="707"/>
      <c r="G558" s="708"/>
      <c r="H558" s="708"/>
      <c r="I558" s="708"/>
      <c r="J558" s="708"/>
      <c r="K558" s="710"/>
      <c r="L558" s="270"/>
      <c r="M558" s="706" t="str">
        <f t="shared" si="8"/>
        <v/>
      </c>
    </row>
    <row r="559" spans="1:13" ht="14.45" customHeight="1" x14ac:dyDescent="0.2">
      <c r="A559" s="711"/>
      <c r="B559" s="707"/>
      <c r="C559" s="708"/>
      <c r="D559" s="708"/>
      <c r="E559" s="709"/>
      <c r="F559" s="707"/>
      <c r="G559" s="708"/>
      <c r="H559" s="708"/>
      <c r="I559" s="708"/>
      <c r="J559" s="708"/>
      <c r="K559" s="710"/>
      <c r="L559" s="270"/>
      <c r="M559" s="706" t="str">
        <f t="shared" si="8"/>
        <v/>
      </c>
    </row>
    <row r="560" spans="1:13" ht="14.45" customHeight="1" x14ac:dyDescent="0.2">
      <c r="A560" s="711"/>
      <c r="B560" s="707"/>
      <c r="C560" s="708"/>
      <c r="D560" s="708"/>
      <c r="E560" s="709"/>
      <c r="F560" s="707"/>
      <c r="G560" s="708"/>
      <c r="H560" s="708"/>
      <c r="I560" s="708"/>
      <c r="J560" s="708"/>
      <c r="K560" s="710"/>
      <c r="L560" s="270"/>
      <c r="M560" s="706" t="str">
        <f t="shared" si="8"/>
        <v/>
      </c>
    </row>
    <row r="561" spans="1:13" ht="14.45" customHeight="1" x14ac:dyDescent="0.2">
      <c r="A561" s="711"/>
      <c r="B561" s="707"/>
      <c r="C561" s="708"/>
      <c r="D561" s="708"/>
      <c r="E561" s="709"/>
      <c r="F561" s="707"/>
      <c r="G561" s="708"/>
      <c r="H561" s="708"/>
      <c r="I561" s="708"/>
      <c r="J561" s="708"/>
      <c r="K561" s="710"/>
      <c r="L561" s="270"/>
      <c r="M561" s="706" t="str">
        <f t="shared" si="8"/>
        <v/>
      </c>
    </row>
    <row r="562" spans="1:13" ht="14.45" customHeight="1" x14ac:dyDescent="0.2">
      <c r="A562" s="711"/>
      <c r="B562" s="707"/>
      <c r="C562" s="708"/>
      <c r="D562" s="708"/>
      <c r="E562" s="709"/>
      <c r="F562" s="707"/>
      <c r="G562" s="708"/>
      <c r="H562" s="708"/>
      <c r="I562" s="708"/>
      <c r="J562" s="708"/>
      <c r="K562" s="710"/>
      <c r="L562" s="270"/>
      <c r="M562" s="706" t="str">
        <f t="shared" si="8"/>
        <v/>
      </c>
    </row>
    <row r="563" spans="1:13" ht="14.45" customHeight="1" x14ac:dyDescent="0.2">
      <c r="A563" s="711"/>
      <c r="B563" s="707"/>
      <c r="C563" s="708"/>
      <c r="D563" s="708"/>
      <c r="E563" s="709"/>
      <c r="F563" s="707"/>
      <c r="G563" s="708"/>
      <c r="H563" s="708"/>
      <c r="I563" s="708"/>
      <c r="J563" s="708"/>
      <c r="K563" s="710"/>
      <c r="L563" s="270"/>
      <c r="M563" s="706" t="str">
        <f t="shared" si="8"/>
        <v/>
      </c>
    </row>
    <row r="564" spans="1:13" ht="14.45" customHeight="1" x14ac:dyDescent="0.2">
      <c r="A564" s="711"/>
      <c r="B564" s="707"/>
      <c r="C564" s="708"/>
      <c r="D564" s="708"/>
      <c r="E564" s="709"/>
      <c r="F564" s="707"/>
      <c r="G564" s="708"/>
      <c r="H564" s="708"/>
      <c r="I564" s="708"/>
      <c r="J564" s="708"/>
      <c r="K564" s="710"/>
      <c r="L564" s="270"/>
      <c r="M564" s="706" t="str">
        <f t="shared" si="8"/>
        <v/>
      </c>
    </row>
    <row r="565" spans="1:13" ht="14.45" customHeight="1" x14ac:dyDescent="0.2">
      <c r="A565" s="711"/>
      <c r="B565" s="707"/>
      <c r="C565" s="708"/>
      <c r="D565" s="708"/>
      <c r="E565" s="709"/>
      <c r="F565" s="707"/>
      <c r="G565" s="708"/>
      <c r="H565" s="708"/>
      <c r="I565" s="708"/>
      <c r="J565" s="708"/>
      <c r="K565" s="710"/>
      <c r="L565" s="270"/>
      <c r="M565" s="706" t="str">
        <f t="shared" si="8"/>
        <v/>
      </c>
    </row>
    <row r="566" spans="1:13" ht="14.45" customHeight="1" x14ac:dyDescent="0.2">
      <c r="A566" s="711"/>
      <c r="B566" s="707"/>
      <c r="C566" s="708"/>
      <c r="D566" s="708"/>
      <c r="E566" s="709"/>
      <c r="F566" s="707"/>
      <c r="G566" s="708"/>
      <c r="H566" s="708"/>
      <c r="I566" s="708"/>
      <c r="J566" s="708"/>
      <c r="K566" s="710"/>
      <c r="L566" s="270"/>
      <c r="M566" s="706" t="str">
        <f t="shared" si="8"/>
        <v/>
      </c>
    </row>
    <row r="567" spans="1:13" ht="14.45" customHeight="1" x14ac:dyDescent="0.2">
      <c r="A567" s="711"/>
      <c r="B567" s="707"/>
      <c r="C567" s="708"/>
      <c r="D567" s="708"/>
      <c r="E567" s="709"/>
      <c r="F567" s="707"/>
      <c r="G567" s="708"/>
      <c r="H567" s="708"/>
      <c r="I567" s="708"/>
      <c r="J567" s="708"/>
      <c r="K567" s="710"/>
      <c r="L567" s="270"/>
      <c r="M567" s="706" t="str">
        <f t="shared" si="8"/>
        <v/>
      </c>
    </row>
    <row r="568" spans="1:13" ht="14.45" customHeight="1" x14ac:dyDescent="0.2">
      <c r="A568" s="711"/>
      <c r="B568" s="707"/>
      <c r="C568" s="708"/>
      <c r="D568" s="708"/>
      <c r="E568" s="709"/>
      <c r="F568" s="707"/>
      <c r="G568" s="708"/>
      <c r="H568" s="708"/>
      <c r="I568" s="708"/>
      <c r="J568" s="708"/>
      <c r="K568" s="710"/>
      <c r="L568" s="270"/>
      <c r="M568" s="706" t="str">
        <f t="shared" si="8"/>
        <v/>
      </c>
    </row>
    <row r="569" spans="1:13" ht="14.45" customHeight="1" x14ac:dyDescent="0.2">
      <c r="A569" s="711"/>
      <c r="B569" s="707"/>
      <c r="C569" s="708"/>
      <c r="D569" s="708"/>
      <c r="E569" s="709"/>
      <c r="F569" s="707"/>
      <c r="G569" s="708"/>
      <c r="H569" s="708"/>
      <c r="I569" s="708"/>
      <c r="J569" s="708"/>
      <c r="K569" s="710"/>
      <c r="L569" s="270"/>
      <c r="M569" s="706" t="str">
        <f t="shared" si="8"/>
        <v/>
      </c>
    </row>
    <row r="570" spans="1:13" ht="14.45" customHeight="1" x14ac:dyDescent="0.2">
      <c r="A570" s="711"/>
      <c r="B570" s="707"/>
      <c r="C570" s="708"/>
      <c r="D570" s="708"/>
      <c r="E570" s="709"/>
      <c r="F570" s="707"/>
      <c r="G570" s="708"/>
      <c r="H570" s="708"/>
      <c r="I570" s="708"/>
      <c r="J570" s="708"/>
      <c r="K570" s="710"/>
      <c r="L570" s="270"/>
      <c r="M570" s="706" t="str">
        <f t="shared" si="8"/>
        <v/>
      </c>
    </row>
    <row r="571" spans="1:13" ht="14.45" customHeight="1" x14ac:dyDescent="0.2">
      <c r="A571" s="711"/>
      <c r="B571" s="707"/>
      <c r="C571" s="708"/>
      <c r="D571" s="708"/>
      <c r="E571" s="709"/>
      <c r="F571" s="707"/>
      <c r="G571" s="708"/>
      <c r="H571" s="708"/>
      <c r="I571" s="708"/>
      <c r="J571" s="708"/>
      <c r="K571" s="710"/>
      <c r="L571" s="270"/>
      <c r="M571" s="706" t="str">
        <f t="shared" si="8"/>
        <v/>
      </c>
    </row>
    <row r="572" spans="1:13" ht="14.45" customHeight="1" x14ac:dyDescent="0.2">
      <c r="A572" s="711"/>
      <c r="B572" s="707"/>
      <c r="C572" s="708"/>
      <c r="D572" s="708"/>
      <c r="E572" s="709"/>
      <c r="F572" s="707"/>
      <c r="G572" s="708"/>
      <c r="H572" s="708"/>
      <c r="I572" s="708"/>
      <c r="J572" s="708"/>
      <c r="K572" s="710"/>
      <c r="L572" s="270"/>
      <c r="M572" s="706" t="str">
        <f t="shared" si="8"/>
        <v/>
      </c>
    </row>
    <row r="573" spans="1:13" ht="14.45" customHeight="1" x14ac:dyDescent="0.2">
      <c r="A573" s="711"/>
      <c r="B573" s="707"/>
      <c r="C573" s="708"/>
      <c r="D573" s="708"/>
      <c r="E573" s="709"/>
      <c r="F573" s="707"/>
      <c r="G573" s="708"/>
      <c r="H573" s="708"/>
      <c r="I573" s="708"/>
      <c r="J573" s="708"/>
      <c r="K573" s="710"/>
      <c r="L573" s="270"/>
      <c r="M573" s="706" t="str">
        <f t="shared" si="8"/>
        <v/>
      </c>
    </row>
    <row r="574" spans="1:13" ht="14.45" customHeight="1" x14ac:dyDescent="0.2">
      <c r="A574" s="711"/>
      <c r="B574" s="707"/>
      <c r="C574" s="708"/>
      <c r="D574" s="708"/>
      <c r="E574" s="709"/>
      <c r="F574" s="707"/>
      <c r="G574" s="708"/>
      <c r="H574" s="708"/>
      <c r="I574" s="708"/>
      <c r="J574" s="708"/>
      <c r="K574" s="710"/>
      <c r="L574" s="270"/>
      <c r="M574" s="706" t="str">
        <f t="shared" si="8"/>
        <v/>
      </c>
    </row>
    <row r="575" spans="1:13" ht="14.45" customHeight="1" x14ac:dyDescent="0.2">
      <c r="A575" s="711"/>
      <c r="B575" s="707"/>
      <c r="C575" s="708"/>
      <c r="D575" s="708"/>
      <c r="E575" s="709"/>
      <c r="F575" s="707"/>
      <c r="G575" s="708"/>
      <c r="H575" s="708"/>
      <c r="I575" s="708"/>
      <c r="J575" s="708"/>
      <c r="K575" s="710"/>
      <c r="L575" s="270"/>
      <c r="M575" s="706" t="str">
        <f t="shared" si="8"/>
        <v/>
      </c>
    </row>
    <row r="576" spans="1:13" ht="14.45" customHeight="1" x14ac:dyDescent="0.2">
      <c r="A576" s="711"/>
      <c r="B576" s="707"/>
      <c r="C576" s="708"/>
      <c r="D576" s="708"/>
      <c r="E576" s="709"/>
      <c r="F576" s="707"/>
      <c r="G576" s="708"/>
      <c r="H576" s="708"/>
      <c r="I576" s="708"/>
      <c r="J576" s="708"/>
      <c r="K576" s="710"/>
      <c r="L576" s="270"/>
      <c r="M576" s="706" t="str">
        <f t="shared" si="8"/>
        <v/>
      </c>
    </row>
    <row r="577" spans="1:13" ht="14.45" customHeight="1" x14ac:dyDescent="0.2">
      <c r="A577" s="711"/>
      <c r="B577" s="707"/>
      <c r="C577" s="708"/>
      <c r="D577" s="708"/>
      <c r="E577" s="709"/>
      <c r="F577" s="707"/>
      <c r="G577" s="708"/>
      <c r="H577" s="708"/>
      <c r="I577" s="708"/>
      <c r="J577" s="708"/>
      <c r="K577" s="710"/>
      <c r="L577" s="270"/>
      <c r="M577" s="706" t="str">
        <f t="shared" si="8"/>
        <v/>
      </c>
    </row>
    <row r="578" spans="1:13" ht="14.45" customHeight="1" x14ac:dyDescent="0.2">
      <c r="A578" s="711"/>
      <c r="B578" s="707"/>
      <c r="C578" s="708"/>
      <c r="D578" s="708"/>
      <c r="E578" s="709"/>
      <c r="F578" s="707"/>
      <c r="G578" s="708"/>
      <c r="H578" s="708"/>
      <c r="I578" s="708"/>
      <c r="J578" s="708"/>
      <c r="K578" s="710"/>
      <c r="L578" s="270"/>
      <c r="M578" s="706" t="str">
        <f t="shared" si="8"/>
        <v/>
      </c>
    </row>
    <row r="579" spans="1:13" ht="14.45" customHeight="1" x14ac:dyDescent="0.2">
      <c r="A579" s="711"/>
      <c r="B579" s="707"/>
      <c r="C579" s="708"/>
      <c r="D579" s="708"/>
      <c r="E579" s="709"/>
      <c r="F579" s="707"/>
      <c r="G579" s="708"/>
      <c r="H579" s="708"/>
      <c r="I579" s="708"/>
      <c r="J579" s="708"/>
      <c r="K579" s="710"/>
      <c r="L579" s="270"/>
      <c r="M579" s="706" t="str">
        <f t="shared" si="8"/>
        <v/>
      </c>
    </row>
    <row r="580" spans="1:13" ht="14.45" customHeight="1" x14ac:dyDescent="0.2">
      <c r="A580" s="711"/>
      <c r="B580" s="707"/>
      <c r="C580" s="708"/>
      <c r="D580" s="708"/>
      <c r="E580" s="709"/>
      <c r="F580" s="707"/>
      <c r="G580" s="708"/>
      <c r="H580" s="708"/>
      <c r="I580" s="708"/>
      <c r="J580" s="708"/>
      <c r="K580" s="710"/>
      <c r="L580" s="270"/>
      <c r="M580" s="706" t="str">
        <f t="shared" si="8"/>
        <v/>
      </c>
    </row>
    <row r="581" spans="1:13" ht="14.45" customHeight="1" x14ac:dyDescent="0.2">
      <c r="A581" s="711"/>
      <c r="B581" s="707"/>
      <c r="C581" s="708"/>
      <c r="D581" s="708"/>
      <c r="E581" s="709"/>
      <c r="F581" s="707"/>
      <c r="G581" s="708"/>
      <c r="H581" s="708"/>
      <c r="I581" s="708"/>
      <c r="J581" s="708"/>
      <c r="K581" s="710"/>
      <c r="L581" s="270"/>
      <c r="M581" s="706" t="str">
        <f t="shared" si="8"/>
        <v/>
      </c>
    </row>
    <row r="582" spans="1:13" ht="14.45" customHeight="1" x14ac:dyDescent="0.2">
      <c r="A582" s="711"/>
      <c r="B582" s="707"/>
      <c r="C582" s="708"/>
      <c r="D582" s="708"/>
      <c r="E582" s="709"/>
      <c r="F582" s="707"/>
      <c r="G582" s="708"/>
      <c r="H582" s="708"/>
      <c r="I582" s="708"/>
      <c r="J582" s="708"/>
      <c r="K582" s="710"/>
      <c r="L582" s="270"/>
      <c r="M582" s="706" t="str">
        <f t="shared" ref="M582:M645" si="9">IF(A582="HV","HV",IF(OR(LEFT(A582,16)="               5",LEFT(A582,16)="               6",LEFT(A582,16)="               7",LEFT(A582,16)="               8"),"X",""))</f>
        <v/>
      </c>
    </row>
    <row r="583" spans="1:13" ht="14.45" customHeight="1" x14ac:dyDescent="0.2">
      <c r="A583" s="711"/>
      <c r="B583" s="707"/>
      <c r="C583" s="708"/>
      <c r="D583" s="708"/>
      <c r="E583" s="709"/>
      <c r="F583" s="707"/>
      <c r="G583" s="708"/>
      <c r="H583" s="708"/>
      <c r="I583" s="708"/>
      <c r="J583" s="708"/>
      <c r="K583" s="710"/>
      <c r="L583" s="270"/>
      <c r="M583" s="706" t="str">
        <f t="shared" si="9"/>
        <v/>
      </c>
    </row>
    <row r="584" spans="1:13" ht="14.45" customHeight="1" x14ac:dyDescent="0.2">
      <c r="A584" s="711"/>
      <c r="B584" s="707"/>
      <c r="C584" s="708"/>
      <c r="D584" s="708"/>
      <c r="E584" s="709"/>
      <c r="F584" s="707"/>
      <c r="G584" s="708"/>
      <c r="H584" s="708"/>
      <c r="I584" s="708"/>
      <c r="J584" s="708"/>
      <c r="K584" s="710"/>
      <c r="L584" s="270"/>
      <c r="M584" s="706" t="str">
        <f t="shared" si="9"/>
        <v/>
      </c>
    </row>
    <row r="585" spans="1:13" ht="14.45" customHeight="1" x14ac:dyDescent="0.2">
      <c r="A585" s="711"/>
      <c r="B585" s="707"/>
      <c r="C585" s="708"/>
      <c r="D585" s="708"/>
      <c r="E585" s="709"/>
      <c r="F585" s="707"/>
      <c r="G585" s="708"/>
      <c r="H585" s="708"/>
      <c r="I585" s="708"/>
      <c r="J585" s="708"/>
      <c r="K585" s="710"/>
      <c r="L585" s="270"/>
      <c r="M585" s="706" t="str">
        <f t="shared" si="9"/>
        <v/>
      </c>
    </row>
    <row r="586" spans="1:13" ht="14.45" customHeight="1" x14ac:dyDescent="0.2">
      <c r="A586" s="711"/>
      <c r="B586" s="707"/>
      <c r="C586" s="708"/>
      <c r="D586" s="708"/>
      <c r="E586" s="709"/>
      <c r="F586" s="707"/>
      <c r="G586" s="708"/>
      <c r="H586" s="708"/>
      <c r="I586" s="708"/>
      <c r="J586" s="708"/>
      <c r="K586" s="710"/>
      <c r="L586" s="270"/>
      <c r="M586" s="706" t="str">
        <f t="shared" si="9"/>
        <v/>
      </c>
    </row>
    <row r="587" spans="1:13" ht="14.45" customHeight="1" x14ac:dyDescent="0.2">
      <c r="A587" s="711"/>
      <c r="B587" s="707"/>
      <c r="C587" s="708"/>
      <c r="D587" s="708"/>
      <c r="E587" s="709"/>
      <c r="F587" s="707"/>
      <c r="G587" s="708"/>
      <c r="H587" s="708"/>
      <c r="I587" s="708"/>
      <c r="J587" s="708"/>
      <c r="K587" s="710"/>
      <c r="L587" s="270"/>
      <c r="M587" s="706" t="str">
        <f t="shared" si="9"/>
        <v/>
      </c>
    </row>
    <row r="588" spans="1:13" ht="14.45" customHeight="1" x14ac:dyDescent="0.2">
      <c r="A588" s="711"/>
      <c r="B588" s="707"/>
      <c r="C588" s="708"/>
      <c r="D588" s="708"/>
      <c r="E588" s="709"/>
      <c r="F588" s="707"/>
      <c r="G588" s="708"/>
      <c r="H588" s="708"/>
      <c r="I588" s="708"/>
      <c r="J588" s="708"/>
      <c r="K588" s="710"/>
      <c r="L588" s="270"/>
      <c r="M588" s="706" t="str">
        <f t="shared" si="9"/>
        <v/>
      </c>
    </row>
    <row r="589" spans="1:13" ht="14.45" customHeight="1" x14ac:dyDescent="0.2">
      <c r="A589" s="711"/>
      <c r="B589" s="707"/>
      <c r="C589" s="708"/>
      <c r="D589" s="708"/>
      <c r="E589" s="709"/>
      <c r="F589" s="707"/>
      <c r="G589" s="708"/>
      <c r="H589" s="708"/>
      <c r="I589" s="708"/>
      <c r="J589" s="708"/>
      <c r="K589" s="710"/>
      <c r="L589" s="270"/>
      <c r="M589" s="706" t="str">
        <f t="shared" si="9"/>
        <v/>
      </c>
    </row>
    <row r="590" spans="1:13" ht="14.45" customHeight="1" x14ac:dyDescent="0.2">
      <c r="A590" s="711"/>
      <c r="B590" s="707"/>
      <c r="C590" s="708"/>
      <c r="D590" s="708"/>
      <c r="E590" s="709"/>
      <c r="F590" s="707"/>
      <c r="G590" s="708"/>
      <c r="H590" s="708"/>
      <c r="I590" s="708"/>
      <c r="J590" s="708"/>
      <c r="K590" s="710"/>
      <c r="L590" s="270"/>
      <c r="M590" s="706" t="str">
        <f t="shared" si="9"/>
        <v/>
      </c>
    </row>
    <row r="591" spans="1:13" ht="14.45" customHeight="1" x14ac:dyDescent="0.2">
      <c r="A591" s="711"/>
      <c r="B591" s="707"/>
      <c r="C591" s="708"/>
      <c r="D591" s="708"/>
      <c r="E591" s="709"/>
      <c r="F591" s="707"/>
      <c r="G591" s="708"/>
      <c r="H591" s="708"/>
      <c r="I591" s="708"/>
      <c r="J591" s="708"/>
      <c r="K591" s="710"/>
      <c r="L591" s="270"/>
      <c r="M591" s="706" t="str">
        <f t="shared" si="9"/>
        <v/>
      </c>
    </row>
    <row r="592" spans="1:13" ht="14.45" customHeight="1" x14ac:dyDescent="0.2">
      <c r="A592" s="711"/>
      <c r="B592" s="707"/>
      <c r="C592" s="708"/>
      <c r="D592" s="708"/>
      <c r="E592" s="709"/>
      <c r="F592" s="707"/>
      <c r="G592" s="708"/>
      <c r="H592" s="708"/>
      <c r="I592" s="708"/>
      <c r="J592" s="708"/>
      <c r="K592" s="710"/>
      <c r="L592" s="270"/>
      <c r="M592" s="706" t="str">
        <f t="shared" si="9"/>
        <v/>
      </c>
    </row>
    <row r="593" spans="1:13" ht="14.45" customHeight="1" x14ac:dyDescent="0.2">
      <c r="A593" s="711"/>
      <c r="B593" s="707"/>
      <c r="C593" s="708"/>
      <c r="D593" s="708"/>
      <c r="E593" s="709"/>
      <c r="F593" s="707"/>
      <c r="G593" s="708"/>
      <c r="H593" s="708"/>
      <c r="I593" s="708"/>
      <c r="J593" s="708"/>
      <c r="K593" s="710"/>
      <c r="L593" s="270"/>
      <c r="M593" s="706" t="str">
        <f t="shared" si="9"/>
        <v/>
      </c>
    </row>
    <row r="594" spans="1:13" ht="14.45" customHeight="1" x14ac:dyDescent="0.2">
      <c r="A594" s="711"/>
      <c r="B594" s="707"/>
      <c r="C594" s="708"/>
      <c r="D594" s="708"/>
      <c r="E594" s="709"/>
      <c r="F594" s="707"/>
      <c r="G594" s="708"/>
      <c r="H594" s="708"/>
      <c r="I594" s="708"/>
      <c r="J594" s="708"/>
      <c r="K594" s="710"/>
      <c r="L594" s="270"/>
      <c r="M594" s="706" t="str">
        <f t="shared" si="9"/>
        <v/>
      </c>
    </row>
    <row r="595" spans="1:13" ht="14.45" customHeight="1" x14ac:dyDescent="0.2">
      <c r="A595" s="711"/>
      <c r="B595" s="707"/>
      <c r="C595" s="708"/>
      <c r="D595" s="708"/>
      <c r="E595" s="709"/>
      <c r="F595" s="707"/>
      <c r="G595" s="708"/>
      <c r="H595" s="708"/>
      <c r="I595" s="708"/>
      <c r="J595" s="708"/>
      <c r="K595" s="710"/>
      <c r="L595" s="270"/>
      <c r="M595" s="706" t="str">
        <f t="shared" si="9"/>
        <v/>
      </c>
    </row>
    <row r="596" spans="1:13" ht="14.45" customHeight="1" x14ac:dyDescent="0.2">
      <c r="A596" s="711"/>
      <c r="B596" s="707"/>
      <c r="C596" s="708"/>
      <c r="D596" s="708"/>
      <c r="E596" s="709"/>
      <c r="F596" s="707"/>
      <c r="G596" s="708"/>
      <c r="H596" s="708"/>
      <c r="I596" s="708"/>
      <c r="J596" s="708"/>
      <c r="K596" s="710"/>
      <c r="L596" s="270"/>
      <c r="M596" s="706" t="str">
        <f t="shared" si="9"/>
        <v/>
      </c>
    </row>
    <row r="597" spans="1:13" ht="14.45" customHeight="1" x14ac:dyDescent="0.2">
      <c r="A597" s="711"/>
      <c r="B597" s="707"/>
      <c r="C597" s="708"/>
      <c r="D597" s="708"/>
      <c r="E597" s="709"/>
      <c r="F597" s="707"/>
      <c r="G597" s="708"/>
      <c r="H597" s="708"/>
      <c r="I597" s="708"/>
      <c r="J597" s="708"/>
      <c r="K597" s="710"/>
      <c r="L597" s="270"/>
      <c r="M597" s="706" t="str">
        <f t="shared" si="9"/>
        <v/>
      </c>
    </row>
    <row r="598" spans="1:13" ht="14.45" customHeight="1" x14ac:dyDescent="0.2">
      <c r="A598" s="711"/>
      <c r="B598" s="707"/>
      <c r="C598" s="708"/>
      <c r="D598" s="708"/>
      <c r="E598" s="709"/>
      <c r="F598" s="707"/>
      <c r="G598" s="708"/>
      <c r="H598" s="708"/>
      <c r="I598" s="708"/>
      <c r="J598" s="708"/>
      <c r="K598" s="710"/>
      <c r="L598" s="270"/>
      <c r="M598" s="706" t="str">
        <f t="shared" si="9"/>
        <v/>
      </c>
    </row>
    <row r="599" spans="1:13" ht="14.45" customHeight="1" x14ac:dyDescent="0.2">
      <c r="A599" s="711"/>
      <c r="B599" s="707"/>
      <c r="C599" s="708"/>
      <c r="D599" s="708"/>
      <c r="E599" s="709"/>
      <c r="F599" s="707"/>
      <c r="G599" s="708"/>
      <c r="H599" s="708"/>
      <c r="I599" s="708"/>
      <c r="J599" s="708"/>
      <c r="K599" s="710"/>
      <c r="L599" s="270"/>
      <c r="M599" s="706" t="str">
        <f t="shared" si="9"/>
        <v/>
      </c>
    </row>
    <row r="600" spans="1:13" ht="14.45" customHeight="1" x14ac:dyDescent="0.2">
      <c r="A600" s="711"/>
      <c r="B600" s="707"/>
      <c r="C600" s="708"/>
      <c r="D600" s="708"/>
      <c r="E600" s="709"/>
      <c r="F600" s="707"/>
      <c r="G600" s="708"/>
      <c r="H600" s="708"/>
      <c r="I600" s="708"/>
      <c r="J600" s="708"/>
      <c r="K600" s="710"/>
      <c r="L600" s="270"/>
      <c r="M600" s="706" t="str">
        <f t="shared" si="9"/>
        <v/>
      </c>
    </row>
    <row r="601" spans="1:13" ht="14.45" customHeight="1" x14ac:dyDescent="0.2">
      <c r="A601" s="711"/>
      <c r="B601" s="707"/>
      <c r="C601" s="708"/>
      <c r="D601" s="708"/>
      <c r="E601" s="709"/>
      <c r="F601" s="707"/>
      <c r="G601" s="708"/>
      <c r="H601" s="708"/>
      <c r="I601" s="708"/>
      <c r="J601" s="708"/>
      <c r="K601" s="710"/>
      <c r="L601" s="270"/>
      <c r="M601" s="706" t="str">
        <f t="shared" si="9"/>
        <v/>
      </c>
    </row>
    <row r="602" spans="1:13" ht="14.45" customHeight="1" x14ac:dyDescent="0.2">
      <c r="A602" s="711"/>
      <c r="B602" s="707"/>
      <c r="C602" s="708"/>
      <c r="D602" s="708"/>
      <c r="E602" s="709"/>
      <c r="F602" s="707"/>
      <c r="G602" s="708"/>
      <c r="H602" s="708"/>
      <c r="I602" s="708"/>
      <c r="J602" s="708"/>
      <c r="K602" s="710"/>
      <c r="L602" s="270"/>
      <c r="M602" s="706" t="str">
        <f t="shared" si="9"/>
        <v/>
      </c>
    </row>
    <row r="603" spans="1:13" ht="14.45" customHeight="1" x14ac:dyDescent="0.2">
      <c r="A603" s="711"/>
      <c r="B603" s="707"/>
      <c r="C603" s="708"/>
      <c r="D603" s="708"/>
      <c r="E603" s="709"/>
      <c r="F603" s="707"/>
      <c r="G603" s="708"/>
      <c r="H603" s="708"/>
      <c r="I603" s="708"/>
      <c r="J603" s="708"/>
      <c r="K603" s="710"/>
      <c r="L603" s="270"/>
      <c r="M603" s="706" t="str">
        <f t="shared" si="9"/>
        <v/>
      </c>
    </row>
    <row r="604" spans="1:13" ht="14.45" customHeight="1" x14ac:dyDescent="0.2">
      <c r="A604" s="711"/>
      <c r="B604" s="707"/>
      <c r="C604" s="708"/>
      <c r="D604" s="708"/>
      <c r="E604" s="709"/>
      <c r="F604" s="707"/>
      <c r="G604" s="708"/>
      <c r="H604" s="708"/>
      <c r="I604" s="708"/>
      <c r="J604" s="708"/>
      <c r="K604" s="710"/>
      <c r="L604" s="270"/>
      <c r="M604" s="706" t="str">
        <f t="shared" si="9"/>
        <v/>
      </c>
    </row>
    <row r="605" spans="1:13" ht="14.45" customHeight="1" x14ac:dyDescent="0.2">
      <c r="A605" s="711"/>
      <c r="B605" s="707"/>
      <c r="C605" s="708"/>
      <c r="D605" s="708"/>
      <c r="E605" s="709"/>
      <c r="F605" s="707"/>
      <c r="G605" s="708"/>
      <c r="H605" s="708"/>
      <c r="I605" s="708"/>
      <c r="J605" s="708"/>
      <c r="K605" s="710"/>
      <c r="L605" s="270"/>
      <c r="M605" s="706" t="str">
        <f t="shared" si="9"/>
        <v/>
      </c>
    </row>
    <row r="606" spans="1:13" ht="14.45" customHeight="1" x14ac:dyDescent="0.2">
      <c r="A606" s="711"/>
      <c r="B606" s="707"/>
      <c r="C606" s="708"/>
      <c r="D606" s="708"/>
      <c r="E606" s="709"/>
      <c r="F606" s="707"/>
      <c r="G606" s="708"/>
      <c r="H606" s="708"/>
      <c r="I606" s="708"/>
      <c r="J606" s="708"/>
      <c r="K606" s="710"/>
      <c r="L606" s="270"/>
      <c r="M606" s="706" t="str">
        <f t="shared" si="9"/>
        <v/>
      </c>
    </row>
    <row r="607" spans="1:13" ht="14.45" customHeight="1" x14ac:dyDescent="0.2">
      <c r="A607" s="711"/>
      <c r="B607" s="707"/>
      <c r="C607" s="708"/>
      <c r="D607" s="708"/>
      <c r="E607" s="709"/>
      <c r="F607" s="707"/>
      <c r="G607" s="708"/>
      <c r="H607" s="708"/>
      <c r="I607" s="708"/>
      <c r="J607" s="708"/>
      <c r="K607" s="710"/>
      <c r="L607" s="270"/>
      <c r="M607" s="706" t="str">
        <f t="shared" si="9"/>
        <v/>
      </c>
    </row>
    <row r="608" spans="1:13" ht="14.45" customHeight="1" x14ac:dyDescent="0.2">
      <c r="A608" s="711"/>
      <c r="B608" s="707"/>
      <c r="C608" s="708"/>
      <c r="D608" s="708"/>
      <c r="E608" s="709"/>
      <c r="F608" s="707"/>
      <c r="G608" s="708"/>
      <c r="H608" s="708"/>
      <c r="I608" s="708"/>
      <c r="J608" s="708"/>
      <c r="K608" s="710"/>
      <c r="L608" s="270"/>
      <c r="M608" s="706" t="str">
        <f t="shared" si="9"/>
        <v/>
      </c>
    </row>
    <row r="609" spans="1:13" ht="14.45" customHeight="1" x14ac:dyDescent="0.2">
      <c r="A609" s="711"/>
      <c r="B609" s="707"/>
      <c r="C609" s="708"/>
      <c r="D609" s="708"/>
      <c r="E609" s="709"/>
      <c r="F609" s="707"/>
      <c r="G609" s="708"/>
      <c r="H609" s="708"/>
      <c r="I609" s="708"/>
      <c r="J609" s="708"/>
      <c r="K609" s="710"/>
      <c r="L609" s="270"/>
      <c r="M609" s="706" t="str">
        <f t="shared" si="9"/>
        <v/>
      </c>
    </row>
    <row r="610" spans="1:13" ht="14.45" customHeight="1" x14ac:dyDescent="0.2">
      <c r="A610" s="711"/>
      <c r="B610" s="707"/>
      <c r="C610" s="708"/>
      <c r="D610" s="708"/>
      <c r="E610" s="709"/>
      <c r="F610" s="707"/>
      <c r="G610" s="708"/>
      <c r="H610" s="708"/>
      <c r="I610" s="708"/>
      <c r="J610" s="708"/>
      <c r="K610" s="710"/>
      <c r="L610" s="270"/>
      <c r="M610" s="706" t="str">
        <f t="shared" si="9"/>
        <v/>
      </c>
    </row>
    <row r="611" spans="1:13" ht="14.45" customHeight="1" x14ac:dyDescent="0.2">
      <c r="A611" s="711"/>
      <c r="B611" s="707"/>
      <c r="C611" s="708"/>
      <c r="D611" s="708"/>
      <c r="E611" s="709"/>
      <c r="F611" s="707"/>
      <c r="G611" s="708"/>
      <c r="H611" s="708"/>
      <c r="I611" s="708"/>
      <c r="J611" s="708"/>
      <c r="K611" s="710"/>
      <c r="L611" s="270"/>
      <c r="M611" s="706" t="str">
        <f t="shared" si="9"/>
        <v/>
      </c>
    </row>
    <row r="612" spans="1:13" ht="14.45" customHeight="1" x14ac:dyDescent="0.2">
      <c r="A612" s="711"/>
      <c r="B612" s="707"/>
      <c r="C612" s="708"/>
      <c r="D612" s="708"/>
      <c r="E612" s="709"/>
      <c r="F612" s="707"/>
      <c r="G612" s="708"/>
      <c r="H612" s="708"/>
      <c r="I612" s="708"/>
      <c r="J612" s="708"/>
      <c r="K612" s="710"/>
      <c r="L612" s="270"/>
      <c r="M612" s="706" t="str">
        <f t="shared" si="9"/>
        <v/>
      </c>
    </row>
    <row r="613" spans="1:13" ht="14.45" customHeight="1" x14ac:dyDescent="0.2">
      <c r="A613" s="711"/>
      <c r="B613" s="707"/>
      <c r="C613" s="708"/>
      <c r="D613" s="708"/>
      <c r="E613" s="709"/>
      <c r="F613" s="707"/>
      <c r="G613" s="708"/>
      <c r="H613" s="708"/>
      <c r="I613" s="708"/>
      <c r="J613" s="708"/>
      <c r="K613" s="710"/>
      <c r="L613" s="270"/>
      <c r="M613" s="706" t="str">
        <f t="shared" si="9"/>
        <v/>
      </c>
    </row>
    <row r="614" spans="1:13" ht="14.45" customHeight="1" x14ac:dyDescent="0.2">
      <c r="A614" s="711"/>
      <c r="B614" s="707"/>
      <c r="C614" s="708"/>
      <c r="D614" s="708"/>
      <c r="E614" s="709"/>
      <c r="F614" s="707"/>
      <c r="G614" s="708"/>
      <c r="H614" s="708"/>
      <c r="I614" s="708"/>
      <c r="J614" s="708"/>
      <c r="K614" s="710"/>
      <c r="L614" s="270"/>
      <c r="M614" s="706" t="str">
        <f t="shared" si="9"/>
        <v/>
      </c>
    </row>
    <row r="615" spans="1:13" ht="14.45" customHeight="1" x14ac:dyDescent="0.2">
      <c r="A615" s="711"/>
      <c r="B615" s="707"/>
      <c r="C615" s="708"/>
      <c r="D615" s="708"/>
      <c r="E615" s="709"/>
      <c r="F615" s="707"/>
      <c r="G615" s="708"/>
      <c r="H615" s="708"/>
      <c r="I615" s="708"/>
      <c r="J615" s="708"/>
      <c r="K615" s="710"/>
      <c r="L615" s="270"/>
      <c r="M615" s="706" t="str">
        <f t="shared" si="9"/>
        <v/>
      </c>
    </row>
    <row r="616" spans="1:13" ht="14.45" customHeight="1" x14ac:dyDescent="0.2">
      <c r="A616" s="711"/>
      <c r="B616" s="707"/>
      <c r="C616" s="708"/>
      <c r="D616" s="708"/>
      <c r="E616" s="709"/>
      <c r="F616" s="707"/>
      <c r="G616" s="708"/>
      <c r="H616" s="708"/>
      <c r="I616" s="708"/>
      <c r="J616" s="708"/>
      <c r="K616" s="710"/>
      <c r="L616" s="270"/>
      <c r="M616" s="706" t="str">
        <f t="shared" si="9"/>
        <v/>
      </c>
    </row>
    <row r="617" spans="1:13" ht="14.45" customHeight="1" x14ac:dyDescent="0.2">
      <c r="A617" s="711"/>
      <c r="B617" s="707"/>
      <c r="C617" s="708"/>
      <c r="D617" s="708"/>
      <c r="E617" s="709"/>
      <c r="F617" s="707"/>
      <c r="G617" s="708"/>
      <c r="H617" s="708"/>
      <c r="I617" s="708"/>
      <c r="J617" s="708"/>
      <c r="K617" s="710"/>
      <c r="L617" s="270"/>
      <c r="M617" s="706" t="str">
        <f t="shared" si="9"/>
        <v/>
      </c>
    </row>
    <row r="618" spans="1:13" ht="14.45" customHeight="1" x14ac:dyDescent="0.2">
      <c r="A618" s="711"/>
      <c r="B618" s="707"/>
      <c r="C618" s="708"/>
      <c r="D618" s="708"/>
      <c r="E618" s="709"/>
      <c r="F618" s="707"/>
      <c r="G618" s="708"/>
      <c r="H618" s="708"/>
      <c r="I618" s="708"/>
      <c r="J618" s="708"/>
      <c r="K618" s="710"/>
      <c r="L618" s="270"/>
      <c r="M618" s="706" t="str">
        <f t="shared" si="9"/>
        <v/>
      </c>
    </row>
    <row r="619" spans="1:13" ht="14.45" customHeight="1" x14ac:dyDescent="0.2">
      <c r="A619" s="711"/>
      <c r="B619" s="707"/>
      <c r="C619" s="708"/>
      <c r="D619" s="708"/>
      <c r="E619" s="709"/>
      <c r="F619" s="707"/>
      <c r="G619" s="708"/>
      <c r="H619" s="708"/>
      <c r="I619" s="708"/>
      <c r="J619" s="708"/>
      <c r="K619" s="710"/>
      <c r="L619" s="270"/>
      <c r="M619" s="706" t="str">
        <f t="shared" si="9"/>
        <v/>
      </c>
    </row>
    <row r="620" spans="1:13" ht="14.45" customHeight="1" x14ac:dyDescent="0.2">
      <c r="A620" s="711"/>
      <c r="B620" s="707"/>
      <c r="C620" s="708"/>
      <c r="D620" s="708"/>
      <c r="E620" s="709"/>
      <c r="F620" s="707"/>
      <c r="G620" s="708"/>
      <c r="H620" s="708"/>
      <c r="I620" s="708"/>
      <c r="J620" s="708"/>
      <c r="K620" s="710"/>
      <c r="L620" s="270"/>
      <c r="M620" s="706" t="str">
        <f t="shared" si="9"/>
        <v/>
      </c>
    </row>
    <row r="621" spans="1:13" ht="14.45" customHeight="1" x14ac:dyDescent="0.2">
      <c r="A621" s="711"/>
      <c r="B621" s="707"/>
      <c r="C621" s="708"/>
      <c r="D621" s="708"/>
      <c r="E621" s="709"/>
      <c r="F621" s="707"/>
      <c r="G621" s="708"/>
      <c r="H621" s="708"/>
      <c r="I621" s="708"/>
      <c r="J621" s="708"/>
      <c r="K621" s="710"/>
      <c r="L621" s="270"/>
      <c r="M621" s="706" t="str">
        <f t="shared" si="9"/>
        <v/>
      </c>
    </row>
    <row r="622" spans="1:13" ht="14.45" customHeight="1" x14ac:dyDescent="0.2">
      <c r="A622" s="711"/>
      <c r="B622" s="707"/>
      <c r="C622" s="708"/>
      <c r="D622" s="708"/>
      <c r="E622" s="709"/>
      <c r="F622" s="707"/>
      <c r="G622" s="708"/>
      <c r="H622" s="708"/>
      <c r="I622" s="708"/>
      <c r="J622" s="708"/>
      <c r="K622" s="710"/>
      <c r="L622" s="270"/>
      <c r="M622" s="706" t="str">
        <f t="shared" si="9"/>
        <v/>
      </c>
    </row>
    <row r="623" spans="1:13" ht="14.45" customHeight="1" x14ac:dyDescent="0.2">
      <c r="A623" s="711"/>
      <c r="B623" s="707"/>
      <c r="C623" s="708"/>
      <c r="D623" s="708"/>
      <c r="E623" s="709"/>
      <c r="F623" s="707"/>
      <c r="G623" s="708"/>
      <c r="H623" s="708"/>
      <c r="I623" s="708"/>
      <c r="J623" s="708"/>
      <c r="K623" s="710"/>
      <c r="L623" s="270"/>
      <c r="M623" s="706" t="str">
        <f t="shared" si="9"/>
        <v/>
      </c>
    </row>
    <row r="624" spans="1:13" ht="14.45" customHeight="1" x14ac:dyDescent="0.2">
      <c r="A624" s="711"/>
      <c r="B624" s="707"/>
      <c r="C624" s="708"/>
      <c r="D624" s="708"/>
      <c r="E624" s="709"/>
      <c r="F624" s="707"/>
      <c r="G624" s="708"/>
      <c r="H624" s="708"/>
      <c r="I624" s="708"/>
      <c r="J624" s="708"/>
      <c r="K624" s="710"/>
      <c r="L624" s="270"/>
      <c r="M624" s="706" t="str">
        <f t="shared" si="9"/>
        <v/>
      </c>
    </row>
    <row r="625" spans="1:13" ht="14.45" customHeight="1" x14ac:dyDescent="0.2">
      <c r="A625" s="711"/>
      <c r="B625" s="707"/>
      <c r="C625" s="708"/>
      <c r="D625" s="708"/>
      <c r="E625" s="709"/>
      <c r="F625" s="707"/>
      <c r="G625" s="708"/>
      <c r="H625" s="708"/>
      <c r="I625" s="708"/>
      <c r="J625" s="708"/>
      <c r="K625" s="710"/>
      <c r="L625" s="270"/>
      <c r="M625" s="706" t="str">
        <f t="shared" si="9"/>
        <v/>
      </c>
    </row>
    <row r="626" spans="1:13" ht="14.45" customHeight="1" x14ac:dyDescent="0.2">
      <c r="A626" s="711"/>
      <c r="B626" s="707"/>
      <c r="C626" s="708"/>
      <c r="D626" s="708"/>
      <c r="E626" s="709"/>
      <c r="F626" s="707"/>
      <c r="G626" s="708"/>
      <c r="H626" s="708"/>
      <c r="I626" s="708"/>
      <c r="J626" s="708"/>
      <c r="K626" s="710"/>
      <c r="L626" s="270"/>
      <c r="M626" s="706" t="str">
        <f t="shared" si="9"/>
        <v/>
      </c>
    </row>
    <row r="627" spans="1:13" ht="14.45" customHeight="1" x14ac:dyDescent="0.2">
      <c r="A627" s="711"/>
      <c r="B627" s="707"/>
      <c r="C627" s="708"/>
      <c r="D627" s="708"/>
      <c r="E627" s="709"/>
      <c r="F627" s="707"/>
      <c r="G627" s="708"/>
      <c r="H627" s="708"/>
      <c r="I627" s="708"/>
      <c r="J627" s="708"/>
      <c r="K627" s="710"/>
      <c r="L627" s="270"/>
      <c r="M627" s="706" t="str">
        <f t="shared" si="9"/>
        <v/>
      </c>
    </row>
    <row r="628" spans="1:13" ht="14.45" customHeight="1" x14ac:dyDescent="0.2">
      <c r="A628" s="711"/>
      <c r="B628" s="707"/>
      <c r="C628" s="708"/>
      <c r="D628" s="708"/>
      <c r="E628" s="709"/>
      <c r="F628" s="707"/>
      <c r="G628" s="708"/>
      <c r="H628" s="708"/>
      <c r="I628" s="708"/>
      <c r="J628" s="708"/>
      <c r="K628" s="710"/>
      <c r="L628" s="270"/>
      <c r="M628" s="706" t="str">
        <f t="shared" si="9"/>
        <v/>
      </c>
    </row>
    <row r="629" spans="1:13" ht="14.45" customHeight="1" x14ac:dyDescent="0.2">
      <c r="A629" s="711"/>
      <c r="B629" s="707"/>
      <c r="C629" s="708"/>
      <c r="D629" s="708"/>
      <c r="E629" s="709"/>
      <c r="F629" s="707"/>
      <c r="G629" s="708"/>
      <c r="H629" s="708"/>
      <c r="I629" s="708"/>
      <c r="J629" s="708"/>
      <c r="K629" s="710"/>
      <c r="L629" s="270"/>
      <c r="M629" s="706" t="str">
        <f t="shared" si="9"/>
        <v/>
      </c>
    </row>
    <row r="630" spans="1:13" ht="14.45" customHeight="1" x14ac:dyDescent="0.2">
      <c r="A630" s="711"/>
      <c r="B630" s="707"/>
      <c r="C630" s="708"/>
      <c r="D630" s="708"/>
      <c r="E630" s="709"/>
      <c r="F630" s="707"/>
      <c r="G630" s="708"/>
      <c r="H630" s="708"/>
      <c r="I630" s="708"/>
      <c r="J630" s="708"/>
      <c r="K630" s="710"/>
      <c r="L630" s="270"/>
      <c r="M630" s="706" t="str">
        <f t="shared" si="9"/>
        <v/>
      </c>
    </row>
    <row r="631" spans="1:13" ht="14.45" customHeight="1" x14ac:dyDescent="0.2">
      <c r="A631" s="711"/>
      <c r="B631" s="707"/>
      <c r="C631" s="708"/>
      <c r="D631" s="708"/>
      <c r="E631" s="709"/>
      <c r="F631" s="707"/>
      <c r="G631" s="708"/>
      <c r="H631" s="708"/>
      <c r="I631" s="708"/>
      <c r="J631" s="708"/>
      <c r="K631" s="710"/>
      <c r="L631" s="270"/>
      <c r="M631" s="706" t="str">
        <f t="shared" si="9"/>
        <v/>
      </c>
    </row>
    <row r="632" spans="1:13" ht="14.45" customHeight="1" x14ac:dyDescent="0.2">
      <c r="A632" s="711"/>
      <c r="B632" s="707"/>
      <c r="C632" s="708"/>
      <c r="D632" s="708"/>
      <c r="E632" s="709"/>
      <c r="F632" s="707"/>
      <c r="G632" s="708"/>
      <c r="H632" s="708"/>
      <c r="I632" s="708"/>
      <c r="J632" s="708"/>
      <c r="K632" s="710"/>
      <c r="L632" s="270"/>
      <c r="M632" s="706" t="str">
        <f t="shared" si="9"/>
        <v/>
      </c>
    </row>
    <row r="633" spans="1:13" ht="14.45" customHeight="1" x14ac:dyDescent="0.2">
      <c r="A633" s="711"/>
      <c r="B633" s="707"/>
      <c r="C633" s="708"/>
      <c r="D633" s="708"/>
      <c r="E633" s="709"/>
      <c r="F633" s="707"/>
      <c r="G633" s="708"/>
      <c r="H633" s="708"/>
      <c r="I633" s="708"/>
      <c r="J633" s="708"/>
      <c r="K633" s="710"/>
      <c r="L633" s="270"/>
      <c r="M633" s="706" t="str">
        <f t="shared" si="9"/>
        <v/>
      </c>
    </row>
    <row r="634" spans="1:13" ht="14.45" customHeight="1" x14ac:dyDescent="0.2">
      <c r="A634" s="711"/>
      <c r="B634" s="707"/>
      <c r="C634" s="708"/>
      <c r="D634" s="708"/>
      <c r="E634" s="709"/>
      <c r="F634" s="707"/>
      <c r="G634" s="708"/>
      <c r="H634" s="708"/>
      <c r="I634" s="708"/>
      <c r="J634" s="708"/>
      <c r="K634" s="710"/>
      <c r="L634" s="270"/>
      <c r="M634" s="706" t="str">
        <f t="shared" si="9"/>
        <v/>
      </c>
    </row>
    <row r="635" spans="1:13" ht="14.45" customHeight="1" x14ac:dyDescent="0.2">
      <c r="A635" s="711"/>
      <c r="B635" s="707"/>
      <c r="C635" s="708"/>
      <c r="D635" s="708"/>
      <c r="E635" s="709"/>
      <c r="F635" s="707"/>
      <c r="G635" s="708"/>
      <c r="H635" s="708"/>
      <c r="I635" s="708"/>
      <c r="J635" s="708"/>
      <c r="K635" s="710"/>
      <c r="L635" s="270"/>
      <c r="M635" s="706" t="str">
        <f t="shared" si="9"/>
        <v/>
      </c>
    </row>
    <row r="636" spans="1:13" ht="14.45" customHeight="1" x14ac:dyDescent="0.2">
      <c r="A636" s="711"/>
      <c r="B636" s="707"/>
      <c r="C636" s="708"/>
      <c r="D636" s="708"/>
      <c r="E636" s="709"/>
      <c r="F636" s="707"/>
      <c r="G636" s="708"/>
      <c r="H636" s="708"/>
      <c r="I636" s="708"/>
      <c r="J636" s="708"/>
      <c r="K636" s="710"/>
      <c r="L636" s="270"/>
      <c r="M636" s="706" t="str">
        <f t="shared" si="9"/>
        <v/>
      </c>
    </row>
    <row r="637" spans="1:13" ht="14.45" customHeight="1" x14ac:dyDescent="0.2">
      <c r="A637" s="711"/>
      <c r="B637" s="707"/>
      <c r="C637" s="708"/>
      <c r="D637" s="708"/>
      <c r="E637" s="709"/>
      <c r="F637" s="707"/>
      <c r="G637" s="708"/>
      <c r="H637" s="708"/>
      <c r="I637" s="708"/>
      <c r="J637" s="708"/>
      <c r="K637" s="710"/>
      <c r="L637" s="270"/>
      <c r="M637" s="706" t="str">
        <f t="shared" si="9"/>
        <v/>
      </c>
    </row>
    <row r="638" spans="1:13" ht="14.45" customHeight="1" x14ac:dyDescent="0.2">
      <c r="A638" s="711"/>
      <c r="B638" s="707"/>
      <c r="C638" s="708"/>
      <c r="D638" s="708"/>
      <c r="E638" s="709"/>
      <c r="F638" s="707"/>
      <c r="G638" s="708"/>
      <c r="H638" s="708"/>
      <c r="I638" s="708"/>
      <c r="J638" s="708"/>
      <c r="K638" s="710"/>
      <c r="L638" s="270"/>
      <c r="M638" s="706" t="str">
        <f t="shared" si="9"/>
        <v/>
      </c>
    </row>
    <row r="639" spans="1:13" ht="14.45" customHeight="1" x14ac:dyDescent="0.2">
      <c r="A639" s="711"/>
      <c r="B639" s="707"/>
      <c r="C639" s="708"/>
      <c r="D639" s="708"/>
      <c r="E639" s="709"/>
      <c r="F639" s="707"/>
      <c r="G639" s="708"/>
      <c r="H639" s="708"/>
      <c r="I639" s="708"/>
      <c r="J639" s="708"/>
      <c r="K639" s="710"/>
      <c r="L639" s="270"/>
      <c r="M639" s="706" t="str">
        <f t="shared" si="9"/>
        <v/>
      </c>
    </row>
    <row r="640" spans="1:13" ht="14.45" customHeight="1" x14ac:dyDescent="0.2">
      <c r="A640" s="711"/>
      <c r="B640" s="707"/>
      <c r="C640" s="708"/>
      <c r="D640" s="708"/>
      <c r="E640" s="709"/>
      <c r="F640" s="707"/>
      <c r="G640" s="708"/>
      <c r="H640" s="708"/>
      <c r="I640" s="708"/>
      <c r="J640" s="708"/>
      <c r="K640" s="710"/>
      <c r="L640" s="270"/>
      <c r="M640" s="706" t="str">
        <f t="shared" si="9"/>
        <v/>
      </c>
    </row>
    <row r="641" spans="1:13" ht="14.45" customHeight="1" x14ac:dyDescent="0.2">
      <c r="A641" s="711"/>
      <c r="B641" s="707"/>
      <c r="C641" s="708"/>
      <c r="D641" s="708"/>
      <c r="E641" s="709"/>
      <c r="F641" s="707"/>
      <c r="G641" s="708"/>
      <c r="H641" s="708"/>
      <c r="I641" s="708"/>
      <c r="J641" s="708"/>
      <c r="K641" s="710"/>
      <c r="L641" s="270"/>
      <c r="M641" s="706" t="str">
        <f t="shared" si="9"/>
        <v/>
      </c>
    </row>
    <row r="642" spans="1:13" ht="14.45" customHeight="1" x14ac:dyDescent="0.2">
      <c r="A642" s="711"/>
      <c r="B642" s="707"/>
      <c r="C642" s="708"/>
      <c r="D642" s="708"/>
      <c r="E642" s="709"/>
      <c r="F642" s="707"/>
      <c r="G642" s="708"/>
      <c r="H642" s="708"/>
      <c r="I642" s="708"/>
      <c r="J642" s="708"/>
      <c r="K642" s="710"/>
      <c r="L642" s="270"/>
      <c r="M642" s="706" t="str">
        <f t="shared" si="9"/>
        <v/>
      </c>
    </row>
    <row r="643" spans="1:13" ht="14.45" customHeight="1" x14ac:dyDescent="0.2">
      <c r="A643" s="711"/>
      <c r="B643" s="707"/>
      <c r="C643" s="708"/>
      <c r="D643" s="708"/>
      <c r="E643" s="709"/>
      <c r="F643" s="707"/>
      <c r="G643" s="708"/>
      <c r="H643" s="708"/>
      <c r="I643" s="708"/>
      <c r="J643" s="708"/>
      <c r="K643" s="710"/>
      <c r="L643" s="270"/>
      <c r="M643" s="706" t="str">
        <f t="shared" si="9"/>
        <v/>
      </c>
    </row>
    <row r="644" spans="1:13" ht="14.45" customHeight="1" x14ac:dyDescent="0.2">
      <c r="A644" s="711"/>
      <c r="B644" s="707"/>
      <c r="C644" s="708"/>
      <c r="D644" s="708"/>
      <c r="E644" s="709"/>
      <c r="F644" s="707"/>
      <c r="G644" s="708"/>
      <c r="H644" s="708"/>
      <c r="I644" s="708"/>
      <c r="J644" s="708"/>
      <c r="K644" s="710"/>
      <c r="L644" s="270"/>
      <c r="M644" s="706" t="str">
        <f t="shared" si="9"/>
        <v/>
      </c>
    </row>
    <row r="645" spans="1:13" ht="14.45" customHeight="1" x14ac:dyDescent="0.2">
      <c r="A645" s="711"/>
      <c r="B645" s="707"/>
      <c r="C645" s="708"/>
      <c r="D645" s="708"/>
      <c r="E645" s="709"/>
      <c r="F645" s="707"/>
      <c r="G645" s="708"/>
      <c r="H645" s="708"/>
      <c r="I645" s="708"/>
      <c r="J645" s="708"/>
      <c r="K645" s="710"/>
      <c r="L645" s="270"/>
      <c r="M645" s="706" t="str">
        <f t="shared" si="9"/>
        <v/>
      </c>
    </row>
    <row r="646" spans="1:13" ht="14.45" customHeight="1" x14ac:dyDescent="0.2">
      <c r="A646" s="711"/>
      <c r="B646" s="707"/>
      <c r="C646" s="708"/>
      <c r="D646" s="708"/>
      <c r="E646" s="709"/>
      <c r="F646" s="707"/>
      <c r="G646" s="708"/>
      <c r="H646" s="708"/>
      <c r="I646" s="708"/>
      <c r="J646" s="708"/>
      <c r="K646" s="710"/>
      <c r="L646" s="270"/>
      <c r="M646" s="706" t="str">
        <f t="shared" ref="M646:M709" si="10">IF(A646="HV","HV",IF(OR(LEFT(A646,16)="               5",LEFT(A646,16)="               6",LEFT(A646,16)="               7",LEFT(A646,16)="               8"),"X",""))</f>
        <v/>
      </c>
    </row>
    <row r="647" spans="1:13" ht="14.45" customHeight="1" x14ac:dyDescent="0.2">
      <c r="A647" s="711"/>
      <c r="B647" s="707"/>
      <c r="C647" s="708"/>
      <c r="D647" s="708"/>
      <c r="E647" s="709"/>
      <c r="F647" s="707"/>
      <c r="G647" s="708"/>
      <c r="H647" s="708"/>
      <c r="I647" s="708"/>
      <c r="J647" s="708"/>
      <c r="K647" s="710"/>
      <c r="L647" s="270"/>
      <c r="M647" s="706" t="str">
        <f t="shared" si="10"/>
        <v/>
      </c>
    </row>
    <row r="648" spans="1:13" ht="14.45" customHeight="1" x14ac:dyDescent="0.2">
      <c r="A648" s="711"/>
      <c r="B648" s="707"/>
      <c r="C648" s="708"/>
      <c r="D648" s="708"/>
      <c r="E648" s="709"/>
      <c r="F648" s="707"/>
      <c r="G648" s="708"/>
      <c r="H648" s="708"/>
      <c r="I648" s="708"/>
      <c r="J648" s="708"/>
      <c r="K648" s="710"/>
      <c r="L648" s="270"/>
      <c r="M648" s="706" t="str">
        <f t="shared" si="10"/>
        <v/>
      </c>
    </row>
    <row r="649" spans="1:13" ht="14.45" customHeight="1" x14ac:dyDescent="0.2">
      <c r="A649" s="711"/>
      <c r="B649" s="707"/>
      <c r="C649" s="708"/>
      <c r="D649" s="708"/>
      <c r="E649" s="709"/>
      <c r="F649" s="707"/>
      <c r="G649" s="708"/>
      <c r="H649" s="708"/>
      <c r="I649" s="708"/>
      <c r="J649" s="708"/>
      <c r="K649" s="710"/>
      <c r="L649" s="270"/>
      <c r="M649" s="706" t="str">
        <f t="shared" si="10"/>
        <v/>
      </c>
    </row>
    <row r="650" spans="1:13" ht="14.45" customHeight="1" x14ac:dyDescent="0.2">
      <c r="A650" s="711"/>
      <c r="B650" s="707"/>
      <c r="C650" s="708"/>
      <c r="D650" s="708"/>
      <c r="E650" s="709"/>
      <c r="F650" s="707"/>
      <c r="G650" s="708"/>
      <c r="H650" s="708"/>
      <c r="I650" s="708"/>
      <c r="J650" s="708"/>
      <c r="K650" s="710"/>
      <c r="L650" s="270"/>
      <c r="M650" s="706" t="str">
        <f t="shared" si="10"/>
        <v/>
      </c>
    </row>
    <row r="651" spans="1:13" ht="14.45" customHeight="1" x14ac:dyDescent="0.2">
      <c r="A651" s="711"/>
      <c r="B651" s="707"/>
      <c r="C651" s="708"/>
      <c r="D651" s="708"/>
      <c r="E651" s="709"/>
      <c r="F651" s="707"/>
      <c r="G651" s="708"/>
      <c r="H651" s="708"/>
      <c r="I651" s="708"/>
      <c r="J651" s="708"/>
      <c r="K651" s="710"/>
      <c r="L651" s="270"/>
      <c r="M651" s="706" t="str">
        <f t="shared" si="10"/>
        <v/>
      </c>
    </row>
    <row r="652" spans="1:13" ht="14.45" customHeight="1" x14ac:dyDescent="0.2">
      <c r="A652" s="711"/>
      <c r="B652" s="707"/>
      <c r="C652" s="708"/>
      <c r="D652" s="708"/>
      <c r="E652" s="709"/>
      <c r="F652" s="707"/>
      <c r="G652" s="708"/>
      <c r="H652" s="708"/>
      <c r="I652" s="708"/>
      <c r="J652" s="708"/>
      <c r="K652" s="710"/>
      <c r="L652" s="270"/>
      <c r="M652" s="706" t="str">
        <f t="shared" si="10"/>
        <v/>
      </c>
    </row>
    <row r="653" spans="1:13" ht="14.45" customHeight="1" x14ac:dyDescent="0.2">
      <c r="A653" s="711"/>
      <c r="B653" s="707"/>
      <c r="C653" s="708"/>
      <c r="D653" s="708"/>
      <c r="E653" s="709"/>
      <c r="F653" s="707"/>
      <c r="G653" s="708"/>
      <c r="H653" s="708"/>
      <c r="I653" s="708"/>
      <c r="J653" s="708"/>
      <c r="K653" s="710"/>
      <c r="L653" s="270"/>
      <c r="M653" s="706" t="str">
        <f t="shared" si="10"/>
        <v/>
      </c>
    </row>
    <row r="654" spans="1:13" ht="14.45" customHeight="1" x14ac:dyDescent="0.2">
      <c r="A654" s="711"/>
      <c r="B654" s="707"/>
      <c r="C654" s="708"/>
      <c r="D654" s="708"/>
      <c r="E654" s="709"/>
      <c r="F654" s="707"/>
      <c r="G654" s="708"/>
      <c r="H654" s="708"/>
      <c r="I654" s="708"/>
      <c r="J654" s="708"/>
      <c r="K654" s="710"/>
      <c r="L654" s="270"/>
      <c r="M654" s="706" t="str">
        <f t="shared" si="10"/>
        <v/>
      </c>
    </row>
    <row r="655" spans="1:13" ht="14.45" customHeight="1" x14ac:dyDescent="0.2">
      <c r="A655" s="711"/>
      <c r="B655" s="707"/>
      <c r="C655" s="708"/>
      <c r="D655" s="708"/>
      <c r="E655" s="709"/>
      <c r="F655" s="707"/>
      <c r="G655" s="708"/>
      <c r="H655" s="708"/>
      <c r="I655" s="708"/>
      <c r="J655" s="708"/>
      <c r="K655" s="710"/>
      <c r="L655" s="270"/>
      <c r="M655" s="706" t="str">
        <f t="shared" si="10"/>
        <v/>
      </c>
    </row>
    <row r="656" spans="1:13" ht="14.45" customHeight="1" x14ac:dyDescent="0.2">
      <c r="A656" s="711"/>
      <c r="B656" s="707"/>
      <c r="C656" s="708"/>
      <c r="D656" s="708"/>
      <c r="E656" s="709"/>
      <c r="F656" s="707"/>
      <c r="G656" s="708"/>
      <c r="H656" s="708"/>
      <c r="I656" s="708"/>
      <c r="J656" s="708"/>
      <c r="K656" s="710"/>
      <c r="L656" s="270"/>
      <c r="M656" s="706" t="str">
        <f t="shared" si="10"/>
        <v/>
      </c>
    </row>
    <row r="657" spans="1:13" ht="14.45" customHeight="1" x14ac:dyDescent="0.2">
      <c r="A657" s="711"/>
      <c r="B657" s="707"/>
      <c r="C657" s="708"/>
      <c r="D657" s="708"/>
      <c r="E657" s="709"/>
      <c r="F657" s="707"/>
      <c r="G657" s="708"/>
      <c r="H657" s="708"/>
      <c r="I657" s="708"/>
      <c r="J657" s="708"/>
      <c r="K657" s="710"/>
      <c r="L657" s="270"/>
      <c r="M657" s="706" t="str">
        <f t="shared" si="10"/>
        <v/>
      </c>
    </row>
    <row r="658" spans="1:13" ht="14.45" customHeight="1" x14ac:dyDescent="0.2">
      <c r="A658" s="711"/>
      <c r="B658" s="707"/>
      <c r="C658" s="708"/>
      <c r="D658" s="708"/>
      <c r="E658" s="709"/>
      <c r="F658" s="707"/>
      <c r="G658" s="708"/>
      <c r="H658" s="708"/>
      <c r="I658" s="708"/>
      <c r="J658" s="708"/>
      <c r="K658" s="710"/>
      <c r="L658" s="270"/>
      <c r="M658" s="706" t="str">
        <f t="shared" si="10"/>
        <v/>
      </c>
    </row>
    <row r="659" spans="1:13" ht="14.45" customHeight="1" x14ac:dyDescent="0.2">
      <c r="A659" s="711"/>
      <c r="B659" s="707"/>
      <c r="C659" s="708"/>
      <c r="D659" s="708"/>
      <c r="E659" s="709"/>
      <c r="F659" s="707"/>
      <c r="G659" s="708"/>
      <c r="H659" s="708"/>
      <c r="I659" s="708"/>
      <c r="J659" s="708"/>
      <c r="K659" s="710"/>
      <c r="L659" s="270"/>
      <c r="M659" s="706" t="str">
        <f t="shared" si="10"/>
        <v/>
      </c>
    </row>
    <row r="660" spans="1:13" ht="14.45" customHeight="1" x14ac:dyDescent="0.2">
      <c r="A660" s="711"/>
      <c r="B660" s="707"/>
      <c r="C660" s="708"/>
      <c r="D660" s="708"/>
      <c r="E660" s="709"/>
      <c r="F660" s="707"/>
      <c r="G660" s="708"/>
      <c r="H660" s="708"/>
      <c r="I660" s="708"/>
      <c r="J660" s="708"/>
      <c r="K660" s="710"/>
      <c r="L660" s="270"/>
      <c r="M660" s="706" t="str">
        <f t="shared" si="10"/>
        <v/>
      </c>
    </row>
    <row r="661" spans="1:13" ht="14.45" customHeight="1" x14ac:dyDescent="0.2">
      <c r="A661" s="711"/>
      <c r="B661" s="707"/>
      <c r="C661" s="708"/>
      <c r="D661" s="708"/>
      <c r="E661" s="709"/>
      <c r="F661" s="707"/>
      <c r="G661" s="708"/>
      <c r="H661" s="708"/>
      <c r="I661" s="708"/>
      <c r="J661" s="708"/>
      <c r="K661" s="710"/>
      <c r="L661" s="270"/>
      <c r="M661" s="706" t="str">
        <f t="shared" si="10"/>
        <v/>
      </c>
    </row>
    <row r="662" spans="1:13" ht="14.45" customHeight="1" x14ac:dyDescent="0.2">
      <c r="A662" s="711"/>
      <c r="B662" s="707"/>
      <c r="C662" s="708"/>
      <c r="D662" s="708"/>
      <c r="E662" s="709"/>
      <c r="F662" s="707"/>
      <c r="G662" s="708"/>
      <c r="H662" s="708"/>
      <c r="I662" s="708"/>
      <c r="J662" s="708"/>
      <c r="K662" s="710"/>
      <c r="L662" s="270"/>
      <c r="M662" s="706" t="str">
        <f t="shared" si="10"/>
        <v/>
      </c>
    </row>
    <row r="663" spans="1:13" ht="14.45" customHeight="1" x14ac:dyDescent="0.2">
      <c r="A663" s="711"/>
      <c r="B663" s="707"/>
      <c r="C663" s="708"/>
      <c r="D663" s="708"/>
      <c r="E663" s="709"/>
      <c r="F663" s="707"/>
      <c r="G663" s="708"/>
      <c r="H663" s="708"/>
      <c r="I663" s="708"/>
      <c r="J663" s="708"/>
      <c r="K663" s="710"/>
      <c r="L663" s="270"/>
      <c r="M663" s="706" t="str">
        <f t="shared" si="10"/>
        <v/>
      </c>
    </row>
    <row r="664" spans="1:13" ht="14.45" customHeight="1" x14ac:dyDescent="0.2">
      <c r="A664" s="711"/>
      <c r="B664" s="707"/>
      <c r="C664" s="708"/>
      <c r="D664" s="708"/>
      <c r="E664" s="709"/>
      <c r="F664" s="707"/>
      <c r="G664" s="708"/>
      <c r="H664" s="708"/>
      <c r="I664" s="708"/>
      <c r="J664" s="708"/>
      <c r="K664" s="710"/>
      <c r="L664" s="270"/>
      <c r="M664" s="706" t="str">
        <f t="shared" si="10"/>
        <v/>
      </c>
    </row>
    <row r="665" spans="1:13" ht="14.45" customHeight="1" x14ac:dyDescent="0.2">
      <c r="A665" s="711"/>
      <c r="B665" s="707"/>
      <c r="C665" s="708"/>
      <c r="D665" s="708"/>
      <c r="E665" s="709"/>
      <c r="F665" s="707"/>
      <c r="G665" s="708"/>
      <c r="H665" s="708"/>
      <c r="I665" s="708"/>
      <c r="J665" s="708"/>
      <c r="K665" s="710"/>
      <c r="L665" s="270"/>
      <c r="M665" s="706" t="str">
        <f t="shared" si="10"/>
        <v/>
      </c>
    </row>
    <row r="666" spans="1:13" ht="14.45" customHeight="1" x14ac:dyDescent="0.2">
      <c r="A666" s="711"/>
      <c r="B666" s="707"/>
      <c r="C666" s="708"/>
      <c r="D666" s="708"/>
      <c r="E666" s="709"/>
      <c r="F666" s="707"/>
      <c r="G666" s="708"/>
      <c r="H666" s="708"/>
      <c r="I666" s="708"/>
      <c r="J666" s="708"/>
      <c r="K666" s="710"/>
      <c r="L666" s="270"/>
      <c r="M666" s="706" t="str">
        <f t="shared" si="10"/>
        <v/>
      </c>
    </row>
    <row r="667" spans="1:13" ht="14.45" customHeight="1" x14ac:dyDescent="0.2">
      <c r="A667" s="711"/>
      <c r="B667" s="707"/>
      <c r="C667" s="708"/>
      <c r="D667" s="708"/>
      <c r="E667" s="709"/>
      <c r="F667" s="707"/>
      <c r="G667" s="708"/>
      <c r="H667" s="708"/>
      <c r="I667" s="708"/>
      <c r="J667" s="708"/>
      <c r="K667" s="710"/>
      <c r="L667" s="270"/>
      <c r="M667" s="706" t="str">
        <f t="shared" si="10"/>
        <v/>
      </c>
    </row>
    <row r="668" spans="1:13" ht="14.45" customHeight="1" x14ac:dyDescent="0.2">
      <c r="A668" s="711"/>
      <c r="B668" s="707"/>
      <c r="C668" s="708"/>
      <c r="D668" s="708"/>
      <c r="E668" s="709"/>
      <c r="F668" s="707"/>
      <c r="G668" s="708"/>
      <c r="H668" s="708"/>
      <c r="I668" s="708"/>
      <c r="J668" s="708"/>
      <c r="K668" s="710"/>
      <c r="L668" s="270"/>
      <c r="M668" s="706" t="str">
        <f t="shared" si="10"/>
        <v/>
      </c>
    </row>
    <row r="669" spans="1:13" ht="14.45" customHeight="1" x14ac:dyDescent="0.2">
      <c r="A669" s="711"/>
      <c r="B669" s="707"/>
      <c r="C669" s="708"/>
      <c r="D669" s="708"/>
      <c r="E669" s="709"/>
      <c r="F669" s="707"/>
      <c r="G669" s="708"/>
      <c r="H669" s="708"/>
      <c r="I669" s="708"/>
      <c r="J669" s="708"/>
      <c r="K669" s="710"/>
      <c r="L669" s="270"/>
      <c r="M669" s="706" t="str">
        <f t="shared" si="10"/>
        <v/>
      </c>
    </row>
    <row r="670" spans="1:13" ht="14.45" customHeight="1" x14ac:dyDescent="0.2">
      <c r="A670" s="711"/>
      <c r="B670" s="707"/>
      <c r="C670" s="708"/>
      <c r="D670" s="708"/>
      <c r="E670" s="709"/>
      <c r="F670" s="707"/>
      <c r="G670" s="708"/>
      <c r="H670" s="708"/>
      <c r="I670" s="708"/>
      <c r="J670" s="708"/>
      <c r="K670" s="710"/>
      <c r="L670" s="270"/>
      <c r="M670" s="706" t="str">
        <f t="shared" si="10"/>
        <v/>
      </c>
    </row>
    <row r="671" spans="1:13" ht="14.45" customHeight="1" x14ac:dyDescent="0.2">
      <c r="A671" s="711"/>
      <c r="B671" s="707"/>
      <c r="C671" s="708"/>
      <c r="D671" s="708"/>
      <c r="E671" s="709"/>
      <c r="F671" s="707"/>
      <c r="G671" s="708"/>
      <c r="H671" s="708"/>
      <c r="I671" s="708"/>
      <c r="J671" s="708"/>
      <c r="K671" s="710"/>
      <c r="L671" s="270"/>
      <c r="M671" s="706" t="str">
        <f t="shared" si="10"/>
        <v/>
      </c>
    </row>
    <row r="672" spans="1:13" ht="14.45" customHeight="1" x14ac:dyDescent="0.2">
      <c r="A672" s="711"/>
      <c r="B672" s="707"/>
      <c r="C672" s="708"/>
      <c r="D672" s="708"/>
      <c r="E672" s="709"/>
      <c r="F672" s="707"/>
      <c r="G672" s="708"/>
      <c r="H672" s="708"/>
      <c r="I672" s="708"/>
      <c r="J672" s="708"/>
      <c r="K672" s="710"/>
      <c r="L672" s="270"/>
      <c r="M672" s="706" t="str">
        <f t="shared" si="10"/>
        <v/>
      </c>
    </row>
    <row r="673" spans="1:13" ht="14.45" customHeight="1" x14ac:dyDescent="0.2">
      <c r="A673" s="711"/>
      <c r="B673" s="707"/>
      <c r="C673" s="708"/>
      <c r="D673" s="708"/>
      <c r="E673" s="709"/>
      <c r="F673" s="707"/>
      <c r="G673" s="708"/>
      <c r="H673" s="708"/>
      <c r="I673" s="708"/>
      <c r="J673" s="708"/>
      <c r="K673" s="710"/>
      <c r="L673" s="270"/>
      <c r="M673" s="706" t="str">
        <f t="shared" si="10"/>
        <v/>
      </c>
    </row>
    <row r="674" spans="1:13" ht="14.45" customHeight="1" x14ac:dyDescent="0.2">
      <c r="A674" s="711"/>
      <c r="B674" s="707"/>
      <c r="C674" s="708"/>
      <c r="D674" s="708"/>
      <c r="E674" s="709"/>
      <c r="F674" s="707"/>
      <c r="G674" s="708"/>
      <c r="H674" s="708"/>
      <c r="I674" s="708"/>
      <c r="J674" s="708"/>
      <c r="K674" s="710"/>
      <c r="L674" s="270"/>
      <c r="M674" s="706" t="str">
        <f t="shared" si="10"/>
        <v/>
      </c>
    </row>
    <row r="675" spans="1:13" ht="14.45" customHeight="1" x14ac:dyDescent="0.2">
      <c r="A675" s="711"/>
      <c r="B675" s="707"/>
      <c r="C675" s="708"/>
      <c r="D675" s="708"/>
      <c r="E675" s="709"/>
      <c r="F675" s="707"/>
      <c r="G675" s="708"/>
      <c r="H675" s="708"/>
      <c r="I675" s="708"/>
      <c r="J675" s="708"/>
      <c r="K675" s="710"/>
      <c r="L675" s="270"/>
      <c r="M675" s="706" t="str">
        <f t="shared" si="10"/>
        <v/>
      </c>
    </row>
    <row r="676" spans="1:13" ht="14.45" customHeight="1" x14ac:dyDescent="0.2">
      <c r="A676" s="711"/>
      <c r="B676" s="707"/>
      <c r="C676" s="708"/>
      <c r="D676" s="708"/>
      <c r="E676" s="709"/>
      <c r="F676" s="707"/>
      <c r="G676" s="708"/>
      <c r="H676" s="708"/>
      <c r="I676" s="708"/>
      <c r="J676" s="708"/>
      <c r="K676" s="710"/>
      <c r="L676" s="270"/>
      <c r="M676" s="706" t="str">
        <f t="shared" si="10"/>
        <v/>
      </c>
    </row>
    <row r="677" spans="1:13" ht="14.45" customHeight="1" x14ac:dyDescent="0.2">
      <c r="A677" s="711"/>
      <c r="B677" s="707"/>
      <c r="C677" s="708"/>
      <c r="D677" s="708"/>
      <c r="E677" s="709"/>
      <c r="F677" s="707"/>
      <c r="G677" s="708"/>
      <c r="H677" s="708"/>
      <c r="I677" s="708"/>
      <c r="J677" s="708"/>
      <c r="K677" s="710"/>
      <c r="L677" s="270"/>
      <c r="M677" s="706" t="str">
        <f t="shared" si="10"/>
        <v/>
      </c>
    </row>
    <row r="678" spans="1:13" ht="14.45" customHeight="1" x14ac:dyDescent="0.2">
      <c r="A678" s="711"/>
      <c r="B678" s="707"/>
      <c r="C678" s="708"/>
      <c r="D678" s="708"/>
      <c r="E678" s="709"/>
      <c r="F678" s="707"/>
      <c r="G678" s="708"/>
      <c r="H678" s="708"/>
      <c r="I678" s="708"/>
      <c r="J678" s="708"/>
      <c r="K678" s="710"/>
      <c r="L678" s="270"/>
      <c r="M678" s="706" t="str">
        <f t="shared" si="10"/>
        <v/>
      </c>
    </row>
    <row r="679" spans="1:13" ht="14.45" customHeight="1" x14ac:dyDescent="0.2">
      <c r="A679" s="711"/>
      <c r="B679" s="707"/>
      <c r="C679" s="708"/>
      <c r="D679" s="708"/>
      <c r="E679" s="709"/>
      <c r="F679" s="707"/>
      <c r="G679" s="708"/>
      <c r="H679" s="708"/>
      <c r="I679" s="708"/>
      <c r="J679" s="708"/>
      <c r="K679" s="710"/>
      <c r="L679" s="270"/>
      <c r="M679" s="706" t="str">
        <f t="shared" si="10"/>
        <v/>
      </c>
    </row>
    <row r="680" spans="1:13" ht="14.45" customHeight="1" x14ac:dyDescent="0.2">
      <c r="A680" s="711"/>
      <c r="B680" s="707"/>
      <c r="C680" s="708"/>
      <c r="D680" s="708"/>
      <c r="E680" s="709"/>
      <c r="F680" s="707"/>
      <c r="G680" s="708"/>
      <c r="H680" s="708"/>
      <c r="I680" s="708"/>
      <c r="J680" s="708"/>
      <c r="K680" s="710"/>
      <c r="L680" s="270"/>
      <c r="M680" s="706" t="str">
        <f t="shared" si="10"/>
        <v/>
      </c>
    </row>
    <row r="681" spans="1:13" ht="14.45" customHeight="1" x14ac:dyDescent="0.2">
      <c r="A681" s="711"/>
      <c r="B681" s="707"/>
      <c r="C681" s="708"/>
      <c r="D681" s="708"/>
      <c r="E681" s="709"/>
      <c r="F681" s="707"/>
      <c r="G681" s="708"/>
      <c r="H681" s="708"/>
      <c r="I681" s="708"/>
      <c r="J681" s="708"/>
      <c r="K681" s="710"/>
      <c r="L681" s="270"/>
      <c r="M681" s="706" t="str">
        <f t="shared" si="10"/>
        <v/>
      </c>
    </row>
    <row r="682" spans="1:13" ht="14.45" customHeight="1" x14ac:dyDescent="0.2">
      <c r="A682" s="711"/>
      <c r="B682" s="707"/>
      <c r="C682" s="708"/>
      <c r="D682" s="708"/>
      <c r="E682" s="709"/>
      <c r="F682" s="707"/>
      <c r="G682" s="708"/>
      <c r="H682" s="708"/>
      <c r="I682" s="708"/>
      <c r="J682" s="708"/>
      <c r="K682" s="710"/>
      <c r="L682" s="270"/>
      <c r="M682" s="706" t="str">
        <f t="shared" si="10"/>
        <v/>
      </c>
    </row>
    <row r="683" spans="1:13" ht="14.45" customHeight="1" x14ac:dyDescent="0.2">
      <c r="A683" s="711"/>
      <c r="B683" s="707"/>
      <c r="C683" s="708"/>
      <c r="D683" s="708"/>
      <c r="E683" s="709"/>
      <c r="F683" s="707"/>
      <c r="G683" s="708"/>
      <c r="H683" s="708"/>
      <c r="I683" s="708"/>
      <c r="J683" s="708"/>
      <c r="K683" s="710"/>
      <c r="L683" s="270"/>
      <c r="M683" s="706" t="str">
        <f t="shared" si="10"/>
        <v/>
      </c>
    </row>
    <row r="684" spans="1:13" ht="14.45" customHeight="1" x14ac:dyDescent="0.2">
      <c r="A684" s="711"/>
      <c r="B684" s="707"/>
      <c r="C684" s="708"/>
      <c r="D684" s="708"/>
      <c r="E684" s="709"/>
      <c r="F684" s="707"/>
      <c r="G684" s="708"/>
      <c r="H684" s="708"/>
      <c r="I684" s="708"/>
      <c r="J684" s="708"/>
      <c r="K684" s="710"/>
      <c r="L684" s="270"/>
      <c r="M684" s="706" t="str">
        <f t="shared" si="10"/>
        <v/>
      </c>
    </row>
    <row r="685" spans="1:13" ht="14.45" customHeight="1" x14ac:dyDescent="0.2">
      <c r="A685" s="711"/>
      <c r="B685" s="707"/>
      <c r="C685" s="708"/>
      <c r="D685" s="708"/>
      <c r="E685" s="709"/>
      <c r="F685" s="707"/>
      <c r="G685" s="708"/>
      <c r="H685" s="708"/>
      <c r="I685" s="708"/>
      <c r="J685" s="708"/>
      <c r="K685" s="710"/>
      <c r="L685" s="270"/>
      <c r="M685" s="706" t="str">
        <f t="shared" si="10"/>
        <v/>
      </c>
    </row>
    <row r="686" spans="1:13" ht="14.45" customHeight="1" x14ac:dyDescent="0.2">
      <c r="A686" s="711"/>
      <c r="B686" s="707"/>
      <c r="C686" s="708"/>
      <c r="D686" s="708"/>
      <c r="E686" s="709"/>
      <c r="F686" s="707"/>
      <c r="G686" s="708"/>
      <c r="H686" s="708"/>
      <c r="I686" s="708"/>
      <c r="J686" s="708"/>
      <c r="K686" s="710"/>
      <c r="L686" s="270"/>
      <c r="M686" s="706" t="str">
        <f t="shared" si="10"/>
        <v/>
      </c>
    </row>
    <row r="687" spans="1:13" ht="14.45" customHeight="1" x14ac:dyDescent="0.2">
      <c r="A687" s="711"/>
      <c r="B687" s="707"/>
      <c r="C687" s="708"/>
      <c r="D687" s="708"/>
      <c r="E687" s="709"/>
      <c r="F687" s="707"/>
      <c r="G687" s="708"/>
      <c r="H687" s="708"/>
      <c r="I687" s="708"/>
      <c r="J687" s="708"/>
      <c r="K687" s="710"/>
      <c r="L687" s="270"/>
      <c r="M687" s="706" t="str">
        <f t="shared" si="10"/>
        <v/>
      </c>
    </row>
    <row r="688" spans="1:13" ht="14.45" customHeight="1" x14ac:dyDescent="0.2">
      <c r="A688" s="711"/>
      <c r="B688" s="707"/>
      <c r="C688" s="708"/>
      <c r="D688" s="708"/>
      <c r="E688" s="709"/>
      <c r="F688" s="707"/>
      <c r="G688" s="708"/>
      <c r="H688" s="708"/>
      <c r="I688" s="708"/>
      <c r="J688" s="708"/>
      <c r="K688" s="710"/>
      <c r="L688" s="270"/>
      <c r="M688" s="706" t="str">
        <f t="shared" si="10"/>
        <v/>
      </c>
    </row>
    <row r="689" spans="1:13" ht="14.45" customHeight="1" x14ac:dyDescent="0.2">
      <c r="A689" s="711"/>
      <c r="B689" s="707"/>
      <c r="C689" s="708"/>
      <c r="D689" s="708"/>
      <c r="E689" s="709"/>
      <c r="F689" s="707"/>
      <c r="G689" s="708"/>
      <c r="H689" s="708"/>
      <c r="I689" s="708"/>
      <c r="J689" s="708"/>
      <c r="K689" s="710"/>
      <c r="L689" s="270"/>
      <c r="M689" s="706" t="str">
        <f t="shared" si="10"/>
        <v/>
      </c>
    </row>
    <row r="690" spans="1:13" ht="14.45" customHeight="1" x14ac:dyDescent="0.2">
      <c r="A690" s="711"/>
      <c r="B690" s="707"/>
      <c r="C690" s="708"/>
      <c r="D690" s="708"/>
      <c r="E690" s="709"/>
      <c r="F690" s="707"/>
      <c r="G690" s="708"/>
      <c r="H690" s="708"/>
      <c r="I690" s="708"/>
      <c r="J690" s="708"/>
      <c r="K690" s="710"/>
      <c r="L690" s="270"/>
      <c r="M690" s="706" t="str">
        <f t="shared" si="10"/>
        <v/>
      </c>
    </row>
    <row r="691" spans="1:13" ht="14.45" customHeight="1" x14ac:dyDescent="0.2">
      <c r="A691" s="711"/>
      <c r="B691" s="707"/>
      <c r="C691" s="708"/>
      <c r="D691" s="708"/>
      <c r="E691" s="709"/>
      <c r="F691" s="707"/>
      <c r="G691" s="708"/>
      <c r="H691" s="708"/>
      <c r="I691" s="708"/>
      <c r="J691" s="708"/>
      <c r="K691" s="710"/>
      <c r="L691" s="270"/>
      <c r="M691" s="706" t="str">
        <f t="shared" si="10"/>
        <v/>
      </c>
    </row>
    <row r="692" spans="1:13" ht="14.45" customHeight="1" x14ac:dyDescent="0.2">
      <c r="A692" s="711"/>
      <c r="B692" s="707"/>
      <c r="C692" s="708"/>
      <c r="D692" s="708"/>
      <c r="E692" s="709"/>
      <c r="F692" s="707"/>
      <c r="G692" s="708"/>
      <c r="H692" s="708"/>
      <c r="I692" s="708"/>
      <c r="J692" s="708"/>
      <c r="K692" s="710"/>
      <c r="L692" s="270"/>
      <c r="M692" s="706" t="str">
        <f t="shared" si="10"/>
        <v/>
      </c>
    </row>
    <row r="693" spans="1:13" ht="14.45" customHeight="1" x14ac:dyDescent="0.2">
      <c r="A693" s="711"/>
      <c r="B693" s="707"/>
      <c r="C693" s="708"/>
      <c r="D693" s="708"/>
      <c r="E693" s="709"/>
      <c r="F693" s="707"/>
      <c r="G693" s="708"/>
      <c r="H693" s="708"/>
      <c r="I693" s="708"/>
      <c r="J693" s="708"/>
      <c r="K693" s="710"/>
      <c r="L693" s="270"/>
      <c r="M693" s="706" t="str">
        <f t="shared" si="10"/>
        <v/>
      </c>
    </row>
    <row r="694" spans="1:13" ht="14.45" customHeight="1" x14ac:dyDescent="0.2">
      <c r="A694" s="711"/>
      <c r="B694" s="707"/>
      <c r="C694" s="708"/>
      <c r="D694" s="708"/>
      <c r="E694" s="709"/>
      <c r="F694" s="707"/>
      <c r="G694" s="708"/>
      <c r="H694" s="708"/>
      <c r="I694" s="708"/>
      <c r="J694" s="708"/>
      <c r="K694" s="710"/>
      <c r="L694" s="270"/>
      <c r="M694" s="706" t="str">
        <f t="shared" si="10"/>
        <v/>
      </c>
    </row>
    <row r="695" spans="1:13" ht="14.45" customHeight="1" x14ac:dyDescent="0.2">
      <c r="A695" s="711"/>
      <c r="B695" s="707"/>
      <c r="C695" s="708"/>
      <c r="D695" s="708"/>
      <c r="E695" s="709"/>
      <c r="F695" s="707"/>
      <c r="G695" s="708"/>
      <c r="H695" s="708"/>
      <c r="I695" s="708"/>
      <c r="J695" s="708"/>
      <c r="K695" s="710"/>
      <c r="L695" s="270"/>
      <c r="M695" s="706" t="str">
        <f t="shared" si="10"/>
        <v/>
      </c>
    </row>
    <row r="696" spans="1:13" ht="14.45" customHeight="1" x14ac:dyDescent="0.2">
      <c r="A696" s="711"/>
      <c r="B696" s="707"/>
      <c r="C696" s="708"/>
      <c r="D696" s="708"/>
      <c r="E696" s="709"/>
      <c r="F696" s="707"/>
      <c r="G696" s="708"/>
      <c r="H696" s="708"/>
      <c r="I696" s="708"/>
      <c r="J696" s="708"/>
      <c r="K696" s="710"/>
      <c r="L696" s="270"/>
      <c r="M696" s="706" t="str">
        <f t="shared" si="10"/>
        <v/>
      </c>
    </row>
    <row r="697" spans="1:13" ht="14.45" customHeight="1" x14ac:dyDescent="0.2">
      <c r="A697" s="711"/>
      <c r="B697" s="707"/>
      <c r="C697" s="708"/>
      <c r="D697" s="708"/>
      <c r="E697" s="709"/>
      <c r="F697" s="707"/>
      <c r="G697" s="708"/>
      <c r="H697" s="708"/>
      <c r="I697" s="708"/>
      <c r="J697" s="708"/>
      <c r="K697" s="710"/>
      <c r="L697" s="270"/>
      <c r="M697" s="706" t="str">
        <f t="shared" si="10"/>
        <v/>
      </c>
    </row>
    <row r="698" spans="1:13" ht="14.45" customHeight="1" x14ac:dyDescent="0.2">
      <c r="A698" s="711"/>
      <c r="B698" s="707"/>
      <c r="C698" s="708"/>
      <c r="D698" s="708"/>
      <c r="E698" s="709"/>
      <c r="F698" s="707"/>
      <c r="G698" s="708"/>
      <c r="H698" s="708"/>
      <c r="I698" s="708"/>
      <c r="J698" s="708"/>
      <c r="K698" s="710"/>
      <c r="L698" s="270"/>
      <c r="M698" s="706" t="str">
        <f t="shared" si="10"/>
        <v/>
      </c>
    </row>
    <row r="699" spans="1:13" ht="14.45" customHeight="1" x14ac:dyDescent="0.2">
      <c r="A699" s="711"/>
      <c r="B699" s="707"/>
      <c r="C699" s="708"/>
      <c r="D699" s="708"/>
      <c r="E699" s="709"/>
      <c r="F699" s="707"/>
      <c r="G699" s="708"/>
      <c r="H699" s="708"/>
      <c r="I699" s="708"/>
      <c r="J699" s="708"/>
      <c r="K699" s="710"/>
      <c r="L699" s="270"/>
      <c r="M699" s="706" t="str">
        <f t="shared" si="10"/>
        <v/>
      </c>
    </row>
    <row r="700" spans="1:13" ht="14.45" customHeight="1" x14ac:dyDescent="0.2">
      <c r="A700" s="711"/>
      <c r="B700" s="707"/>
      <c r="C700" s="708"/>
      <c r="D700" s="708"/>
      <c r="E700" s="709"/>
      <c r="F700" s="707"/>
      <c r="G700" s="708"/>
      <c r="H700" s="708"/>
      <c r="I700" s="708"/>
      <c r="J700" s="708"/>
      <c r="K700" s="710"/>
      <c r="L700" s="270"/>
      <c r="M700" s="706" t="str">
        <f t="shared" si="10"/>
        <v/>
      </c>
    </row>
    <row r="701" spans="1:13" ht="14.45" customHeight="1" x14ac:dyDescent="0.2">
      <c r="A701" s="711"/>
      <c r="B701" s="707"/>
      <c r="C701" s="708"/>
      <c r="D701" s="708"/>
      <c r="E701" s="709"/>
      <c r="F701" s="707"/>
      <c r="G701" s="708"/>
      <c r="H701" s="708"/>
      <c r="I701" s="708"/>
      <c r="J701" s="708"/>
      <c r="K701" s="710"/>
      <c r="L701" s="270"/>
      <c r="M701" s="706" t="str">
        <f t="shared" si="10"/>
        <v/>
      </c>
    </row>
    <row r="702" spans="1:13" ht="14.45" customHeight="1" x14ac:dyDescent="0.2">
      <c r="A702" s="711"/>
      <c r="B702" s="707"/>
      <c r="C702" s="708"/>
      <c r="D702" s="708"/>
      <c r="E702" s="709"/>
      <c r="F702" s="707"/>
      <c r="G702" s="708"/>
      <c r="H702" s="708"/>
      <c r="I702" s="708"/>
      <c r="J702" s="708"/>
      <c r="K702" s="710"/>
      <c r="L702" s="270"/>
      <c r="M702" s="706" t="str">
        <f t="shared" si="10"/>
        <v/>
      </c>
    </row>
    <row r="703" spans="1:13" ht="14.45" customHeight="1" x14ac:dyDescent="0.2">
      <c r="A703" s="711"/>
      <c r="B703" s="707"/>
      <c r="C703" s="708"/>
      <c r="D703" s="708"/>
      <c r="E703" s="709"/>
      <c r="F703" s="707"/>
      <c r="G703" s="708"/>
      <c r="H703" s="708"/>
      <c r="I703" s="708"/>
      <c r="J703" s="708"/>
      <c r="K703" s="710"/>
      <c r="L703" s="270"/>
      <c r="M703" s="706" t="str">
        <f t="shared" si="10"/>
        <v/>
      </c>
    </row>
    <row r="704" spans="1:13" ht="14.45" customHeight="1" x14ac:dyDescent="0.2">
      <c r="A704" s="711"/>
      <c r="B704" s="707"/>
      <c r="C704" s="708"/>
      <c r="D704" s="708"/>
      <c r="E704" s="709"/>
      <c r="F704" s="707"/>
      <c r="G704" s="708"/>
      <c r="H704" s="708"/>
      <c r="I704" s="708"/>
      <c r="J704" s="708"/>
      <c r="K704" s="710"/>
      <c r="L704" s="270"/>
      <c r="M704" s="706" t="str">
        <f t="shared" si="10"/>
        <v/>
      </c>
    </row>
    <row r="705" spans="1:13" ht="14.45" customHeight="1" x14ac:dyDescent="0.2">
      <c r="A705" s="711"/>
      <c r="B705" s="707"/>
      <c r="C705" s="708"/>
      <c r="D705" s="708"/>
      <c r="E705" s="709"/>
      <c r="F705" s="707"/>
      <c r="G705" s="708"/>
      <c r="H705" s="708"/>
      <c r="I705" s="708"/>
      <c r="J705" s="708"/>
      <c r="K705" s="710"/>
      <c r="L705" s="270"/>
      <c r="M705" s="706" t="str">
        <f t="shared" si="10"/>
        <v/>
      </c>
    </row>
    <row r="706" spans="1:13" ht="14.45" customHeight="1" x14ac:dyDescent="0.2">
      <c r="A706" s="711"/>
      <c r="B706" s="707"/>
      <c r="C706" s="708"/>
      <c r="D706" s="708"/>
      <c r="E706" s="709"/>
      <c r="F706" s="707"/>
      <c r="G706" s="708"/>
      <c r="H706" s="708"/>
      <c r="I706" s="708"/>
      <c r="J706" s="708"/>
      <c r="K706" s="710"/>
      <c r="L706" s="270"/>
      <c r="M706" s="706" t="str">
        <f t="shared" si="10"/>
        <v/>
      </c>
    </row>
    <row r="707" spans="1:13" ht="14.45" customHeight="1" x14ac:dyDescent="0.2">
      <c r="A707" s="711"/>
      <c r="B707" s="707"/>
      <c r="C707" s="708"/>
      <c r="D707" s="708"/>
      <c r="E707" s="709"/>
      <c r="F707" s="707"/>
      <c r="G707" s="708"/>
      <c r="H707" s="708"/>
      <c r="I707" s="708"/>
      <c r="J707" s="708"/>
      <c r="K707" s="710"/>
      <c r="L707" s="270"/>
      <c r="M707" s="706" t="str">
        <f t="shared" si="10"/>
        <v/>
      </c>
    </row>
    <row r="708" spans="1:13" ht="14.45" customHeight="1" x14ac:dyDescent="0.2">
      <c r="A708" s="711"/>
      <c r="B708" s="707"/>
      <c r="C708" s="708"/>
      <c r="D708" s="708"/>
      <c r="E708" s="709"/>
      <c r="F708" s="707"/>
      <c r="G708" s="708"/>
      <c r="H708" s="708"/>
      <c r="I708" s="708"/>
      <c r="J708" s="708"/>
      <c r="K708" s="710"/>
      <c r="L708" s="270"/>
      <c r="M708" s="706" t="str">
        <f t="shared" si="10"/>
        <v/>
      </c>
    </row>
    <row r="709" spans="1:13" ht="14.45" customHeight="1" x14ac:dyDescent="0.2">
      <c r="A709" s="711"/>
      <c r="B709" s="707"/>
      <c r="C709" s="708"/>
      <c r="D709" s="708"/>
      <c r="E709" s="709"/>
      <c r="F709" s="707"/>
      <c r="G709" s="708"/>
      <c r="H709" s="708"/>
      <c r="I709" s="708"/>
      <c r="J709" s="708"/>
      <c r="K709" s="710"/>
      <c r="L709" s="270"/>
      <c r="M709" s="706" t="str">
        <f t="shared" si="10"/>
        <v/>
      </c>
    </row>
    <row r="710" spans="1:13" ht="14.45" customHeight="1" x14ac:dyDescent="0.2">
      <c r="A710" s="711"/>
      <c r="B710" s="707"/>
      <c r="C710" s="708"/>
      <c r="D710" s="708"/>
      <c r="E710" s="709"/>
      <c r="F710" s="707"/>
      <c r="G710" s="708"/>
      <c r="H710" s="708"/>
      <c r="I710" s="708"/>
      <c r="J710" s="708"/>
      <c r="K710" s="710"/>
      <c r="L710" s="270"/>
      <c r="M710" s="706" t="str">
        <f t="shared" ref="M710:M773" si="11">IF(A710="HV","HV",IF(OR(LEFT(A710,16)="               5",LEFT(A710,16)="               6",LEFT(A710,16)="               7",LEFT(A710,16)="               8"),"X",""))</f>
        <v/>
      </c>
    </row>
    <row r="711" spans="1:13" ht="14.45" customHeight="1" x14ac:dyDescent="0.2">
      <c r="A711" s="711"/>
      <c r="B711" s="707"/>
      <c r="C711" s="708"/>
      <c r="D711" s="708"/>
      <c r="E711" s="709"/>
      <c r="F711" s="707"/>
      <c r="G711" s="708"/>
      <c r="H711" s="708"/>
      <c r="I711" s="708"/>
      <c r="J711" s="708"/>
      <c r="K711" s="710"/>
      <c r="L711" s="270"/>
      <c r="M711" s="706" t="str">
        <f t="shared" si="11"/>
        <v/>
      </c>
    </row>
    <row r="712" spans="1:13" ht="14.45" customHeight="1" x14ac:dyDescent="0.2">
      <c r="A712" s="711"/>
      <c r="B712" s="707"/>
      <c r="C712" s="708"/>
      <c r="D712" s="708"/>
      <c r="E712" s="709"/>
      <c r="F712" s="707"/>
      <c r="G712" s="708"/>
      <c r="H712" s="708"/>
      <c r="I712" s="708"/>
      <c r="J712" s="708"/>
      <c r="K712" s="710"/>
      <c r="L712" s="270"/>
      <c r="M712" s="706" t="str">
        <f t="shared" si="11"/>
        <v/>
      </c>
    </row>
    <row r="713" spans="1:13" ht="14.45" customHeight="1" x14ac:dyDescent="0.2">
      <c r="A713" s="711"/>
      <c r="B713" s="707"/>
      <c r="C713" s="708"/>
      <c r="D713" s="708"/>
      <c r="E713" s="709"/>
      <c r="F713" s="707"/>
      <c r="G713" s="708"/>
      <c r="H713" s="708"/>
      <c r="I713" s="708"/>
      <c r="J713" s="708"/>
      <c r="K713" s="710"/>
      <c r="L713" s="270"/>
      <c r="M713" s="706" t="str">
        <f t="shared" si="11"/>
        <v/>
      </c>
    </row>
    <row r="714" spans="1:13" ht="14.45" customHeight="1" x14ac:dyDescent="0.2">
      <c r="A714" s="711"/>
      <c r="B714" s="707"/>
      <c r="C714" s="708"/>
      <c r="D714" s="708"/>
      <c r="E714" s="709"/>
      <c r="F714" s="707"/>
      <c r="G714" s="708"/>
      <c r="H714" s="708"/>
      <c r="I714" s="708"/>
      <c r="J714" s="708"/>
      <c r="K714" s="710"/>
      <c r="L714" s="270"/>
      <c r="M714" s="706" t="str">
        <f t="shared" si="11"/>
        <v/>
      </c>
    </row>
    <row r="715" spans="1:13" ht="14.45" customHeight="1" x14ac:dyDescent="0.2">
      <c r="A715" s="711"/>
      <c r="B715" s="707"/>
      <c r="C715" s="708"/>
      <c r="D715" s="708"/>
      <c r="E715" s="709"/>
      <c r="F715" s="707"/>
      <c r="G715" s="708"/>
      <c r="H715" s="708"/>
      <c r="I715" s="708"/>
      <c r="J715" s="708"/>
      <c r="K715" s="710"/>
      <c r="L715" s="270"/>
      <c r="M715" s="706" t="str">
        <f t="shared" si="11"/>
        <v/>
      </c>
    </row>
    <row r="716" spans="1:13" ht="14.45" customHeight="1" x14ac:dyDescent="0.2">
      <c r="A716" s="711"/>
      <c r="B716" s="707"/>
      <c r="C716" s="708"/>
      <c r="D716" s="708"/>
      <c r="E716" s="709"/>
      <c r="F716" s="707"/>
      <c r="G716" s="708"/>
      <c r="H716" s="708"/>
      <c r="I716" s="708"/>
      <c r="J716" s="708"/>
      <c r="K716" s="710"/>
      <c r="L716" s="270"/>
      <c r="M716" s="706" t="str">
        <f t="shared" si="11"/>
        <v/>
      </c>
    </row>
    <row r="717" spans="1:13" ht="14.45" customHeight="1" x14ac:dyDescent="0.2">
      <c r="A717" s="711"/>
      <c r="B717" s="707"/>
      <c r="C717" s="708"/>
      <c r="D717" s="708"/>
      <c r="E717" s="709"/>
      <c r="F717" s="707"/>
      <c r="G717" s="708"/>
      <c r="H717" s="708"/>
      <c r="I717" s="708"/>
      <c r="J717" s="708"/>
      <c r="K717" s="710"/>
      <c r="L717" s="270"/>
      <c r="M717" s="706" t="str">
        <f t="shared" si="11"/>
        <v/>
      </c>
    </row>
    <row r="718" spans="1:13" ht="14.45" customHeight="1" x14ac:dyDescent="0.2">
      <c r="A718" s="711"/>
      <c r="B718" s="707"/>
      <c r="C718" s="708"/>
      <c r="D718" s="708"/>
      <c r="E718" s="709"/>
      <c r="F718" s="707"/>
      <c r="G718" s="708"/>
      <c r="H718" s="708"/>
      <c r="I718" s="708"/>
      <c r="J718" s="708"/>
      <c r="K718" s="710"/>
      <c r="L718" s="270"/>
      <c r="M718" s="706" t="str">
        <f t="shared" si="11"/>
        <v/>
      </c>
    </row>
    <row r="719" spans="1:13" ht="14.45" customHeight="1" x14ac:dyDescent="0.2">
      <c r="A719" s="711"/>
      <c r="B719" s="707"/>
      <c r="C719" s="708"/>
      <c r="D719" s="708"/>
      <c r="E719" s="709"/>
      <c r="F719" s="707"/>
      <c r="G719" s="708"/>
      <c r="H719" s="708"/>
      <c r="I719" s="708"/>
      <c r="J719" s="708"/>
      <c r="K719" s="710"/>
      <c r="L719" s="270"/>
      <c r="M719" s="706" t="str">
        <f t="shared" si="11"/>
        <v/>
      </c>
    </row>
    <row r="720" spans="1:13" ht="14.45" customHeight="1" x14ac:dyDescent="0.2">
      <c r="A720" s="711"/>
      <c r="B720" s="707"/>
      <c r="C720" s="708"/>
      <c r="D720" s="708"/>
      <c r="E720" s="709"/>
      <c r="F720" s="707"/>
      <c r="G720" s="708"/>
      <c r="H720" s="708"/>
      <c r="I720" s="708"/>
      <c r="J720" s="708"/>
      <c r="K720" s="710"/>
      <c r="L720" s="270"/>
      <c r="M720" s="706" t="str">
        <f t="shared" si="11"/>
        <v/>
      </c>
    </row>
    <row r="721" spans="1:13" ht="14.45" customHeight="1" x14ac:dyDescent="0.2">
      <c r="A721" s="711"/>
      <c r="B721" s="707"/>
      <c r="C721" s="708"/>
      <c r="D721" s="708"/>
      <c r="E721" s="709"/>
      <c r="F721" s="707"/>
      <c r="G721" s="708"/>
      <c r="H721" s="708"/>
      <c r="I721" s="708"/>
      <c r="J721" s="708"/>
      <c r="K721" s="710"/>
      <c r="L721" s="270"/>
      <c r="M721" s="706" t="str">
        <f t="shared" si="11"/>
        <v/>
      </c>
    </row>
    <row r="722" spans="1:13" ht="14.45" customHeight="1" x14ac:dyDescent="0.2">
      <c r="A722" s="711"/>
      <c r="B722" s="707"/>
      <c r="C722" s="708"/>
      <c r="D722" s="708"/>
      <c r="E722" s="709"/>
      <c r="F722" s="707"/>
      <c r="G722" s="708"/>
      <c r="H722" s="708"/>
      <c r="I722" s="708"/>
      <c r="J722" s="708"/>
      <c r="K722" s="710"/>
      <c r="L722" s="270"/>
      <c r="M722" s="706" t="str">
        <f t="shared" si="11"/>
        <v/>
      </c>
    </row>
    <row r="723" spans="1:13" ht="14.45" customHeight="1" x14ac:dyDescent="0.2">
      <c r="A723" s="711"/>
      <c r="B723" s="707"/>
      <c r="C723" s="708"/>
      <c r="D723" s="708"/>
      <c r="E723" s="709"/>
      <c r="F723" s="707"/>
      <c r="G723" s="708"/>
      <c r="H723" s="708"/>
      <c r="I723" s="708"/>
      <c r="J723" s="708"/>
      <c r="K723" s="710"/>
      <c r="L723" s="270"/>
      <c r="M723" s="706" t="str">
        <f t="shared" si="11"/>
        <v/>
      </c>
    </row>
    <row r="724" spans="1:13" ht="14.45" customHeight="1" x14ac:dyDescent="0.2">
      <c r="A724" s="711"/>
      <c r="B724" s="707"/>
      <c r="C724" s="708"/>
      <c r="D724" s="708"/>
      <c r="E724" s="709"/>
      <c r="F724" s="707"/>
      <c r="G724" s="708"/>
      <c r="H724" s="708"/>
      <c r="I724" s="708"/>
      <c r="J724" s="708"/>
      <c r="K724" s="710"/>
      <c r="L724" s="270"/>
      <c r="M724" s="706" t="str">
        <f t="shared" si="11"/>
        <v/>
      </c>
    </row>
    <row r="725" spans="1:13" ht="14.45" customHeight="1" x14ac:dyDescent="0.2">
      <c r="A725" s="711"/>
      <c r="B725" s="707"/>
      <c r="C725" s="708"/>
      <c r="D725" s="708"/>
      <c r="E725" s="709"/>
      <c r="F725" s="707"/>
      <c r="G725" s="708"/>
      <c r="H725" s="708"/>
      <c r="I725" s="708"/>
      <c r="J725" s="708"/>
      <c r="K725" s="710"/>
      <c r="L725" s="270"/>
      <c r="M725" s="706" t="str">
        <f t="shared" si="11"/>
        <v/>
      </c>
    </row>
    <row r="726" spans="1:13" ht="14.45" customHeight="1" x14ac:dyDescent="0.2">
      <c r="A726" s="711"/>
      <c r="B726" s="707"/>
      <c r="C726" s="708"/>
      <c r="D726" s="708"/>
      <c r="E726" s="709"/>
      <c r="F726" s="707"/>
      <c r="G726" s="708"/>
      <c r="H726" s="708"/>
      <c r="I726" s="708"/>
      <c r="J726" s="708"/>
      <c r="K726" s="710"/>
      <c r="L726" s="270"/>
      <c r="M726" s="706" t="str">
        <f t="shared" si="11"/>
        <v/>
      </c>
    </row>
    <row r="727" spans="1:13" ht="14.45" customHeight="1" x14ac:dyDescent="0.2">
      <c r="A727" s="711"/>
      <c r="B727" s="707"/>
      <c r="C727" s="708"/>
      <c r="D727" s="708"/>
      <c r="E727" s="709"/>
      <c r="F727" s="707"/>
      <c r="G727" s="708"/>
      <c r="H727" s="708"/>
      <c r="I727" s="708"/>
      <c r="J727" s="708"/>
      <c r="K727" s="710"/>
      <c r="L727" s="270"/>
      <c r="M727" s="706" t="str">
        <f t="shared" si="11"/>
        <v/>
      </c>
    </row>
    <row r="728" spans="1:13" ht="14.45" customHeight="1" x14ac:dyDescent="0.2">
      <c r="A728" s="711"/>
      <c r="B728" s="707"/>
      <c r="C728" s="708"/>
      <c r="D728" s="708"/>
      <c r="E728" s="709"/>
      <c r="F728" s="707"/>
      <c r="G728" s="708"/>
      <c r="H728" s="708"/>
      <c r="I728" s="708"/>
      <c r="J728" s="708"/>
      <c r="K728" s="710"/>
      <c r="L728" s="270"/>
      <c r="M728" s="706" t="str">
        <f t="shared" si="11"/>
        <v/>
      </c>
    </row>
    <row r="729" spans="1:13" ht="14.45" customHeight="1" x14ac:dyDescent="0.2">
      <c r="A729" s="711"/>
      <c r="B729" s="707"/>
      <c r="C729" s="708"/>
      <c r="D729" s="708"/>
      <c r="E729" s="709"/>
      <c r="F729" s="707"/>
      <c r="G729" s="708"/>
      <c r="H729" s="708"/>
      <c r="I729" s="708"/>
      <c r="J729" s="708"/>
      <c r="K729" s="710"/>
      <c r="L729" s="270"/>
      <c r="M729" s="706" t="str">
        <f t="shared" si="11"/>
        <v/>
      </c>
    </row>
    <row r="730" spans="1:13" ht="14.45" customHeight="1" x14ac:dyDescent="0.2">
      <c r="A730" s="711"/>
      <c r="B730" s="707"/>
      <c r="C730" s="708"/>
      <c r="D730" s="708"/>
      <c r="E730" s="709"/>
      <c r="F730" s="707"/>
      <c r="G730" s="708"/>
      <c r="H730" s="708"/>
      <c r="I730" s="708"/>
      <c r="J730" s="708"/>
      <c r="K730" s="710"/>
      <c r="L730" s="270"/>
      <c r="M730" s="706" t="str">
        <f t="shared" si="11"/>
        <v/>
      </c>
    </row>
    <row r="731" spans="1:13" ht="14.45" customHeight="1" x14ac:dyDescent="0.2">
      <c r="A731" s="711"/>
      <c r="B731" s="707"/>
      <c r="C731" s="708"/>
      <c r="D731" s="708"/>
      <c r="E731" s="709"/>
      <c r="F731" s="707"/>
      <c r="G731" s="708"/>
      <c r="H731" s="708"/>
      <c r="I731" s="708"/>
      <c r="J731" s="708"/>
      <c r="K731" s="710"/>
      <c r="L731" s="270"/>
      <c r="M731" s="706" t="str">
        <f t="shared" si="11"/>
        <v/>
      </c>
    </row>
    <row r="732" spans="1:13" ht="14.45" customHeight="1" x14ac:dyDescent="0.2">
      <c r="A732" s="711"/>
      <c r="B732" s="707"/>
      <c r="C732" s="708"/>
      <c r="D732" s="708"/>
      <c r="E732" s="709"/>
      <c r="F732" s="707"/>
      <c r="G732" s="708"/>
      <c r="H732" s="708"/>
      <c r="I732" s="708"/>
      <c r="J732" s="708"/>
      <c r="K732" s="710"/>
      <c r="L732" s="270"/>
      <c r="M732" s="706" t="str">
        <f t="shared" si="11"/>
        <v/>
      </c>
    </row>
    <row r="733" spans="1:13" ht="14.45" customHeight="1" x14ac:dyDescent="0.2">
      <c r="A733" s="711"/>
      <c r="B733" s="707"/>
      <c r="C733" s="708"/>
      <c r="D733" s="708"/>
      <c r="E733" s="709"/>
      <c r="F733" s="707"/>
      <c r="G733" s="708"/>
      <c r="H733" s="708"/>
      <c r="I733" s="708"/>
      <c r="J733" s="708"/>
      <c r="K733" s="710"/>
      <c r="L733" s="270"/>
      <c r="M733" s="706" t="str">
        <f t="shared" si="11"/>
        <v/>
      </c>
    </row>
    <row r="734" spans="1:13" ht="14.45" customHeight="1" x14ac:dyDescent="0.2">
      <c r="A734" s="711"/>
      <c r="B734" s="707"/>
      <c r="C734" s="708"/>
      <c r="D734" s="708"/>
      <c r="E734" s="709"/>
      <c r="F734" s="707"/>
      <c r="G734" s="708"/>
      <c r="H734" s="708"/>
      <c r="I734" s="708"/>
      <c r="J734" s="708"/>
      <c r="K734" s="710"/>
      <c r="L734" s="270"/>
      <c r="M734" s="706" t="str">
        <f t="shared" si="11"/>
        <v/>
      </c>
    </row>
    <row r="735" spans="1:13" ht="14.45" customHeight="1" x14ac:dyDescent="0.2">
      <c r="A735" s="711"/>
      <c r="B735" s="707"/>
      <c r="C735" s="708"/>
      <c r="D735" s="708"/>
      <c r="E735" s="709"/>
      <c r="F735" s="707"/>
      <c r="G735" s="708"/>
      <c r="H735" s="708"/>
      <c r="I735" s="708"/>
      <c r="J735" s="708"/>
      <c r="K735" s="710"/>
      <c r="L735" s="270"/>
      <c r="M735" s="706" t="str">
        <f t="shared" si="11"/>
        <v/>
      </c>
    </row>
    <row r="736" spans="1:13" ht="14.45" customHeight="1" x14ac:dyDescent="0.2">
      <c r="A736" s="711"/>
      <c r="B736" s="707"/>
      <c r="C736" s="708"/>
      <c r="D736" s="708"/>
      <c r="E736" s="709"/>
      <c r="F736" s="707"/>
      <c r="G736" s="708"/>
      <c r="H736" s="708"/>
      <c r="I736" s="708"/>
      <c r="J736" s="708"/>
      <c r="K736" s="710"/>
      <c r="L736" s="270"/>
      <c r="M736" s="706" t="str">
        <f t="shared" si="11"/>
        <v/>
      </c>
    </row>
    <row r="737" spans="1:13" ht="14.45" customHeight="1" x14ac:dyDescent="0.2">
      <c r="A737" s="711"/>
      <c r="B737" s="707"/>
      <c r="C737" s="708"/>
      <c r="D737" s="708"/>
      <c r="E737" s="709"/>
      <c r="F737" s="707"/>
      <c r="G737" s="708"/>
      <c r="H737" s="708"/>
      <c r="I737" s="708"/>
      <c r="J737" s="708"/>
      <c r="K737" s="710"/>
      <c r="L737" s="270"/>
      <c r="M737" s="706" t="str">
        <f t="shared" si="11"/>
        <v/>
      </c>
    </row>
    <row r="738" spans="1:13" ht="14.45" customHeight="1" x14ac:dyDescent="0.2">
      <c r="A738" s="711"/>
      <c r="B738" s="707"/>
      <c r="C738" s="708"/>
      <c r="D738" s="708"/>
      <c r="E738" s="709"/>
      <c r="F738" s="707"/>
      <c r="G738" s="708"/>
      <c r="H738" s="708"/>
      <c r="I738" s="708"/>
      <c r="J738" s="708"/>
      <c r="K738" s="710"/>
      <c r="L738" s="270"/>
      <c r="M738" s="706" t="str">
        <f t="shared" si="11"/>
        <v/>
      </c>
    </row>
    <row r="739" spans="1:13" ht="14.45" customHeight="1" x14ac:dyDescent="0.2">
      <c r="A739" s="711"/>
      <c r="B739" s="707"/>
      <c r="C739" s="708"/>
      <c r="D739" s="708"/>
      <c r="E739" s="709"/>
      <c r="F739" s="707"/>
      <c r="G739" s="708"/>
      <c r="H739" s="708"/>
      <c r="I739" s="708"/>
      <c r="J739" s="708"/>
      <c r="K739" s="710"/>
      <c r="L739" s="270"/>
      <c r="M739" s="706" t="str">
        <f t="shared" si="11"/>
        <v/>
      </c>
    </row>
    <row r="740" spans="1:13" ht="14.45" customHeight="1" x14ac:dyDescent="0.2">
      <c r="A740" s="711"/>
      <c r="B740" s="707"/>
      <c r="C740" s="708"/>
      <c r="D740" s="708"/>
      <c r="E740" s="709"/>
      <c r="F740" s="707"/>
      <c r="G740" s="708"/>
      <c r="H740" s="708"/>
      <c r="I740" s="708"/>
      <c r="J740" s="708"/>
      <c r="K740" s="710"/>
      <c r="L740" s="270"/>
      <c r="M740" s="706" t="str">
        <f t="shared" si="11"/>
        <v/>
      </c>
    </row>
    <row r="741" spans="1:13" ht="14.45" customHeight="1" x14ac:dyDescent="0.2">
      <c r="A741" s="711"/>
      <c r="B741" s="707"/>
      <c r="C741" s="708"/>
      <c r="D741" s="708"/>
      <c r="E741" s="709"/>
      <c r="F741" s="707"/>
      <c r="G741" s="708"/>
      <c r="H741" s="708"/>
      <c r="I741" s="708"/>
      <c r="J741" s="708"/>
      <c r="K741" s="710"/>
      <c r="L741" s="270"/>
      <c r="M741" s="706" t="str">
        <f t="shared" si="11"/>
        <v/>
      </c>
    </row>
    <row r="742" spans="1:13" ht="14.45" customHeight="1" x14ac:dyDescent="0.2">
      <c r="A742" s="711"/>
      <c r="B742" s="707"/>
      <c r="C742" s="708"/>
      <c r="D742" s="708"/>
      <c r="E742" s="709"/>
      <c r="F742" s="707"/>
      <c r="G742" s="708"/>
      <c r="H742" s="708"/>
      <c r="I742" s="708"/>
      <c r="J742" s="708"/>
      <c r="K742" s="710"/>
      <c r="L742" s="270"/>
      <c r="M742" s="706" t="str">
        <f t="shared" si="11"/>
        <v/>
      </c>
    </row>
    <row r="743" spans="1:13" ht="14.45" customHeight="1" x14ac:dyDescent="0.2">
      <c r="A743" s="711"/>
      <c r="B743" s="707"/>
      <c r="C743" s="708"/>
      <c r="D743" s="708"/>
      <c r="E743" s="709"/>
      <c r="F743" s="707"/>
      <c r="G743" s="708"/>
      <c r="H743" s="708"/>
      <c r="I743" s="708"/>
      <c r="J743" s="708"/>
      <c r="K743" s="710"/>
      <c r="L743" s="270"/>
      <c r="M743" s="706" t="str">
        <f t="shared" si="11"/>
        <v/>
      </c>
    </row>
    <row r="744" spans="1:13" ht="14.45" customHeight="1" x14ac:dyDescent="0.2">
      <c r="A744" s="711"/>
      <c r="B744" s="707"/>
      <c r="C744" s="708"/>
      <c r="D744" s="708"/>
      <c r="E744" s="709"/>
      <c r="F744" s="707"/>
      <c r="G744" s="708"/>
      <c r="H744" s="708"/>
      <c r="I744" s="708"/>
      <c r="J744" s="708"/>
      <c r="K744" s="710"/>
      <c r="L744" s="270"/>
      <c r="M744" s="706" t="str">
        <f t="shared" si="11"/>
        <v/>
      </c>
    </row>
    <row r="745" spans="1:13" ht="14.45" customHeight="1" x14ac:dyDescent="0.2">
      <c r="A745" s="711"/>
      <c r="B745" s="707"/>
      <c r="C745" s="708"/>
      <c r="D745" s="708"/>
      <c r="E745" s="709"/>
      <c r="F745" s="707"/>
      <c r="G745" s="708"/>
      <c r="H745" s="708"/>
      <c r="I745" s="708"/>
      <c r="J745" s="708"/>
      <c r="K745" s="710"/>
      <c r="L745" s="270"/>
      <c r="M745" s="706" t="str">
        <f t="shared" si="11"/>
        <v/>
      </c>
    </row>
    <row r="746" spans="1:13" ht="14.45" customHeight="1" x14ac:dyDescent="0.2">
      <c r="A746" s="711"/>
      <c r="B746" s="707"/>
      <c r="C746" s="708"/>
      <c r="D746" s="708"/>
      <c r="E746" s="709"/>
      <c r="F746" s="707"/>
      <c r="G746" s="708"/>
      <c r="H746" s="708"/>
      <c r="I746" s="708"/>
      <c r="J746" s="708"/>
      <c r="K746" s="710"/>
      <c r="L746" s="270"/>
      <c r="M746" s="706" t="str">
        <f t="shared" si="11"/>
        <v/>
      </c>
    </row>
    <row r="747" spans="1:13" ht="14.45" customHeight="1" x14ac:dyDescent="0.2">
      <c r="A747" s="711"/>
      <c r="B747" s="707"/>
      <c r="C747" s="708"/>
      <c r="D747" s="708"/>
      <c r="E747" s="709"/>
      <c r="F747" s="707"/>
      <c r="G747" s="708"/>
      <c r="H747" s="708"/>
      <c r="I747" s="708"/>
      <c r="J747" s="708"/>
      <c r="K747" s="710"/>
      <c r="L747" s="270"/>
      <c r="M747" s="706" t="str">
        <f t="shared" si="11"/>
        <v/>
      </c>
    </row>
    <row r="748" spans="1:13" ht="14.45" customHeight="1" x14ac:dyDescent="0.2">
      <c r="A748" s="711"/>
      <c r="B748" s="707"/>
      <c r="C748" s="708"/>
      <c r="D748" s="708"/>
      <c r="E748" s="709"/>
      <c r="F748" s="707"/>
      <c r="G748" s="708"/>
      <c r="H748" s="708"/>
      <c r="I748" s="708"/>
      <c r="J748" s="708"/>
      <c r="K748" s="710"/>
      <c r="L748" s="270"/>
      <c r="M748" s="706" t="str">
        <f t="shared" si="11"/>
        <v/>
      </c>
    </row>
    <row r="749" spans="1:13" ht="14.45" customHeight="1" x14ac:dyDescent="0.2">
      <c r="A749" s="711"/>
      <c r="B749" s="707"/>
      <c r="C749" s="708"/>
      <c r="D749" s="708"/>
      <c r="E749" s="709"/>
      <c r="F749" s="707"/>
      <c r="G749" s="708"/>
      <c r="H749" s="708"/>
      <c r="I749" s="708"/>
      <c r="J749" s="708"/>
      <c r="K749" s="710"/>
      <c r="L749" s="270"/>
      <c r="M749" s="706" t="str">
        <f t="shared" si="11"/>
        <v/>
      </c>
    </row>
    <row r="750" spans="1:13" ht="14.45" customHeight="1" x14ac:dyDescent="0.2">
      <c r="A750" s="711"/>
      <c r="B750" s="707"/>
      <c r="C750" s="708"/>
      <c r="D750" s="708"/>
      <c r="E750" s="709"/>
      <c r="F750" s="707"/>
      <c r="G750" s="708"/>
      <c r="H750" s="708"/>
      <c r="I750" s="708"/>
      <c r="J750" s="708"/>
      <c r="K750" s="710"/>
      <c r="L750" s="270"/>
      <c r="M750" s="706" t="str">
        <f t="shared" si="11"/>
        <v/>
      </c>
    </row>
    <row r="751" spans="1:13" ht="14.45" customHeight="1" x14ac:dyDescent="0.2">
      <c r="A751" s="711"/>
      <c r="B751" s="707"/>
      <c r="C751" s="708"/>
      <c r="D751" s="708"/>
      <c r="E751" s="709"/>
      <c r="F751" s="707"/>
      <c r="G751" s="708"/>
      <c r="H751" s="708"/>
      <c r="I751" s="708"/>
      <c r="J751" s="708"/>
      <c r="K751" s="710"/>
      <c r="L751" s="270"/>
      <c r="M751" s="706" t="str">
        <f t="shared" si="11"/>
        <v/>
      </c>
    </row>
    <row r="752" spans="1:13" ht="14.45" customHeight="1" x14ac:dyDescent="0.2">
      <c r="A752" s="711"/>
      <c r="B752" s="707"/>
      <c r="C752" s="708"/>
      <c r="D752" s="708"/>
      <c r="E752" s="709"/>
      <c r="F752" s="707"/>
      <c r="G752" s="708"/>
      <c r="H752" s="708"/>
      <c r="I752" s="708"/>
      <c r="J752" s="708"/>
      <c r="K752" s="710"/>
      <c r="L752" s="270"/>
      <c r="M752" s="706" t="str">
        <f t="shared" si="11"/>
        <v/>
      </c>
    </row>
    <row r="753" spans="1:13" ht="14.45" customHeight="1" x14ac:dyDescent="0.2">
      <c r="A753" s="711"/>
      <c r="B753" s="707"/>
      <c r="C753" s="708"/>
      <c r="D753" s="708"/>
      <c r="E753" s="709"/>
      <c r="F753" s="707"/>
      <c r="G753" s="708"/>
      <c r="H753" s="708"/>
      <c r="I753" s="708"/>
      <c r="J753" s="708"/>
      <c r="K753" s="710"/>
      <c r="L753" s="270"/>
      <c r="M753" s="706" t="str">
        <f t="shared" si="11"/>
        <v/>
      </c>
    </row>
    <row r="754" spans="1:13" ht="14.45" customHeight="1" x14ac:dyDescent="0.2">
      <c r="A754" s="711"/>
      <c r="B754" s="707"/>
      <c r="C754" s="708"/>
      <c r="D754" s="708"/>
      <c r="E754" s="709"/>
      <c r="F754" s="707"/>
      <c r="G754" s="708"/>
      <c r="H754" s="708"/>
      <c r="I754" s="708"/>
      <c r="J754" s="708"/>
      <c r="K754" s="710"/>
      <c r="L754" s="270"/>
      <c r="M754" s="706" t="str">
        <f t="shared" si="11"/>
        <v/>
      </c>
    </row>
    <row r="755" spans="1:13" ht="14.45" customHeight="1" x14ac:dyDescent="0.2">
      <c r="A755" s="711"/>
      <c r="B755" s="707"/>
      <c r="C755" s="708"/>
      <c r="D755" s="708"/>
      <c r="E755" s="709"/>
      <c r="F755" s="707"/>
      <c r="G755" s="708"/>
      <c r="H755" s="708"/>
      <c r="I755" s="708"/>
      <c r="J755" s="708"/>
      <c r="K755" s="710"/>
      <c r="L755" s="270"/>
      <c r="M755" s="706" t="str">
        <f t="shared" si="11"/>
        <v/>
      </c>
    </row>
    <row r="756" spans="1:13" ht="14.45" customHeight="1" x14ac:dyDescent="0.2">
      <c r="A756" s="711"/>
      <c r="B756" s="707"/>
      <c r="C756" s="708"/>
      <c r="D756" s="708"/>
      <c r="E756" s="709"/>
      <c r="F756" s="707"/>
      <c r="G756" s="708"/>
      <c r="H756" s="708"/>
      <c r="I756" s="708"/>
      <c r="J756" s="708"/>
      <c r="K756" s="710"/>
      <c r="L756" s="270"/>
      <c r="M756" s="706" t="str">
        <f t="shared" si="11"/>
        <v/>
      </c>
    </row>
    <row r="757" spans="1:13" ht="14.45" customHeight="1" x14ac:dyDescent="0.2">
      <c r="A757" s="711"/>
      <c r="B757" s="707"/>
      <c r="C757" s="708"/>
      <c r="D757" s="708"/>
      <c r="E757" s="709"/>
      <c r="F757" s="707"/>
      <c r="G757" s="708"/>
      <c r="H757" s="708"/>
      <c r="I757" s="708"/>
      <c r="J757" s="708"/>
      <c r="K757" s="710"/>
      <c r="L757" s="270"/>
      <c r="M757" s="706" t="str">
        <f t="shared" si="11"/>
        <v/>
      </c>
    </row>
    <row r="758" spans="1:13" ht="14.45" customHeight="1" x14ac:dyDescent="0.2">
      <c r="A758" s="711"/>
      <c r="B758" s="707"/>
      <c r="C758" s="708"/>
      <c r="D758" s="708"/>
      <c r="E758" s="709"/>
      <c r="F758" s="707"/>
      <c r="G758" s="708"/>
      <c r="H758" s="708"/>
      <c r="I758" s="708"/>
      <c r="J758" s="708"/>
      <c r="K758" s="710"/>
      <c r="L758" s="270"/>
      <c r="M758" s="706" t="str">
        <f t="shared" si="11"/>
        <v/>
      </c>
    </row>
    <row r="759" spans="1:13" ht="14.45" customHeight="1" x14ac:dyDescent="0.2">
      <c r="A759" s="711"/>
      <c r="B759" s="707"/>
      <c r="C759" s="708"/>
      <c r="D759" s="708"/>
      <c r="E759" s="709"/>
      <c r="F759" s="707"/>
      <c r="G759" s="708"/>
      <c r="H759" s="708"/>
      <c r="I759" s="708"/>
      <c r="J759" s="708"/>
      <c r="K759" s="710"/>
      <c r="L759" s="270"/>
      <c r="M759" s="706" t="str">
        <f t="shared" si="11"/>
        <v/>
      </c>
    </row>
    <row r="760" spans="1:13" ht="14.45" customHeight="1" x14ac:dyDescent="0.2">
      <c r="A760" s="711"/>
      <c r="B760" s="707"/>
      <c r="C760" s="708"/>
      <c r="D760" s="708"/>
      <c r="E760" s="709"/>
      <c r="F760" s="707"/>
      <c r="G760" s="708"/>
      <c r="H760" s="708"/>
      <c r="I760" s="708"/>
      <c r="J760" s="708"/>
      <c r="K760" s="710"/>
      <c r="L760" s="270"/>
      <c r="M760" s="706" t="str">
        <f t="shared" si="11"/>
        <v/>
      </c>
    </row>
    <row r="761" spans="1:13" ht="14.45" customHeight="1" x14ac:dyDescent="0.2">
      <c r="A761" s="711"/>
      <c r="B761" s="707"/>
      <c r="C761" s="708"/>
      <c r="D761" s="708"/>
      <c r="E761" s="709"/>
      <c r="F761" s="707"/>
      <c r="G761" s="708"/>
      <c r="H761" s="708"/>
      <c r="I761" s="708"/>
      <c r="J761" s="708"/>
      <c r="K761" s="710"/>
      <c r="L761" s="270"/>
      <c r="M761" s="706" t="str">
        <f t="shared" si="11"/>
        <v/>
      </c>
    </row>
    <row r="762" spans="1:13" ht="14.45" customHeight="1" x14ac:dyDescent="0.2">
      <c r="A762" s="711"/>
      <c r="B762" s="707"/>
      <c r="C762" s="708"/>
      <c r="D762" s="708"/>
      <c r="E762" s="709"/>
      <c r="F762" s="707"/>
      <c r="G762" s="708"/>
      <c r="H762" s="708"/>
      <c r="I762" s="708"/>
      <c r="J762" s="708"/>
      <c r="K762" s="710"/>
      <c r="L762" s="270"/>
      <c r="M762" s="706" t="str">
        <f t="shared" si="11"/>
        <v/>
      </c>
    </row>
    <row r="763" spans="1:13" ht="14.45" customHeight="1" x14ac:dyDescent="0.2">
      <c r="A763" s="711"/>
      <c r="B763" s="707"/>
      <c r="C763" s="708"/>
      <c r="D763" s="708"/>
      <c r="E763" s="709"/>
      <c r="F763" s="707"/>
      <c r="G763" s="708"/>
      <c r="H763" s="708"/>
      <c r="I763" s="708"/>
      <c r="J763" s="708"/>
      <c r="K763" s="710"/>
      <c r="L763" s="270"/>
      <c r="M763" s="706" t="str">
        <f t="shared" si="11"/>
        <v/>
      </c>
    </row>
    <row r="764" spans="1:13" ht="14.45" customHeight="1" x14ac:dyDescent="0.2">
      <c r="A764" s="711"/>
      <c r="B764" s="707"/>
      <c r="C764" s="708"/>
      <c r="D764" s="708"/>
      <c r="E764" s="709"/>
      <c r="F764" s="707"/>
      <c r="G764" s="708"/>
      <c r="H764" s="708"/>
      <c r="I764" s="708"/>
      <c r="J764" s="708"/>
      <c r="K764" s="710"/>
      <c r="L764" s="270"/>
      <c r="M764" s="706" t="str">
        <f t="shared" si="11"/>
        <v/>
      </c>
    </row>
    <row r="765" spans="1:13" ht="14.45" customHeight="1" x14ac:dyDescent="0.2">
      <c r="A765" s="711"/>
      <c r="B765" s="707"/>
      <c r="C765" s="708"/>
      <c r="D765" s="708"/>
      <c r="E765" s="709"/>
      <c r="F765" s="707"/>
      <c r="G765" s="708"/>
      <c r="H765" s="708"/>
      <c r="I765" s="708"/>
      <c r="J765" s="708"/>
      <c r="K765" s="710"/>
      <c r="L765" s="270"/>
      <c r="M765" s="706" t="str">
        <f t="shared" si="11"/>
        <v/>
      </c>
    </row>
    <row r="766" spans="1:13" ht="14.45" customHeight="1" x14ac:dyDescent="0.2">
      <c r="A766" s="711"/>
      <c r="B766" s="707"/>
      <c r="C766" s="708"/>
      <c r="D766" s="708"/>
      <c r="E766" s="709"/>
      <c r="F766" s="707"/>
      <c r="G766" s="708"/>
      <c r="H766" s="708"/>
      <c r="I766" s="708"/>
      <c r="J766" s="708"/>
      <c r="K766" s="710"/>
      <c r="L766" s="270"/>
      <c r="M766" s="706" t="str">
        <f t="shared" si="11"/>
        <v/>
      </c>
    </row>
    <row r="767" spans="1:13" ht="14.45" customHeight="1" x14ac:dyDescent="0.2">
      <c r="A767" s="711"/>
      <c r="B767" s="707"/>
      <c r="C767" s="708"/>
      <c r="D767" s="708"/>
      <c r="E767" s="709"/>
      <c r="F767" s="707"/>
      <c r="G767" s="708"/>
      <c r="H767" s="708"/>
      <c r="I767" s="708"/>
      <c r="J767" s="708"/>
      <c r="K767" s="710"/>
      <c r="L767" s="270"/>
      <c r="M767" s="706" t="str">
        <f t="shared" si="11"/>
        <v/>
      </c>
    </row>
    <row r="768" spans="1:13" ht="14.45" customHeight="1" x14ac:dyDescent="0.2">
      <c r="A768" s="711"/>
      <c r="B768" s="707"/>
      <c r="C768" s="708"/>
      <c r="D768" s="708"/>
      <c r="E768" s="709"/>
      <c r="F768" s="707"/>
      <c r="G768" s="708"/>
      <c r="H768" s="708"/>
      <c r="I768" s="708"/>
      <c r="J768" s="708"/>
      <c r="K768" s="710"/>
      <c r="L768" s="270"/>
      <c r="M768" s="706" t="str">
        <f t="shared" si="11"/>
        <v/>
      </c>
    </row>
    <row r="769" spans="1:13" ht="14.45" customHeight="1" x14ac:dyDescent="0.2">
      <c r="A769" s="711"/>
      <c r="B769" s="707"/>
      <c r="C769" s="708"/>
      <c r="D769" s="708"/>
      <c r="E769" s="709"/>
      <c r="F769" s="707"/>
      <c r="G769" s="708"/>
      <c r="H769" s="708"/>
      <c r="I769" s="708"/>
      <c r="J769" s="708"/>
      <c r="K769" s="710"/>
      <c r="L769" s="270"/>
      <c r="M769" s="706" t="str">
        <f t="shared" si="11"/>
        <v/>
      </c>
    </row>
    <row r="770" spans="1:13" ht="14.45" customHeight="1" x14ac:dyDescent="0.2">
      <c r="A770" s="711"/>
      <c r="B770" s="707"/>
      <c r="C770" s="708"/>
      <c r="D770" s="708"/>
      <c r="E770" s="709"/>
      <c r="F770" s="707"/>
      <c r="G770" s="708"/>
      <c r="H770" s="708"/>
      <c r="I770" s="708"/>
      <c r="J770" s="708"/>
      <c r="K770" s="710"/>
      <c r="L770" s="270"/>
      <c r="M770" s="706" t="str">
        <f t="shared" si="11"/>
        <v/>
      </c>
    </row>
    <row r="771" spans="1:13" ht="14.45" customHeight="1" x14ac:dyDescent="0.2">
      <c r="A771" s="711"/>
      <c r="B771" s="707"/>
      <c r="C771" s="708"/>
      <c r="D771" s="708"/>
      <c r="E771" s="709"/>
      <c r="F771" s="707"/>
      <c r="G771" s="708"/>
      <c r="H771" s="708"/>
      <c r="I771" s="708"/>
      <c r="J771" s="708"/>
      <c r="K771" s="710"/>
      <c r="L771" s="270"/>
      <c r="M771" s="706" t="str">
        <f t="shared" si="11"/>
        <v/>
      </c>
    </row>
    <row r="772" spans="1:13" ht="14.45" customHeight="1" x14ac:dyDescent="0.2">
      <c r="A772" s="711"/>
      <c r="B772" s="707"/>
      <c r="C772" s="708"/>
      <c r="D772" s="708"/>
      <c r="E772" s="709"/>
      <c r="F772" s="707"/>
      <c r="G772" s="708"/>
      <c r="H772" s="708"/>
      <c r="I772" s="708"/>
      <c r="J772" s="708"/>
      <c r="K772" s="710"/>
      <c r="L772" s="270"/>
      <c r="M772" s="706" t="str">
        <f t="shared" si="11"/>
        <v/>
      </c>
    </row>
    <row r="773" spans="1:13" ht="14.45" customHeight="1" x14ac:dyDescent="0.2">
      <c r="A773" s="711"/>
      <c r="B773" s="707"/>
      <c r="C773" s="708"/>
      <c r="D773" s="708"/>
      <c r="E773" s="709"/>
      <c r="F773" s="707"/>
      <c r="G773" s="708"/>
      <c r="H773" s="708"/>
      <c r="I773" s="708"/>
      <c r="J773" s="708"/>
      <c r="K773" s="710"/>
      <c r="L773" s="270"/>
      <c r="M773" s="706" t="str">
        <f t="shared" si="11"/>
        <v/>
      </c>
    </row>
    <row r="774" spans="1:13" ht="14.45" customHeight="1" x14ac:dyDescent="0.2">
      <c r="A774" s="711"/>
      <c r="B774" s="707"/>
      <c r="C774" s="708"/>
      <c r="D774" s="708"/>
      <c r="E774" s="709"/>
      <c r="F774" s="707"/>
      <c r="G774" s="708"/>
      <c r="H774" s="708"/>
      <c r="I774" s="708"/>
      <c r="J774" s="708"/>
      <c r="K774" s="710"/>
      <c r="L774" s="270"/>
      <c r="M774" s="706" t="str">
        <f t="shared" ref="M774:M818" si="12">IF(A774="HV","HV",IF(OR(LEFT(A774,16)="               5",LEFT(A774,16)="               6",LEFT(A774,16)="               7",LEFT(A774,16)="               8"),"X",""))</f>
        <v/>
      </c>
    </row>
    <row r="775" spans="1:13" ht="14.45" customHeight="1" x14ac:dyDescent="0.2">
      <c r="A775" s="711"/>
      <c r="B775" s="707"/>
      <c r="C775" s="708"/>
      <c r="D775" s="708"/>
      <c r="E775" s="709"/>
      <c r="F775" s="707"/>
      <c r="G775" s="708"/>
      <c r="H775" s="708"/>
      <c r="I775" s="708"/>
      <c r="J775" s="708"/>
      <c r="K775" s="710"/>
      <c r="L775" s="270"/>
      <c r="M775" s="706" t="str">
        <f t="shared" si="12"/>
        <v/>
      </c>
    </row>
    <row r="776" spans="1:13" ht="14.45" customHeight="1" x14ac:dyDescent="0.2">
      <c r="A776" s="711"/>
      <c r="B776" s="707"/>
      <c r="C776" s="708"/>
      <c r="D776" s="708"/>
      <c r="E776" s="709"/>
      <c r="F776" s="707"/>
      <c r="G776" s="708"/>
      <c r="H776" s="708"/>
      <c r="I776" s="708"/>
      <c r="J776" s="708"/>
      <c r="K776" s="710"/>
      <c r="L776" s="270"/>
      <c r="M776" s="706" t="str">
        <f t="shared" si="12"/>
        <v/>
      </c>
    </row>
    <row r="777" spans="1:13" ht="14.45" customHeight="1" x14ac:dyDescent="0.2">
      <c r="A777" s="711"/>
      <c r="B777" s="707"/>
      <c r="C777" s="708"/>
      <c r="D777" s="708"/>
      <c r="E777" s="709"/>
      <c r="F777" s="707"/>
      <c r="G777" s="708"/>
      <c r="H777" s="708"/>
      <c r="I777" s="708"/>
      <c r="J777" s="708"/>
      <c r="K777" s="710"/>
      <c r="L777" s="270"/>
      <c r="M777" s="706" t="str">
        <f t="shared" si="12"/>
        <v/>
      </c>
    </row>
    <row r="778" spans="1:13" ht="14.45" customHeight="1" x14ac:dyDescent="0.2">
      <c r="A778" s="711"/>
      <c r="B778" s="707"/>
      <c r="C778" s="708"/>
      <c r="D778" s="708"/>
      <c r="E778" s="709"/>
      <c r="F778" s="707"/>
      <c r="G778" s="708"/>
      <c r="H778" s="708"/>
      <c r="I778" s="708"/>
      <c r="J778" s="708"/>
      <c r="K778" s="710"/>
      <c r="L778" s="270"/>
      <c r="M778" s="706" t="str">
        <f t="shared" si="12"/>
        <v/>
      </c>
    </row>
    <row r="779" spans="1:13" ht="14.45" customHeight="1" x14ac:dyDescent="0.2">
      <c r="A779" s="711"/>
      <c r="B779" s="707"/>
      <c r="C779" s="708"/>
      <c r="D779" s="708"/>
      <c r="E779" s="709"/>
      <c r="F779" s="707"/>
      <c r="G779" s="708"/>
      <c r="H779" s="708"/>
      <c r="I779" s="708"/>
      <c r="J779" s="708"/>
      <c r="K779" s="710"/>
      <c r="L779" s="270"/>
      <c r="M779" s="706" t="str">
        <f t="shared" si="12"/>
        <v/>
      </c>
    </row>
    <row r="780" spans="1:13" ht="14.45" customHeight="1" x14ac:dyDescent="0.2">
      <c r="A780" s="711"/>
      <c r="B780" s="707"/>
      <c r="C780" s="708"/>
      <c r="D780" s="708"/>
      <c r="E780" s="709"/>
      <c r="F780" s="707"/>
      <c r="G780" s="708"/>
      <c r="H780" s="708"/>
      <c r="I780" s="708"/>
      <c r="J780" s="708"/>
      <c r="K780" s="710"/>
      <c r="L780" s="270"/>
      <c r="M780" s="706" t="str">
        <f t="shared" si="12"/>
        <v/>
      </c>
    </row>
    <row r="781" spans="1:13" ht="14.45" customHeight="1" x14ac:dyDescent="0.2">
      <c r="A781" s="711"/>
      <c r="B781" s="707"/>
      <c r="C781" s="708"/>
      <c r="D781" s="708"/>
      <c r="E781" s="709"/>
      <c r="F781" s="707"/>
      <c r="G781" s="708"/>
      <c r="H781" s="708"/>
      <c r="I781" s="708"/>
      <c r="J781" s="708"/>
      <c r="K781" s="710"/>
      <c r="L781" s="270"/>
      <c r="M781" s="706" t="str">
        <f t="shared" si="12"/>
        <v/>
      </c>
    </row>
    <row r="782" spans="1:13" ht="14.45" customHeight="1" x14ac:dyDescent="0.2">
      <c r="A782" s="711"/>
      <c r="B782" s="707"/>
      <c r="C782" s="708"/>
      <c r="D782" s="708"/>
      <c r="E782" s="709"/>
      <c r="F782" s="707"/>
      <c r="G782" s="708"/>
      <c r="H782" s="708"/>
      <c r="I782" s="708"/>
      <c r="J782" s="708"/>
      <c r="K782" s="710"/>
      <c r="L782" s="270"/>
      <c r="M782" s="706" t="str">
        <f t="shared" si="12"/>
        <v/>
      </c>
    </row>
    <row r="783" spans="1:13" ht="14.45" customHeight="1" x14ac:dyDescent="0.2">
      <c r="A783" s="711"/>
      <c r="B783" s="707"/>
      <c r="C783" s="708"/>
      <c r="D783" s="708"/>
      <c r="E783" s="709"/>
      <c r="F783" s="707"/>
      <c r="G783" s="708"/>
      <c r="H783" s="708"/>
      <c r="I783" s="708"/>
      <c r="J783" s="708"/>
      <c r="K783" s="710"/>
      <c r="L783" s="270"/>
      <c r="M783" s="706" t="str">
        <f t="shared" si="12"/>
        <v/>
      </c>
    </row>
    <row r="784" spans="1:13" ht="14.45" customHeight="1" x14ac:dyDescent="0.2">
      <c r="A784" s="711"/>
      <c r="B784" s="707"/>
      <c r="C784" s="708"/>
      <c r="D784" s="708"/>
      <c r="E784" s="709"/>
      <c r="F784" s="707"/>
      <c r="G784" s="708"/>
      <c r="H784" s="708"/>
      <c r="I784" s="708"/>
      <c r="J784" s="708"/>
      <c r="K784" s="710"/>
      <c r="L784" s="270"/>
      <c r="M784" s="706" t="str">
        <f t="shared" si="12"/>
        <v/>
      </c>
    </row>
    <row r="785" spans="1:13" ht="14.45" customHeight="1" x14ac:dyDescent="0.2">
      <c r="A785" s="711"/>
      <c r="B785" s="707"/>
      <c r="C785" s="708"/>
      <c r="D785" s="708"/>
      <c r="E785" s="709"/>
      <c r="F785" s="707"/>
      <c r="G785" s="708"/>
      <c r="H785" s="708"/>
      <c r="I785" s="708"/>
      <c r="J785" s="708"/>
      <c r="K785" s="710"/>
      <c r="L785" s="270"/>
      <c r="M785" s="706" t="str">
        <f t="shared" si="12"/>
        <v/>
      </c>
    </row>
    <row r="786" spans="1:13" ht="14.45" customHeight="1" x14ac:dyDescent="0.2">
      <c r="A786" s="711"/>
      <c r="B786" s="707"/>
      <c r="C786" s="708"/>
      <c r="D786" s="708"/>
      <c r="E786" s="709"/>
      <c r="F786" s="707"/>
      <c r="G786" s="708"/>
      <c r="H786" s="708"/>
      <c r="I786" s="708"/>
      <c r="J786" s="708"/>
      <c r="K786" s="710"/>
      <c r="L786" s="270"/>
      <c r="M786" s="706" t="str">
        <f t="shared" si="12"/>
        <v/>
      </c>
    </row>
    <row r="787" spans="1:13" ht="14.45" customHeight="1" x14ac:dyDescent="0.2">
      <c r="A787" s="711"/>
      <c r="B787" s="707"/>
      <c r="C787" s="708"/>
      <c r="D787" s="708"/>
      <c r="E787" s="709"/>
      <c r="F787" s="707"/>
      <c r="G787" s="708"/>
      <c r="H787" s="708"/>
      <c r="I787" s="708"/>
      <c r="J787" s="708"/>
      <c r="K787" s="710"/>
      <c r="L787" s="270"/>
      <c r="M787" s="706" t="str">
        <f t="shared" si="12"/>
        <v/>
      </c>
    </row>
    <row r="788" spans="1:13" ht="14.45" customHeight="1" x14ac:dyDescent="0.2">
      <c r="A788" s="711"/>
      <c r="B788" s="707"/>
      <c r="C788" s="708"/>
      <c r="D788" s="708"/>
      <c r="E788" s="709"/>
      <c r="F788" s="707"/>
      <c r="G788" s="708"/>
      <c r="H788" s="708"/>
      <c r="I788" s="708"/>
      <c r="J788" s="708"/>
      <c r="K788" s="710"/>
      <c r="L788" s="270"/>
      <c r="M788" s="706" t="str">
        <f t="shared" si="12"/>
        <v/>
      </c>
    </row>
    <row r="789" spans="1:13" ht="14.45" customHeight="1" x14ac:dyDescent="0.2">
      <c r="A789" s="711"/>
      <c r="B789" s="707"/>
      <c r="C789" s="708"/>
      <c r="D789" s="708"/>
      <c r="E789" s="709"/>
      <c r="F789" s="707"/>
      <c r="G789" s="708"/>
      <c r="H789" s="708"/>
      <c r="I789" s="708"/>
      <c r="J789" s="708"/>
      <c r="K789" s="710"/>
      <c r="L789" s="270"/>
      <c r="M789" s="706" t="str">
        <f t="shared" si="12"/>
        <v/>
      </c>
    </row>
    <row r="790" spans="1:13" ht="14.45" customHeight="1" x14ac:dyDescent="0.2">
      <c r="A790" s="711"/>
      <c r="B790" s="707"/>
      <c r="C790" s="708"/>
      <c r="D790" s="708"/>
      <c r="E790" s="709"/>
      <c r="F790" s="707"/>
      <c r="G790" s="708"/>
      <c r="H790" s="708"/>
      <c r="I790" s="708"/>
      <c r="J790" s="708"/>
      <c r="K790" s="710"/>
      <c r="L790" s="270"/>
      <c r="M790" s="706" t="str">
        <f t="shared" si="12"/>
        <v/>
      </c>
    </row>
    <row r="791" spans="1:13" ht="14.45" customHeight="1" x14ac:dyDescent="0.2">
      <c r="A791" s="711"/>
      <c r="B791" s="707"/>
      <c r="C791" s="708"/>
      <c r="D791" s="708"/>
      <c r="E791" s="709"/>
      <c r="F791" s="707"/>
      <c r="G791" s="708"/>
      <c r="H791" s="708"/>
      <c r="I791" s="708"/>
      <c r="J791" s="708"/>
      <c r="K791" s="710"/>
      <c r="L791" s="270"/>
      <c r="M791" s="706" t="str">
        <f t="shared" si="12"/>
        <v/>
      </c>
    </row>
    <row r="792" spans="1:13" ht="14.45" customHeight="1" x14ac:dyDescent="0.2">
      <c r="A792" s="711"/>
      <c r="B792" s="707"/>
      <c r="C792" s="708"/>
      <c r="D792" s="708"/>
      <c r="E792" s="709"/>
      <c r="F792" s="707"/>
      <c r="G792" s="708"/>
      <c r="H792" s="708"/>
      <c r="I792" s="708"/>
      <c r="J792" s="708"/>
      <c r="K792" s="710"/>
      <c r="L792" s="270"/>
      <c r="M792" s="706" t="str">
        <f t="shared" si="12"/>
        <v/>
      </c>
    </row>
    <row r="793" spans="1:13" ht="14.45" customHeight="1" x14ac:dyDescent="0.2">
      <c r="A793" s="711"/>
      <c r="B793" s="707"/>
      <c r="C793" s="708"/>
      <c r="D793" s="708"/>
      <c r="E793" s="709"/>
      <c r="F793" s="707"/>
      <c r="G793" s="708"/>
      <c r="H793" s="708"/>
      <c r="I793" s="708"/>
      <c r="J793" s="708"/>
      <c r="K793" s="710"/>
      <c r="L793" s="270"/>
      <c r="M793" s="706" t="str">
        <f t="shared" si="12"/>
        <v/>
      </c>
    </row>
    <row r="794" spans="1:13" ht="14.45" customHeight="1" x14ac:dyDescent="0.2">
      <c r="A794" s="711"/>
      <c r="B794" s="707"/>
      <c r="C794" s="708"/>
      <c r="D794" s="708"/>
      <c r="E794" s="709"/>
      <c r="F794" s="707"/>
      <c r="G794" s="708"/>
      <c r="H794" s="708"/>
      <c r="I794" s="708"/>
      <c r="J794" s="708"/>
      <c r="K794" s="710"/>
      <c r="L794" s="270"/>
      <c r="M794" s="706" t="str">
        <f t="shared" si="12"/>
        <v/>
      </c>
    </row>
    <row r="795" spans="1:13" ht="14.45" customHeight="1" x14ac:dyDescent="0.2">
      <c r="A795" s="711"/>
      <c r="B795" s="707"/>
      <c r="C795" s="708"/>
      <c r="D795" s="708"/>
      <c r="E795" s="709"/>
      <c r="F795" s="707"/>
      <c r="G795" s="708"/>
      <c r="H795" s="708"/>
      <c r="I795" s="708"/>
      <c r="J795" s="708"/>
      <c r="K795" s="710"/>
      <c r="L795" s="270"/>
      <c r="M795" s="706" t="str">
        <f t="shared" si="12"/>
        <v/>
      </c>
    </row>
    <row r="796" spans="1:13" ht="14.45" customHeight="1" x14ac:dyDescent="0.2">
      <c r="A796" s="711"/>
      <c r="B796" s="707"/>
      <c r="C796" s="708"/>
      <c r="D796" s="708"/>
      <c r="E796" s="709"/>
      <c r="F796" s="707"/>
      <c r="G796" s="708"/>
      <c r="H796" s="708"/>
      <c r="I796" s="708"/>
      <c r="J796" s="708"/>
      <c r="K796" s="710"/>
      <c r="L796" s="270"/>
      <c r="M796" s="706" t="str">
        <f t="shared" si="12"/>
        <v/>
      </c>
    </row>
    <row r="797" spans="1:13" ht="14.45" customHeight="1" x14ac:dyDescent="0.2">
      <c r="A797" s="711"/>
      <c r="B797" s="707"/>
      <c r="C797" s="708"/>
      <c r="D797" s="708"/>
      <c r="E797" s="709"/>
      <c r="F797" s="707"/>
      <c r="G797" s="708"/>
      <c r="H797" s="708"/>
      <c r="I797" s="708"/>
      <c r="J797" s="708"/>
      <c r="K797" s="710"/>
      <c r="L797" s="270"/>
      <c r="M797" s="706" t="str">
        <f t="shared" si="12"/>
        <v/>
      </c>
    </row>
    <row r="798" spans="1:13" ht="14.45" customHeight="1" x14ac:dyDescent="0.2">
      <c r="A798" s="711"/>
      <c r="B798" s="707"/>
      <c r="C798" s="708"/>
      <c r="D798" s="708"/>
      <c r="E798" s="709"/>
      <c r="F798" s="707"/>
      <c r="G798" s="708"/>
      <c r="H798" s="708"/>
      <c r="I798" s="708"/>
      <c r="J798" s="708"/>
      <c r="K798" s="710"/>
      <c r="L798" s="270"/>
      <c r="M798" s="706" t="str">
        <f t="shared" si="12"/>
        <v/>
      </c>
    </row>
    <row r="799" spans="1:13" ht="14.45" customHeight="1" x14ac:dyDescent="0.2">
      <c r="A799" s="711"/>
      <c r="B799" s="707"/>
      <c r="C799" s="708"/>
      <c r="D799" s="708"/>
      <c r="E799" s="709"/>
      <c r="F799" s="707"/>
      <c r="G799" s="708"/>
      <c r="H799" s="708"/>
      <c r="I799" s="708"/>
      <c r="J799" s="708"/>
      <c r="K799" s="710"/>
      <c r="L799" s="270"/>
      <c r="M799" s="706" t="str">
        <f t="shared" si="12"/>
        <v/>
      </c>
    </row>
    <row r="800" spans="1:13" ht="14.45" customHeight="1" x14ac:dyDescent="0.2">
      <c r="A800" s="711"/>
      <c r="B800" s="707"/>
      <c r="C800" s="708"/>
      <c r="D800" s="708"/>
      <c r="E800" s="709"/>
      <c r="F800" s="707"/>
      <c r="G800" s="708"/>
      <c r="H800" s="708"/>
      <c r="I800" s="708"/>
      <c r="J800" s="708"/>
      <c r="K800" s="710"/>
      <c r="L800" s="270"/>
      <c r="M800" s="706" t="str">
        <f t="shared" si="12"/>
        <v/>
      </c>
    </row>
    <row r="801" spans="1:13" ht="14.45" customHeight="1" x14ac:dyDescent="0.2">
      <c r="A801" s="711"/>
      <c r="B801" s="707"/>
      <c r="C801" s="708"/>
      <c r="D801" s="708"/>
      <c r="E801" s="709"/>
      <c r="F801" s="707"/>
      <c r="G801" s="708"/>
      <c r="H801" s="708"/>
      <c r="I801" s="708"/>
      <c r="J801" s="708"/>
      <c r="K801" s="710"/>
      <c r="L801" s="270"/>
      <c r="M801" s="706" t="str">
        <f t="shared" si="12"/>
        <v/>
      </c>
    </row>
    <row r="802" spans="1:13" ht="14.45" customHeight="1" x14ac:dyDescent="0.2">
      <c r="A802" s="711"/>
      <c r="B802" s="707"/>
      <c r="C802" s="708"/>
      <c r="D802" s="708"/>
      <c r="E802" s="709"/>
      <c r="F802" s="707"/>
      <c r="G802" s="708"/>
      <c r="H802" s="708"/>
      <c r="I802" s="708"/>
      <c r="J802" s="708"/>
      <c r="K802" s="710"/>
      <c r="L802" s="270"/>
      <c r="M802" s="706" t="str">
        <f t="shared" si="12"/>
        <v/>
      </c>
    </row>
    <row r="803" spans="1:13" ht="14.45" customHeight="1" x14ac:dyDescent="0.2">
      <c r="A803" s="711"/>
      <c r="B803" s="707"/>
      <c r="C803" s="708"/>
      <c r="D803" s="708"/>
      <c r="E803" s="709"/>
      <c r="F803" s="707"/>
      <c r="G803" s="708"/>
      <c r="H803" s="708"/>
      <c r="I803" s="708"/>
      <c r="J803" s="708"/>
      <c r="K803" s="710"/>
      <c r="L803" s="270"/>
      <c r="M803" s="706" t="str">
        <f t="shared" si="12"/>
        <v/>
      </c>
    </row>
    <row r="804" spans="1:13" ht="14.45" customHeight="1" x14ac:dyDescent="0.2">
      <c r="A804" s="711"/>
      <c r="B804" s="707"/>
      <c r="C804" s="708"/>
      <c r="D804" s="708"/>
      <c r="E804" s="709"/>
      <c r="F804" s="707"/>
      <c r="G804" s="708"/>
      <c r="H804" s="708"/>
      <c r="I804" s="708"/>
      <c r="J804" s="708"/>
      <c r="K804" s="710"/>
      <c r="L804" s="270"/>
      <c r="M804" s="706" t="str">
        <f t="shared" si="12"/>
        <v/>
      </c>
    </row>
    <row r="805" spans="1:13" ht="14.45" customHeight="1" x14ac:dyDescent="0.2">
      <c r="A805" s="711"/>
      <c r="B805" s="707"/>
      <c r="C805" s="708"/>
      <c r="D805" s="708"/>
      <c r="E805" s="709"/>
      <c r="F805" s="707"/>
      <c r="G805" s="708"/>
      <c r="H805" s="708"/>
      <c r="I805" s="708"/>
      <c r="J805" s="708"/>
      <c r="K805" s="710"/>
      <c r="L805" s="270"/>
      <c r="M805" s="706" t="str">
        <f t="shared" si="12"/>
        <v/>
      </c>
    </row>
    <row r="806" spans="1:13" ht="14.45" customHeight="1" x14ac:dyDescent="0.2">
      <c r="A806" s="711"/>
      <c r="B806" s="707"/>
      <c r="C806" s="708"/>
      <c r="D806" s="708"/>
      <c r="E806" s="709"/>
      <c r="F806" s="707"/>
      <c r="G806" s="708"/>
      <c r="H806" s="708"/>
      <c r="I806" s="708"/>
      <c r="J806" s="708"/>
      <c r="K806" s="710"/>
      <c r="L806" s="270"/>
      <c r="M806" s="706" t="str">
        <f t="shared" si="12"/>
        <v/>
      </c>
    </row>
    <row r="807" spans="1:13" ht="14.45" customHeight="1" x14ac:dyDescent="0.2">
      <c r="A807" s="711"/>
      <c r="B807" s="707"/>
      <c r="C807" s="708"/>
      <c r="D807" s="708"/>
      <c r="E807" s="709"/>
      <c r="F807" s="707"/>
      <c r="G807" s="708"/>
      <c r="H807" s="708"/>
      <c r="I807" s="708"/>
      <c r="J807" s="708"/>
      <c r="K807" s="710"/>
      <c r="L807" s="270"/>
      <c r="M807" s="706" t="str">
        <f t="shared" si="12"/>
        <v/>
      </c>
    </row>
    <row r="808" spans="1:13" ht="14.45" customHeight="1" x14ac:dyDescent="0.2">
      <c r="A808" s="711"/>
      <c r="B808" s="707"/>
      <c r="C808" s="708"/>
      <c r="D808" s="708"/>
      <c r="E808" s="709"/>
      <c r="F808" s="707"/>
      <c r="G808" s="708"/>
      <c r="H808" s="708"/>
      <c r="I808" s="708"/>
      <c r="J808" s="708"/>
      <c r="K808" s="710"/>
      <c r="L808" s="270"/>
      <c r="M808" s="706" t="str">
        <f t="shared" si="12"/>
        <v/>
      </c>
    </row>
    <row r="809" spans="1:13" ht="14.45" customHeight="1" x14ac:dyDescent="0.2">
      <c r="A809" s="711"/>
      <c r="B809" s="707"/>
      <c r="C809" s="708"/>
      <c r="D809" s="708"/>
      <c r="E809" s="709"/>
      <c r="F809" s="707"/>
      <c r="G809" s="708"/>
      <c r="H809" s="708"/>
      <c r="I809" s="708"/>
      <c r="J809" s="708"/>
      <c r="K809" s="710"/>
      <c r="L809" s="270"/>
      <c r="M809" s="706" t="str">
        <f t="shared" si="12"/>
        <v/>
      </c>
    </row>
    <row r="810" spans="1:13" ht="14.45" customHeight="1" x14ac:dyDescent="0.2">
      <c r="A810" s="711"/>
      <c r="B810" s="707"/>
      <c r="C810" s="708"/>
      <c r="D810" s="708"/>
      <c r="E810" s="709"/>
      <c r="F810" s="707"/>
      <c r="G810" s="708"/>
      <c r="H810" s="708"/>
      <c r="I810" s="708"/>
      <c r="J810" s="708"/>
      <c r="K810" s="710"/>
      <c r="L810" s="270"/>
      <c r="M810" s="706" t="str">
        <f t="shared" si="12"/>
        <v/>
      </c>
    </row>
    <row r="811" spans="1:13" ht="14.45" customHeight="1" x14ac:dyDescent="0.2">
      <c r="A811" s="711"/>
      <c r="B811" s="707"/>
      <c r="C811" s="708"/>
      <c r="D811" s="708"/>
      <c r="E811" s="709"/>
      <c r="F811" s="707"/>
      <c r="G811" s="708"/>
      <c r="H811" s="708"/>
      <c r="I811" s="708"/>
      <c r="J811" s="708"/>
      <c r="K811" s="710"/>
      <c r="L811" s="270"/>
      <c r="M811" s="706" t="str">
        <f t="shared" si="12"/>
        <v/>
      </c>
    </row>
    <row r="812" spans="1:13" ht="14.45" customHeight="1" x14ac:dyDescent="0.2">
      <c r="A812" s="711"/>
      <c r="B812" s="707"/>
      <c r="C812" s="708"/>
      <c r="D812" s="708"/>
      <c r="E812" s="709"/>
      <c r="F812" s="707"/>
      <c r="G812" s="708"/>
      <c r="H812" s="708"/>
      <c r="I812" s="708"/>
      <c r="J812" s="708"/>
      <c r="K812" s="710"/>
      <c r="L812" s="270"/>
      <c r="M812" s="706" t="str">
        <f t="shared" si="12"/>
        <v/>
      </c>
    </row>
    <row r="813" spans="1:13" ht="14.45" customHeight="1" x14ac:dyDescent="0.2">
      <c r="A813" s="711"/>
      <c r="B813" s="707"/>
      <c r="C813" s="708"/>
      <c r="D813" s="708"/>
      <c r="E813" s="709"/>
      <c r="F813" s="707"/>
      <c r="G813" s="708"/>
      <c r="H813" s="708"/>
      <c r="I813" s="708"/>
      <c r="J813" s="708"/>
      <c r="K813" s="710"/>
      <c r="L813" s="270"/>
      <c r="M813" s="706" t="str">
        <f t="shared" si="12"/>
        <v/>
      </c>
    </row>
    <row r="814" spans="1:13" ht="14.45" customHeight="1" x14ac:dyDescent="0.2">
      <c r="A814" s="711"/>
      <c r="B814" s="707"/>
      <c r="C814" s="708"/>
      <c r="D814" s="708"/>
      <c r="E814" s="709"/>
      <c r="F814" s="707"/>
      <c r="G814" s="708"/>
      <c r="H814" s="708"/>
      <c r="I814" s="708"/>
      <c r="J814" s="708"/>
      <c r="K814" s="710"/>
      <c r="L814" s="270"/>
      <c r="M814" s="706" t="str">
        <f t="shared" si="12"/>
        <v/>
      </c>
    </row>
    <row r="815" spans="1:13" ht="14.45" customHeight="1" x14ac:dyDescent="0.2">
      <c r="A815" s="711"/>
      <c r="B815" s="707"/>
      <c r="C815" s="708"/>
      <c r="D815" s="708"/>
      <c r="E815" s="709"/>
      <c r="F815" s="707"/>
      <c r="G815" s="708"/>
      <c r="H815" s="708"/>
      <c r="I815" s="708"/>
      <c r="J815" s="708"/>
      <c r="K815" s="710"/>
      <c r="L815" s="270"/>
      <c r="M815" s="706" t="str">
        <f t="shared" si="12"/>
        <v/>
      </c>
    </row>
    <row r="816" spans="1:13" ht="14.45" customHeight="1" x14ac:dyDescent="0.2">
      <c r="A816" s="711"/>
      <c r="B816" s="707"/>
      <c r="C816" s="708"/>
      <c r="D816" s="708"/>
      <c r="E816" s="709"/>
      <c r="F816" s="707"/>
      <c r="G816" s="708"/>
      <c r="H816" s="708"/>
      <c r="I816" s="708"/>
      <c r="J816" s="708"/>
      <c r="K816" s="710"/>
      <c r="L816" s="270"/>
      <c r="M816" s="706" t="str">
        <f t="shared" si="12"/>
        <v/>
      </c>
    </row>
    <row r="817" spans="1:13" ht="14.45" customHeight="1" x14ac:dyDescent="0.2">
      <c r="A817" s="711"/>
      <c r="B817" s="707"/>
      <c r="C817" s="708"/>
      <c r="D817" s="708"/>
      <c r="E817" s="709"/>
      <c r="F817" s="707"/>
      <c r="G817" s="708"/>
      <c r="H817" s="708"/>
      <c r="I817" s="708"/>
      <c r="J817" s="708"/>
      <c r="K817" s="710"/>
      <c r="L817" s="270"/>
      <c r="M817" s="706" t="str">
        <f t="shared" si="12"/>
        <v/>
      </c>
    </row>
    <row r="818" spans="1:13" ht="14.45" customHeight="1" x14ac:dyDescent="0.2">
      <c r="A818" s="711"/>
      <c r="B818" s="707"/>
      <c r="C818" s="708"/>
      <c r="D818" s="708"/>
      <c r="E818" s="709"/>
      <c r="F818" s="707"/>
      <c r="G818" s="708"/>
      <c r="H818" s="708"/>
      <c r="I818" s="708"/>
      <c r="J818" s="708"/>
      <c r="K818" s="710"/>
      <c r="L818" s="270"/>
      <c r="M818" s="706" t="str">
        <f t="shared" si="12"/>
        <v/>
      </c>
    </row>
  </sheetData>
  <autoFilter ref="A5" xr:uid="{00000000-0009-0000-0000-000006000000}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conditionalFormatting sqref="A23:K818">
    <cfRule type="expression" dxfId="79" priority="3">
      <formula>$M23="HV"</formula>
    </cfRule>
    <cfRule type="expression" dxfId="78" priority="4">
      <formula>$M23="X"</formula>
    </cfRule>
  </conditionalFormatting>
  <conditionalFormatting sqref="A6:K22">
    <cfRule type="expression" dxfId="77" priority="1">
      <formula>$M6="HV"</formula>
    </cfRule>
    <cfRule type="expression" dxfId="76" priority="2">
      <formula>$M6="X"</formula>
    </cfRule>
  </conditionalFormatting>
  <hyperlinks>
    <hyperlink ref="A2" location="Obsah!A1" display="Zpět na Obsah  KL 01  1.-4.měsíc" xr:uid="{387A2924-D139-4A70-9548-109E363FB0B2}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9">
    <tabColor theme="3" tint="0.39997558519241921"/>
    <pageSetUpPr fitToPage="1"/>
  </sheetPr>
  <dimension ref="A1:J61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330" customWidth="1"/>
    <col min="2" max="2" width="61.140625" style="330" customWidth="1"/>
    <col min="3" max="3" width="9.5703125" style="247" customWidth="1" outlineLevel="1"/>
    <col min="4" max="4" width="9.5703125" style="331" customWidth="1"/>
    <col min="5" max="5" width="2.28515625" style="331" customWidth="1"/>
    <col min="6" max="6" width="9.5703125" style="332" customWidth="1"/>
    <col min="7" max="7" width="9.5703125" style="329" customWidth="1"/>
    <col min="8" max="9" width="9.5703125" style="247" customWidth="1"/>
    <col min="10" max="10" width="0" style="247" hidden="1" customWidth="1"/>
    <col min="11" max="16384" width="8.85546875" style="247"/>
  </cols>
  <sheetData>
    <row r="1" spans="1:10" ht="18.600000000000001" customHeight="1" thickBot="1" x14ac:dyDescent="0.35">
      <c r="A1" s="546" t="s">
        <v>175</v>
      </c>
      <c r="B1" s="547"/>
      <c r="C1" s="547"/>
      <c r="D1" s="547"/>
      <c r="E1" s="547"/>
      <c r="F1" s="547"/>
      <c r="G1" s="517"/>
      <c r="H1" s="548"/>
      <c r="I1" s="548"/>
    </row>
    <row r="2" spans="1:10" ht="14.45" customHeight="1" thickBot="1" x14ac:dyDescent="0.25">
      <c r="A2" s="705" t="s">
        <v>328</v>
      </c>
      <c r="B2" s="328"/>
      <c r="C2" s="328"/>
      <c r="D2" s="328"/>
      <c r="E2" s="328"/>
      <c r="F2" s="328"/>
    </row>
    <row r="3" spans="1:10" ht="14.45" customHeight="1" thickBot="1" x14ac:dyDescent="0.25">
      <c r="A3" s="371"/>
      <c r="B3" s="437"/>
      <c r="C3" s="436">
        <v>2018</v>
      </c>
      <c r="D3" s="378">
        <v>2019</v>
      </c>
      <c r="E3" s="11"/>
      <c r="F3" s="525">
        <v>2020</v>
      </c>
      <c r="G3" s="543"/>
      <c r="H3" s="543"/>
      <c r="I3" s="526"/>
    </row>
    <row r="4" spans="1:10" ht="14.45" customHeight="1" thickBot="1" x14ac:dyDescent="0.25">
      <c r="A4" s="382" t="s">
        <v>0</v>
      </c>
      <c r="B4" s="383" t="s">
        <v>239</v>
      </c>
      <c r="C4" s="544" t="s">
        <v>93</v>
      </c>
      <c r="D4" s="545"/>
      <c r="E4" s="384"/>
      <c r="F4" s="379" t="s">
        <v>93</v>
      </c>
      <c r="G4" s="380" t="s">
        <v>94</v>
      </c>
      <c r="H4" s="380" t="s">
        <v>68</v>
      </c>
      <c r="I4" s="381" t="s">
        <v>95</v>
      </c>
    </row>
    <row r="5" spans="1:10" ht="14.45" customHeight="1" x14ac:dyDescent="0.2">
      <c r="A5" s="712" t="s">
        <v>575</v>
      </c>
      <c r="B5" s="713" t="s">
        <v>576</v>
      </c>
      <c r="C5" s="714" t="s">
        <v>329</v>
      </c>
      <c r="D5" s="714" t="s">
        <v>329</v>
      </c>
      <c r="E5" s="714"/>
      <c r="F5" s="714" t="s">
        <v>329</v>
      </c>
      <c r="G5" s="714" t="s">
        <v>329</v>
      </c>
      <c r="H5" s="714" t="s">
        <v>329</v>
      </c>
      <c r="I5" s="715" t="s">
        <v>329</v>
      </c>
      <c r="J5" s="716" t="s">
        <v>73</v>
      </c>
    </row>
    <row r="6" spans="1:10" ht="14.45" customHeight="1" x14ac:dyDescent="0.2">
      <c r="A6" s="712" t="s">
        <v>575</v>
      </c>
      <c r="B6" s="713" t="s">
        <v>577</v>
      </c>
      <c r="C6" s="714">
        <v>3334.5769299999993</v>
      </c>
      <c r="D6" s="714">
        <v>3694.6734900000006</v>
      </c>
      <c r="E6" s="714"/>
      <c r="F6" s="714">
        <v>2641.7385600000007</v>
      </c>
      <c r="G6" s="714">
        <v>0</v>
      </c>
      <c r="H6" s="714">
        <v>2641.7385600000007</v>
      </c>
      <c r="I6" s="715" t="s">
        <v>329</v>
      </c>
      <c r="J6" s="716" t="s">
        <v>1</v>
      </c>
    </row>
    <row r="7" spans="1:10" ht="14.45" customHeight="1" x14ac:dyDescent="0.2">
      <c r="A7" s="712" t="s">
        <v>575</v>
      </c>
      <c r="B7" s="713" t="s">
        <v>578</v>
      </c>
      <c r="C7" s="714">
        <v>175.61883000000006</v>
      </c>
      <c r="D7" s="714">
        <v>223.98776999999993</v>
      </c>
      <c r="E7" s="714"/>
      <c r="F7" s="714">
        <v>100.84226000000001</v>
      </c>
      <c r="G7" s="714">
        <v>0</v>
      </c>
      <c r="H7" s="714">
        <v>100.84226000000001</v>
      </c>
      <c r="I7" s="715" t="s">
        <v>329</v>
      </c>
      <c r="J7" s="716" t="s">
        <v>1</v>
      </c>
    </row>
    <row r="8" spans="1:10" ht="14.45" customHeight="1" x14ac:dyDescent="0.2">
      <c r="A8" s="712" t="s">
        <v>575</v>
      </c>
      <c r="B8" s="713" t="s">
        <v>579</v>
      </c>
      <c r="C8" s="714">
        <v>65.93141</v>
      </c>
      <c r="D8" s="714">
        <v>47.759990000000009</v>
      </c>
      <c r="E8" s="714"/>
      <c r="F8" s="714">
        <v>22.819319999999998</v>
      </c>
      <c r="G8" s="714">
        <v>0</v>
      </c>
      <c r="H8" s="714">
        <v>22.819319999999998</v>
      </c>
      <c r="I8" s="715" t="s">
        <v>329</v>
      </c>
      <c r="J8" s="716" t="s">
        <v>1</v>
      </c>
    </row>
    <row r="9" spans="1:10" ht="14.45" customHeight="1" x14ac:dyDescent="0.2">
      <c r="A9" s="712" t="s">
        <v>575</v>
      </c>
      <c r="B9" s="713" t="s">
        <v>580</v>
      </c>
      <c r="C9" s="714">
        <v>0</v>
      </c>
      <c r="D9" s="714">
        <v>3.9</v>
      </c>
      <c r="E9" s="714"/>
      <c r="F9" s="714">
        <v>0</v>
      </c>
      <c r="G9" s="714">
        <v>0</v>
      </c>
      <c r="H9" s="714">
        <v>0</v>
      </c>
      <c r="I9" s="715" t="s">
        <v>329</v>
      </c>
      <c r="J9" s="716" t="s">
        <v>1</v>
      </c>
    </row>
    <row r="10" spans="1:10" ht="14.45" customHeight="1" x14ac:dyDescent="0.2">
      <c r="A10" s="712" t="s">
        <v>575</v>
      </c>
      <c r="B10" s="713" t="s">
        <v>581</v>
      </c>
      <c r="C10" s="714">
        <v>843.31552000000033</v>
      </c>
      <c r="D10" s="714">
        <v>883.30051000000105</v>
      </c>
      <c r="E10" s="714"/>
      <c r="F10" s="714">
        <v>564.27213000000029</v>
      </c>
      <c r="G10" s="714">
        <v>0</v>
      </c>
      <c r="H10" s="714">
        <v>564.27213000000029</v>
      </c>
      <c r="I10" s="715" t="s">
        <v>329</v>
      </c>
      <c r="J10" s="716" t="s">
        <v>1</v>
      </c>
    </row>
    <row r="11" spans="1:10" ht="14.45" customHeight="1" x14ac:dyDescent="0.2">
      <c r="A11" s="712" t="s">
        <v>575</v>
      </c>
      <c r="B11" s="713" t="s">
        <v>582</v>
      </c>
      <c r="C11" s="714">
        <v>0</v>
      </c>
      <c r="D11" s="714">
        <v>116.01973000000002</v>
      </c>
      <c r="E11" s="714"/>
      <c r="F11" s="714">
        <v>111.38478000000001</v>
      </c>
      <c r="G11" s="714">
        <v>0</v>
      </c>
      <c r="H11" s="714">
        <v>111.38478000000001</v>
      </c>
      <c r="I11" s="715" t="s">
        <v>329</v>
      </c>
      <c r="J11" s="716" t="s">
        <v>1</v>
      </c>
    </row>
    <row r="12" spans="1:10" ht="14.45" customHeight="1" x14ac:dyDescent="0.2">
      <c r="A12" s="712" t="s">
        <v>575</v>
      </c>
      <c r="B12" s="713" t="s">
        <v>583</v>
      </c>
      <c r="C12" s="714">
        <v>10.66517</v>
      </c>
      <c r="D12" s="714">
        <v>10.536860000000001</v>
      </c>
      <c r="E12" s="714"/>
      <c r="F12" s="714">
        <v>0</v>
      </c>
      <c r="G12" s="714">
        <v>0</v>
      </c>
      <c r="H12" s="714">
        <v>0</v>
      </c>
      <c r="I12" s="715" t="s">
        <v>329</v>
      </c>
      <c r="J12" s="716" t="s">
        <v>1</v>
      </c>
    </row>
    <row r="13" spans="1:10" ht="14.45" customHeight="1" x14ac:dyDescent="0.2">
      <c r="A13" s="712" t="s">
        <v>575</v>
      </c>
      <c r="B13" s="713" t="s">
        <v>584</v>
      </c>
      <c r="C13" s="714">
        <v>284.77222999999998</v>
      </c>
      <c r="D13" s="714">
        <v>193.49758000000003</v>
      </c>
      <c r="E13" s="714"/>
      <c r="F13" s="714">
        <v>175.50617999999997</v>
      </c>
      <c r="G13" s="714">
        <v>0</v>
      </c>
      <c r="H13" s="714">
        <v>175.50617999999997</v>
      </c>
      <c r="I13" s="715" t="s">
        <v>329</v>
      </c>
      <c r="J13" s="716" t="s">
        <v>1</v>
      </c>
    </row>
    <row r="14" spans="1:10" ht="14.45" customHeight="1" x14ac:dyDescent="0.2">
      <c r="A14" s="712" t="s">
        <v>575</v>
      </c>
      <c r="B14" s="713" t="s">
        <v>585</v>
      </c>
      <c r="C14" s="714">
        <v>11.493860000000002</v>
      </c>
      <c r="D14" s="714">
        <v>4.4790399999999995</v>
      </c>
      <c r="E14" s="714"/>
      <c r="F14" s="714">
        <v>10.804130000000001</v>
      </c>
      <c r="G14" s="714">
        <v>0</v>
      </c>
      <c r="H14" s="714">
        <v>10.804130000000001</v>
      </c>
      <c r="I14" s="715" t="s">
        <v>329</v>
      </c>
      <c r="J14" s="716" t="s">
        <v>1</v>
      </c>
    </row>
    <row r="15" spans="1:10" ht="14.45" customHeight="1" x14ac:dyDescent="0.2">
      <c r="A15" s="712" t="s">
        <v>575</v>
      </c>
      <c r="B15" s="713" t="s">
        <v>586</v>
      </c>
      <c r="C15" s="714">
        <v>93.328710000000001</v>
      </c>
      <c r="D15" s="714">
        <v>106.26737</v>
      </c>
      <c r="E15" s="714"/>
      <c r="F15" s="714">
        <v>108.065</v>
      </c>
      <c r="G15" s="714">
        <v>0</v>
      </c>
      <c r="H15" s="714">
        <v>108.065</v>
      </c>
      <c r="I15" s="715" t="s">
        <v>329</v>
      </c>
      <c r="J15" s="716" t="s">
        <v>1</v>
      </c>
    </row>
    <row r="16" spans="1:10" ht="14.45" customHeight="1" x14ac:dyDescent="0.2">
      <c r="A16" s="712" t="s">
        <v>575</v>
      </c>
      <c r="B16" s="713" t="s">
        <v>587</v>
      </c>
      <c r="C16" s="714">
        <v>4819.702659999999</v>
      </c>
      <c r="D16" s="714">
        <v>5284.4223400000019</v>
      </c>
      <c r="E16" s="714"/>
      <c r="F16" s="714">
        <v>3735.4323600000007</v>
      </c>
      <c r="G16" s="714">
        <v>0</v>
      </c>
      <c r="H16" s="714">
        <v>3735.4323600000007</v>
      </c>
      <c r="I16" s="715" t="s">
        <v>329</v>
      </c>
      <c r="J16" s="716" t="s">
        <v>588</v>
      </c>
    </row>
    <row r="18" spans="1:10" ht="14.45" customHeight="1" x14ac:dyDescent="0.2">
      <c r="A18" s="712" t="s">
        <v>575</v>
      </c>
      <c r="B18" s="713" t="s">
        <v>576</v>
      </c>
      <c r="C18" s="714" t="s">
        <v>329</v>
      </c>
      <c r="D18" s="714" t="s">
        <v>329</v>
      </c>
      <c r="E18" s="714"/>
      <c r="F18" s="714" t="s">
        <v>329</v>
      </c>
      <c r="G18" s="714" t="s">
        <v>329</v>
      </c>
      <c r="H18" s="714" t="s">
        <v>329</v>
      </c>
      <c r="I18" s="715" t="s">
        <v>329</v>
      </c>
      <c r="J18" s="716" t="s">
        <v>73</v>
      </c>
    </row>
    <row r="19" spans="1:10" ht="14.45" customHeight="1" x14ac:dyDescent="0.2">
      <c r="A19" s="712" t="s">
        <v>589</v>
      </c>
      <c r="B19" s="713" t="s">
        <v>590</v>
      </c>
      <c r="C19" s="714" t="s">
        <v>329</v>
      </c>
      <c r="D19" s="714" t="s">
        <v>329</v>
      </c>
      <c r="E19" s="714"/>
      <c r="F19" s="714" t="s">
        <v>329</v>
      </c>
      <c r="G19" s="714" t="s">
        <v>329</v>
      </c>
      <c r="H19" s="714" t="s">
        <v>329</v>
      </c>
      <c r="I19" s="715" t="s">
        <v>329</v>
      </c>
      <c r="J19" s="716" t="s">
        <v>0</v>
      </c>
    </row>
    <row r="20" spans="1:10" ht="14.45" customHeight="1" x14ac:dyDescent="0.2">
      <c r="A20" s="712" t="s">
        <v>589</v>
      </c>
      <c r="B20" s="713" t="s">
        <v>577</v>
      </c>
      <c r="C20" s="714">
        <v>367.48847999999992</v>
      </c>
      <c r="D20" s="714">
        <v>371.46995000000015</v>
      </c>
      <c r="E20" s="714"/>
      <c r="F20" s="714">
        <v>309.58252000000016</v>
      </c>
      <c r="G20" s="714">
        <v>0</v>
      </c>
      <c r="H20" s="714">
        <v>309.58252000000016</v>
      </c>
      <c r="I20" s="715" t="s">
        <v>329</v>
      </c>
      <c r="J20" s="716" t="s">
        <v>1</v>
      </c>
    </row>
    <row r="21" spans="1:10" ht="14.45" customHeight="1" x14ac:dyDescent="0.2">
      <c r="A21" s="712" t="s">
        <v>589</v>
      </c>
      <c r="B21" s="713" t="s">
        <v>578</v>
      </c>
      <c r="C21" s="714">
        <v>5.1623899999999994</v>
      </c>
      <c r="D21" s="714">
        <v>7.5764699999999996</v>
      </c>
      <c r="E21" s="714"/>
      <c r="F21" s="714">
        <v>3.6253699999999998</v>
      </c>
      <c r="G21" s="714">
        <v>0</v>
      </c>
      <c r="H21" s="714">
        <v>3.6253699999999998</v>
      </c>
      <c r="I21" s="715" t="s">
        <v>329</v>
      </c>
      <c r="J21" s="716" t="s">
        <v>1</v>
      </c>
    </row>
    <row r="22" spans="1:10" ht="14.45" customHeight="1" x14ac:dyDescent="0.2">
      <c r="A22" s="712" t="s">
        <v>589</v>
      </c>
      <c r="B22" s="713" t="s">
        <v>579</v>
      </c>
      <c r="C22" s="714">
        <v>7.5365699999999993</v>
      </c>
      <c r="D22" s="714">
        <v>5.2330399999999999</v>
      </c>
      <c r="E22" s="714"/>
      <c r="F22" s="714">
        <v>2.9390100000000001</v>
      </c>
      <c r="G22" s="714">
        <v>0</v>
      </c>
      <c r="H22" s="714">
        <v>2.9390100000000001</v>
      </c>
      <c r="I22" s="715" t="s">
        <v>329</v>
      </c>
      <c r="J22" s="716" t="s">
        <v>1</v>
      </c>
    </row>
    <row r="23" spans="1:10" ht="14.45" customHeight="1" x14ac:dyDescent="0.2">
      <c r="A23" s="712" t="s">
        <v>589</v>
      </c>
      <c r="B23" s="713" t="s">
        <v>581</v>
      </c>
      <c r="C23" s="714">
        <v>0</v>
      </c>
      <c r="D23" s="714">
        <v>35.537120000000002</v>
      </c>
      <c r="E23" s="714"/>
      <c r="F23" s="714">
        <v>0</v>
      </c>
      <c r="G23" s="714">
        <v>0</v>
      </c>
      <c r="H23" s="714">
        <v>0</v>
      </c>
      <c r="I23" s="715" t="s">
        <v>329</v>
      </c>
      <c r="J23" s="716" t="s">
        <v>1</v>
      </c>
    </row>
    <row r="24" spans="1:10" ht="14.45" customHeight="1" x14ac:dyDescent="0.2">
      <c r="A24" s="712" t="s">
        <v>589</v>
      </c>
      <c r="B24" s="713" t="s">
        <v>582</v>
      </c>
      <c r="C24" s="714">
        <v>0</v>
      </c>
      <c r="D24" s="714">
        <v>0</v>
      </c>
      <c r="E24" s="714"/>
      <c r="F24" s="714">
        <v>9.1298999999999992</v>
      </c>
      <c r="G24" s="714">
        <v>0</v>
      </c>
      <c r="H24" s="714">
        <v>9.1298999999999992</v>
      </c>
      <c r="I24" s="715" t="s">
        <v>329</v>
      </c>
      <c r="J24" s="716" t="s">
        <v>1</v>
      </c>
    </row>
    <row r="25" spans="1:10" ht="14.45" customHeight="1" x14ac:dyDescent="0.2">
      <c r="A25" s="712" t="s">
        <v>589</v>
      </c>
      <c r="B25" s="713" t="s">
        <v>584</v>
      </c>
      <c r="C25" s="714">
        <v>74.756509999999977</v>
      </c>
      <c r="D25" s="714">
        <v>69.617059999999995</v>
      </c>
      <c r="E25" s="714"/>
      <c r="F25" s="714">
        <v>91.270189999999971</v>
      </c>
      <c r="G25" s="714">
        <v>0</v>
      </c>
      <c r="H25" s="714">
        <v>91.270189999999971</v>
      </c>
      <c r="I25" s="715" t="s">
        <v>329</v>
      </c>
      <c r="J25" s="716" t="s">
        <v>1</v>
      </c>
    </row>
    <row r="26" spans="1:10" ht="14.45" customHeight="1" x14ac:dyDescent="0.2">
      <c r="A26" s="712" t="s">
        <v>589</v>
      </c>
      <c r="B26" s="713" t="s">
        <v>585</v>
      </c>
      <c r="C26" s="714">
        <v>5.7607400000000002</v>
      </c>
      <c r="D26" s="714">
        <v>2.4741900000000001</v>
      </c>
      <c r="E26" s="714"/>
      <c r="F26" s="714">
        <v>0.50349999999999995</v>
      </c>
      <c r="G26" s="714">
        <v>0</v>
      </c>
      <c r="H26" s="714">
        <v>0.50349999999999995</v>
      </c>
      <c r="I26" s="715" t="s">
        <v>329</v>
      </c>
      <c r="J26" s="716" t="s">
        <v>1</v>
      </c>
    </row>
    <row r="27" spans="1:10" ht="14.45" customHeight="1" x14ac:dyDescent="0.2">
      <c r="A27" s="712" t="s">
        <v>589</v>
      </c>
      <c r="B27" s="713" t="s">
        <v>586</v>
      </c>
      <c r="C27" s="714">
        <v>1.6559999999999999</v>
      </c>
      <c r="D27" s="714">
        <v>2.2080000000000002</v>
      </c>
      <c r="E27" s="714"/>
      <c r="F27" s="714">
        <v>14.840339999999998</v>
      </c>
      <c r="G27" s="714">
        <v>0</v>
      </c>
      <c r="H27" s="714">
        <v>14.840339999999998</v>
      </c>
      <c r="I27" s="715" t="s">
        <v>329</v>
      </c>
      <c r="J27" s="716" t="s">
        <v>1</v>
      </c>
    </row>
    <row r="28" spans="1:10" ht="14.45" customHeight="1" x14ac:dyDescent="0.2">
      <c r="A28" s="712" t="s">
        <v>589</v>
      </c>
      <c r="B28" s="713" t="s">
        <v>591</v>
      </c>
      <c r="C28" s="714">
        <v>462.36068999999992</v>
      </c>
      <c r="D28" s="714">
        <v>494.11583000000019</v>
      </c>
      <c r="E28" s="714"/>
      <c r="F28" s="714">
        <v>431.89083000000005</v>
      </c>
      <c r="G28" s="714">
        <v>0</v>
      </c>
      <c r="H28" s="714">
        <v>431.89083000000005</v>
      </c>
      <c r="I28" s="715" t="s">
        <v>329</v>
      </c>
      <c r="J28" s="716" t="s">
        <v>592</v>
      </c>
    </row>
    <row r="29" spans="1:10" ht="14.45" customHeight="1" x14ac:dyDescent="0.2">
      <c r="A29" s="712" t="s">
        <v>329</v>
      </c>
      <c r="B29" s="713" t="s">
        <v>329</v>
      </c>
      <c r="C29" s="714" t="s">
        <v>329</v>
      </c>
      <c r="D29" s="714" t="s">
        <v>329</v>
      </c>
      <c r="E29" s="714"/>
      <c r="F29" s="714" t="s">
        <v>329</v>
      </c>
      <c r="G29" s="714" t="s">
        <v>329</v>
      </c>
      <c r="H29" s="714" t="s">
        <v>329</v>
      </c>
      <c r="I29" s="715" t="s">
        <v>329</v>
      </c>
      <c r="J29" s="716" t="s">
        <v>593</v>
      </c>
    </row>
    <row r="30" spans="1:10" ht="14.45" customHeight="1" x14ac:dyDescent="0.2">
      <c r="A30" s="712" t="s">
        <v>594</v>
      </c>
      <c r="B30" s="713" t="s">
        <v>595</v>
      </c>
      <c r="C30" s="714" t="s">
        <v>329</v>
      </c>
      <c r="D30" s="714" t="s">
        <v>329</v>
      </c>
      <c r="E30" s="714"/>
      <c r="F30" s="714" t="s">
        <v>329</v>
      </c>
      <c r="G30" s="714" t="s">
        <v>329</v>
      </c>
      <c r="H30" s="714" t="s">
        <v>329</v>
      </c>
      <c r="I30" s="715" t="s">
        <v>329</v>
      </c>
      <c r="J30" s="716" t="s">
        <v>0</v>
      </c>
    </row>
    <row r="31" spans="1:10" ht="14.45" customHeight="1" x14ac:dyDescent="0.2">
      <c r="A31" s="712" t="s">
        <v>594</v>
      </c>
      <c r="B31" s="713" t="s">
        <v>577</v>
      </c>
      <c r="C31" s="714">
        <v>0.30670999999999998</v>
      </c>
      <c r="D31" s="714">
        <v>0.22538</v>
      </c>
      <c r="E31" s="714"/>
      <c r="F31" s="714">
        <v>0.17126</v>
      </c>
      <c r="G31" s="714">
        <v>0</v>
      </c>
      <c r="H31" s="714">
        <v>0.17126</v>
      </c>
      <c r="I31" s="715" t="s">
        <v>329</v>
      </c>
      <c r="J31" s="716" t="s">
        <v>1</v>
      </c>
    </row>
    <row r="32" spans="1:10" ht="14.45" customHeight="1" x14ac:dyDescent="0.2">
      <c r="A32" s="712" t="s">
        <v>594</v>
      </c>
      <c r="B32" s="713" t="s">
        <v>596</v>
      </c>
      <c r="C32" s="714">
        <v>0.30670999999999998</v>
      </c>
      <c r="D32" s="714">
        <v>0.22538</v>
      </c>
      <c r="E32" s="714"/>
      <c r="F32" s="714">
        <v>0.17126</v>
      </c>
      <c r="G32" s="714">
        <v>0</v>
      </c>
      <c r="H32" s="714">
        <v>0.17126</v>
      </c>
      <c r="I32" s="715" t="s">
        <v>329</v>
      </c>
      <c r="J32" s="716" t="s">
        <v>592</v>
      </c>
    </row>
    <row r="33" spans="1:10" ht="14.45" customHeight="1" x14ac:dyDescent="0.2">
      <c r="A33" s="712" t="s">
        <v>329</v>
      </c>
      <c r="B33" s="713" t="s">
        <v>329</v>
      </c>
      <c r="C33" s="714" t="s">
        <v>329</v>
      </c>
      <c r="D33" s="714" t="s">
        <v>329</v>
      </c>
      <c r="E33" s="714"/>
      <c r="F33" s="714" t="s">
        <v>329</v>
      </c>
      <c r="G33" s="714" t="s">
        <v>329</v>
      </c>
      <c r="H33" s="714" t="s">
        <v>329</v>
      </c>
      <c r="I33" s="715" t="s">
        <v>329</v>
      </c>
      <c r="J33" s="716" t="s">
        <v>593</v>
      </c>
    </row>
    <row r="34" spans="1:10" ht="14.45" customHeight="1" x14ac:dyDescent="0.2">
      <c r="A34" s="712" t="s">
        <v>597</v>
      </c>
      <c r="B34" s="713" t="s">
        <v>598</v>
      </c>
      <c r="C34" s="714" t="s">
        <v>329</v>
      </c>
      <c r="D34" s="714" t="s">
        <v>329</v>
      </c>
      <c r="E34" s="714"/>
      <c r="F34" s="714" t="s">
        <v>329</v>
      </c>
      <c r="G34" s="714" t="s">
        <v>329</v>
      </c>
      <c r="H34" s="714" t="s">
        <v>329</v>
      </c>
      <c r="I34" s="715" t="s">
        <v>329</v>
      </c>
      <c r="J34" s="716" t="s">
        <v>0</v>
      </c>
    </row>
    <row r="35" spans="1:10" ht="14.45" customHeight="1" x14ac:dyDescent="0.2">
      <c r="A35" s="712" t="s">
        <v>597</v>
      </c>
      <c r="B35" s="713" t="s">
        <v>577</v>
      </c>
      <c r="C35" s="714">
        <v>2020.5662999999993</v>
      </c>
      <c r="D35" s="714">
        <v>2292.6059100000002</v>
      </c>
      <c r="E35" s="714"/>
      <c r="F35" s="714">
        <v>1536.4942800000006</v>
      </c>
      <c r="G35" s="714">
        <v>0</v>
      </c>
      <c r="H35" s="714">
        <v>1536.4942800000006</v>
      </c>
      <c r="I35" s="715" t="s">
        <v>329</v>
      </c>
      <c r="J35" s="716" t="s">
        <v>1</v>
      </c>
    </row>
    <row r="36" spans="1:10" ht="14.45" customHeight="1" x14ac:dyDescent="0.2">
      <c r="A36" s="712" t="s">
        <v>597</v>
      </c>
      <c r="B36" s="713" t="s">
        <v>578</v>
      </c>
      <c r="C36" s="714">
        <v>170.45644000000007</v>
      </c>
      <c r="D36" s="714">
        <v>216.41129999999993</v>
      </c>
      <c r="E36" s="714"/>
      <c r="F36" s="714">
        <v>97.216890000000006</v>
      </c>
      <c r="G36" s="714">
        <v>0</v>
      </c>
      <c r="H36" s="714">
        <v>97.216890000000006</v>
      </c>
      <c r="I36" s="715" t="s">
        <v>329</v>
      </c>
      <c r="J36" s="716" t="s">
        <v>1</v>
      </c>
    </row>
    <row r="37" spans="1:10" ht="14.45" customHeight="1" x14ac:dyDescent="0.2">
      <c r="A37" s="712" t="s">
        <v>597</v>
      </c>
      <c r="B37" s="713" t="s">
        <v>579</v>
      </c>
      <c r="C37" s="714">
        <v>58.394840000000002</v>
      </c>
      <c r="D37" s="714">
        <v>42.526950000000006</v>
      </c>
      <c r="E37" s="714"/>
      <c r="F37" s="714">
        <v>19.880309999999998</v>
      </c>
      <c r="G37" s="714">
        <v>0</v>
      </c>
      <c r="H37" s="714">
        <v>19.880309999999998</v>
      </c>
      <c r="I37" s="715" t="s">
        <v>329</v>
      </c>
      <c r="J37" s="716" t="s">
        <v>1</v>
      </c>
    </row>
    <row r="38" spans="1:10" ht="14.45" customHeight="1" x14ac:dyDescent="0.2">
      <c r="A38" s="712" t="s">
        <v>597</v>
      </c>
      <c r="B38" s="713" t="s">
        <v>580</v>
      </c>
      <c r="C38" s="714">
        <v>0</v>
      </c>
      <c r="D38" s="714">
        <v>3.9</v>
      </c>
      <c r="E38" s="714"/>
      <c r="F38" s="714">
        <v>0</v>
      </c>
      <c r="G38" s="714">
        <v>0</v>
      </c>
      <c r="H38" s="714">
        <v>0</v>
      </c>
      <c r="I38" s="715" t="s">
        <v>329</v>
      </c>
      <c r="J38" s="716" t="s">
        <v>1</v>
      </c>
    </row>
    <row r="39" spans="1:10" ht="14.45" customHeight="1" x14ac:dyDescent="0.2">
      <c r="A39" s="712" t="s">
        <v>597</v>
      </c>
      <c r="B39" s="713" t="s">
        <v>581</v>
      </c>
      <c r="C39" s="714">
        <v>843.31552000000033</v>
      </c>
      <c r="D39" s="714">
        <v>847.7633900000011</v>
      </c>
      <c r="E39" s="714"/>
      <c r="F39" s="714">
        <v>564.27213000000029</v>
      </c>
      <c r="G39" s="714">
        <v>0</v>
      </c>
      <c r="H39" s="714">
        <v>564.27213000000029</v>
      </c>
      <c r="I39" s="715" t="s">
        <v>329</v>
      </c>
      <c r="J39" s="716" t="s">
        <v>1</v>
      </c>
    </row>
    <row r="40" spans="1:10" ht="14.45" customHeight="1" x14ac:dyDescent="0.2">
      <c r="A40" s="712" t="s">
        <v>597</v>
      </c>
      <c r="B40" s="713" t="s">
        <v>582</v>
      </c>
      <c r="C40" s="714">
        <v>0</v>
      </c>
      <c r="D40" s="714">
        <v>116.01973000000002</v>
      </c>
      <c r="E40" s="714"/>
      <c r="F40" s="714">
        <v>102.25488</v>
      </c>
      <c r="G40" s="714">
        <v>0</v>
      </c>
      <c r="H40" s="714">
        <v>102.25488</v>
      </c>
      <c r="I40" s="715" t="s">
        <v>329</v>
      </c>
      <c r="J40" s="716" t="s">
        <v>1</v>
      </c>
    </row>
    <row r="41" spans="1:10" ht="14.45" customHeight="1" x14ac:dyDescent="0.2">
      <c r="A41" s="712" t="s">
        <v>597</v>
      </c>
      <c r="B41" s="713" t="s">
        <v>583</v>
      </c>
      <c r="C41" s="714">
        <v>10.66517</v>
      </c>
      <c r="D41" s="714">
        <v>10.536860000000001</v>
      </c>
      <c r="E41" s="714"/>
      <c r="F41" s="714">
        <v>0</v>
      </c>
      <c r="G41" s="714">
        <v>0</v>
      </c>
      <c r="H41" s="714">
        <v>0</v>
      </c>
      <c r="I41" s="715" t="s">
        <v>329</v>
      </c>
      <c r="J41" s="716" t="s">
        <v>1</v>
      </c>
    </row>
    <row r="42" spans="1:10" ht="14.45" customHeight="1" x14ac:dyDescent="0.2">
      <c r="A42" s="712" t="s">
        <v>597</v>
      </c>
      <c r="B42" s="713" t="s">
        <v>584</v>
      </c>
      <c r="C42" s="714">
        <v>186.09326999999999</v>
      </c>
      <c r="D42" s="714">
        <v>90.435540000000046</v>
      </c>
      <c r="E42" s="714"/>
      <c r="F42" s="714">
        <v>66.841149999999999</v>
      </c>
      <c r="G42" s="714">
        <v>0</v>
      </c>
      <c r="H42" s="714">
        <v>66.841149999999999</v>
      </c>
      <c r="I42" s="715" t="s">
        <v>329</v>
      </c>
      <c r="J42" s="716" t="s">
        <v>1</v>
      </c>
    </row>
    <row r="43" spans="1:10" ht="14.45" customHeight="1" x14ac:dyDescent="0.2">
      <c r="A43" s="712" t="s">
        <v>597</v>
      </c>
      <c r="B43" s="713" t="s">
        <v>585</v>
      </c>
      <c r="C43" s="714">
        <v>5.7331200000000004</v>
      </c>
      <c r="D43" s="714">
        <v>2.0048499999999998</v>
      </c>
      <c r="E43" s="714"/>
      <c r="F43" s="714">
        <v>10.30063</v>
      </c>
      <c r="G43" s="714">
        <v>0</v>
      </c>
      <c r="H43" s="714">
        <v>10.30063</v>
      </c>
      <c r="I43" s="715" t="s">
        <v>329</v>
      </c>
      <c r="J43" s="716" t="s">
        <v>1</v>
      </c>
    </row>
    <row r="44" spans="1:10" ht="14.45" customHeight="1" x14ac:dyDescent="0.2">
      <c r="A44" s="712" t="s">
        <v>597</v>
      </c>
      <c r="B44" s="713" t="s">
        <v>586</v>
      </c>
      <c r="C44" s="714">
        <v>48.589570000000002</v>
      </c>
      <c r="D44" s="714">
        <v>54.754789999999993</v>
      </c>
      <c r="E44" s="714"/>
      <c r="F44" s="714">
        <v>47.275660000000002</v>
      </c>
      <c r="G44" s="714">
        <v>0</v>
      </c>
      <c r="H44" s="714">
        <v>47.275660000000002</v>
      </c>
      <c r="I44" s="715" t="s">
        <v>329</v>
      </c>
      <c r="J44" s="716" t="s">
        <v>1</v>
      </c>
    </row>
    <row r="45" spans="1:10" ht="14.45" customHeight="1" x14ac:dyDescent="0.2">
      <c r="A45" s="712" t="s">
        <v>597</v>
      </c>
      <c r="B45" s="713" t="s">
        <v>599</v>
      </c>
      <c r="C45" s="714">
        <v>3343.8142299999995</v>
      </c>
      <c r="D45" s="714">
        <v>3676.9593200000008</v>
      </c>
      <c r="E45" s="714"/>
      <c r="F45" s="714">
        <v>2444.5359300000009</v>
      </c>
      <c r="G45" s="714">
        <v>0</v>
      </c>
      <c r="H45" s="714">
        <v>2444.5359300000009</v>
      </c>
      <c r="I45" s="715" t="s">
        <v>329</v>
      </c>
      <c r="J45" s="716" t="s">
        <v>592</v>
      </c>
    </row>
    <row r="46" spans="1:10" ht="14.45" customHeight="1" x14ac:dyDescent="0.2">
      <c r="A46" s="712" t="s">
        <v>329</v>
      </c>
      <c r="B46" s="713" t="s">
        <v>329</v>
      </c>
      <c r="C46" s="714" t="s">
        <v>329</v>
      </c>
      <c r="D46" s="714" t="s">
        <v>329</v>
      </c>
      <c r="E46" s="714"/>
      <c r="F46" s="714" t="s">
        <v>329</v>
      </c>
      <c r="G46" s="714" t="s">
        <v>329</v>
      </c>
      <c r="H46" s="714" t="s">
        <v>329</v>
      </c>
      <c r="I46" s="715" t="s">
        <v>329</v>
      </c>
      <c r="J46" s="716" t="s">
        <v>593</v>
      </c>
    </row>
    <row r="47" spans="1:10" ht="14.45" customHeight="1" x14ac:dyDescent="0.2">
      <c r="A47" s="712" t="s">
        <v>600</v>
      </c>
      <c r="B47" s="713" t="s">
        <v>601</v>
      </c>
      <c r="C47" s="714" t="s">
        <v>329</v>
      </c>
      <c r="D47" s="714" t="s">
        <v>329</v>
      </c>
      <c r="E47" s="714"/>
      <c r="F47" s="714" t="s">
        <v>329</v>
      </c>
      <c r="G47" s="714" t="s">
        <v>329</v>
      </c>
      <c r="H47" s="714" t="s">
        <v>329</v>
      </c>
      <c r="I47" s="715" t="s">
        <v>329</v>
      </c>
      <c r="J47" s="716" t="s">
        <v>0</v>
      </c>
    </row>
    <row r="48" spans="1:10" ht="14.45" customHeight="1" x14ac:dyDescent="0.2">
      <c r="A48" s="712" t="s">
        <v>600</v>
      </c>
      <c r="B48" s="713" t="s">
        <v>577</v>
      </c>
      <c r="C48" s="714">
        <v>946.21544000000017</v>
      </c>
      <c r="D48" s="714">
        <v>1030.3722500000001</v>
      </c>
      <c r="E48" s="714"/>
      <c r="F48" s="714">
        <v>793.79347000000018</v>
      </c>
      <c r="G48" s="714">
        <v>0</v>
      </c>
      <c r="H48" s="714">
        <v>793.79347000000018</v>
      </c>
      <c r="I48" s="715" t="s">
        <v>329</v>
      </c>
      <c r="J48" s="716" t="s">
        <v>1</v>
      </c>
    </row>
    <row r="49" spans="1:10" ht="14.45" customHeight="1" x14ac:dyDescent="0.2">
      <c r="A49" s="712" t="s">
        <v>600</v>
      </c>
      <c r="B49" s="713" t="s">
        <v>584</v>
      </c>
      <c r="C49" s="714">
        <v>23.922450000000001</v>
      </c>
      <c r="D49" s="714">
        <v>33.444979999999994</v>
      </c>
      <c r="E49" s="714"/>
      <c r="F49" s="714">
        <v>17.394839999999999</v>
      </c>
      <c r="G49" s="714">
        <v>0</v>
      </c>
      <c r="H49" s="714">
        <v>17.394839999999999</v>
      </c>
      <c r="I49" s="715" t="s">
        <v>329</v>
      </c>
      <c r="J49" s="716" t="s">
        <v>1</v>
      </c>
    </row>
    <row r="50" spans="1:10" ht="14.45" customHeight="1" x14ac:dyDescent="0.2">
      <c r="A50" s="712" t="s">
        <v>600</v>
      </c>
      <c r="B50" s="713" t="s">
        <v>586</v>
      </c>
      <c r="C50" s="714">
        <v>43.08314</v>
      </c>
      <c r="D50" s="714">
        <v>49.304580000000001</v>
      </c>
      <c r="E50" s="714"/>
      <c r="F50" s="714">
        <v>45.948999999999998</v>
      </c>
      <c r="G50" s="714">
        <v>0</v>
      </c>
      <c r="H50" s="714">
        <v>45.948999999999998</v>
      </c>
      <c r="I50" s="715" t="s">
        <v>329</v>
      </c>
      <c r="J50" s="716" t="s">
        <v>1</v>
      </c>
    </row>
    <row r="51" spans="1:10" ht="14.45" customHeight="1" x14ac:dyDescent="0.2">
      <c r="A51" s="712" t="s">
        <v>600</v>
      </c>
      <c r="B51" s="713" t="s">
        <v>602</v>
      </c>
      <c r="C51" s="714">
        <v>1013.2210300000002</v>
      </c>
      <c r="D51" s="714">
        <v>1113.1218100000001</v>
      </c>
      <c r="E51" s="714"/>
      <c r="F51" s="714">
        <v>857.13731000000018</v>
      </c>
      <c r="G51" s="714">
        <v>0</v>
      </c>
      <c r="H51" s="714">
        <v>857.13731000000018</v>
      </c>
      <c r="I51" s="715" t="s">
        <v>329</v>
      </c>
      <c r="J51" s="716" t="s">
        <v>592</v>
      </c>
    </row>
    <row r="52" spans="1:10" ht="14.45" customHeight="1" x14ac:dyDescent="0.2">
      <c r="A52" s="712" t="s">
        <v>329</v>
      </c>
      <c r="B52" s="713" t="s">
        <v>329</v>
      </c>
      <c r="C52" s="714" t="s">
        <v>329</v>
      </c>
      <c r="D52" s="714" t="s">
        <v>329</v>
      </c>
      <c r="E52" s="714"/>
      <c r="F52" s="714" t="s">
        <v>329</v>
      </c>
      <c r="G52" s="714" t="s">
        <v>329</v>
      </c>
      <c r="H52" s="714" t="s">
        <v>329</v>
      </c>
      <c r="I52" s="715" t="s">
        <v>329</v>
      </c>
      <c r="J52" s="716" t="s">
        <v>593</v>
      </c>
    </row>
    <row r="53" spans="1:10" ht="14.45" customHeight="1" x14ac:dyDescent="0.2">
      <c r="A53" s="712" t="s">
        <v>603</v>
      </c>
      <c r="B53" s="713" t="s">
        <v>604</v>
      </c>
      <c r="C53" s="714" t="s">
        <v>329</v>
      </c>
      <c r="D53" s="714" t="s">
        <v>329</v>
      </c>
      <c r="E53" s="714"/>
      <c r="F53" s="714" t="s">
        <v>329</v>
      </c>
      <c r="G53" s="714" t="s">
        <v>329</v>
      </c>
      <c r="H53" s="714" t="s">
        <v>329</v>
      </c>
      <c r="I53" s="715" t="s">
        <v>329</v>
      </c>
      <c r="J53" s="716" t="s">
        <v>0</v>
      </c>
    </row>
    <row r="54" spans="1:10" ht="14.45" customHeight="1" x14ac:dyDescent="0.2">
      <c r="A54" s="712" t="s">
        <v>603</v>
      </c>
      <c r="B54" s="713" t="s">
        <v>577</v>
      </c>
      <c r="C54" s="714">
        <v>0</v>
      </c>
      <c r="D54" s="714">
        <v>0</v>
      </c>
      <c r="E54" s="714"/>
      <c r="F54" s="714">
        <v>0</v>
      </c>
      <c r="G54" s="714">
        <v>0</v>
      </c>
      <c r="H54" s="714">
        <v>0</v>
      </c>
      <c r="I54" s="715" t="s">
        <v>329</v>
      </c>
      <c r="J54" s="716" t="s">
        <v>1</v>
      </c>
    </row>
    <row r="55" spans="1:10" ht="14.45" customHeight="1" x14ac:dyDescent="0.2">
      <c r="A55" s="712" t="s">
        <v>603</v>
      </c>
      <c r="B55" s="713" t="s">
        <v>605</v>
      </c>
      <c r="C55" s="714">
        <v>0</v>
      </c>
      <c r="D55" s="714">
        <v>0</v>
      </c>
      <c r="E55" s="714"/>
      <c r="F55" s="714">
        <v>0</v>
      </c>
      <c r="G55" s="714">
        <v>0</v>
      </c>
      <c r="H55" s="714">
        <v>0</v>
      </c>
      <c r="I55" s="715" t="s">
        <v>329</v>
      </c>
      <c r="J55" s="716" t="s">
        <v>592</v>
      </c>
    </row>
    <row r="56" spans="1:10" ht="14.45" customHeight="1" x14ac:dyDescent="0.2">
      <c r="A56" s="712" t="s">
        <v>329</v>
      </c>
      <c r="B56" s="713" t="s">
        <v>329</v>
      </c>
      <c r="C56" s="714" t="s">
        <v>329</v>
      </c>
      <c r="D56" s="714" t="s">
        <v>329</v>
      </c>
      <c r="E56" s="714"/>
      <c r="F56" s="714" t="s">
        <v>329</v>
      </c>
      <c r="G56" s="714" t="s">
        <v>329</v>
      </c>
      <c r="H56" s="714" t="s">
        <v>329</v>
      </c>
      <c r="I56" s="715" t="s">
        <v>329</v>
      </c>
      <c r="J56" s="716" t="s">
        <v>593</v>
      </c>
    </row>
    <row r="57" spans="1:10" ht="14.45" customHeight="1" x14ac:dyDescent="0.2">
      <c r="A57" s="712" t="s">
        <v>606</v>
      </c>
      <c r="B57" s="713" t="s">
        <v>607</v>
      </c>
      <c r="C57" s="714" t="s">
        <v>329</v>
      </c>
      <c r="D57" s="714" t="s">
        <v>329</v>
      </c>
      <c r="E57" s="714"/>
      <c r="F57" s="714" t="s">
        <v>329</v>
      </c>
      <c r="G57" s="714" t="s">
        <v>329</v>
      </c>
      <c r="H57" s="714" t="s">
        <v>329</v>
      </c>
      <c r="I57" s="715" t="s">
        <v>329</v>
      </c>
      <c r="J57" s="716" t="s">
        <v>0</v>
      </c>
    </row>
    <row r="58" spans="1:10" ht="14.45" customHeight="1" x14ac:dyDescent="0.2">
      <c r="A58" s="712" t="s">
        <v>606</v>
      </c>
      <c r="B58" s="713" t="s">
        <v>577</v>
      </c>
      <c r="C58" s="714">
        <v>0</v>
      </c>
      <c r="D58" s="714">
        <v>0</v>
      </c>
      <c r="E58" s="714"/>
      <c r="F58" s="714">
        <v>1.6970300000000003</v>
      </c>
      <c r="G58" s="714">
        <v>0</v>
      </c>
      <c r="H58" s="714">
        <v>1.6970300000000003</v>
      </c>
      <c r="I58" s="715" t="s">
        <v>329</v>
      </c>
      <c r="J58" s="716" t="s">
        <v>1</v>
      </c>
    </row>
    <row r="59" spans="1:10" ht="14.45" customHeight="1" x14ac:dyDescent="0.2">
      <c r="A59" s="712" t="s">
        <v>606</v>
      </c>
      <c r="B59" s="713" t="s">
        <v>608</v>
      </c>
      <c r="C59" s="714">
        <v>0</v>
      </c>
      <c r="D59" s="714">
        <v>0</v>
      </c>
      <c r="E59" s="714"/>
      <c r="F59" s="714">
        <v>1.6970300000000003</v>
      </c>
      <c r="G59" s="714">
        <v>0</v>
      </c>
      <c r="H59" s="714">
        <v>1.6970300000000003</v>
      </c>
      <c r="I59" s="715" t="s">
        <v>329</v>
      </c>
      <c r="J59" s="716" t="s">
        <v>592</v>
      </c>
    </row>
    <row r="60" spans="1:10" ht="14.45" customHeight="1" x14ac:dyDescent="0.2">
      <c r="A60" s="712" t="s">
        <v>329</v>
      </c>
      <c r="B60" s="713" t="s">
        <v>329</v>
      </c>
      <c r="C60" s="714" t="s">
        <v>329</v>
      </c>
      <c r="D60" s="714" t="s">
        <v>329</v>
      </c>
      <c r="E60" s="714"/>
      <c r="F60" s="714" t="s">
        <v>329</v>
      </c>
      <c r="G60" s="714" t="s">
        <v>329</v>
      </c>
      <c r="H60" s="714" t="s">
        <v>329</v>
      </c>
      <c r="I60" s="715" t="s">
        <v>329</v>
      </c>
      <c r="J60" s="716" t="s">
        <v>593</v>
      </c>
    </row>
    <row r="61" spans="1:10" ht="14.45" customHeight="1" x14ac:dyDescent="0.2">
      <c r="A61" s="712" t="s">
        <v>575</v>
      </c>
      <c r="B61" s="713" t="s">
        <v>587</v>
      </c>
      <c r="C61" s="714">
        <v>4819.7026599999999</v>
      </c>
      <c r="D61" s="714">
        <v>5284.4223400000019</v>
      </c>
      <c r="E61" s="714"/>
      <c r="F61" s="714">
        <v>3735.4323600000012</v>
      </c>
      <c r="G61" s="714">
        <v>0</v>
      </c>
      <c r="H61" s="714">
        <v>3735.4323600000012</v>
      </c>
      <c r="I61" s="715" t="s">
        <v>329</v>
      </c>
      <c r="J61" s="716" t="s">
        <v>588</v>
      </c>
    </row>
  </sheetData>
  <mergeCells count="3">
    <mergeCell ref="F3:I3"/>
    <mergeCell ref="C4:D4"/>
    <mergeCell ref="A1:I1"/>
  </mergeCells>
  <conditionalFormatting sqref="F17 F62:F65537">
    <cfRule type="cellIs" dxfId="75" priority="18" stopIfTrue="1" operator="greaterThan">
      <formula>1</formula>
    </cfRule>
  </conditionalFormatting>
  <conditionalFormatting sqref="H5:H16">
    <cfRule type="expression" dxfId="74" priority="14">
      <formula>$H5&gt;0</formula>
    </cfRule>
  </conditionalFormatting>
  <conditionalFormatting sqref="I5:I16">
    <cfRule type="expression" dxfId="73" priority="15">
      <formula>$I5&gt;1</formula>
    </cfRule>
  </conditionalFormatting>
  <conditionalFormatting sqref="B5:B16">
    <cfRule type="expression" dxfId="72" priority="11">
      <formula>OR($J5="NS",$J5="SumaNS",$J5="Účet")</formula>
    </cfRule>
  </conditionalFormatting>
  <conditionalFormatting sqref="B5:D16 F5:I16">
    <cfRule type="expression" dxfId="71" priority="17">
      <formula>AND($J5&lt;&gt;"",$J5&lt;&gt;"mezeraKL")</formula>
    </cfRule>
  </conditionalFormatting>
  <conditionalFormatting sqref="B5:D16 F5:I16">
    <cfRule type="expression" dxfId="70" priority="12">
      <formula>OR($J5="KL",$J5="SumaKL")</formula>
    </cfRule>
    <cfRule type="expression" priority="16" stopIfTrue="1">
      <formula>OR($J5="mezeraNS",$J5="mezeraKL")</formula>
    </cfRule>
  </conditionalFormatting>
  <conditionalFormatting sqref="F5:I16 B5:D16">
    <cfRule type="expression" dxfId="69" priority="13">
      <formula>OR($J5="SumaNS",$J5="NS")</formula>
    </cfRule>
  </conditionalFormatting>
  <conditionalFormatting sqref="A5:A16">
    <cfRule type="expression" dxfId="68" priority="9">
      <formula>AND($J5&lt;&gt;"mezeraKL",$J5&lt;&gt;"")</formula>
    </cfRule>
  </conditionalFormatting>
  <conditionalFormatting sqref="A5:A16">
    <cfRule type="expression" dxfId="67" priority="10">
      <formula>AND($J5&lt;&gt;"",$J5&lt;&gt;"mezeraKL")</formula>
    </cfRule>
  </conditionalFormatting>
  <conditionalFormatting sqref="H18:H61">
    <cfRule type="expression" dxfId="66" priority="5">
      <formula>$H18&gt;0</formula>
    </cfRule>
  </conditionalFormatting>
  <conditionalFormatting sqref="A18:A61">
    <cfRule type="expression" dxfId="65" priority="2">
      <formula>AND($J18&lt;&gt;"mezeraKL",$J18&lt;&gt;"")</formula>
    </cfRule>
  </conditionalFormatting>
  <conditionalFormatting sqref="I18:I61">
    <cfRule type="expression" dxfId="64" priority="6">
      <formula>$I18&gt;1</formula>
    </cfRule>
  </conditionalFormatting>
  <conditionalFormatting sqref="B18:B61">
    <cfRule type="expression" dxfId="63" priority="1">
      <formula>OR($J18="NS",$J18="SumaNS",$J18="Účet")</formula>
    </cfRule>
  </conditionalFormatting>
  <conditionalFormatting sqref="A18:D61 F18:I61">
    <cfRule type="expression" dxfId="62" priority="8">
      <formula>AND($J18&lt;&gt;"",$J18&lt;&gt;"mezeraKL")</formula>
    </cfRule>
  </conditionalFormatting>
  <conditionalFormatting sqref="B18:D61 F18:I61">
    <cfRule type="expression" dxfId="61" priority="3">
      <formula>OR($J18="KL",$J18="SumaKL")</formula>
    </cfRule>
    <cfRule type="expression" priority="7" stopIfTrue="1">
      <formula>OR($J18="mezeraNS",$J18="mezeraKL")</formula>
    </cfRule>
  </conditionalFormatting>
  <conditionalFormatting sqref="B18:D61 F18:I61">
    <cfRule type="expression" dxfId="60" priority="4">
      <formula>OR($J18="SumaNS",$J18="NS")</formula>
    </cfRule>
  </conditionalFormatting>
  <hyperlinks>
    <hyperlink ref="A2" location="Obsah!A1" display="Zpět na Obsah  KL 01  1.-4.měsíc" xr:uid="{913E6EFF-87DD-42ED-94D3-15F8FE1B69EE}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List10">
    <tabColor theme="0" tint="-0.249977111117893"/>
    <pageSetUpPr fitToPage="1"/>
  </sheetPr>
  <dimension ref="A1:N652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ColWidth="8.85546875" defaultRowHeight="14.45" customHeight="1" outlineLevelCol="1" x14ac:dyDescent="0.2"/>
  <cols>
    <col min="1" max="1" width="6.7109375" style="247" hidden="1" customWidth="1" outlineLevel="1"/>
    <col min="2" max="2" width="28.28515625" style="247" hidden="1" customWidth="1" outlineLevel="1"/>
    <col min="3" max="3" width="5.28515625" style="331" bestFit="1" customWidth="1" collapsed="1"/>
    <col min="4" max="4" width="18.7109375" style="335" customWidth="1"/>
    <col min="5" max="5" width="9" style="458" bestFit="1" customWidth="1"/>
    <col min="6" max="6" width="18.7109375" style="335" customWidth="1"/>
    <col min="7" max="7" width="5" style="331" customWidth="1"/>
    <col min="8" max="8" width="12.42578125" style="331" hidden="1" customWidth="1" outlineLevel="1"/>
    <col min="9" max="9" width="8.5703125" style="331" hidden="1" customWidth="1" outlineLevel="1"/>
    <col min="10" max="10" width="25.7109375" style="331" customWidth="1" collapsed="1"/>
    <col min="11" max="11" width="8.7109375" style="331" customWidth="1"/>
    <col min="12" max="13" width="7.7109375" style="329" customWidth="1"/>
    <col min="14" max="14" width="12.7109375" style="329" customWidth="1"/>
    <col min="15" max="16384" width="8.85546875" style="247"/>
  </cols>
  <sheetData>
    <row r="1" spans="1:14" ht="18.600000000000001" customHeight="1" thickBot="1" x14ac:dyDescent="0.35">
      <c r="A1" s="553" t="s">
        <v>204</v>
      </c>
      <c r="B1" s="517"/>
      <c r="C1" s="517"/>
      <c r="D1" s="517"/>
      <c r="E1" s="517"/>
      <c r="F1" s="517"/>
      <c r="G1" s="517"/>
      <c r="H1" s="517"/>
      <c r="I1" s="517"/>
      <c r="J1" s="517"/>
      <c r="K1" s="517"/>
      <c r="L1" s="517"/>
      <c r="M1" s="517"/>
      <c r="N1" s="517"/>
    </row>
    <row r="2" spans="1:14" ht="14.45" customHeight="1" thickBot="1" x14ac:dyDescent="0.25">
      <c r="A2" s="705" t="s">
        <v>328</v>
      </c>
      <c r="B2" s="66"/>
      <c r="C2" s="333"/>
      <c r="D2" s="333"/>
      <c r="E2" s="457"/>
      <c r="F2" s="333"/>
      <c r="G2" s="333"/>
      <c r="H2" s="333"/>
      <c r="I2" s="333"/>
      <c r="J2" s="333"/>
      <c r="K2" s="333"/>
      <c r="L2" s="334"/>
      <c r="M2" s="334"/>
      <c r="N2" s="334"/>
    </row>
    <row r="3" spans="1:14" ht="14.45" customHeight="1" thickBot="1" x14ac:dyDescent="0.25">
      <c r="A3" s="66"/>
      <c r="B3" s="66"/>
      <c r="C3" s="549"/>
      <c r="D3" s="550"/>
      <c r="E3" s="550"/>
      <c r="F3" s="550"/>
      <c r="G3" s="550"/>
      <c r="H3" s="550"/>
      <c r="I3" s="550"/>
      <c r="J3" s="551" t="s">
        <v>158</v>
      </c>
      <c r="K3" s="552"/>
      <c r="L3" s="203">
        <f>IF(M3&lt;&gt;0,N3/M3,0)</f>
        <v>371.62152960260732</v>
      </c>
      <c r="M3" s="203">
        <f>SUBTOTAL(9,M5:M1048576)</f>
        <v>9986.1200000000008</v>
      </c>
      <c r="N3" s="204">
        <f>SUBTOTAL(9,N5:N1048576)</f>
        <v>3711057.1891951896</v>
      </c>
    </row>
    <row r="4" spans="1:14" s="330" customFormat="1" ht="14.45" customHeight="1" thickBot="1" x14ac:dyDescent="0.25">
      <c r="A4" s="717" t="s">
        <v>4</v>
      </c>
      <c r="B4" s="718" t="s">
        <v>5</v>
      </c>
      <c r="C4" s="718" t="s">
        <v>0</v>
      </c>
      <c r="D4" s="718" t="s">
        <v>6</v>
      </c>
      <c r="E4" s="719" t="s">
        <v>7</v>
      </c>
      <c r="F4" s="718" t="s">
        <v>1</v>
      </c>
      <c r="G4" s="718" t="s">
        <v>8</v>
      </c>
      <c r="H4" s="718" t="s">
        <v>9</v>
      </c>
      <c r="I4" s="718" t="s">
        <v>10</v>
      </c>
      <c r="J4" s="720" t="s">
        <v>11</v>
      </c>
      <c r="K4" s="720" t="s">
        <v>12</v>
      </c>
      <c r="L4" s="721" t="s">
        <v>183</v>
      </c>
      <c r="M4" s="721" t="s">
        <v>13</v>
      </c>
      <c r="N4" s="722" t="s">
        <v>200</v>
      </c>
    </row>
    <row r="5" spans="1:14" ht="14.45" customHeight="1" x14ac:dyDescent="0.2">
      <c r="A5" s="723" t="s">
        <v>575</v>
      </c>
      <c r="B5" s="724" t="s">
        <v>576</v>
      </c>
      <c r="C5" s="725" t="s">
        <v>589</v>
      </c>
      <c r="D5" s="726" t="s">
        <v>590</v>
      </c>
      <c r="E5" s="727">
        <v>50113001</v>
      </c>
      <c r="F5" s="726" t="s">
        <v>609</v>
      </c>
      <c r="G5" s="725" t="s">
        <v>610</v>
      </c>
      <c r="H5" s="725">
        <v>176064</v>
      </c>
      <c r="I5" s="725">
        <v>76064</v>
      </c>
      <c r="J5" s="725" t="s">
        <v>611</v>
      </c>
      <c r="K5" s="725" t="s">
        <v>612</v>
      </c>
      <c r="L5" s="728">
        <v>83.84999999999998</v>
      </c>
      <c r="M5" s="728">
        <v>1</v>
      </c>
      <c r="N5" s="729">
        <v>83.84999999999998</v>
      </c>
    </row>
    <row r="6" spans="1:14" ht="14.45" customHeight="1" x14ac:dyDescent="0.2">
      <c r="A6" s="730" t="s">
        <v>575</v>
      </c>
      <c r="B6" s="731" t="s">
        <v>576</v>
      </c>
      <c r="C6" s="732" t="s">
        <v>589</v>
      </c>
      <c r="D6" s="733" t="s">
        <v>590</v>
      </c>
      <c r="E6" s="734">
        <v>50113001</v>
      </c>
      <c r="F6" s="733" t="s">
        <v>609</v>
      </c>
      <c r="G6" s="732" t="s">
        <v>610</v>
      </c>
      <c r="H6" s="732">
        <v>847132</v>
      </c>
      <c r="I6" s="732">
        <v>137238</v>
      </c>
      <c r="J6" s="732" t="s">
        <v>613</v>
      </c>
      <c r="K6" s="732" t="s">
        <v>614</v>
      </c>
      <c r="L6" s="735">
        <v>623.03000000000009</v>
      </c>
      <c r="M6" s="735">
        <v>1</v>
      </c>
      <c r="N6" s="736">
        <v>623.03000000000009</v>
      </c>
    </row>
    <row r="7" spans="1:14" ht="14.45" customHeight="1" x14ac:dyDescent="0.2">
      <c r="A7" s="730" t="s">
        <v>575</v>
      </c>
      <c r="B7" s="731" t="s">
        <v>576</v>
      </c>
      <c r="C7" s="732" t="s">
        <v>589</v>
      </c>
      <c r="D7" s="733" t="s">
        <v>590</v>
      </c>
      <c r="E7" s="734">
        <v>50113001</v>
      </c>
      <c r="F7" s="733" t="s">
        <v>609</v>
      </c>
      <c r="G7" s="732" t="s">
        <v>610</v>
      </c>
      <c r="H7" s="732">
        <v>100362</v>
      </c>
      <c r="I7" s="732">
        <v>362</v>
      </c>
      <c r="J7" s="732" t="s">
        <v>615</v>
      </c>
      <c r="K7" s="732" t="s">
        <v>616</v>
      </c>
      <c r="L7" s="735">
        <v>72.569999999999993</v>
      </c>
      <c r="M7" s="735">
        <v>9</v>
      </c>
      <c r="N7" s="736">
        <v>653.12999999999988</v>
      </c>
    </row>
    <row r="8" spans="1:14" ht="14.45" customHeight="1" x14ac:dyDescent="0.2">
      <c r="A8" s="730" t="s">
        <v>575</v>
      </c>
      <c r="B8" s="731" t="s">
        <v>576</v>
      </c>
      <c r="C8" s="732" t="s">
        <v>589</v>
      </c>
      <c r="D8" s="733" t="s">
        <v>590</v>
      </c>
      <c r="E8" s="734">
        <v>50113001</v>
      </c>
      <c r="F8" s="733" t="s">
        <v>609</v>
      </c>
      <c r="G8" s="732" t="s">
        <v>610</v>
      </c>
      <c r="H8" s="732">
        <v>845008</v>
      </c>
      <c r="I8" s="732">
        <v>107806</v>
      </c>
      <c r="J8" s="732" t="s">
        <v>617</v>
      </c>
      <c r="K8" s="732" t="s">
        <v>618</v>
      </c>
      <c r="L8" s="735">
        <v>66.850000000000009</v>
      </c>
      <c r="M8" s="735">
        <v>1</v>
      </c>
      <c r="N8" s="736">
        <v>66.850000000000009</v>
      </c>
    </row>
    <row r="9" spans="1:14" ht="14.45" customHeight="1" x14ac:dyDescent="0.2">
      <c r="A9" s="730" t="s">
        <v>575</v>
      </c>
      <c r="B9" s="731" t="s">
        <v>576</v>
      </c>
      <c r="C9" s="732" t="s">
        <v>589</v>
      </c>
      <c r="D9" s="733" t="s">
        <v>590</v>
      </c>
      <c r="E9" s="734">
        <v>50113001</v>
      </c>
      <c r="F9" s="733" t="s">
        <v>609</v>
      </c>
      <c r="G9" s="732" t="s">
        <v>610</v>
      </c>
      <c r="H9" s="732">
        <v>230398</v>
      </c>
      <c r="I9" s="732">
        <v>230398</v>
      </c>
      <c r="J9" s="732" t="s">
        <v>619</v>
      </c>
      <c r="K9" s="732" t="s">
        <v>620</v>
      </c>
      <c r="L9" s="735">
        <v>142.22000000000003</v>
      </c>
      <c r="M9" s="735">
        <v>1</v>
      </c>
      <c r="N9" s="736">
        <v>142.22000000000003</v>
      </c>
    </row>
    <row r="10" spans="1:14" ht="14.45" customHeight="1" x14ac:dyDescent="0.2">
      <c r="A10" s="730" t="s">
        <v>575</v>
      </c>
      <c r="B10" s="731" t="s">
        <v>576</v>
      </c>
      <c r="C10" s="732" t="s">
        <v>589</v>
      </c>
      <c r="D10" s="733" t="s">
        <v>590</v>
      </c>
      <c r="E10" s="734">
        <v>50113001</v>
      </c>
      <c r="F10" s="733" t="s">
        <v>609</v>
      </c>
      <c r="G10" s="732" t="s">
        <v>610</v>
      </c>
      <c r="H10" s="732">
        <v>201384</v>
      </c>
      <c r="I10" s="732">
        <v>201384</v>
      </c>
      <c r="J10" s="732" t="s">
        <v>621</v>
      </c>
      <c r="K10" s="732" t="s">
        <v>622</v>
      </c>
      <c r="L10" s="735">
        <v>1057</v>
      </c>
      <c r="M10" s="735">
        <v>1</v>
      </c>
      <c r="N10" s="736">
        <v>1057</v>
      </c>
    </row>
    <row r="11" spans="1:14" ht="14.45" customHeight="1" x14ac:dyDescent="0.2">
      <c r="A11" s="730" t="s">
        <v>575</v>
      </c>
      <c r="B11" s="731" t="s">
        <v>576</v>
      </c>
      <c r="C11" s="732" t="s">
        <v>589</v>
      </c>
      <c r="D11" s="733" t="s">
        <v>590</v>
      </c>
      <c r="E11" s="734">
        <v>50113001</v>
      </c>
      <c r="F11" s="733" t="s">
        <v>609</v>
      </c>
      <c r="G11" s="732" t="s">
        <v>610</v>
      </c>
      <c r="H11" s="732">
        <v>176954</v>
      </c>
      <c r="I11" s="732">
        <v>176954</v>
      </c>
      <c r="J11" s="732" t="s">
        <v>623</v>
      </c>
      <c r="K11" s="732" t="s">
        <v>624</v>
      </c>
      <c r="L11" s="735">
        <v>95.120000000000019</v>
      </c>
      <c r="M11" s="735">
        <v>1</v>
      </c>
      <c r="N11" s="736">
        <v>95.120000000000019</v>
      </c>
    </row>
    <row r="12" spans="1:14" ht="14.45" customHeight="1" x14ac:dyDescent="0.2">
      <c r="A12" s="730" t="s">
        <v>575</v>
      </c>
      <c r="B12" s="731" t="s">
        <v>576</v>
      </c>
      <c r="C12" s="732" t="s">
        <v>589</v>
      </c>
      <c r="D12" s="733" t="s">
        <v>590</v>
      </c>
      <c r="E12" s="734">
        <v>50113001</v>
      </c>
      <c r="F12" s="733" t="s">
        <v>609</v>
      </c>
      <c r="G12" s="732" t="s">
        <v>625</v>
      </c>
      <c r="H12" s="732">
        <v>127272</v>
      </c>
      <c r="I12" s="732">
        <v>127272</v>
      </c>
      <c r="J12" s="732" t="s">
        <v>626</v>
      </c>
      <c r="K12" s="732" t="s">
        <v>627</v>
      </c>
      <c r="L12" s="735">
        <v>48.13</v>
      </c>
      <c r="M12" s="735">
        <v>1</v>
      </c>
      <c r="N12" s="736">
        <v>48.13</v>
      </c>
    </row>
    <row r="13" spans="1:14" ht="14.45" customHeight="1" x14ac:dyDescent="0.2">
      <c r="A13" s="730" t="s">
        <v>575</v>
      </c>
      <c r="B13" s="731" t="s">
        <v>576</v>
      </c>
      <c r="C13" s="732" t="s">
        <v>589</v>
      </c>
      <c r="D13" s="733" t="s">
        <v>590</v>
      </c>
      <c r="E13" s="734">
        <v>50113001</v>
      </c>
      <c r="F13" s="733" t="s">
        <v>609</v>
      </c>
      <c r="G13" s="732" t="s">
        <v>625</v>
      </c>
      <c r="H13" s="732">
        <v>127263</v>
      </c>
      <c r="I13" s="732">
        <v>127263</v>
      </c>
      <c r="J13" s="732" t="s">
        <v>626</v>
      </c>
      <c r="K13" s="732" t="s">
        <v>628</v>
      </c>
      <c r="L13" s="735">
        <v>53.940000000000005</v>
      </c>
      <c r="M13" s="735">
        <v>3</v>
      </c>
      <c r="N13" s="736">
        <v>161.82000000000002</v>
      </c>
    </row>
    <row r="14" spans="1:14" ht="14.45" customHeight="1" x14ac:dyDescent="0.2">
      <c r="A14" s="730" t="s">
        <v>575</v>
      </c>
      <c r="B14" s="731" t="s">
        <v>576</v>
      </c>
      <c r="C14" s="732" t="s">
        <v>589</v>
      </c>
      <c r="D14" s="733" t="s">
        <v>590</v>
      </c>
      <c r="E14" s="734">
        <v>50113001</v>
      </c>
      <c r="F14" s="733" t="s">
        <v>609</v>
      </c>
      <c r="G14" s="732" t="s">
        <v>625</v>
      </c>
      <c r="H14" s="732">
        <v>849453</v>
      </c>
      <c r="I14" s="732">
        <v>163077</v>
      </c>
      <c r="J14" s="732" t="s">
        <v>629</v>
      </c>
      <c r="K14" s="732" t="s">
        <v>630</v>
      </c>
      <c r="L14" s="735">
        <v>15.489999999999997</v>
      </c>
      <c r="M14" s="735">
        <v>2</v>
      </c>
      <c r="N14" s="736">
        <v>30.979999999999993</v>
      </c>
    </row>
    <row r="15" spans="1:14" ht="14.45" customHeight="1" x14ac:dyDescent="0.2">
      <c r="A15" s="730" t="s">
        <v>575</v>
      </c>
      <c r="B15" s="731" t="s">
        <v>576</v>
      </c>
      <c r="C15" s="732" t="s">
        <v>589</v>
      </c>
      <c r="D15" s="733" t="s">
        <v>590</v>
      </c>
      <c r="E15" s="734">
        <v>50113001</v>
      </c>
      <c r="F15" s="733" t="s">
        <v>609</v>
      </c>
      <c r="G15" s="732" t="s">
        <v>625</v>
      </c>
      <c r="H15" s="732">
        <v>849444</v>
      </c>
      <c r="I15" s="732">
        <v>163085</v>
      </c>
      <c r="J15" s="732" t="s">
        <v>631</v>
      </c>
      <c r="K15" s="732" t="s">
        <v>632</v>
      </c>
      <c r="L15" s="735">
        <v>23.219999999999995</v>
      </c>
      <c r="M15" s="735">
        <v>2</v>
      </c>
      <c r="N15" s="736">
        <v>46.439999999999991</v>
      </c>
    </row>
    <row r="16" spans="1:14" ht="14.45" customHeight="1" x14ac:dyDescent="0.2">
      <c r="A16" s="730" t="s">
        <v>575</v>
      </c>
      <c r="B16" s="731" t="s">
        <v>576</v>
      </c>
      <c r="C16" s="732" t="s">
        <v>589</v>
      </c>
      <c r="D16" s="733" t="s">
        <v>590</v>
      </c>
      <c r="E16" s="734">
        <v>50113001</v>
      </c>
      <c r="F16" s="733" t="s">
        <v>609</v>
      </c>
      <c r="G16" s="732" t="s">
        <v>610</v>
      </c>
      <c r="H16" s="732">
        <v>194916</v>
      </c>
      <c r="I16" s="732">
        <v>94916</v>
      </c>
      <c r="J16" s="732" t="s">
        <v>633</v>
      </c>
      <c r="K16" s="732" t="s">
        <v>634</v>
      </c>
      <c r="L16" s="735">
        <v>85.05</v>
      </c>
      <c r="M16" s="735">
        <v>6</v>
      </c>
      <c r="N16" s="736">
        <v>510.29999999999995</v>
      </c>
    </row>
    <row r="17" spans="1:14" ht="14.45" customHeight="1" x14ac:dyDescent="0.2">
      <c r="A17" s="730" t="s">
        <v>575</v>
      </c>
      <c r="B17" s="731" t="s">
        <v>576</v>
      </c>
      <c r="C17" s="732" t="s">
        <v>589</v>
      </c>
      <c r="D17" s="733" t="s">
        <v>590</v>
      </c>
      <c r="E17" s="734">
        <v>50113001</v>
      </c>
      <c r="F17" s="733" t="s">
        <v>609</v>
      </c>
      <c r="G17" s="732" t="s">
        <v>610</v>
      </c>
      <c r="H17" s="732">
        <v>194919</v>
      </c>
      <c r="I17" s="732">
        <v>94919</v>
      </c>
      <c r="J17" s="732" t="s">
        <v>635</v>
      </c>
      <c r="K17" s="732" t="s">
        <v>636</v>
      </c>
      <c r="L17" s="735">
        <v>51.980000000000011</v>
      </c>
      <c r="M17" s="735">
        <v>3</v>
      </c>
      <c r="N17" s="736">
        <v>155.94000000000003</v>
      </c>
    </row>
    <row r="18" spans="1:14" ht="14.45" customHeight="1" x14ac:dyDescent="0.2">
      <c r="A18" s="730" t="s">
        <v>575</v>
      </c>
      <c r="B18" s="731" t="s">
        <v>576</v>
      </c>
      <c r="C18" s="732" t="s">
        <v>589</v>
      </c>
      <c r="D18" s="733" t="s">
        <v>590</v>
      </c>
      <c r="E18" s="734">
        <v>50113001</v>
      </c>
      <c r="F18" s="733" t="s">
        <v>609</v>
      </c>
      <c r="G18" s="732" t="s">
        <v>610</v>
      </c>
      <c r="H18" s="732">
        <v>194920</v>
      </c>
      <c r="I18" s="732">
        <v>94920</v>
      </c>
      <c r="J18" s="732" t="s">
        <v>635</v>
      </c>
      <c r="K18" s="732" t="s">
        <v>637</v>
      </c>
      <c r="L18" s="735">
        <v>72.217500000000001</v>
      </c>
      <c r="M18" s="735">
        <v>20</v>
      </c>
      <c r="N18" s="736">
        <v>1444.3500000000001</v>
      </c>
    </row>
    <row r="19" spans="1:14" ht="14.45" customHeight="1" x14ac:dyDescent="0.2">
      <c r="A19" s="730" t="s">
        <v>575</v>
      </c>
      <c r="B19" s="731" t="s">
        <v>576</v>
      </c>
      <c r="C19" s="732" t="s">
        <v>589</v>
      </c>
      <c r="D19" s="733" t="s">
        <v>590</v>
      </c>
      <c r="E19" s="734">
        <v>50113001</v>
      </c>
      <c r="F19" s="733" t="s">
        <v>609</v>
      </c>
      <c r="G19" s="732" t="s">
        <v>610</v>
      </c>
      <c r="H19" s="732">
        <v>223855</v>
      </c>
      <c r="I19" s="732">
        <v>223855</v>
      </c>
      <c r="J19" s="732" t="s">
        <v>638</v>
      </c>
      <c r="K19" s="732" t="s">
        <v>639</v>
      </c>
      <c r="L19" s="735">
        <v>165</v>
      </c>
      <c r="M19" s="735">
        <v>32</v>
      </c>
      <c r="N19" s="736">
        <v>5280</v>
      </c>
    </row>
    <row r="20" spans="1:14" ht="14.45" customHeight="1" x14ac:dyDescent="0.2">
      <c r="A20" s="730" t="s">
        <v>575</v>
      </c>
      <c r="B20" s="731" t="s">
        <v>576</v>
      </c>
      <c r="C20" s="732" t="s">
        <v>589</v>
      </c>
      <c r="D20" s="733" t="s">
        <v>590</v>
      </c>
      <c r="E20" s="734">
        <v>50113001</v>
      </c>
      <c r="F20" s="733" t="s">
        <v>609</v>
      </c>
      <c r="G20" s="732" t="s">
        <v>610</v>
      </c>
      <c r="H20" s="732">
        <v>845369</v>
      </c>
      <c r="I20" s="732">
        <v>107987</v>
      </c>
      <c r="J20" s="732" t="s">
        <v>640</v>
      </c>
      <c r="K20" s="732" t="s">
        <v>641</v>
      </c>
      <c r="L20" s="735">
        <v>112.16999999999999</v>
      </c>
      <c r="M20" s="735">
        <v>4</v>
      </c>
      <c r="N20" s="736">
        <v>448.67999999999995</v>
      </c>
    </row>
    <row r="21" spans="1:14" ht="14.45" customHeight="1" x14ac:dyDescent="0.2">
      <c r="A21" s="730" t="s">
        <v>575</v>
      </c>
      <c r="B21" s="731" t="s">
        <v>576</v>
      </c>
      <c r="C21" s="732" t="s">
        <v>589</v>
      </c>
      <c r="D21" s="733" t="s">
        <v>590</v>
      </c>
      <c r="E21" s="734">
        <v>50113001</v>
      </c>
      <c r="F21" s="733" t="s">
        <v>609</v>
      </c>
      <c r="G21" s="732" t="s">
        <v>610</v>
      </c>
      <c r="H21" s="732">
        <v>235897</v>
      </c>
      <c r="I21" s="732">
        <v>235897</v>
      </c>
      <c r="J21" s="732" t="s">
        <v>642</v>
      </c>
      <c r="K21" s="732" t="s">
        <v>643</v>
      </c>
      <c r="L21" s="735">
        <v>63.1</v>
      </c>
      <c r="M21" s="735">
        <v>10</v>
      </c>
      <c r="N21" s="736">
        <v>631</v>
      </c>
    </row>
    <row r="22" spans="1:14" ht="14.45" customHeight="1" x14ac:dyDescent="0.2">
      <c r="A22" s="730" t="s">
        <v>575</v>
      </c>
      <c r="B22" s="731" t="s">
        <v>576</v>
      </c>
      <c r="C22" s="732" t="s">
        <v>589</v>
      </c>
      <c r="D22" s="733" t="s">
        <v>590</v>
      </c>
      <c r="E22" s="734">
        <v>50113001</v>
      </c>
      <c r="F22" s="733" t="s">
        <v>609</v>
      </c>
      <c r="G22" s="732" t="s">
        <v>610</v>
      </c>
      <c r="H22" s="732">
        <v>207931</v>
      </c>
      <c r="I22" s="732">
        <v>207931</v>
      </c>
      <c r="J22" s="732" t="s">
        <v>644</v>
      </c>
      <c r="K22" s="732" t="s">
        <v>645</v>
      </c>
      <c r="L22" s="735">
        <v>27.649999999999991</v>
      </c>
      <c r="M22" s="735">
        <v>3</v>
      </c>
      <c r="N22" s="736">
        <v>82.949999999999974</v>
      </c>
    </row>
    <row r="23" spans="1:14" ht="14.45" customHeight="1" x14ac:dyDescent="0.2">
      <c r="A23" s="730" t="s">
        <v>575</v>
      </c>
      <c r="B23" s="731" t="s">
        <v>576</v>
      </c>
      <c r="C23" s="732" t="s">
        <v>589</v>
      </c>
      <c r="D23" s="733" t="s">
        <v>590</v>
      </c>
      <c r="E23" s="734">
        <v>50113001</v>
      </c>
      <c r="F23" s="733" t="s">
        <v>609</v>
      </c>
      <c r="G23" s="732" t="s">
        <v>610</v>
      </c>
      <c r="H23" s="732">
        <v>196610</v>
      </c>
      <c r="I23" s="732">
        <v>96610</v>
      </c>
      <c r="J23" s="732" t="s">
        <v>646</v>
      </c>
      <c r="K23" s="732" t="s">
        <v>647</v>
      </c>
      <c r="L23" s="735">
        <v>51.740000000000009</v>
      </c>
      <c r="M23" s="735">
        <v>1</v>
      </c>
      <c r="N23" s="736">
        <v>51.740000000000009</v>
      </c>
    </row>
    <row r="24" spans="1:14" ht="14.45" customHeight="1" x14ac:dyDescent="0.2">
      <c r="A24" s="730" t="s">
        <v>575</v>
      </c>
      <c r="B24" s="731" t="s">
        <v>576</v>
      </c>
      <c r="C24" s="732" t="s">
        <v>589</v>
      </c>
      <c r="D24" s="733" t="s">
        <v>590</v>
      </c>
      <c r="E24" s="734">
        <v>50113001</v>
      </c>
      <c r="F24" s="733" t="s">
        <v>609</v>
      </c>
      <c r="G24" s="732" t="s">
        <v>610</v>
      </c>
      <c r="H24" s="732">
        <v>189244</v>
      </c>
      <c r="I24" s="732">
        <v>89244</v>
      </c>
      <c r="J24" s="732" t="s">
        <v>648</v>
      </c>
      <c r="K24" s="732" t="s">
        <v>649</v>
      </c>
      <c r="L24" s="735">
        <v>20.759718750000001</v>
      </c>
      <c r="M24" s="735">
        <v>320</v>
      </c>
      <c r="N24" s="736">
        <v>6643.1100000000006</v>
      </c>
    </row>
    <row r="25" spans="1:14" ht="14.45" customHeight="1" x14ac:dyDescent="0.2">
      <c r="A25" s="730" t="s">
        <v>575</v>
      </c>
      <c r="B25" s="731" t="s">
        <v>576</v>
      </c>
      <c r="C25" s="732" t="s">
        <v>589</v>
      </c>
      <c r="D25" s="733" t="s">
        <v>590</v>
      </c>
      <c r="E25" s="734">
        <v>50113001</v>
      </c>
      <c r="F25" s="733" t="s">
        <v>609</v>
      </c>
      <c r="G25" s="732" t="s">
        <v>610</v>
      </c>
      <c r="H25" s="732">
        <v>100392</v>
      </c>
      <c r="I25" s="732">
        <v>392</v>
      </c>
      <c r="J25" s="732" t="s">
        <v>650</v>
      </c>
      <c r="K25" s="732" t="s">
        <v>651</v>
      </c>
      <c r="L25" s="735">
        <v>57.530000000000015</v>
      </c>
      <c r="M25" s="735">
        <v>2</v>
      </c>
      <c r="N25" s="736">
        <v>115.06000000000003</v>
      </c>
    </row>
    <row r="26" spans="1:14" ht="14.45" customHeight="1" x14ac:dyDescent="0.2">
      <c r="A26" s="730" t="s">
        <v>575</v>
      </c>
      <c r="B26" s="731" t="s">
        <v>576</v>
      </c>
      <c r="C26" s="732" t="s">
        <v>589</v>
      </c>
      <c r="D26" s="733" t="s">
        <v>590</v>
      </c>
      <c r="E26" s="734">
        <v>50113001</v>
      </c>
      <c r="F26" s="733" t="s">
        <v>609</v>
      </c>
      <c r="G26" s="732" t="s">
        <v>610</v>
      </c>
      <c r="H26" s="732">
        <v>100394</v>
      </c>
      <c r="I26" s="732">
        <v>394</v>
      </c>
      <c r="J26" s="732" t="s">
        <v>652</v>
      </c>
      <c r="K26" s="732" t="s">
        <v>653</v>
      </c>
      <c r="L26" s="735">
        <v>65.650000000000034</v>
      </c>
      <c r="M26" s="735">
        <v>1</v>
      </c>
      <c r="N26" s="736">
        <v>65.650000000000034</v>
      </c>
    </row>
    <row r="27" spans="1:14" ht="14.45" customHeight="1" x14ac:dyDescent="0.2">
      <c r="A27" s="730" t="s">
        <v>575</v>
      </c>
      <c r="B27" s="731" t="s">
        <v>576</v>
      </c>
      <c r="C27" s="732" t="s">
        <v>589</v>
      </c>
      <c r="D27" s="733" t="s">
        <v>590</v>
      </c>
      <c r="E27" s="734">
        <v>50113001</v>
      </c>
      <c r="F27" s="733" t="s">
        <v>609</v>
      </c>
      <c r="G27" s="732" t="s">
        <v>610</v>
      </c>
      <c r="H27" s="732">
        <v>192351</v>
      </c>
      <c r="I27" s="732">
        <v>92351</v>
      </c>
      <c r="J27" s="732" t="s">
        <v>654</v>
      </c>
      <c r="K27" s="732" t="s">
        <v>655</v>
      </c>
      <c r="L27" s="735">
        <v>86.22</v>
      </c>
      <c r="M27" s="735">
        <v>2</v>
      </c>
      <c r="N27" s="736">
        <v>172.44</v>
      </c>
    </row>
    <row r="28" spans="1:14" ht="14.45" customHeight="1" x14ac:dyDescent="0.2">
      <c r="A28" s="730" t="s">
        <v>575</v>
      </c>
      <c r="B28" s="731" t="s">
        <v>576</v>
      </c>
      <c r="C28" s="732" t="s">
        <v>589</v>
      </c>
      <c r="D28" s="733" t="s">
        <v>590</v>
      </c>
      <c r="E28" s="734">
        <v>50113001</v>
      </c>
      <c r="F28" s="733" t="s">
        <v>609</v>
      </c>
      <c r="G28" s="732" t="s">
        <v>610</v>
      </c>
      <c r="H28" s="732">
        <v>132992</v>
      </c>
      <c r="I28" s="732">
        <v>32992</v>
      </c>
      <c r="J28" s="732" t="s">
        <v>656</v>
      </c>
      <c r="K28" s="732" t="s">
        <v>657</v>
      </c>
      <c r="L28" s="735">
        <v>108.39000000000001</v>
      </c>
      <c r="M28" s="735">
        <v>2</v>
      </c>
      <c r="N28" s="736">
        <v>216.78000000000003</v>
      </c>
    </row>
    <row r="29" spans="1:14" ht="14.45" customHeight="1" x14ac:dyDescent="0.2">
      <c r="A29" s="730" t="s">
        <v>575</v>
      </c>
      <c r="B29" s="731" t="s">
        <v>576</v>
      </c>
      <c r="C29" s="732" t="s">
        <v>589</v>
      </c>
      <c r="D29" s="733" t="s">
        <v>590</v>
      </c>
      <c r="E29" s="734">
        <v>50113001</v>
      </c>
      <c r="F29" s="733" t="s">
        <v>609</v>
      </c>
      <c r="G29" s="732" t="s">
        <v>610</v>
      </c>
      <c r="H29" s="732">
        <v>176496</v>
      </c>
      <c r="I29" s="732">
        <v>76496</v>
      </c>
      <c r="J29" s="732" t="s">
        <v>658</v>
      </c>
      <c r="K29" s="732" t="s">
        <v>659</v>
      </c>
      <c r="L29" s="735">
        <v>125.43</v>
      </c>
      <c r="M29" s="735">
        <v>3</v>
      </c>
      <c r="N29" s="736">
        <v>376.29</v>
      </c>
    </row>
    <row r="30" spans="1:14" ht="14.45" customHeight="1" x14ac:dyDescent="0.2">
      <c r="A30" s="730" t="s">
        <v>575</v>
      </c>
      <c r="B30" s="731" t="s">
        <v>576</v>
      </c>
      <c r="C30" s="732" t="s">
        <v>589</v>
      </c>
      <c r="D30" s="733" t="s">
        <v>590</v>
      </c>
      <c r="E30" s="734">
        <v>50113001</v>
      </c>
      <c r="F30" s="733" t="s">
        <v>609</v>
      </c>
      <c r="G30" s="732" t="s">
        <v>625</v>
      </c>
      <c r="H30" s="732">
        <v>231703</v>
      </c>
      <c r="I30" s="732">
        <v>231703</v>
      </c>
      <c r="J30" s="732" t="s">
        <v>660</v>
      </c>
      <c r="K30" s="732" t="s">
        <v>661</v>
      </c>
      <c r="L30" s="735">
        <v>88.34</v>
      </c>
      <c r="M30" s="735">
        <v>4</v>
      </c>
      <c r="N30" s="736">
        <v>353.36</v>
      </c>
    </row>
    <row r="31" spans="1:14" ht="14.45" customHeight="1" x14ac:dyDescent="0.2">
      <c r="A31" s="730" t="s">
        <v>575</v>
      </c>
      <c r="B31" s="731" t="s">
        <v>576</v>
      </c>
      <c r="C31" s="732" t="s">
        <v>589</v>
      </c>
      <c r="D31" s="733" t="s">
        <v>590</v>
      </c>
      <c r="E31" s="734">
        <v>50113001</v>
      </c>
      <c r="F31" s="733" t="s">
        <v>609</v>
      </c>
      <c r="G31" s="732" t="s">
        <v>625</v>
      </c>
      <c r="H31" s="732">
        <v>231691</v>
      </c>
      <c r="I31" s="732">
        <v>231691</v>
      </c>
      <c r="J31" s="732" t="s">
        <v>662</v>
      </c>
      <c r="K31" s="732" t="s">
        <v>663</v>
      </c>
      <c r="L31" s="735">
        <v>108.09999999999997</v>
      </c>
      <c r="M31" s="735">
        <v>2</v>
      </c>
      <c r="N31" s="736">
        <v>216.19999999999993</v>
      </c>
    </row>
    <row r="32" spans="1:14" ht="14.45" customHeight="1" x14ac:dyDescent="0.2">
      <c r="A32" s="730" t="s">
        <v>575</v>
      </c>
      <c r="B32" s="731" t="s">
        <v>576</v>
      </c>
      <c r="C32" s="732" t="s">
        <v>589</v>
      </c>
      <c r="D32" s="733" t="s">
        <v>590</v>
      </c>
      <c r="E32" s="734">
        <v>50113001</v>
      </c>
      <c r="F32" s="733" t="s">
        <v>609</v>
      </c>
      <c r="G32" s="732" t="s">
        <v>610</v>
      </c>
      <c r="H32" s="732">
        <v>197064</v>
      </c>
      <c r="I32" s="732">
        <v>197064</v>
      </c>
      <c r="J32" s="732" t="s">
        <v>664</v>
      </c>
      <c r="K32" s="732" t="s">
        <v>665</v>
      </c>
      <c r="L32" s="735">
        <v>110.30000000000003</v>
      </c>
      <c r="M32" s="735">
        <v>1</v>
      </c>
      <c r="N32" s="736">
        <v>110.30000000000003</v>
      </c>
    </row>
    <row r="33" spans="1:14" ht="14.45" customHeight="1" x14ac:dyDescent="0.2">
      <c r="A33" s="730" t="s">
        <v>575</v>
      </c>
      <c r="B33" s="731" t="s">
        <v>576</v>
      </c>
      <c r="C33" s="732" t="s">
        <v>589</v>
      </c>
      <c r="D33" s="733" t="s">
        <v>590</v>
      </c>
      <c r="E33" s="734">
        <v>50113001</v>
      </c>
      <c r="F33" s="733" t="s">
        <v>609</v>
      </c>
      <c r="G33" s="732" t="s">
        <v>610</v>
      </c>
      <c r="H33" s="732">
        <v>191729</v>
      </c>
      <c r="I33" s="732">
        <v>191729</v>
      </c>
      <c r="J33" s="732" t="s">
        <v>666</v>
      </c>
      <c r="K33" s="732" t="s">
        <v>667</v>
      </c>
      <c r="L33" s="735">
        <v>91.84</v>
      </c>
      <c r="M33" s="735">
        <v>1</v>
      </c>
      <c r="N33" s="736">
        <v>91.84</v>
      </c>
    </row>
    <row r="34" spans="1:14" ht="14.45" customHeight="1" x14ac:dyDescent="0.2">
      <c r="A34" s="730" t="s">
        <v>575</v>
      </c>
      <c r="B34" s="731" t="s">
        <v>576</v>
      </c>
      <c r="C34" s="732" t="s">
        <v>589</v>
      </c>
      <c r="D34" s="733" t="s">
        <v>590</v>
      </c>
      <c r="E34" s="734">
        <v>50113001</v>
      </c>
      <c r="F34" s="733" t="s">
        <v>609</v>
      </c>
      <c r="G34" s="732" t="s">
        <v>610</v>
      </c>
      <c r="H34" s="732">
        <v>993603</v>
      </c>
      <c r="I34" s="732">
        <v>0</v>
      </c>
      <c r="J34" s="732" t="s">
        <v>668</v>
      </c>
      <c r="K34" s="732" t="s">
        <v>329</v>
      </c>
      <c r="L34" s="735">
        <v>230.28545454545457</v>
      </c>
      <c r="M34" s="735">
        <v>11</v>
      </c>
      <c r="N34" s="736">
        <v>2533.1400000000003</v>
      </c>
    </row>
    <row r="35" spans="1:14" ht="14.45" customHeight="1" x14ac:dyDescent="0.2">
      <c r="A35" s="730" t="s">
        <v>575</v>
      </c>
      <c r="B35" s="731" t="s">
        <v>576</v>
      </c>
      <c r="C35" s="732" t="s">
        <v>589</v>
      </c>
      <c r="D35" s="733" t="s">
        <v>590</v>
      </c>
      <c r="E35" s="734">
        <v>50113001</v>
      </c>
      <c r="F35" s="733" t="s">
        <v>609</v>
      </c>
      <c r="G35" s="732" t="s">
        <v>329</v>
      </c>
      <c r="H35" s="732">
        <v>241307</v>
      </c>
      <c r="I35" s="732">
        <v>241307</v>
      </c>
      <c r="J35" s="732" t="s">
        <v>669</v>
      </c>
      <c r="K35" s="732" t="s">
        <v>670</v>
      </c>
      <c r="L35" s="735">
        <v>103.58</v>
      </c>
      <c r="M35" s="735">
        <v>2</v>
      </c>
      <c r="N35" s="736">
        <v>207.16</v>
      </c>
    </row>
    <row r="36" spans="1:14" ht="14.45" customHeight="1" x14ac:dyDescent="0.2">
      <c r="A36" s="730" t="s">
        <v>575</v>
      </c>
      <c r="B36" s="731" t="s">
        <v>576</v>
      </c>
      <c r="C36" s="732" t="s">
        <v>589</v>
      </c>
      <c r="D36" s="733" t="s">
        <v>590</v>
      </c>
      <c r="E36" s="734">
        <v>50113001</v>
      </c>
      <c r="F36" s="733" t="s">
        <v>609</v>
      </c>
      <c r="G36" s="732" t="s">
        <v>329</v>
      </c>
      <c r="H36" s="732">
        <v>226543</v>
      </c>
      <c r="I36" s="732">
        <v>226543</v>
      </c>
      <c r="J36" s="732" t="s">
        <v>671</v>
      </c>
      <c r="K36" s="732" t="s">
        <v>672</v>
      </c>
      <c r="L36" s="735">
        <v>20.49</v>
      </c>
      <c r="M36" s="735">
        <v>2</v>
      </c>
      <c r="N36" s="736">
        <v>40.98</v>
      </c>
    </row>
    <row r="37" spans="1:14" ht="14.45" customHeight="1" x14ac:dyDescent="0.2">
      <c r="A37" s="730" t="s">
        <v>575</v>
      </c>
      <c r="B37" s="731" t="s">
        <v>576</v>
      </c>
      <c r="C37" s="732" t="s">
        <v>589</v>
      </c>
      <c r="D37" s="733" t="s">
        <v>590</v>
      </c>
      <c r="E37" s="734">
        <v>50113001</v>
      </c>
      <c r="F37" s="733" t="s">
        <v>609</v>
      </c>
      <c r="G37" s="732" t="s">
        <v>625</v>
      </c>
      <c r="H37" s="732">
        <v>233600</v>
      </c>
      <c r="I37" s="732">
        <v>233600</v>
      </c>
      <c r="J37" s="732" t="s">
        <v>673</v>
      </c>
      <c r="K37" s="732" t="s">
        <v>674</v>
      </c>
      <c r="L37" s="735">
        <v>52.219999999999992</v>
      </c>
      <c r="M37" s="735">
        <v>6</v>
      </c>
      <c r="N37" s="736">
        <v>313.31999999999994</v>
      </c>
    </row>
    <row r="38" spans="1:14" ht="14.45" customHeight="1" x14ac:dyDescent="0.2">
      <c r="A38" s="730" t="s">
        <v>575</v>
      </c>
      <c r="B38" s="731" t="s">
        <v>576</v>
      </c>
      <c r="C38" s="732" t="s">
        <v>589</v>
      </c>
      <c r="D38" s="733" t="s">
        <v>590</v>
      </c>
      <c r="E38" s="734">
        <v>50113001</v>
      </c>
      <c r="F38" s="733" t="s">
        <v>609</v>
      </c>
      <c r="G38" s="732" t="s">
        <v>625</v>
      </c>
      <c r="H38" s="732">
        <v>233559</v>
      </c>
      <c r="I38" s="732">
        <v>233559</v>
      </c>
      <c r="J38" s="732" t="s">
        <v>675</v>
      </c>
      <c r="K38" s="732" t="s">
        <v>676</v>
      </c>
      <c r="L38" s="735">
        <v>26.430000000000003</v>
      </c>
      <c r="M38" s="735">
        <v>17</v>
      </c>
      <c r="N38" s="736">
        <v>449.31000000000006</v>
      </c>
    </row>
    <row r="39" spans="1:14" ht="14.45" customHeight="1" x14ac:dyDescent="0.2">
      <c r="A39" s="730" t="s">
        <v>575</v>
      </c>
      <c r="B39" s="731" t="s">
        <v>576</v>
      </c>
      <c r="C39" s="732" t="s">
        <v>589</v>
      </c>
      <c r="D39" s="733" t="s">
        <v>590</v>
      </c>
      <c r="E39" s="734">
        <v>50113001</v>
      </c>
      <c r="F39" s="733" t="s">
        <v>609</v>
      </c>
      <c r="G39" s="732" t="s">
        <v>625</v>
      </c>
      <c r="H39" s="732">
        <v>233584</v>
      </c>
      <c r="I39" s="732">
        <v>233584</v>
      </c>
      <c r="J39" s="732" t="s">
        <v>677</v>
      </c>
      <c r="K39" s="732" t="s">
        <v>678</v>
      </c>
      <c r="L39" s="735">
        <v>87.019999999999982</v>
      </c>
      <c r="M39" s="735">
        <v>2</v>
      </c>
      <c r="N39" s="736">
        <v>174.03999999999996</v>
      </c>
    </row>
    <row r="40" spans="1:14" ht="14.45" customHeight="1" x14ac:dyDescent="0.2">
      <c r="A40" s="730" t="s">
        <v>575</v>
      </c>
      <c r="B40" s="731" t="s">
        <v>576</v>
      </c>
      <c r="C40" s="732" t="s">
        <v>589</v>
      </c>
      <c r="D40" s="733" t="s">
        <v>590</v>
      </c>
      <c r="E40" s="734">
        <v>50113001</v>
      </c>
      <c r="F40" s="733" t="s">
        <v>609</v>
      </c>
      <c r="G40" s="732" t="s">
        <v>329</v>
      </c>
      <c r="H40" s="732">
        <v>199671</v>
      </c>
      <c r="I40" s="732">
        <v>199671</v>
      </c>
      <c r="J40" s="732" t="s">
        <v>679</v>
      </c>
      <c r="K40" s="732" t="s">
        <v>680</v>
      </c>
      <c r="L40" s="735">
        <v>34.57</v>
      </c>
      <c r="M40" s="735">
        <v>2</v>
      </c>
      <c r="N40" s="736">
        <v>69.14</v>
      </c>
    </row>
    <row r="41" spans="1:14" ht="14.45" customHeight="1" x14ac:dyDescent="0.2">
      <c r="A41" s="730" t="s">
        <v>575</v>
      </c>
      <c r="B41" s="731" t="s">
        <v>576</v>
      </c>
      <c r="C41" s="732" t="s">
        <v>589</v>
      </c>
      <c r="D41" s="733" t="s">
        <v>590</v>
      </c>
      <c r="E41" s="734">
        <v>50113001</v>
      </c>
      <c r="F41" s="733" t="s">
        <v>609</v>
      </c>
      <c r="G41" s="732" t="s">
        <v>610</v>
      </c>
      <c r="H41" s="732">
        <v>167939</v>
      </c>
      <c r="I41" s="732">
        <v>167939</v>
      </c>
      <c r="J41" s="732" t="s">
        <v>681</v>
      </c>
      <c r="K41" s="732" t="s">
        <v>682</v>
      </c>
      <c r="L41" s="735">
        <v>1625</v>
      </c>
      <c r="M41" s="735">
        <v>3</v>
      </c>
      <c r="N41" s="736">
        <v>4875</v>
      </c>
    </row>
    <row r="42" spans="1:14" ht="14.45" customHeight="1" x14ac:dyDescent="0.2">
      <c r="A42" s="730" t="s">
        <v>575</v>
      </c>
      <c r="B42" s="731" t="s">
        <v>576</v>
      </c>
      <c r="C42" s="732" t="s">
        <v>589</v>
      </c>
      <c r="D42" s="733" t="s">
        <v>590</v>
      </c>
      <c r="E42" s="734">
        <v>50113001</v>
      </c>
      <c r="F42" s="733" t="s">
        <v>609</v>
      </c>
      <c r="G42" s="732" t="s">
        <v>610</v>
      </c>
      <c r="H42" s="732">
        <v>199466</v>
      </c>
      <c r="I42" s="732">
        <v>199466</v>
      </c>
      <c r="J42" s="732" t="s">
        <v>683</v>
      </c>
      <c r="K42" s="732" t="s">
        <v>684</v>
      </c>
      <c r="L42" s="735">
        <v>112.38</v>
      </c>
      <c r="M42" s="735">
        <v>2</v>
      </c>
      <c r="N42" s="736">
        <v>224.76</v>
      </c>
    </row>
    <row r="43" spans="1:14" ht="14.45" customHeight="1" x14ac:dyDescent="0.2">
      <c r="A43" s="730" t="s">
        <v>575</v>
      </c>
      <c r="B43" s="731" t="s">
        <v>576</v>
      </c>
      <c r="C43" s="732" t="s">
        <v>589</v>
      </c>
      <c r="D43" s="733" t="s">
        <v>590</v>
      </c>
      <c r="E43" s="734">
        <v>50113001</v>
      </c>
      <c r="F43" s="733" t="s">
        <v>609</v>
      </c>
      <c r="G43" s="732" t="s">
        <v>610</v>
      </c>
      <c r="H43" s="732">
        <v>100407</v>
      </c>
      <c r="I43" s="732">
        <v>407</v>
      </c>
      <c r="J43" s="732" t="s">
        <v>685</v>
      </c>
      <c r="K43" s="732" t="s">
        <v>686</v>
      </c>
      <c r="L43" s="735">
        <v>185.04</v>
      </c>
      <c r="M43" s="735">
        <v>2</v>
      </c>
      <c r="N43" s="736">
        <v>370.08</v>
      </c>
    </row>
    <row r="44" spans="1:14" ht="14.45" customHeight="1" x14ac:dyDescent="0.2">
      <c r="A44" s="730" t="s">
        <v>575</v>
      </c>
      <c r="B44" s="731" t="s">
        <v>576</v>
      </c>
      <c r="C44" s="732" t="s">
        <v>589</v>
      </c>
      <c r="D44" s="733" t="s">
        <v>590</v>
      </c>
      <c r="E44" s="734">
        <v>50113001</v>
      </c>
      <c r="F44" s="733" t="s">
        <v>609</v>
      </c>
      <c r="G44" s="732" t="s">
        <v>610</v>
      </c>
      <c r="H44" s="732">
        <v>149317</v>
      </c>
      <c r="I44" s="732">
        <v>49317</v>
      </c>
      <c r="J44" s="732" t="s">
        <v>687</v>
      </c>
      <c r="K44" s="732" t="s">
        <v>688</v>
      </c>
      <c r="L44" s="735">
        <v>299.00200000000001</v>
      </c>
      <c r="M44" s="735">
        <v>6</v>
      </c>
      <c r="N44" s="736">
        <v>1794.0120000000002</v>
      </c>
    </row>
    <row r="45" spans="1:14" ht="14.45" customHeight="1" x14ac:dyDescent="0.2">
      <c r="A45" s="730" t="s">
        <v>575</v>
      </c>
      <c r="B45" s="731" t="s">
        <v>576</v>
      </c>
      <c r="C45" s="732" t="s">
        <v>589</v>
      </c>
      <c r="D45" s="733" t="s">
        <v>590</v>
      </c>
      <c r="E45" s="734">
        <v>50113001</v>
      </c>
      <c r="F45" s="733" t="s">
        <v>609</v>
      </c>
      <c r="G45" s="732" t="s">
        <v>610</v>
      </c>
      <c r="H45" s="732">
        <v>841498</v>
      </c>
      <c r="I45" s="732">
        <v>31951</v>
      </c>
      <c r="J45" s="732" t="s">
        <v>689</v>
      </c>
      <c r="K45" s="732" t="s">
        <v>690</v>
      </c>
      <c r="L45" s="735">
        <v>44.69</v>
      </c>
      <c r="M45" s="735">
        <v>2</v>
      </c>
      <c r="N45" s="736">
        <v>89.38</v>
      </c>
    </row>
    <row r="46" spans="1:14" ht="14.45" customHeight="1" x14ac:dyDescent="0.2">
      <c r="A46" s="730" t="s">
        <v>575</v>
      </c>
      <c r="B46" s="731" t="s">
        <v>576</v>
      </c>
      <c r="C46" s="732" t="s">
        <v>589</v>
      </c>
      <c r="D46" s="733" t="s">
        <v>590</v>
      </c>
      <c r="E46" s="734">
        <v>50113001</v>
      </c>
      <c r="F46" s="733" t="s">
        <v>609</v>
      </c>
      <c r="G46" s="732" t="s">
        <v>610</v>
      </c>
      <c r="H46" s="732">
        <v>850390</v>
      </c>
      <c r="I46" s="732">
        <v>102600</v>
      </c>
      <c r="J46" s="732" t="s">
        <v>691</v>
      </c>
      <c r="K46" s="732" t="s">
        <v>692</v>
      </c>
      <c r="L46" s="735">
        <v>67.91</v>
      </c>
      <c r="M46" s="735">
        <v>2</v>
      </c>
      <c r="N46" s="736">
        <v>135.82</v>
      </c>
    </row>
    <row r="47" spans="1:14" ht="14.45" customHeight="1" x14ac:dyDescent="0.2">
      <c r="A47" s="730" t="s">
        <v>575</v>
      </c>
      <c r="B47" s="731" t="s">
        <v>576</v>
      </c>
      <c r="C47" s="732" t="s">
        <v>589</v>
      </c>
      <c r="D47" s="733" t="s">
        <v>590</v>
      </c>
      <c r="E47" s="734">
        <v>50113001</v>
      </c>
      <c r="F47" s="733" t="s">
        <v>609</v>
      </c>
      <c r="G47" s="732" t="s">
        <v>610</v>
      </c>
      <c r="H47" s="732">
        <v>848477</v>
      </c>
      <c r="I47" s="732">
        <v>124346</v>
      </c>
      <c r="J47" s="732" t="s">
        <v>693</v>
      </c>
      <c r="K47" s="732" t="s">
        <v>694</v>
      </c>
      <c r="L47" s="735">
        <v>131.12000000000003</v>
      </c>
      <c r="M47" s="735">
        <v>1</v>
      </c>
      <c r="N47" s="736">
        <v>131.12000000000003</v>
      </c>
    </row>
    <row r="48" spans="1:14" ht="14.45" customHeight="1" x14ac:dyDescent="0.2">
      <c r="A48" s="730" t="s">
        <v>575</v>
      </c>
      <c r="B48" s="731" t="s">
        <v>576</v>
      </c>
      <c r="C48" s="732" t="s">
        <v>589</v>
      </c>
      <c r="D48" s="733" t="s">
        <v>590</v>
      </c>
      <c r="E48" s="734">
        <v>50113001</v>
      </c>
      <c r="F48" s="733" t="s">
        <v>609</v>
      </c>
      <c r="G48" s="732" t="s">
        <v>610</v>
      </c>
      <c r="H48" s="732">
        <v>99884</v>
      </c>
      <c r="I48" s="732">
        <v>99884</v>
      </c>
      <c r="J48" s="732" t="s">
        <v>695</v>
      </c>
      <c r="K48" s="732" t="s">
        <v>696</v>
      </c>
      <c r="L48" s="735">
        <v>106.89999999999999</v>
      </c>
      <c r="M48" s="735">
        <v>1</v>
      </c>
      <c r="N48" s="736">
        <v>106.89999999999999</v>
      </c>
    </row>
    <row r="49" spans="1:14" ht="14.45" customHeight="1" x14ac:dyDescent="0.2">
      <c r="A49" s="730" t="s">
        <v>575</v>
      </c>
      <c r="B49" s="731" t="s">
        <v>576</v>
      </c>
      <c r="C49" s="732" t="s">
        <v>589</v>
      </c>
      <c r="D49" s="733" t="s">
        <v>590</v>
      </c>
      <c r="E49" s="734">
        <v>50113001</v>
      </c>
      <c r="F49" s="733" t="s">
        <v>609</v>
      </c>
      <c r="G49" s="732" t="s">
        <v>610</v>
      </c>
      <c r="H49" s="732">
        <v>238142</v>
      </c>
      <c r="I49" s="732">
        <v>238142</v>
      </c>
      <c r="J49" s="732" t="s">
        <v>697</v>
      </c>
      <c r="K49" s="732" t="s">
        <v>698</v>
      </c>
      <c r="L49" s="735">
        <v>58.555000000000007</v>
      </c>
      <c r="M49" s="735">
        <v>4</v>
      </c>
      <c r="N49" s="736">
        <v>234.22000000000003</v>
      </c>
    </row>
    <row r="50" spans="1:14" ht="14.45" customHeight="1" x14ac:dyDescent="0.2">
      <c r="A50" s="730" t="s">
        <v>575</v>
      </c>
      <c r="B50" s="731" t="s">
        <v>576</v>
      </c>
      <c r="C50" s="732" t="s">
        <v>589</v>
      </c>
      <c r="D50" s="733" t="s">
        <v>590</v>
      </c>
      <c r="E50" s="734">
        <v>50113001</v>
      </c>
      <c r="F50" s="733" t="s">
        <v>609</v>
      </c>
      <c r="G50" s="732" t="s">
        <v>610</v>
      </c>
      <c r="H50" s="732">
        <v>230409</v>
      </c>
      <c r="I50" s="732">
        <v>230409</v>
      </c>
      <c r="J50" s="732" t="s">
        <v>699</v>
      </c>
      <c r="K50" s="732" t="s">
        <v>674</v>
      </c>
      <c r="L50" s="735">
        <v>19.82</v>
      </c>
      <c r="M50" s="735">
        <v>4</v>
      </c>
      <c r="N50" s="736">
        <v>79.28</v>
      </c>
    </row>
    <row r="51" spans="1:14" ht="14.45" customHeight="1" x14ac:dyDescent="0.2">
      <c r="A51" s="730" t="s">
        <v>575</v>
      </c>
      <c r="B51" s="731" t="s">
        <v>576</v>
      </c>
      <c r="C51" s="732" t="s">
        <v>589</v>
      </c>
      <c r="D51" s="733" t="s">
        <v>590</v>
      </c>
      <c r="E51" s="734">
        <v>50113001</v>
      </c>
      <c r="F51" s="733" t="s">
        <v>609</v>
      </c>
      <c r="G51" s="732" t="s">
        <v>610</v>
      </c>
      <c r="H51" s="732">
        <v>216104</v>
      </c>
      <c r="I51" s="732">
        <v>216104</v>
      </c>
      <c r="J51" s="732" t="s">
        <v>700</v>
      </c>
      <c r="K51" s="732" t="s">
        <v>701</v>
      </c>
      <c r="L51" s="735">
        <v>190.44</v>
      </c>
      <c r="M51" s="735">
        <v>2</v>
      </c>
      <c r="N51" s="736">
        <v>380.88</v>
      </c>
    </row>
    <row r="52" spans="1:14" ht="14.45" customHeight="1" x14ac:dyDescent="0.2">
      <c r="A52" s="730" t="s">
        <v>575</v>
      </c>
      <c r="B52" s="731" t="s">
        <v>576</v>
      </c>
      <c r="C52" s="732" t="s">
        <v>589</v>
      </c>
      <c r="D52" s="733" t="s">
        <v>590</v>
      </c>
      <c r="E52" s="734">
        <v>50113001</v>
      </c>
      <c r="F52" s="733" t="s">
        <v>609</v>
      </c>
      <c r="G52" s="732" t="s">
        <v>610</v>
      </c>
      <c r="H52" s="732">
        <v>207940</v>
      </c>
      <c r="I52" s="732">
        <v>207940</v>
      </c>
      <c r="J52" s="732" t="s">
        <v>702</v>
      </c>
      <c r="K52" s="732" t="s">
        <v>703</v>
      </c>
      <c r="L52" s="735">
        <v>72.988461538461536</v>
      </c>
      <c r="M52" s="735">
        <v>26</v>
      </c>
      <c r="N52" s="736">
        <v>1897.6999999999998</v>
      </c>
    </row>
    <row r="53" spans="1:14" ht="14.45" customHeight="1" x14ac:dyDescent="0.2">
      <c r="A53" s="730" t="s">
        <v>575</v>
      </c>
      <c r="B53" s="731" t="s">
        <v>576</v>
      </c>
      <c r="C53" s="732" t="s">
        <v>589</v>
      </c>
      <c r="D53" s="733" t="s">
        <v>590</v>
      </c>
      <c r="E53" s="734">
        <v>50113001</v>
      </c>
      <c r="F53" s="733" t="s">
        <v>609</v>
      </c>
      <c r="G53" s="732" t="s">
        <v>610</v>
      </c>
      <c r="H53" s="732">
        <v>218835</v>
      </c>
      <c r="I53" s="732">
        <v>218835</v>
      </c>
      <c r="J53" s="732" t="s">
        <v>704</v>
      </c>
      <c r="K53" s="732" t="s">
        <v>705</v>
      </c>
      <c r="L53" s="735">
        <v>87.05</v>
      </c>
      <c r="M53" s="735">
        <v>2</v>
      </c>
      <c r="N53" s="736">
        <v>174.1</v>
      </c>
    </row>
    <row r="54" spans="1:14" ht="14.45" customHeight="1" x14ac:dyDescent="0.2">
      <c r="A54" s="730" t="s">
        <v>575</v>
      </c>
      <c r="B54" s="731" t="s">
        <v>576</v>
      </c>
      <c r="C54" s="732" t="s">
        <v>589</v>
      </c>
      <c r="D54" s="733" t="s">
        <v>590</v>
      </c>
      <c r="E54" s="734">
        <v>50113001</v>
      </c>
      <c r="F54" s="733" t="s">
        <v>609</v>
      </c>
      <c r="G54" s="732" t="s">
        <v>610</v>
      </c>
      <c r="H54" s="732">
        <v>214526</v>
      </c>
      <c r="I54" s="732">
        <v>214526</v>
      </c>
      <c r="J54" s="732" t="s">
        <v>706</v>
      </c>
      <c r="K54" s="732" t="s">
        <v>707</v>
      </c>
      <c r="L54" s="735">
        <v>85.742000000000004</v>
      </c>
      <c r="M54" s="735">
        <v>10</v>
      </c>
      <c r="N54" s="736">
        <v>857.42000000000007</v>
      </c>
    </row>
    <row r="55" spans="1:14" ht="14.45" customHeight="1" x14ac:dyDescent="0.2">
      <c r="A55" s="730" t="s">
        <v>575</v>
      </c>
      <c r="B55" s="731" t="s">
        <v>576</v>
      </c>
      <c r="C55" s="732" t="s">
        <v>589</v>
      </c>
      <c r="D55" s="733" t="s">
        <v>590</v>
      </c>
      <c r="E55" s="734">
        <v>50113001</v>
      </c>
      <c r="F55" s="733" t="s">
        <v>609</v>
      </c>
      <c r="G55" s="732" t="s">
        <v>625</v>
      </c>
      <c r="H55" s="732">
        <v>214435</v>
      </c>
      <c r="I55" s="732">
        <v>214435</v>
      </c>
      <c r="J55" s="732" t="s">
        <v>708</v>
      </c>
      <c r="K55" s="732" t="s">
        <v>709</v>
      </c>
      <c r="L55" s="735">
        <v>42.930833333333332</v>
      </c>
      <c r="M55" s="735">
        <v>12</v>
      </c>
      <c r="N55" s="736">
        <v>515.16999999999996</v>
      </c>
    </row>
    <row r="56" spans="1:14" ht="14.45" customHeight="1" x14ac:dyDescent="0.2">
      <c r="A56" s="730" t="s">
        <v>575</v>
      </c>
      <c r="B56" s="731" t="s">
        <v>576</v>
      </c>
      <c r="C56" s="732" t="s">
        <v>589</v>
      </c>
      <c r="D56" s="733" t="s">
        <v>590</v>
      </c>
      <c r="E56" s="734">
        <v>50113001</v>
      </c>
      <c r="F56" s="733" t="s">
        <v>609</v>
      </c>
      <c r="G56" s="732" t="s">
        <v>610</v>
      </c>
      <c r="H56" s="732">
        <v>214525</v>
      </c>
      <c r="I56" s="732">
        <v>214525</v>
      </c>
      <c r="J56" s="732" t="s">
        <v>710</v>
      </c>
      <c r="K56" s="732" t="s">
        <v>711</v>
      </c>
      <c r="L56" s="735">
        <v>26.456399999999999</v>
      </c>
      <c r="M56" s="735">
        <v>25</v>
      </c>
      <c r="N56" s="736">
        <v>661.41</v>
      </c>
    </row>
    <row r="57" spans="1:14" ht="14.45" customHeight="1" x14ac:dyDescent="0.2">
      <c r="A57" s="730" t="s">
        <v>575</v>
      </c>
      <c r="B57" s="731" t="s">
        <v>576</v>
      </c>
      <c r="C57" s="732" t="s">
        <v>589</v>
      </c>
      <c r="D57" s="733" t="s">
        <v>590</v>
      </c>
      <c r="E57" s="734">
        <v>50113001</v>
      </c>
      <c r="F57" s="733" t="s">
        <v>609</v>
      </c>
      <c r="G57" s="732" t="s">
        <v>625</v>
      </c>
      <c r="H57" s="732">
        <v>113767</v>
      </c>
      <c r="I57" s="732">
        <v>13767</v>
      </c>
      <c r="J57" s="732" t="s">
        <v>712</v>
      </c>
      <c r="K57" s="732" t="s">
        <v>713</v>
      </c>
      <c r="L57" s="735">
        <v>44.66</v>
      </c>
      <c r="M57" s="735">
        <v>4</v>
      </c>
      <c r="N57" s="736">
        <v>178.64</v>
      </c>
    </row>
    <row r="58" spans="1:14" ht="14.45" customHeight="1" x14ac:dyDescent="0.2">
      <c r="A58" s="730" t="s">
        <v>575</v>
      </c>
      <c r="B58" s="731" t="s">
        <v>576</v>
      </c>
      <c r="C58" s="732" t="s">
        <v>589</v>
      </c>
      <c r="D58" s="733" t="s">
        <v>590</v>
      </c>
      <c r="E58" s="734">
        <v>50113001</v>
      </c>
      <c r="F58" s="733" t="s">
        <v>609</v>
      </c>
      <c r="G58" s="732" t="s">
        <v>625</v>
      </c>
      <c r="H58" s="732">
        <v>113768</v>
      </c>
      <c r="I58" s="732">
        <v>13768</v>
      </c>
      <c r="J58" s="732" t="s">
        <v>712</v>
      </c>
      <c r="K58" s="732" t="s">
        <v>714</v>
      </c>
      <c r="L58" s="735">
        <v>89.65</v>
      </c>
      <c r="M58" s="735">
        <v>19</v>
      </c>
      <c r="N58" s="736">
        <v>1703.3500000000001</v>
      </c>
    </row>
    <row r="59" spans="1:14" ht="14.45" customHeight="1" x14ac:dyDescent="0.2">
      <c r="A59" s="730" t="s">
        <v>575</v>
      </c>
      <c r="B59" s="731" t="s">
        <v>576</v>
      </c>
      <c r="C59" s="732" t="s">
        <v>589</v>
      </c>
      <c r="D59" s="733" t="s">
        <v>590</v>
      </c>
      <c r="E59" s="734">
        <v>50113001</v>
      </c>
      <c r="F59" s="733" t="s">
        <v>609</v>
      </c>
      <c r="G59" s="732" t="s">
        <v>625</v>
      </c>
      <c r="H59" s="732">
        <v>848765</v>
      </c>
      <c r="I59" s="732">
        <v>107938</v>
      </c>
      <c r="J59" s="732" t="s">
        <v>712</v>
      </c>
      <c r="K59" s="732" t="s">
        <v>715</v>
      </c>
      <c r="L59" s="735">
        <v>128.48749999999998</v>
      </c>
      <c r="M59" s="735">
        <v>40</v>
      </c>
      <c r="N59" s="736">
        <v>5139.4999999999991</v>
      </c>
    </row>
    <row r="60" spans="1:14" ht="14.45" customHeight="1" x14ac:dyDescent="0.2">
      <c r="A60" s="730" t="s">
        <v>575</v>
      </c>
      <c r="B60" s="731" t="s">
        <v>576</v>
      </c>
      <c r="C60" s="732" t="s">
        <v>589</v>
      </c>
      <c r="D60" s="733" t="s">
        <v>590</v>
      </c>
      <c r="E60" s="734">
        <v>50113001</v>
      </c>
      <c r="F60" s="733" t="s">
        <v>609</v>
      </c>
      <c r="G60" s="732" t="s">
        <v>610</v>
      </c>
      <c r="H60" s="732">
        <v>213264</v>
      </c>
      <c r="I60" s="732">
        <v>213264</v>
      </c>
      <c r="J60" s="732" t="s">
        <v>716</v>
      </c>
      <c r="K60" s="732" t="s">
        <v>717</v>
      </c>
      <c r="L60" s="735">
        <v>188.33</v>
      </c>
      <c r="M60" s="735">
        <v>2</v>
      </c>
      <c r="N60" s="736">
        <v>376.66</v>
      </c>
    </row>
    <row r="61" spans="1:14" ht="14.45" customHeight="1" x14ac:dyDescent="0.2">
      <c r="A61" s="730" t="s">
        <v>575</v>
      </c>
      <c r="B61" s="731" t="s">
        <v>576</v>
      </c>
      <c r="C61" s="732" t="s">
        <v>589</v>
      </c>
      <c r="D61" s="733" t="s">
        <v>590</v>
      </c>
      <c r="E61" s="734">
        <v>50113001</v>
      </c>
      <c r="F61" s="733" t="s">
        <v>609</v>
      </c>
      <c r="G61" s="732" t="s">
        <v>610</v>
      </c>
      <c r="H61" s="732">
        <v>213255</v>
      </c>
      <c r="I61" s="732">
        <v>213255</v>
      </c>
      <c r="J61" s="732" t="s">
        <v>718</v>
      </c>
      <c r="K61" s="732" t="s">
        <v>717</v>
      </c>
      <c r="L61" s="735">
        <v>125.57</v>
      </c>
      <c r="M61" s="735">
        <v>2</v>
      </c>
      <c r="N61" s="736">
        <v>251.14</v>
      </c>
    </row>
    <row r="62" spans="1:14" ht="14.45" customHeight="1" x14ac:dyDescent="0.2">
      <c r="A62" s="730" t="s">
        <v>575</v>
      </c>
      <c r="B62" s="731" t="s">
        <v>576</v>
      </c>
      <c r="C62" s="732" t="s">
        <v>589</v>
      </c>
      <c r="D62" s="733" t="s">
        <v>590</v>
      </c>
      <c r="E62" s="734">
        <v>50113001</v>
      </c>
      <c r="F62" s="733" t="s">
        <v>609</v>
      </c>
      <c r="G62" s="732" t="s">
        <v>610</v>
      </c>
      <c r="H62" s="732">
        <v>845813</v>
      </c>
      <c r="I62" s="732">
        <v>9999999</v>
      </c>
      <c r="J62" s="732" t="s">
        <v>719</v>
      </c>
      <c r="K62" s="732" t="s">
        <v>329</v>
      </c>
      <c r="L62" s="735">
        <v>536.93374999999992</v>
      </c>
      <c r="M62" s="735">
        <v>16</v>
      </c>
      <c r="N62" s="736">
        <v>8590.9399999999987</v>
      </c>
    </row>
    <row r="63" spans="1:14" ht="14.45" customHeight="1" x14ac:dyDescent="0.2">
      <c r="A63" s="730" t="s">
        <v>575</v>
      </c>
      <c r="B63" s="731" t="s">
        <v>576</v>
      </c>
      <c r="C63" s="732" t="s">
        <v>589</v>
      </c>
      <c r="D63" s="733" t="s">
        <v>590</v>
      </c>
      <c r="E63" s="734">
        <v>50113001</v>
      </c>
      <c r="F63" s="733" t="s">
        <v>609</v>
      </c>
      <c r="G63" s="732" t="s">
        <v>610</v>
      </c>
      <c r="H63" s="732">
        <v>193104</v>
      </c>
      <c r="I63" s="732">
        <v>93104</v>
      </c>
      <c r="J63" s="732" t="s">
        <v>720</v>
      </c>
      <c r="K63" s="732" t="s">
        <v>721</v>
      </c>
      <c r="L63" s="735">
        <v>47.27</v>
      </c>
      <c r="M63" s="735">
        <v>3</v>
      </c>
      <c r="N63" s="736">
        <v>141.81</v>
      </c>
    </row>
    <row r="64" spans="1:14" ht="14.45" customHeight="1" x14ac:dyDescent="0.2">
      <c r="A64" s="730" t="s">
        <v>575</v>
      </c>
      <c r="B64" s="731" t="s">
        <v>576</v>
      </c>
      <c r="C64" s="732" t="s">
        <v>589</v>
      </c>
      <c r="D64" s="733" t="s">
        <v>590</v>
      </c>
      <c r="E64" s="734">
        <v>50113001</v>
      </c>
      <c r="F64" s="733" t="s">
        <v>609</v>
      </c>
      <c r="G64" s="732" t="s">
        <v>610</v>
      </c>
      <c r="H64" s="732">
        <v>193105</v>
      </c>
      <c r="I64" s="732">
        <v>93105</v>
      </c>
      <c r="J64" s="732" t="s">
        <v>720</v>
      </c>
      <c r="K64" s="732" t="s">
        <v>722</v>
      </c>
      <c r="L64" s="735">
        <v>208.33</v>
      </c>
      <c r="M64" s="735">
        <v>1</v>
      </c>
      <c r="N64" s="736">
        <v>208.33</v>
      </c>
    </row>
    <row r="65" spans="1:14" ht="14.45" customHeight="1" x14ac:dyDescent="0.2">
      <c r="A65" s="730" t="s">
        <v>575</v>
      </c>
      <c r="B65" s="731" t="s">
        <v>576</v>
      </c>
      <c r="C65" s="732" t="s">
        <v>589</v>
      </c>
      <c r="D65" s="733" t="s">
        <v>590</v>
      </c>
      <c r="E65" s="734">
        <v>50113001</v>
      </c>
      <c r="F65" s="733" t="s">
        <v>609</v>
      </c>
      <c r="G65" s="732" t="s">
        <v>625</v>
      </c>
      <c r="H65" s="732">
        <v>192034</v>
      </c>
      <c r="I65" s="732">
        <v>92034</v>
      </c>
      <c r="J65" s="732" t="s">
        <v>723</v>
      </c>
      <c r="K65" s="732" t="s">
        <v>724</v>
      </c>
      <c r="L65" s="735">
        <v>125.86</v>
      </c>
      <c r="M65" s="735">
        <v>1</v>
      </c>
      <c r="N65" s="736">
        <v>125.86</v>
      </c>
    </row>
    <row r="66" spans="1:14" ht="14.45" customHeight="1" x14ac:dyDescent="0.2">
      <c r="A66" s="730" t="s">
        <v>575</v>
      </c>
      <c r="B66" s="731" t="s">
        <v>576</v>
      </c>
      <c r="C66" s="732" t="s">
        <v>589</v>
      </c>
      <c r="D66" s="733" t="s">
        <v>590</v>
      </c>
      <c r="E66" s="734">
        <v>50113001</v>
      </c>
      <c r="F66" s="733" t="s">
        <v>609</v>
      </c>
      <c r="G66" s="732" t="s">
        <v>625</v>
      </c>
      <c r="H66" s="732">
        <v>192587</v>
      </c>
      <c r="I66" s="732">
        <v>92587</v>
      </c>
      <c r="J66" s="732" t="s">
        <v>725</v>
      </c>
      <c r="K66" s="732" t="s">
        <v>726</v>
      </c>
      <c r="L66" s="735">
        <v>58.6</v>
      </c>
      <c r="M66" s="735">
        <v>1</v>
      </c>
      <c r="N66" s="736">
        <v>58.6</v>
      </c>
    </row>
    <row r="67" spans="1:14" ht="14.45" customHeight="1" x14ac:dyDescent="0.2">
      <c r="A67" s="730" t="s">
        <v>575</v>
      </c>
      <c r="B67" s="731" t="s">
        <v>576</v>
      </c>
      <c r="C67" s="732" t="s">
        <v>589</v>
      </c>
      <c r="D67" s="733" t="s">
        <v>590</v>
      </c>
      <c r="E67" s="734">
        <v>50113001</v>
      </c>
      <c r="F67" s="733" t="s">
        <v>609</v>
      </c>
      <c r="G67" s="732" t="s">
        <v>610</v>
      </c>
      <c r="H67" s="732">
        <v>201992</v>
      </c>
      <c r="I67" s="732">
        <v>201992</v>
      </c>
      <c r="J67" s="732" t="s">
        <v>727</v>
      </c>
      <c r="K67" s="732" t="s">
        <v>728</v>
      </c>
      <c r="L67" s="735">
        <v>552.81000000000006</v>
      </c>
      <c r="M67" s="735">
        <v>1</v>
      </c>
      <c r="N67" s="736">
        <v>552.81000000000006</v>
      </c>
    </row>
    <row r="68" spans="1:14" ht="14.45" customHeight="1" x14ac:dyDescent="0.2">
      <c r="A68" s="730" t="s">
        <v>575</v>
      </c>
      <c r="B68" s="731" t="s">
        <v>576</v>
      </c>
      <c r="C68" s="732" t="s">
        <v>589</v>
      </c>
      <c r="D68" s="733" t="s">
        <v>590</v>
      </c>
      <c r="E68" s="734">
        <v>50113001</v>
      </c>
      <c r="F68" s="733" t="s">
        <v>609</v>
      </c>
      <c r="G68" s="732" t="s">
        <v>610</v>
      </c>
      <c r="H68" s="732">
        <v>184090</v>
      </c>
      <c r="I68" s="732">
        <v>84090</v>
      </c>
      <c r="J68" s="732" t="s">
        <v>729</v>
      </c>
      <c r="K68" s="732" t="s">
        <v>730</v>
      </c>
      <c r="L68" s="735">
        <v>60.08</v>
      </c>
      <c r="M68" s="735">
        <v>1</v>
      </c>
      <c r="N68" s="736">
        <v>60.08</v>
      </c>
    </row>
    <row r="69" spans="1:14" ht="14.45" customHeight="1" x14ac:dyDescent="0.2">
      <c r="A69" s="730" t="s">
        <v>575</v>
      </c>
      <c r="B69" s="731" t="s">
        <v>576</v>
      </c>
      <c r="C69" s="732" t="s">
        <v>589</v>
      </c>
      <c r="D69" s="733" t="s">
        <v>590</v>
      </c>
      <c r="E69" s="734">
        <v>50113001</v>
      </c>
      <c r="F69" s="733" t="s">
        <v>609</v>
      </c>
      <c r="G69" s="732" t="s">
        <v>610</v>
      </c>
      <c r="H69" s="732">
        <v>141826</v>
      </c>
      <c r="I69" s="732">
        <v>41826</v>
      </c>
      <c r="J69" s="732" t="s">
        <v>731</v>
      </c>
      <c r="K69" s="732" t="s">
        <v>732</v>
      </c>
      <c r="L69" s="735">
        <v>469.85000000000014</v>
      </c>
      <c r="M69" s="735">
        <v>1</v>
      </c>
      <c r="N69" s="736">
        <v>469.85000000000014</v>
      </c>
    </row>
    <row r="70" spans="1:14" ht="14.45" customHeight="1" x14ac:dyDescent="0.2">
      <c r="A70" s="730" t="s">
        <v>575</v>
      </c>
      <c r="B70" s="731" t="s">
        <v>576</v>
      </c>
      <c r="C70" s="732" t="s">
        <v>589</v>
      </c>
      <c r="D70" s="733" t="s">
        <v>590</v>
      </c>
      <c r="E70" s="734">
        <v>50113001</v>
      </c>
      <c r="F70" s="733" t="s">
        <v>609</v>
      </c>
      <c r="G70" s="732" t="s">
        <v>610</v>
      </c>
      <c r="H70" s="732">
        <v>101290</v>
      </c>
      <c r="I70" s="732">
        <v>1290</v>
      </c>
      <c r="J70" s="732" t="s">
        <v>733</v>
      </c>
      <c r="K70" s="732" t="s">
        <v>734</v>
      </c>
      <c r="L70" s="735">
        <v>134.43000000000004</v>
      </c>
      <c r="M70" s="735">
        <v>1</v>
      </c>
      <c r="N70" s="736">
        <v>134.43000000000004</v>
      </c>
    </row>
    <row r="71" spans="1:14" ht="14.45" customHeight="1" x14ac:dyDescent="0.2">
      <c r="A71" s="730" t="s">
        <v>575</v>
      </c>
      <c r="B71" s="731" t="s">
        <v>576</v>
      </c>
      <c r="C71" s="732" t="s">
        <v>589</v>
      </c>
      <c r="D71" s="733" t="s">
        <v>590</v>
      </c>
      <c r="E71" s="734">
        <v>50113001</v>
      </c>
      <c r="F71" s="733" t="s">
        <v>609</v>
      </c>
      <c r="G71" s="732" t="s">
        <v>610</v>
      </c>
      <c r="H71" s="732">
        <v>230421</v>
      </c>
      <c r="I71" s="732">
        <v>230421</v>
      </c>
      <c r="J71" s="732" t="s">
        <v>735</v>
      </c>
      <c r="K71" s="732" t="s">
        <v>736</v>
      </c>
      <c r="L71" s="735">
        <v>76.98</v>
      </c>
      <c r="M71" s="735">
        <v>8</v>
      </c>
      <c r="N71" s="736">
        <v>615.84</v>
      </c>
    </row>
    <row r="72" spans="1:14" ht="14.45" customHeight="1" x14ac:dyDescent="0.2">
      <c r="A72" s="730" t="s">
        <v>575</v>
      </c>
      <c r="B72" s="731" t="s">
        <v>576</v>
      </c>
      <c r="C72" s="732" t="s">
        <v>589</v>
      </c>
      <c r="D72" s="733" t="s">
        <v>590</v>
      </c>
      <c r="E72" s="734">
        <v>50113001</v>
      </c>
      <c r="F72" s="733" t="s">
        <v>609</v>
      </c>
      <c r="G72" s="732" t="s">
        <v>610</v>
      </c>
      <c r="H72" s="732">
        <v>230420</v>
      </c>
      <c r="I72" s="732">
        <v>230420</v>
      </c>
      <c r="J72" s="732" t="s">
        <v>735</v>
      </c>
      <c r="K72" s="732" t="s">
        <v>736</v>
      </c>
      <c r="L72" s="735">
        <v>76.980000000000018</v>
      </c>
      <c r="M72" s="735">
        <v>2</v>
      </c>
      <c r="N72" s="736">
        <v>153.96000000000004</v>
      </c>
    </row>
    <row r="73" spans="1:14" ht="14.45" customHeight="1" x14ac:dyDescent="0.2">
      <c r="A73" s="730" t="s">
        <v>575</v>
      </c>
      <c r="B73" s="731" t="s">
        <v>576</v>
      </c>
      <c r="C73" s="732" t="s">
        <v>589</v>
      </c>
      <c r="D73" s="733" t="s">
        <v>590</v>
      </c>
      <c r="E73" s="734">
        <v>50113001</v>
      </c>
      <c r="F73" s="733" t="s">
        <v>609</v>
      </c>
      <c r="G73" s="732" t="s">
        <v>610</v>
      </c>
      <c r="H73" s="732">
        <v>221074</v>
      </c>
      <c r="I73" s="732">
        <v>221074</v>
      </c>
      <c r="J73" s="732" t="s">
        <v>735</v>
      </c>
      <c r="K73" s="732" t="s">
        <v>736</v>
      </c>
      <c r="L73" s="735">
        <v>76.33</v>
      </c>
      <c r="M73" s="735">
        <v>5</v>
      </c>
      <c r="N73" s="736">
        <v>381.65</v>
      </c>
    </row>
    <row r="74" spans="1:14" ht="14.45" customHeight="1" x14ac:dyDescent="0.2">
      <c r="A74" s="730" t="s">
        <v>575</v>
      </c>
      <c r="B74" s="731" t="s">
        <v>576</v>
      </c>
      <c r="C74" s="732" t="s">
        <v>589</v>
      </c>
      <c r="D74" s="733" t="s">
        <v>590</v>
      </c>
      <c r="E74" s="734">
        <v>50113001</v>
      </c>
      <c r="F74" s="733" t="s">
        <v>609</v>
      </c>
      <c r="G74" s="732" t="s">
        <v>610</v>
      </c>
      <c r="H74" s="732">
        <v>189026</v>
      </c>
      <c r="I74" s="732">
        <v>89026</v>
      </c>
      <c r="J74" s="732" t="s">
        <v>737</v>
      </c>
      <c r="K74" s="732" t="s">
        <v>738</v>
      </c>
      <c r="L74" s="735">
        <v>87.35</v>
      </c>
      <c r="M74" s="735">
        <v>2</v>
      </c>
      <c r="N74" s="736">
        <v>174.7</v>
      </c>
    </row>
    <row r="75" spans="1:14" ht="14.45" customHeight="1" x14ac:dyDescent="0.2">
      <c r="A75" s="730" t="s">
        <v>575</v>
      </c>
      <c r="B75" s="731" t="s">
        <v>576</v>
      </c>
      <c r="C75" s="732" t="s">
        <v>589</v>
      </c>
      <c r="D75" s="733" t="s">
        <v>590</v>
      </c>
      <c r="E75" s="734">
        <v>50113001</v>
      </c>
      <c r="F75" s="733" t="s">
        <v>609</v>
      </c>
      <c r="G75" s="732" t="s">
        <v>610</v>
      </c>
      <c r="H75" s="732">
        <v>175631</v>
      </c>
      <c r="I75" s="732">
        <v>75631</v>
      </c>
      <c r="J75" s="732" t="s">
        <v>739</v>
      </c>
      <c r="K75" s="732" t="s">
        <v>740</v>
      </c>
      <c r="L75" s="735">
        <v>34.940000000000005</v>
      </c>
      <c r="M75" s="735">
        <v>1</v>
      </c>
      <c r="N75" s="736">
        <v>34.940000000000005</v>
      </c>
    </row>
    <row r="76" spans="1:14" ht="14.45" customHeight="1" x14ac:dyDescent="0.2">
      <c r="A76" s="730" t="s">
        <v>575</v>
      </c>
      <c r="B76" s="731" t="s">
        <v>576</v>
      </c>
      <c r="C76" s="732" t="s">
        <v>589</v>
      </c>
      <c r="D76" s="733" t="s">
        <v>590</v>
      </c>
      <c r="E76" s="734">
        <v>50113001</v>
      </c>
      <c r="F76" s="733" t="s">
        <v>609</v>
      </c>
      <c r="G76" s="732" t="s">
        <v>610</v>
      </c>
      <c r="H76" s="732">
        <v>117011</v>
      </c>
      <c r="I76" s="732">
        <v>17011</v>
      </c>
      <c r="J76" s="732" t="s">
        <v>741</v>
      </c>
      <c r="K76" s="732" t="s">
        <v>742</v>
      </c>
      <c r="L76" s="735">
        <v>145</v>
      </c>
      <c r="M76" s="735">
        <v>6</v>
      </c>
      <c r="N76" s="736">
        <v>870</v>
      </c>
    </row>
    <row r="77" spans="1:14" ht="14.45" customHeight="1" x14ac:dyDescent="0.2">
      <c r="A77" s="730" t="s">
        <v>575</v>
      </c>
      <c r="B77" s="731" t="s">
        <v>576</v>
      </c>
      <c r="C77" s="732" t="s">
        <v>589</v>
      </c>
      <c r="D77" s="733" t="s">
        <v>590</v>
      </c>
      <c r="E77" s="734">
        <v>50113001</v>
      </c>
      <c r="F77" s="733" t="s">
        <v>609</v>
      </c>
      <c r="G77" s="732" t="s">
        <v>610</v>
      </c>
      <c r="H77" s="732">
        <v>844831</v>
      </c>
      <c r="I77" s="732">
        <v>9999999</v>
      </c>
      <c r="J77" s="732" t="s">
        <v>743</v>
      </c>
      <c r="K77" s="732" t="s">
        <v>744</v>
      </c>
      <c r="L77" s="735">
        <v>2920.0099999999998</v>
      </c>
      <c r="M77" s="735">
        <v>1</v>
      </c>
      <c r="N77" s="736">
        <v>2920.0099999999998</v>
      </c>
    </row>
    <row r="78" spans="1:14" ht="14.45" customHeight="1" x14ac:dyDescent="0.2">
      <c r="A78" s="730" t="s">
        <v>575</v>
      </c>
      <c r="B78" s="731" t="s">
        <v>576</v>
      </c>
      <c r="C78" s="732" t="s">
        <v>589</v>
      </c>
      <c r="D78" s="733" t="s">
        <v>590</v>
      </c>
      <c r="E78" s="734">
        <v>50113001</v>
      </c>
      <c r="F78" s="733" t="s">
        <v>609</v>
      </c>
      <c r="G78" s="732" t="s">
        <v>610</v>
      </c>
      <c r="H78" s="732">
        <v>232606</v>
      </c>
      <c r="I78" s="732">
        <v>232606</v>
      </c>
      <c r="J78" s="732" t="s">
        <v>745</v>
      </c>
      <c r="K78" s="732" t="s">
        <v>746</v>
      </c>
      <c r="L78" s="735">
        <v>109.81</v>
      </c>
      <c r="M78" s="735">
        <v>1</v>
      </c>
      <c r="N78" s="736">
        <v>109.81</v>
      </c>
    </row>
    <row r="79" spans="1:14" ht="14.45" customHeight="1" x14ac:dyDescent="0.2">
      <c r="A79" s="730" t="s">
        <v>575</v>
      </c>
      <c r="B79" s="731" t="s">
        <v>576</v>
      </c>
      <c r="C79" s="732" t="s">
        <v>589</v>
      </c>
      <c r="D79" s="733" t="s">
        <v>590</v>
      </c>
      <c r="E79" s="734">
        <v>50113001</v>
      </c>
      <c r="F79" s="733" t="s">
        <v>609</v>
      </c>
      <c r="G79" s="732" t="s">
        <v>610</v>
      </c>
      <c r="H79" s="732">
        <v>241672</v>
      </c>
      <c r="I79" s="732">
        <v>241672</v>
      </c>
      <c r="J79" s="732" t="s">
        <v>747</v>
      </c>
      <c r="K79" s="732" t="s">
        <v>748</v>
      </c>
      <c r="L79" s="735">
        <v>111.40999999999998</v>
      </c>
      <c r="M79" s="735">
        <v>24</v>
      </c>
      <c r="N79" s="736">
        <v>2673.8399999999997</v>
      </c>
    </row>
    <row r="80" spans="1:14" ht="14.45" customHeight="1" x14ac:dyDescent="0.2">
      <c r="A80" s="730" t="s">
        <v>575</v>
      </c>
      <c r="B80" s="731" t="s">
        <v>576</v>
      </c>
      <c r="C80" s="732" t="s">
        <v>589</v>
      </c>
      <c r="D80" s="733" t="s">
        <v>590</v>
      </c>
      <c r="E80" s="734">
        <v>50113001</v>
      </c>
      <c r="F80" s="733" t="s">
        <v>609</v>
      </c>
      <c r="G80" s="732" t="s">
        <v>610</v>
      </c>
      <c r="H80" s="732">
        <v>102479</v>
      </c>
      <c r="I80" s="732">
        <v>2479</v>
      </c>
      <c r="J80" s="732" t="s">
        <v>749</v>
      </c>
      <c r="K80" s="732" t="s">
        <v>750</v>
      </c>
      <c r="L80" s="735">
        <v>65.490000000000023</v>
      </c>
      <c r="M80" s="735">
        <v>1</v>
      </c>
      <c r="N80" s="736">
        <v>65.490000000000023</v>
      </c>
    </row>
    <row r="81" spans="1:14" ht="14.45" customHeight="1" x14ac:dyDescent="0.2">
      <c r="A81" s="730" t="s">
        <v>575</v>
      </c>
      <c r="B81" s="731" t="s">
        <v>576</v>
      </c>
      <c r="C81" s="732" t="s">
        <v>589</v>
      </c>
      <c r="D81" s="733" t="s">
        <v>590</v>
      </c>
      <c r="E81" s="734">
        <v>50113001</v>
      </c>
      <c r="F81" s="733" t="s">
        <v>609</v>
      </c>
      <c r="G81" s="732" t="s">
        <v>610</v>
      </c>
      <c r="H81" s="732">
        <v>104071</v>
      </c>
      <c r="I81" s="732">
        <v>4071</v>
      </c>
      <c r="J81" s="732" t="s">
        <v>749</v>
      </c>
      <c r="K81" s="732" t="s">
        <v>751</v>
      </c>
      <c r="L81" s="735">
        <v>224.1100000000001</v>
      </c>
      <c r="M81" s="735">
        <v>2</v>
      </c>
      <c r="N81" s="736">
        <v>448.2200000000002</v>
      </c>
    </row>
    <row r="82" spans="1:14" ht="14.45" customHeight="1" x14ac:dyDescent="0.2">
      <c r="A82" s="730" t="s">
        <v>575</v>
      </c>
      <c r="B82" s="731" t="s">
        <v>576</v>
      </c>
      <c r="C82" s="732" t="s">
        <v>589</v>
      </c>
      <c r="D82" s="733" t="s">
        <v>590</v>
      </c>
      <c r="E82" s="734">
        <v>50113001</v>
      </c>
      <c r="F82" s="733" t="s">
        <v>609</v>
      </c>
      <c r="G82" s="732" t="s">
        <v>610</v>
      </c>
      <c r="H82" s="732">
        <v>846599</v>
      </c>
      <c r="I82" s="732">
        <v>107754</v>
      </c>
      <c r="J82" s="732" t="s">
        <v>752</v>
      </c>
      <c r="K82" s="732" t="s">
        <v>329</v>
      </c>
      <c r="L82" s="735">
        <v>131.11000000000001</v>
      </c>
      <c r="M82" s="735">
        <v>2</v>
      </c>
      <c r="N82" s="736">
        <v>262.22000000000003</v>
      </c>
    </row>
    <row r="83" spans="1:14" ht="14.45" customHeight="1" x14ac:dyDescent="0.2">
      <c r="A83" s="730" t="s">
        <v>575</v>
      </c>
      <c r="B83" s="731" t="s">
        <v>576</v>
      </c>
      <c r="C83" s="732" t="s">
        <v>589</v>
      </c>
      <c r="D83" s="733" t="s">
        <v>590</v>
      </c>
      <c r="E83" s="734">
        <v>50113001</v>
      </c>
      <c r="F83" s="733" t="s">
        <v>609</v>
      </c>
      <c r="G83" s="732" t="s">
        <v>610</v>
      </c>
      <c r="H83" s="732">
        <v>158425</v>
      </c>
      <c r="I83" s="732">
        <v>58425</v>
      </c>
      <c r="J83" s="732" t="s">
        <v>753</v>
      </c>
      <c r="K83" s="732" t="s">
        <v>754</v>
      </c>
      <c r="L83" s="735">
        <v>60.489999999999988</v>
      </c>
      <c r="M83" s="735">
        <v>1</v>
      </c>
      <c r="N83" s="736">
        <v>60.489999999999988</v>
      </c>
    </row>
    <row r="84" spans="1:14" ht="14.45" customHeight="1" x14ac:dyDescent="0.2">
      <c r="A84" s="730" t="s">
        <v>575</v>
      </c>
      <c r="B84" s="731" t="s">
        <v>576</v>
      </c>
      <c r="C84" s="732" t="s">
        <v>589</v>
      </c>
      <c r="D84" s="733" t="s">
        <v>590</v>
      </c>
      <c r="E84" s="734">
        <v>50113001</v>
      </c>
      <c r="F84" s="733" t="s">
        <v>609</v>
      </c>
      <c r="G84" s="732" t="s">
        <v>610</v>
      </c>
      <c r="H84" s="732">
        <v>179325</v>
      </c>
      <c r="I84" s="732">
        <v>179325</v>
      </c>
      <c r="J84" s="732" t="s">
        <v>755</v>
      </c>
      <c r="K84" s="732" t="s">
        <v>756</v>
      </c>
      <c r="L84" s="735">
        <v>33.950000000000003</v>
      </c>
      <c r="M84" s="735">
        <v>3</v>
      </c>
      <c r="N84" s="736">
        <v>101.85000000000001</v>
      </c>
    </row>
    <row r="85" spans="1:14" ht="14.45" customHeight="1" x14ac:dyDescent="0.2">
      <c r="A85" s="730" t="s">
        <v>575</v>
      </c>
      <c r="B85" s="731" t="s">
        <v>576</v>
      </c>
      <c r="C85" s="732" t="s">
        <v>589</v>
      </c>
      <c r="D85" s="733" t="s">
        <v>590</v>
      </c>
      <c r="E85" s="734">
        <v>50113001</v>
      </c>
      <c r="F85" s="733" t="s">
        <v>609</v>
      </c>
      <c r="G85" s="732" t="s">
        <v>610</v>
      </c>
      <c r="H85" s="732">
        <v>179333</v>
      </c>
      <c r="I85" s="732">
        <v>179333</v>
      </c>
      <c r="J85" s="732" t="s">
        <v>755</v>
      </c>
      <c r="K85" s="732" t="s">
        <v>757</v>
      </c>
      <c r="L85" s="735">
        <v>224.62400000000002</v>
      </c>
      <c r="M85" s="735">
        <v>5</v>
      </c>
      <c r="N85" s="736">
        <v>1123.1200000000001</v>
      </c>
    </row>
    <row r="86" spans="1:14" ht="14.45" customHeight="1" x14ac:dyDescent="0.2">
      <c r="A86" s="730" t="s">
        <v>575</v>
      </c>
      <c r="B86" s="731" t="s">
        <v>576</v>
      </c>
      <c r="C86" s="732" t="s">
        <v>589</v>
      </c>
      <c r="D86" s="733" t="s">
        <v>590</v>
      </c>
      <c r="E86" s="734">
        <v>50113001</v>
      </c>
      <c r="F86" s="733" t="s">
        <v>609</v>
      </c>
      <c r="G86" s="732" t="s">
        <v>610</v>
      </c>
      <c r="H86" s="732">
        <v>167508</v>
      </c>
      <c r="I86" s="732">
        <v>167508</v>
      </c>
      <c r="J86" s="732" t="s">
        <v>758</v>
      </c>
      <c r="K86" s="732" t="s">
        <v>759</v>
      </c>
      <c r="L86" s="735">
        <v>118.86</v>
      </c>
      <c r="M86" s="735">
        <v>1</v>
      </c>
      <c r="N86" s="736">
        <v>118.86</v>
      </c>
    </row>
    <row r="87" spans="1:14" ht="14.45" customHeight="1" x14ac:dyDescent="0.2">
      <c r="A87" s="730" t="s">
        <v>575</v>
      </c>
      <c r="B87" s="731" t="s">
        <v>576</v>
      </c>
      <c r="C87" s="732" t="s">
        <v>589</v>
      </c>
      <c r="D87" s="733" t="s">
        <v>590</v>
      </c>
      <c r="E87" s="734">
        <v>50113001</v>
      </c>
      <c r="F87" s="733" t="s">
        <v>609</v>
      </c>
      <c r="G87" s="732" t="s">
        <v>610</v>
      </c>
      <c r="H87" s="732">
        <v>226523</v>
      </c>
      <c r="I87" s="732">
        <v>226523</v>
      </c>
      <c r="J87" s="732" t="s">
        <v>760</v>
      </c>
      <c r="K87" s="732" t="s">
        <v>761</v>
      </c>
      <c r="L87" s="735">
        <v>51.960000000000015</v>
      </c>
      <c r="M87" s="735">
        <v>4</v>
      </c>
      <c r="N87" s="736">
        <v>207.84000000000006</v>
      </c>
    </row>
    <row r="88" spans="1:14" ht="14.45" customHeight="1" x14ac:dyDescent="0.2">
      <c r="A88" s="730" t="s">
        <v>575</v>
      </c>
      <c r="B88" s="731" t="s">
        <v>576</v>
      </c>
      <c r="C88" s="732" t="s">
        <v>589</v>
      </c>
      <c r="D88" s="733" t="s">
        <v>590</v>
      </c>
      <c r="E88" s="734">
        <v>50113001</v>
      </c>
      <c r="F88" s="733" t="s">
        <v>609</v>
      </c>
      <c r="G88" s="732" t="s">
        <v>610</v>
      </c>
      <c r="H88" s="732">
        <v>226525</v>
      </c>
      <c r="I88" s="732">
        <v>226525</v>
      </c>
      <c r="J88" s="732" t="s">
        <v>760</v>
      </c>
      <c r="K88" s="732" t="s">
        <v>762</v>
      </c>
      <c r="L88" s="735">
        <v>66.34</v>
      </c>
      <c r="M88" s="735">
        <v>2</v>
      </c>
      <c r="N88" s="736">
        <v>132.68</v>
      </c>
    </row>
    <row r="89" spans="1:14" ht="14.45" customHeight="1" x14ac:dyDescent="0.2">
      <c r="A89" s="730" t="s">
        <v>575</v>
      </c>
      <c r="B89" s="731" t="s">
        <v>576</v>
      </c>
      <c r="C89" s="732" t="s">
        <v>589</v>
      </c>
      <c r="D89" s="733" t="s">
        <v>590</v>
      </c>
      <c r="E89" s="734">
        <v>50113001</v>
      </c>
      <c r="F89" s="733" t="s">
        <v>609</v>
      </c>
      <c r="G89" s="732" t="s">
        <v>610</v>
      </c>
      <c r="H89" s="732">
        <v>920235</v>
      </c>
      <c r="I89" s="732">
        <v>15880</v>
      </c>
      <c r="J89" s="732" t="s">
        <v>763</v>
      </c>
      <c r="K89" s="732" t="s">
        <v>329</v>
      </c>
      <c r="L89" s="735">
        <v>163.56999972595398</v>
      </c>
      <c r="M89" s="735">
        <v>6</v>
      </c>
      <c r="N89" s="736">
        <v>981.41999835572392</v>
      </c>
    </row>
    <row r="90" spans="1:14" ht="14.45" customHeight="1" x14ac:dyDescent="0.2">
      <c r="A90" s="730" t="s">
        <v>575</v>
      </c>
      <c r="B90" s="731" t="s">
        <v>576</v>
      </c>
      <c r="C90" s="732" t="s">
        <v>589</v>
      </c>
      <c r="D90" s="733" t="s">
        <v>590</v>
      </c>
      <c r="E90" s="734">
        <v>50113001</v>
      </c>
      <c r="F90" s="733" t="s">
        <v>609</v>
      </c>
      <c r="G90" s="732" t="s">
        <v>610</v>
      </c>
      <c r="H90" s="732">
        <v>23987</v>
      </c>
      <c r="I90" s="732">
        <v>23987</v>
      </c>
      <c r="J90" s="732" t="s">
        <v>764</v>
      </c>
      <c r="K90" s="732" t="s">
        <v>765</v>
      </c>
      <c r="L90" s="735">
        <v>167.42000000000002</v>
      </c>
      <c r="M90" s="735">
        <v>7</v>
      </c>
      <c r="N90" s="736">
        <v>1171.94</v>
      </c>
    </row>
    <row r="91" spans="1:14" ht="14.45" customHeight="1" x14ac:dyDescent="0.2">
      <c r="A91" s="730" t="s">
        <v>575</v>
      </c>
      <c r="B91" s="731" t="s">
        <v>576</v>
      </c>
      <c r="C91" s="732" t="s">
        <v>589</v>
      </c>
      <c r="D91" s="733" t="s">
        <v>590</v>
      </c>
      <c r="E91" s="734">
        <v>50113001</v>
      </c>
      <c r="F91" s="733" t="s">
        <v>609</v>
      </c>
      <c r="G91" s="732" t="s">
        <v>610</v>
      </c>
      <c r="H91" s="732">
        <v>215476</v>
      </c>
      <c r="I91" s="732">
        <v>215476</v>
      </c>
      <c r="J91" s="732" t="s">
        <v>766</v>
      </c>
      <c r="K91" s="732" t="s">
        <v>767</v>
      </c>
      <c r="L91" s="735">
        <v>122.99</v>
      </c>
      <c r="M91" s="735">
        <v>1</v>
      </c>
      <c r="N91" s="736">
        <v>122.99</v>
      </c>
    </row>
    <row r="92" spans="1:14" ht="14.45" customHeight="1" x14ac:dyDescent="0.2">
      <c r="A92" s="730" t="s">
        <v>575</v>
      </c>
      <c r="B92" s="731" t="s">
        <v>576</v>
      </c>
      <c r="C92" s="732" t="s">
        <v>589</v>
      </c>
      <c r="D92" s="733" t="s">
        <v>590</v>
      </c>
      <c r="E92" s="734">
        <v>50113001</v>
      </c>
      <c r="F92" s="733" t="s">
        <v>609</v>
      </c>
      <c r="G92" s="732" t="s">
        <v>610</v>
      </c>
      <c r="H92" s="732">
        <v>183272</v>
      </c>
      <c r="I92" s="732">
        <v>215478</v>
      </c>
      <c r="J92" s="732" t="s">
        <v>768</v>
      </c>
      <c r="K92" s="732" t="s">
        <v>769</v>
      </c>
      <c r="L92" s="735">
        <v>161.54999999999998</v>
      </c>
      <c r="M92" s="735">
        <v>2</v>
      </c>
      <c r="N92" s="736">
        <v>323.09999999999997</v>
      </c>
    </row>
    <row r="93" spans="1:14" ht="14.45" customHeight="1" x14ac:dyDescent="0.2">
      <c r="A93" s="730" t="s">
        <v>575</v>
      </c>
      <c r="B93" s="731" t="s">
        <v>576</v>
      </c>
      <c r="C93" s="732" t="s">
        <v>589</v>
      </c>
      <c r="D93" s="733" t="s">
        <v>590</v>
      </c>
      <c r="E93" s="734">
        <v>50113001</v>
      </c>
      <c r="F93" s="733" t="s">
        <v>609</v>
      </c>
      <c r="G93" s="732" t="s">
        <v>625</v>
      </c>
      <c r="H93" s="732">
        <v>193741</v>
      </c>
      <c r="I93" s="732">
        <v>193741</v>
      </c>
      <c r="J93" s="732" t="s">
        <v>770</v>
      </c>
      <c r="K93" s="732" t="s">
        <v>771</v>
      </c>
      <c r="L93" s="735">
        <v>2247.66</v>
      </c>
      <c r="M93" s="735">
        <v>1</v>
      </c>
      <c r="N93" s="736">
        <v>2247.66</v>
      </c>
    </row>
    <row r="94" spans="1:14" ht="14.45" customHeight="1" x14ac:dyDescent="0.2">
      <c r="A94" s="730" t="s">
        <v>575</v>
      </c>
      <c r="B94" s="731" t="s">
        <v>576</v>
      </c>
      <c r="C94" s="732" t="s">
        <v>589</v>
      </c>
      <c r="D94" s="733" t="s">
        <v>590</v>
      </c>
      <c r="E94" s="734">
        <v>50113001</v>
      </c>
      <c r="F94" s="733" t="s">
        <v>609</v>
      </c>
      <c r="G94" s="732" t="s">
        <v>625</v>
      </c>
      <c r="H94" s="732">
        <v>193745</v>
      </c>
      <c r="I94" s="732">
        <v>193745</v>
      </c>
      <c r="J94" s="732" t="s">
        <v>772</v>
      </c>
      <c r="K94" s="732" t="s">
        <v>773</v>
      </c>
      <c r="L94" s="735">
        <v>1506.31</v>
      </c>
      <c r="M94" s="735">
        <v>1</v>
      </c>
      <c r="N94" s="736">
        <v>1506.31</v>
      </c>
    </row>
    <row r="95" spans="1:14" ht="14.45" customHeight="1" x14ac:dyDescent="0.2">
      <c r="A95" s="730" t="s">
        <v>575</v>
      </c>
      <c r="B95" s="731" t="s">
        <v>576</v>
      </c>
      <c r="C95" s="732" t="s">
        <v>589</v>
      </c>
      <c r="D95" s="733" t="s">
        <v>590</v>
      </c>
      <c r="E95" s="734">
        <v>50113001</v>
      </c>
      <c r="F95" s="733" t="s">
        <v>609</v>
      </c>
      <c r="G95" s="732" t="s">
        <v>610</v>
      </c>
      <c r="H95" s="732">
        <v>192202</v>
      </c>
      <c r="I95" s="732">
        <v>192202</v>
      </c>
      <c r="J95" s="732" t="s">
        <v>774</v>
      </c>
      <c r="K95" s="732" t="s">
        <v>775</v>
      </c>
      <c r="L95" s="735">
        <v>87.769999999999982</v>
      </c>
      <c r="M95" s="735">
        <v>1</v>
      </c>
      <c r="N95" s="736">
        <v>87.769999999999982</v>
      </c>
    </row>
    <row r="96" spans="1:14" ht="14.45" customHeight="1" x14ac:dyDescent="0.2">
      <c r="A96" s="730" t="s">
        <v>575</v>
      </c>
      <c r="B96" s="731" t="s">
        <v>576</v>
      </c>
      <c r="C96" s="732" t="s">
        <v>589</v>
      </c>
      <c r="D96" s="733" t="s">
        <v>590</v>
      </c>
      <c r="E96" s="734">
        <v>50113001</v>
      </c>
      <c r="F96" s="733" t="s">
        <v>609</v>
      </c>
      <c r="G96" s="732" t="s">
        <v>610</v>
      </c>
      <c r="H96" s="732">
        <v>209038</v>
      </c>
      <c r="I96" s="732">
        <v>209038</v>
      </c>
      <c r="J96" s="732" t="s">
        <v>776</v>
      </c>
      <c r="K96" s="732" t="s">
        <v>777</v>
      </c>
      <c r="L96" s="735">
        <v>1421.62</v>
      </c>
      <c r="M96" s="735">
        <v>1</v>
      </c>
      <c r="N96" s="736">
        <v>1421.62</v>
      </c>
    </row>
    <row r="97" spans="1:14" ht="14.45" customHeight="1" x14ac:dyDescent="0.2">
      <c r="A97" s="730" t="s">
        <v>575</v>
      </c>
      <c r="B97" s="731" t="s">
        <v>576</v>
      </c>
      <c r="C97" s="732" t="s">
        <v>589</v>
      </c>
      <c r="D97" s="733" t="s">
        <v>590</v>
      </c>
      <c r="E97" s="734">
        <v>50113001</v>
      </c>
      <c r="F97" s="733" t="s">
        <v>609</v>
      </c>
      <c r="G97" s="732" t="s">
        <v>329</v>
      </c>
      <c r="H97" s="732">
        <v>203030</v>
      </c>
      <c r="I97" s="732">
        <v>203030</v>
      </c>
      <c r="J97" s="732" t="s">
        <v>778</v>
      </c>
      <c r="K97" s="732" t="s">
        <v>779</v>
      </c>
      <c r="L97" s="735">
        <v>207.48999999999995</v>
      </c>
      <c r="M97" s="735">
        <v>1</v>
      </c>
      <c r="N97" s="736">
        <v>207.48999999999995</v>
      </c>
    </row>
    <row r="98" spans="1:14" ht="14.45" customHeight="1" x14ac:dyDescent="0.2">
      <c r="A98" s="730" t="s">
        <v>575</v>
      </c>
      <c r="B98" s="731" t="s">
        <v>576</v>
      </c>
      <c r="C98" s="732" t="s">
        <v>589</v>
      </c>
      <c r="D98" s="733" t="s">
        <v>590</v>
      </c>
      <c r="E98" s="734">
        <v>50113001</v>
      </c>
      <c r="F98" s="733" t="s">
        <v>609</v>
      </c>
      <c r="G98" s="732" t="s">
        <v>610</v>
      </c>
      <c r="H98" s="732">
        <v>199680</v>
      </c>
      <c r="I98" s="732">
        <v>199680</v>
      </c>
      <c r="J98" s="732" t="s">
        <v>780</v>
      </c>
      <c r="K98" s="732" t="s">
        <v>781</v>
      </c>
      <c r="L98" s="735">
        <v>362.46</v>
      </c>
      <c r="M98" s="735">
        <v>6</v>
      </c>
      <c r="N98" s="736">
        <v>2174.7599999999998</v>
      </c>
    </row>
    <row r="99" spans="1:14" ht="14.45" customHeight="1" x14ac:dyDescent="0.2">
      <c r="A99" s="730" t="s">
        <v>575</v>
      </c>
      <c r="B99" s="731" t="s">
        <v>576</v>
      </c>
      <c r="C99" s="732" t="s">
        <v>589</v>
      </c>
      <c r="D99" s="733" t="s">
        <v>590</v>
      </c>
      <c r="E99" s="734">
        <v>50113001</v>
      </c>
      <c r="F99" s="733" t="s">
        <v>609</v>
      </c>
      <c r="G99" s="732" t="s">
        <v>610</v>
      </c>
      <c r="H99" s="732">
        <v>187076</v>
      </c>
      <c r="I99" s="732">
        <v>87076</v>
      </c>
      <c r="J99" s="732" t="s">
        <v>782</v>
      </c>
      <c r="K99" s="732" t="s">
        <v>783</v>
      </c>
      <c r="L99" s="735">
        <v>134.84333333333331</v>
      </c>
      <c r="M99" s="735">
        <v>9</v>
      </c>
      <c r="N99" s="736">
        <v>1213.5899999999997</v>
      </c>
    </row>
    <row r="100" spans="1:14" ht="14.45" customHeight="1" x14ac:dyDescent="0.2">
      <c r="A100" s="730" t="s">
        <v>575</v>
      </c>
      <c r="B100" s="731" t="s">
        <v>576</v>
      </c>
      <c r="C100" s="732" t="s">
        <v>589</v>
      </c>
      <c r="D100" s="733" t="s">
        <v>590</v>
      </c>
      <c r="E100" s="734">
        <v>50113001</v>
      </c>
      <c r="F100" s="733" t="s">
        <v>609</v>
      </c>
      <c r="G100" s="732" t="s">
        <v>610</v>
      </c>
      <c r="H100" s="732">
        <v>846413</v>
      </c>
      <c r="I100" s="732">
        <v>57585</v>
      </c>
      <c r="J100" s="732" t="s">
        <v>784</v>
      </c>
      <c r="K100" s="732" t="s">
        <v>785</v>
      </c>
      <c r="L100" s="735">
        <v>133.12000000000003</v>
      </c>
      <c r="M100" s="735">
        <v>1</v>
      </c>
      <c r="N100" s="736">
        <v>133.12000000000003</v>
      </c>
    </row>
    <row r="101" spans="1:14" ht="14.45" customHeight="1" x14ac:dyDescent="0.2">
      <c r="A101" s="730" t="s">
        <v>575</v>
      </c>
      <c r="B101" s="731" t="s">
        <v>576</v>
      </c>
      <c r="C101" s="732" t="s">
        <v>589</v>
      </c>
      <c r="D101" s="733" t="s">
        <v>590</v>
      </c>
      <c r="E101" s="734">
        <v>50113001</v>
      </c>
      <c r="F101" s="733" t="s">
        <v>609</v>
      </c>
      <c r="G101" s="732" t="s">
        <v>625</v>
      </c>
      <c r="H101" s="732">
        <v>243136</v>
      </c>
      <c r="I101" s="732">
        <v>243136</v>
      </c>
      <c r="J101" s="732" t="s">
        <v>786</v>
      </c>
      <c r="K101" s="732" t="s">
        <v>787</v>
      </c>
      <c r="L101" s="735">
        <v>131.00999999999996</v>
      </c>
      <c r="M101" s="735">
        <v>1</v>
      </c>
      <c r="N101" s="736">
        <v>131.00999999999996</v>
      </c>
    </row>
    <row r="102" spans="1:14" ht="14.45" customHeight="1" x14ac:dyDescent="0.2">
      <c r="A102" s="730" t="s">
        <v>575</v>
      </c>
      <c r="B102" s="731" t="s">
        <v>576</v>
      </c>
      <c r="C102" s="732" t="s">
        <v>589</v>
      </c>
      <c r="D102" s="733" t="s">
        <v>590</v>
      </c>
      <c r="E102" s="734">
        <v>50113001</v>
      </c>
      <c r="F102" s="733" t="s">
        <v>609</v>
      </c>
      <c r="G102" s="732" t="s">
        <v>625</v>
      </c>
      <c r="H102" s="732">
        <v>243131</v>
      </c>
      <c r="I102" s="732">
        <v>243131</v>
      </c>
      <c r="J102" s="732" t="s">
        <v>786</v>
      </c>
      <c r="K102" s="732" t="s">
        <v>788</v>
      </c>
      <c r="L102" s="735">
        <v>77.679999999999993</v>
      </c>
      <c r="M102" s="735">
        <v>2</v>
      </c>
      <c r="N102" s="736">
        <v>155.35999999999999</v>
      </c>
    </row>
    <row r="103" spans="1:14" ht="14.45" customHeight="1" x14ac:dyDescent="0.2">
      <c r="A103" s="730" t="s">
        <v>575</v>
      </c>
      <c r="B103" s="731" t="s">
        <v>576</v>
      </c>
      <c r="C103" s="732" t="s">
        <v>589</v>
      </c>
      <c r="D103" s="733" t="s">
        <v>590</v>
      </c>
      <c r="E103" s="734">
        <v>50113001</v>
      </c>
      <c r="F103" s="733" t="s">
        <v>609</v>
      </c>
      <c r="G103" s="732" t="s">
        <v>625</v>
      </c>
      <c r="H103" s="732">
        <v>243130</v>
      </c>
      <c r="I103" s="732">
        <v>243130</v>
      </c>
      <c r="J103" s="732" t="s">
        <v>786</v>
      </c>
      <c r="K103" s="732" t="s">
        <v>789</v>
      </c>
      <c r="L103" s="735">
        <v>78.67</v>
      </c>
      <c r="M103" s="735">
        <v>2</v>
      </c>
      <c r="N103" s="736">
        <v>157.34</v>
      </c>
    </row>
    <row r="104" spans="1:14" ht="14.45" customHeight="1" x14ac:dyDescent="0.2">
      <c r="A104" s="730" t="s">
        <v>575</v>
      </c>
      <c r="B104" s="731" t="s">
        <v>576</v>
      </c>
      <c r="C104" s="732" t="s">
        <v>589</v>
      </c>
      <c r="D104" s="733" t="s">
        <v>590</v>
      </c>
      <c r="E104" s="734">
        <v>50113001</v>
      </c>
      <c r="F104" s="733" t="s">
        <v>609</v>
      </c>
      <c r="G104" s="732" t="s">
        <v>625</v>
      </c>
      <c r="H104" s="732">
        <v>243138</v>
      </c>
      <c r="I104" s="732">
        <v>243138</v>
      </c>
      <c r="J104" s="732" t="s">
        <v>790</v>
      </c>
      <c r="K104" s="732" t="s">
        <v>791</v>
      </c>
      <c r="L104" s="735">
        <v>61.17</v>
      </c>
      <c r="M104" s="735">
        <v>2</v>
      </c>
      <c r="N104" s="736">
        <v>122.34</v>
      </c>
    </row>
    <row r="105" spans="1:14" ht="14.45" customHeight="1" x14ac:dyDescent="0.2">
      <c r="A105" s="730" t="s">
        <v>575</v>
      </c>
      <c r="B105" s="731" t="s">
        <v>576</v>
      </c>
      <c r="C105" s="732" t="s">
        <v>589</v>
      </c>
      <c r="D105" s="733" t="s">
        <v>590</v>
      </c>
      <c r="E105" s="734">
        <v>50113001</v>
      </c>
      <c r="F105" s="733" t="s">
        <v>609</v>
      </c>
      <c r="G105" s="732" t="s">
        <v>610</v>
      </c>
      <c r="H105" s="732">
        <v>142613</v>
      </c>
      <c r="I105" s="732">
        <v>42613</v>
      </c>
      <c r="J105" s="732" t="s">
        <v>792</v>
      </c>
      <c r="K105" s="732" t="s">
        <v>793</v>
      </c>
      <c r="L105" s="735">
        <v>134.50000000000003</v>
      </c>
      <c r="M105" s="735">
        <v>1</v>
      </c>
      <c r="N105" s="736">
        <v>134.50000000000003</v>
      </c>
    </row>
    <row r="106" spans="1:14" ht="14.45" customHeight="1" x14ac:dyDescent="0.2">
      <c r="A106" s="730" t="s">
        <v>575</v>
      </c>
      <c r="B106" s="731" t="s">
        <v>576</v>
      </c>
      <c r="C106" s="732" t="s">
        <v>589</v>
      </c>
      <c r="D106" s="733" t="s">
        <v>590</v>
      </c>
      <c r="E106" s="734">
        <v>50113001</v>
      </c>
      <c r="F106" s="733" t="s">
        <v>609</v>
      </c>
      <c r="G106" s="732" t="s">
        <v>610</v>
      </c>
      <c r="H106" s="732">
        <v>847477</v>
      </c>
      <c r="I106" s="732">
        <v>151436</v>
      </c>
      <c r="J106" s="732" t="s">
        <v>794</v>
      </c>
      <c r="K106" s="732" t="s">
        <v>795</v>
      </c>
      <c r="L106" s="735">
        <v>522.58999999999992</v>
      </c>
      <c r="M106" s="735">
        <v>10</v>
      </c>
      <c r="N106" s="736">
        <v>5225.8999999999996</v>
      </c>
    </row>
    <row r="107" spans="1:14" ht="14.45" customHeight="1" x14ac:dyDescent="0.2">
      <c r="A107" s="730" t="s">
        <v>575</v>
      </c>
      <c r="B107" s="731" t="s">
        <v>576</v>
      </c>
      <c r="C107" s="732" t="s">
        <v>589</v>
      </c>
      <c r="D107" s="733" t="s">
        <v>590</v>
      </c>
      <c r="E107" s="734">
        <v>50113001</v>
      </c>
      <c r="F107" s="733" t="s">
        <v>609</v>
      </c>
      <c r="G107" s="732" t="s">
        <v>610</v>
      </c>
      <c r="H107" s="732">
        <v>185266</v>
      </c>
      <c r="I107" s="732">
        <v>185266</v>
      </c>
      <c r="J107" s="732" t="s">
        <v>796</v>
      </c>
      <c r="K107" s="732" t="s">
        <v>797</v>
      </c>
      <c r="L107" s="735">
        <v>176.15</v>
      </c>
      <c r="M107" s="735">
        <v>1</v>
      </c>
      <c r="N107" s="736">
        <v>176.15</v>
      </c>
    </row>
    <row r="108" spans="1:14" ht="14.45" customHeight="1" x14ac:dyDescent="0.2">
      <c r="A108" s="730" t="s">
        <v>575</v>
      </c>
      <c r="B108" s="731" t="s">
        <v>576</v>
      </c>
      <c r="C108" s="732" t="s">
        <v>589</v>
      </c>
      <c r="D108" s="733" t="s">
        <v>590</v>
      </c>
      <c r="E108" s="734">
        <v>50113001</v>
      </c>
      <c r="F108" s="733" t="s">
        <v>609</v>
      </c>
      <c r="G108" s="732" t="s">
        <v>610</v>
      </c>
      <c r="H108" s="732">
        <v>126898</v>
      </c>
      <c r="I108" s="732">
        <v>126898</v>
      </c>
      <c r="J108" s="732" t="s">
        <v>798</v>
      </c>
      <c r="K108" s="732" t="s">
        <v>799</v>
      </c>
      <c r="L108" s="735">
        <v>1041.69</v>
      </c>
      <c r="M108" s="735">
        <v>2</v>
      </c>
      <c r="N108" s="736">
        <v>2083.38</v>
      </c>
    </row>
    <row r="109" spans="1:14" ht="14.45" customHeight="1" x14ac:dyDescent="0.2">
      <c r="A109" s="730" t="s">
        <v>575</v>
      </c>
      <c r="B109" s="731" t="s">
        <v>576</v>
      </c>
      <c r="C109" s="732" t="s">
        <v>589</v>
      </c>
      <c r="D109" s="733" t="s">
        <v>590</v>
      </c>
      <c r="E109" s="734">
        <v>50113001</v>
      </c>
      <c r="F109" s="733" t="s">
        <v>609</v>
      </c>
      <c r="G109" s="732" t="s">
        <v>625</v>
      </c>
      <c r="H109" s="732">
        <v>149195</v>
      </c>
      <c r="I109" s="732">
        <v>49195</v>
      </c>
      <c r="J109" s="732" t="s">
        <v>800</v>
      </c>
      <c r="K109" s="732" t="s">
        <v>801</v>
      </c>
      <c r="L109" s="735">
        <v>224.005</v>
      </c>
      <c r="M109" s="735">
        <v>2</v>
      </c>
      <c r="N109" s="736">
        <v>448.01</v>
      </c>
    </row>
    <row r="110" spans="1:14" ht="14.45" customHeight="1" x14ac:dyDescent="0.2">
      <c r="A110" s="730" t="s">
        <v>575</v>
      </c>
      <c r="B110" s="731" t="s">
        <v>576</v>
      </c>
      <c r="C110" s="732" t="s">
        <v>589</v>
      </c>
      <c r="D110" s="733" t="s">
        <v>590</v>
      </c>
      <c r="E110" s="734">
        <v>50113001</v>
      </c>
      <c r="F110" s="733" t="s">
        <v>609</v>
      </c>
      <c r="G110" s="732" t="s">
        <v>625</v>
      </c>
      <c r="H110" s="732">
        <v>114439</v>
      </c>
      <c r="I110" s="732">
        <v>14439</v>
      </c>
      <c r="J110" s="732" t="s">
        <v>800</v>
      </c>
      <c r="K110" s="732" t="s">
        <v>802</v>
      </c>
      <c r="L110" s="735">
        <v>74.430000000000007</v>
      </c>
      <c r="M110" s="735">
        <v>1</v>
      </c>
      <c r="N110" s="736">
        <v>74.430000000000007</v>
      </c>
    </row>
    <row r="111" spans="1:14" ht="14.45" customHeight="1" x14ac:dyDescent="0.2">
      <c r="A111" s="730" t="s">
        <v>575</v>
      </c>
      <c r="B111" s="731" t="s">
        <v>576</v>
      </c>
      <c r="C111" s="732" t="s">
        <v>589</v>
      </c>
      <c r="D111" s="733" t="s">
        <v>590</v>
      </c>
      <c r="E111" s="734">
        <v>50113001</v>
      </c>
      <c r="F111" s="733" t="s">
        <v>609</v>
      </c>
      <c r="G111" s="732" t="s">
        <v>625</v>
      </c>
      <c r="H111" s="732">
        <v>213494</v>
      </c>
      <c r="I111" s="732">
        <v>213494</v>
      </c>
      <c r="J111" s="732" t="s">
        <v>803</v>
      </c>
      <c r="K111" s="732" t="s">
        <v>804</v>
      </c>
      <c r="L111" s="735">
        <v>408.95</v>
      </c>
      <c r="M111" s="735">
        <v>37</v>
      </c>
      <c r="N111" s="736">
        <v>15131.15</v>
      </c>
    </row>
    <row r="112" spans="1:14" ht="14.45" customHeight="1" x14ac:dyDescent="0.2">
      <c r="A112" s="730" t="s">
        <v>575</v>
      </c>
      <c r="B112" s="731" t="s">
        <v>576</v>
      </c>
      <c r="C112" s="732" t="s">
        <v>589</v>
      </c>
      <c r="D112" s="733" t="s">
        <v>590</v>
      </c>
      <c r="E112" s="734">
        <v>50113001</v>
      </c>
      <c r="F112" s="733" t="s">
        <v>609</v>
      </c>
      <c r="G112" s="732" t="s">
        <v>625</v>
      </c>
      <c r="H112" s="732">
        <v>213485</v>
      </c>
      <c r="I112" s="732">
        <v>213485</v>
      </c>
      <c r="J112" s="732" t="s">
        <v>803</v>
      </c>
      <c r="K112" s="732" t="s">
        <v>805</v>
      </c>
      <c r="L112" s="735">
        <v>721.19999999999993</v>
      </c>
      <c r="M112" s="735">
        <v>23</v>
      </c>
      <c r="N112" s="736">
        <v>16587.599999999999</v>
      </c>
    </row>
    <row r="113" spans="1:14" ht="14.45" customHeight="1" x14ac:dyDescent="0.2">
      <c r="A113" s="730" t="s">
        <v>575</v>
      </c>
      <c r="B113" s="731" t="s">
        <v>576</v>
      </c>
      <c r="C113" s="732" t="s">
        <v>589</v>
      </c>
      <c r="D113" s="733" t="s">
        <v>590</v>
      </c>
      <c r="E113" s="734">
        <v>50113001</v>
      </c>
      <c r="F113" s="733" t="s">
        <v>609</v>
      </c>
      <c r="G113" s="732" t="s">
        <v>625</v>
      </c>
      <c r="H113" s="732">
        <v>213489</v>
      </c>
      <c r="I113" s="732">
        <v>213489</v>
      </c>
      <c r="J113" s="732" t="s">
        <v>803</v>
      </c>
      <c r="K113" s="732" t="s">
        <v>806</v>
      </c>
      <c r="L113" s="735">
        <v>630.66</v>
      </c>
      <c r="M113" s="735">
        <v>46</v>
      </c>
      <c r="N113" s="736">
        <v>29010.359999999997</v>
      </c>
    </row>
    <row r="114" spans="1:14" ht="14.45" customHeight="1" x14ac:dyDescent="0.2">
      <c r="A114" s="730" t="s">
        <v>575</v>
      </c>
      <c r="B114" s="731" t="s">
        <v>576</v>
      </c>
      <c r="C114" s="732" t="s">
        <v>589</v>
      </c>
      <c r="D114" s="733" t="s">
        <v>590</v>
      </c>
      <c r="E114" s="734">
        <v>50113001</v>
      </c>
      <c r="F114" s="733" t="s">
        <v>609</v>
      </c>
      <c r="G114" s="732" t="s">
        <v>625</v>
      </c>
      <c r="H114" s="732">
        <v>213487</v>
      </c>
      <c r="I114" s="732">
        <v>213487</v>
      </c>
      <c r="J114" s="732" t="s">
        <v>803</v>
      </c>
      <c r="K114" s="732" t="s">
        <v>807</v>
      </c>
      <c r="L114" s="735">
        <v>271.85000000000014</v>
      </c>
      <c r="M114" s="735">
        <v>49</v>
      </c>
      <c r="N114" s="736">
        <v>13320.650000000007</v>
      </c>
    </row>
    <row r="115" spans="1:14" ht="14.45" customHeight="1" x14ac:dyDescent="0.2">
      <c r="A115" s="730" t="s">
        <v>575</v>
      </c>
      <c r="B115" s="731" t="s">
        <v>576</v>
      </c>
      <c r="C115" s="732" t="s">
        <v>589</v>
      </c>
      <c r="D115" s="733" t="s">
        <v>590</v>
      </c>
      <c r="E115" s="734">
        <v>50113001</v>
      </c>
      <c r="F115" s="733" t="s">
        <v>609</v>
      </c>
      <c r="G115" s="732" t="s">
        <v>625</v>
      </c>
      <c r="H115" s="732">
        <v>213490</v>
      </c>
      <c r="I115" s="732">
        <v>213490</v>
      </c>
      <c r="J115" s="732" t="s">
        <v>803</v>
      </c>
      <c r="K115" s="732" t="s">
        <v>808</v>
      </c>
      <c r="L115" s="735">
        <v>913.65</v>
      </c>
      <c r="M115" s="735">
        <v>8</v>
      </c>
      <c r="N115" s="736">
        <v>7309.2</v>
      </c>
    </row>
    <row r="116" spans="1:14" ht="14.45" customHeight="1" x14ac:dyDescent="0.2">
      <c r="A116" s="730" t="s">
        <v>575</v>
      </c>
      <c r="B116" s="731" t="s">
        <v>576</v>
      </c>
      <c r="C116" s="732" t="s">
        <v>589</v>
      </c>
      <c r="D116" s="733" t="s">
        <v>590</v>
      </c>
      <c r="E116" s="734">
        <v>50113001</v>
      </c>
      <c r="F116" s="733" t="s">
        <v>609</v>
      </c>
      <c r="G116" s="732" t="s">
        <v>625</v>
      </c>
      <c r="H116" s="732">
        <v>213482</v>
      </c>
      <c r="I116" s="732">
        <v>213482</v>
      </c>
      <c r="J116" s="732" t="s">
        <v>809</v>
      </c>
      <c r="K116" s="732" t="s">
        <v>810</v>
      </c>
      <c r="L116" s="735">
        <v>1501.02</v>
      </c>
      <c r="M116" s="735">
        <v>2</v>
      </c>
      <c r="N116" s="736">
        <v>3002.04</v>
      </c>
    </row>
    <row r="117" spans="1:14" ht="14.45" customHeight="1" x14ac:dyDescent="0.2">
      <c r="A117" s="730" t="s">
        <v>575</v>
      </c>
      <c r="B117" s="731" t="s">
        <v>576</v>
      </c>
      <c r="C117" s="732" t="s">
        <v>589</v>
      </c>
      <c r="D117" s="733" t="s">
        <v>590</v>
      </c>
      <c r="E117" s="734">
        <v>50113001</v>
      </c>
      <c r="F117" s="733" t="s">
        <v>609</v>
      </c>
      <c r="G117" s="732" t="s">
        <v>625</v>
      </c>
      <c r="H117" s="732">
        <v>213480</v>
      </c>
      <c r="I117" s="732">
        <v>213480</v>
      </c>
      <c r="J117" s="732" t="s">
        <v>809</v>
      </c>
      <c r="K117" s="732" t="s">
        <v>806</v>
      </c>
      <c r="L117" s="735">
        <v>1106.2600000000002</v>
      </c>
      <c r="M117" s="735">
        <v>9</v>
      </c>
      <c r="N117" s="736">
        <v>9956.340000000002</v>
      </c>
    </row>
    <row r="118" spans="1:14" ht="14.45" customHeight="1" x14ac:dyDescent="0.2">
      <c r="A118" s="730" t="s">
        <v>575</v>
      </c>
      <c r="B118" s="731" t="s">
        <v>576</v>
      </c>
      <c r="C118" s="732" t="s">
        <v>589</v>
      </c>
      <c r="D118" s="733" t="s">
        <v>590</v>
      </c>
      <c r="E118" s="734">
        <v>50113001</v>
      </c>
      <c r="F118" s="733" t="s">
        <v>609</v>
      </c>
      <c r="G118" s="732" t="s">
        <v>625</v>
      </c>
      <c r="H118" s="732">
        <v>156805</v>
      </c>
      <c r="I118" s="732">
        <v>56805</v>
      </c>
      <c r="J118" s="732" t="s">
        <v>811</v>
      </c>
      <c r="K118" s="732" t="s">
        <v>812</v>
      </c>
      <c r="L118" s="735">
        <v>58.506666666666668</v>
      </c>
      <c r="M118" s="735">
        <v>15</v>
      </c>
      <c r="N118" s="736">
        <v>877.6</v>
      </c>
    </row>
    <row r="119" spans="1:14" ht="14.45" customHeight="1" x14ac:dyDescent="0.2">
      <c r="A119" s="730" t="s">
        <v>575</v>
      </c>
      <c r="B119" s="731" t="s">
        <v>576</v>
      </c>
      <c r="C119" s="732" t="s">
        <v>589</v>
      </c>
      <c r="D119" s="733" t="s">
        <v>590</v>
      </c>
      <c r="E119" s="734">
        <v>50113001</v>
      </c>
      <c r="F119" s="733" t="s">
        <v>609</v>
      </c>
      <c r="G119" s="732" t="s">
        <v>625</v>
      </c>
      <c r="H119" s="732">
        <v>239807</v>
      </c>
      <c r="I119" s="732">
        <v>239807</v>
      </c>
      <c r="J119" s="732" t="s">
        <v>813</v>
      </c>
      <c r="K119" s="732" t="s">
        <v>814</v>
      </c>
      <c r="L119" s="735">
        <v>40.371538461538464</v>
      </c>
      <c r="M119" s="735">
        <v>26</v>
      </c>
      <c r="N119" s="736">
        <v>1049.6600000000001</v>
      </c>
    </row>
    <row r="120" spans="1:14" ht="14.45" customHeight="1" x14ac:dyDescent="0.2">
      <c r="A120" s="730" t="s">
        <v>575</v>
      </c>
      <c r="B120" s="731" t="s">
        <v>576</v>
      </c>
      <c r="C120" s="732" t="s">
        <v>589</v>
      </c>
      <c r="D120" s="733" t="s">
        <v>590</v>
      </c>
      <c r="E120" s="734">
        <v>50113001</v>
      </c>
      <c r="F120" s="733" t="s">
        <v>609</v>
      </c>
      <c r="G120" s="732" t="s">
        <v>625</v>
      </c>
      <c r="H120" s="732">
        <v>214036</v>
      </c>
      <c r="I120" s="732">
        <v>214036</v>
      </c>
      <c r="J120" s="732" t="s">
        <v>813</v>
      </c>
      <c r="K120" s="732" t="s">
        <v>814</v>
      </c>
      <c r="L120" s="735">
        <v>40.349999999999994</v>
      </c>
      <c r="M120" s="735">
        <v>54</v>
      </c>
      <c r="N120" s="736">
        <v>2178.8999999999996</v>
      </c>
    </row>
    <row r="121" spans="1:14" ht="14.45" customHeight="1" x14ac:dyDescent="0.2">
      <c r="A121" s="730" t="s">
        <v>575</v>
      </c>
      <c r="B121" s="731" t="s">
        <v>576</v>
      </c>
      <c r="C121" s="732" t="s">
        <v>589</v>
      </c>
      <c r="D121" s="733" t="s">
        <v>590</v>
      </c>
      <c r="E121" s="734">
        <v>50113001</v>
      </c>
      <c r="F121" s="733" t="s">
        <v>609</v>
      </c>
      <c r="G121" s="732" t="s">
        <v>610</v>
      </c>
      <c r="H121" s="732">
        <v>199333</v>
      </c>
      <c r="I121" s="732">
        <v>99333</v>
      </c>
      <c r="J121" s="732" t="s">
        <v>815</v>
      </c>
      <c r="K121" s="732" t="s">
        <v>816</v>
      </c>
      <c r="L121" s="735">
        <v>246.80500000000001</v>
      </c>
      <c r="M121" s="735">
        <v>2</v>
      </c>
      <c r="N121" s="736">
        <v>493.61</v>
      </c>
    </row>
    <row r="122" spans="1:14" ht="14.45" customHeight="1" x14ac:dyDescent="0.2">
      <c r="A122" s="730" t="s">
        <v>575</v>
      </c>
      <c r="B122" s="731" t="s">
        <v>576</v>
      </c>
      <c r="C122" s="732" t="s">
        <v>589</v>
      </c>
      <c r="D122" s="733" t="s">
        <v>590</v>
      </c>
      <c r="E122" s="734">
        <v>50113001</v>
      </c>
      <c r="F122" s="733" t="s">
        <v>609</v>
      </c>
      <c r="G122" s="732" t="s">
        <v>625</v>
      </c>
      <c r="H122" s="732">
        <v>150766</v>
      </c>
      <c r="I122" s="732">
        <v>150766</v>
      </c>
      <c r="J122" s="732" t="s">
        <v>817</v>
      </c>
      <c r="K122" s="732" t="s">
        <v>818</v>
      </c>
      <c r="L122" s="735">
        <v>593.65</v>
      </c>
      <c r="M122" s="735">
        <v>1</v>
      </c>
      <c r="N122" s="736">
        <v>593.65</v>
      </c>
    </row>
    <row r="123" spans="1:14" ht="14.45" customHeight="1" x14ac:dyDescent="0.2">
      <c r="A123" s="730" t="s">
        <v>575</v>
      </c>
      <c r="B123" s="731" t="s">
        <v>576</v>
      </c>
      <c r="C123" s="732" t="s">
        <v>589</v>
      </c>
      <c r="D123" s="733" t="s">
        <v>590</v>
      </c>
      <c r="E123" s="734">
        <v>50113001</v>
      </c>
      <c r="F123" s="733" t="s">
        <v>609</v>
      </c>
      <c r="G123" s="732" t="s">
        <v>610</v>
      </c>
      <c r="H123" s="732">
        <v>152147</v>
      </c>
      <c r="I123" s="732">
        <v>152147</v>
      </c>
      <c r="J123" s="732" t="s">
        <v>819</v>
      </c>
      <c r="K123" s="732" t="s">
        <v>820</v>
      </c>
      <c r="L123" s="735">
        <v>145.66999999999996</v>
      </c>
      <c r="M123" s="735">
        <v>1</v>
      </c>
      <c r="N123" s="736">
        <v>145.66999999999996</v>
      </c>
    </row>
    <row r="124" spans="1:14" ht="14.45" customHeight="1" x14ac:dyDescent="0.2">
      <c r="A124" s="730" t="s">
        <v>575</v>
      </c>
      <c r="B124" s="731" t="s">
        <v>576</v>
      </c>
      <c r="C124" s="732" t="s">
        <v>589</v>
      </c>
      <c r="D124" s="733" t="s">
        <v>590</v>
      </c>
      <c r="E124" s="734">
        <v>50113001</v>
      </c>
      <c r="F124" s="733" t="s">
        <v>609</v>
      </c>
      <c r="G124" s="732" t="s">
        <v>610</v>
      </c>
      <c r="H124" s="732">
        <v>31915</v>
      </c>
      <c r="I124" s="732">
        <v>31915</v>
      </c>
      <c r="J124" s="732" t="s">
        <v>821</v>
      </c>
      <c r="K124" s="732" t="s">
        <v>822</v>
      </c>
      <c r="L124" s="735">
        <v>173.69000000000003</v>
      </c>
      <c r="M124" s="735">
        <v>3</v>
      </c>
      <c r="N124" s="736">
        <v>521.07000000000005</v>
      </c>
    </row>
    <row r="125" spans="1:14" ht="14.45" customHeight="1" x14ac:dyDescent="0.2">
      <c r="A125" s="730" t="s">
        <v>575</v>
      </c>
      <c r="B125" s="731" t="s">
        <v>576</v>
      </c>
      <c r="C125" s="732" t="s">
        <v>589</v>
      </c>
      <c r="D125" s="733" t="s">
        <v>590</v>
      </c>
      <c r="E125" s="734">
        <v>50113001</v>
      </c>
      <c r="F125" s="733" t="s">
        <v>609</v>
      </c>
      <c r="G125" s="732" t="s">
        <v>610</v>
      </c>
      <c r="H125" s="732">
        <v>47256</v>
      </c>
      <c r="I125" s="732">
        <v>47256</v>
      </c>
      <c r="J125" s="732" t="s">
        <v>823</v>
      </c>
      <c r="K125" s="732" t="s">
        <v>824</v>
      </c>
      <c r="L125" s="735">
        <v>222.20000000000002</v>
      </c>
      <c r="M125" s="735">
        <v>7</v>
      </c>
      <c r="N125" s="736">
        <v>1555.4</v>
      </c>
    </row>
    <row r="126" spans="1:14" ht="14.45" customHeight="1" x14ac:dyDescent="0.2">
      <c r="A126" s="730" t="s">
        <v>575</v>
      </c>
      <c r="B126" s="731" t="s">
        <v>576</v>
      </c>
      <c r="C126" s="732" t="s">
        <v>589</v>
      </c>
      <c r="D126" s="733" t="s">
        <v>590</v>
      </c>
      <c r="E126" s="734">
        <v>50113001</v>
      </c>
      <c r="F126" s="733" t="s">
        <v>609</v>
      </c>
      <c r="G126" s="732" t="s">
        <v>610</v>
      </c>
      <c r="H126" s="732">
        <v>848335</v>
      </c>
      <c r="I126" s="732">
        <v>155782</v>
      </c>
      <c r="J126" s="732" t="s">
        <v>825</v>
      </c>
      <c r="K126" s="732" t="s">
        <v>826</v>
      </c>
      <c r="L126" s="735">
        <v>53.48</v>
      </c>
      <c r="M126" s="735">
        <v>3</v>
      </c>
      <c r="N126" s="736">
        <v>160.44</v>
      </c>
    </row>
    <row r="127" spans="1:14" ht="14.45" customHeight="1" x14ac:dyDescent="0.2">
      <c r="A127" s="730" t="s">
        <v>575</v>
      </c>
      <c r="B127" s="731" t="s">
        <v>576</v>
      </c>
      <c r="C127" s="732" t="s">
        <v>589</v>
      </c>
      <c r="D127" s="733" t="s">
        <v>590</v>
      </c>
      <c r="E127" s="734">
        <v>50113001</v>
      </c>
      <c r="F127" s="733" t="s">
        <v>609</v>
      </c>
      <c r="G127" s="732" t="s">
        <v>329</v>
      </c>
      <c r="H127" s="732">
        <v>234730</v>
      </c>
      <c r="I127" s="732">
        <v>234730</v>
      </c>
      <c r="J127" s="732" t="s">
        <v>827</v>
      </c>
      <c r="K127" s="732" t="s">
        <v>828</v>
      </c>
      <c r="L127" s="735">
        <v>197.27</v>
      </c>
      <c r="M127" s="735">
        <v>1</v>
      </c>
      <c r="N127" s="736">
        <v>197.27</v>
      </c>
    </row>
    <row r="128" spans="1:14" ht="14.45" customHeight="1" x14ac:dyDescent="0.2">
      <c r="A128" s="730" t="s">
        <v>575</v>
      </c>
      <c r="B128" s="731" t="s">
        <v>576</v>
      </c>
      <c r="C128" s="732" t="s">
        <v>589</v>
      </c>
      <c r="D128" s="733" t="s">
        <v>590</v>
      </c>
      <c r="E128" s="734">
        <v>50113001</v>
      </c>
      <c r="F128" s="733" t="s">
        <v>609</v>
      </c>
      <c r="G128" s="732" t="s">
        <v>610</v>
      </c>
      <c r="H128" s="732">
        <v>102538</v>
      </c>
      <c r="I128" s="732">
        <v>2538</v>
      </c>
      <c r="J128" s="732" t="s">
        <v>829</v>
      </c>
      <c r="K128" s="732" t="s">
        <v>830</v>
      </c>
      <c r="L128" s="735">
        <v>55.440000000000012</v>
      </c>
      <c r="M128" s="735">
        <v>1</v>
      </c>
      <c r="N128" s="736">
        <v>55.440000000000012</v>
      </c>
    </row>
    <row r="129" spans="1:14" ht="14.45" customHeight="1" x14ac:dyDescent="0.2">
      <c r="A129" s="730" t="s">
        <v>575</v>
      </c>
      <c r="B129" s="731" t="s">
        <v>576</v>
      </c>
      <c r="C129" s="732" t="s">
        <v>589</v>
      </c>
      <c r="D129" s="733" t="s">
        <v>590</v>
      </c>
      <c r="E129" s="734">
        <v>50113001</v>
      </c>
      <c r="F129" s="733" t="s">
        <v>609</v>
      </c>
      <c r="G129" s="732" t="s">
        <v>610</v>
      </c>
      <c r="H129" s="732">
        <v>102539</v>
      </c>
      <c r="I129" s="732">
        <v>2539</v>
      </c>
      <c r="J129" s="732" t="s">
        <v>829</v>
      </c>
      <c r="K129" s="732" t="s">
        <v>831</v>
      </c>
      <c r="L129" s="735">
        <v>52.56</v>
      </c>
      <c r="M129" s="735">
        <v>2</v>
      </c>
      <c r="N129" s="736">
        <v>105.12</v>
      </c>
    </row>
    <row r="130" spans="1:14" ht="14.45" customHeight="1" x14ac:dyDescent="0.2">
      <c r="A130" s="730" t="s">
        <v>575</v>
      </c>
      <c r="B130" s="731" t="s">
        <v>576</v>
      </c>
      <c r="C130" s="732" t="s">
        <v>589</v>
      </c>
      <c r="D130" s="733" t="s">
        <v>590</v>
      </c>
      <c r="E130" s="734">
        <v>50113001</v>
      </c>
      <c r="F130" s="733" t="s">
        <v>609</v>
      </c>
      <c r="G130" s="732" t="s">
        <v>610</v>
      </c>
      <c r="H130" s="732">
        <v>125366</v>
      </c>
      <c r="I130" s="732">
        <v>25366</v>
      </c>
      <c r="J130" s="732" t="s">
        <v>832</v>
      </c>
      <c r="K130" s="732" t="s">
        <v>833</v>
      </c>
      <c r="L130" s="735">
        <v>71.90666666666668</v>
      </c>
      <c r="M130" s="735">
        <v>6</v>
      </c>
      <c r="N130" s="736">
        <v>431.44000000000005</v>
      </c>
    </row>
    <row r="131" spans="1:14" ht="14.45" customHeight="1" x14ac:dyDescent="0.2">
      <c r="A131" s="730" t="s">
        <v>575</v>
      </c>
      <c r="B131" s="731" t="s">
        <v>576</v>
      </c>
      <c r="C131" s="732" t="s">
        <v>589</v>
      </c>
      <c r="D131" s="733" t="s">
        <v>590</v>
      </c>
      <c r="E131" s="734">
        <v>50113001</v>
      </c>
      <c r="F131" s="733" t="s">
        <v>609</v>
      </c>
      <c r="G131" s="732" t="s">
        <v>610</v>
      </c>
      <c r="H131" s="732">
        <v>109139</v>
      </c>
      <c r="I131" s="732">
        <v>176129</v>
      </c>
      <c r="J131" s="732" t="s">
        <v>834</v>
      </c>
      <c r="K131" s="732" t="s">
        <v>835</v>
      </c>
      <c r="L131" s="735">
        <v>639.13999999999987</v>
      </c>
      <c r="M131" s="735">
        <v>4</v>
      </c>
      <c r="N131" s="736">
        <v>2556.5599999999995</v>
      </c>
    </row>
    <row r="132" spans="1:14" ht="14.45" customHeight="1" x14ac:dyDescent="0.2">
      <c r="A132" s="730" t="s">
        <v>575</v>
      </c>
      <c r="B132" s="731" t="s">
        <v>576</v>
      </c>
      <c r="C132" s="732" t="s">
        <v>589</v>
      </c>
      <c r="D132" s="733" t="s">
        <v>590</v>
      </c>
      <c r="E132" s="734">
        <v>50113001</v>
      </c>
      <c r="F132" s="733" t="s">
        <v>609</v>
      </c>
      <c r="G132" s="732" t="s">
        <v>610</v>
      </c>
      <c r="H132" s="732">
        <v>193746</v>
      </c>
      <c r="I132" s="732">
        <v>93746</v>
      </c>
      <c r="J132" s="732" t="s">
        <v>836</v>
      </c>
      <c r="K132" s="732" t="s">
        <v>837</v>
      </c>
      <c r="L132" s="735">
        <v>366.22</v>
      </c>
      <c r="M132" s="735">
        <v>1</v>
      </c>
      <c r="N132" s="736">
        <v>366.22</v>
      </c>
    </row>
    <row r="133" spans="1:14" ht="14.45" customHeight="1" x14ac:dyDescent="0.2">
      <c r="A133" s="730" t="s">
        <v>575</v>
      </c>
      <c r="B133" s="731" t="s">
        <v>576</v>
      </c>
      <c r="C133" s="732" t="s">
        <v>589</v>
      </c>
      <c r="D133" s="733" t="s">
        <v>590</v>
      </c>
      <c r="E133" s="734">
        <v>50113001</v>
      </c>
      <c r="F133" s="733" t="s">
        <v>609</v>
      </c>
      <c r="G133" s="732" t="s">
        <v>625</v>
      </c>
      <c r="H133" s="732">
        <v>100308</v>
      </c>
      <c r="I133" s="732">
        <v>100308</v>
      </c>
      <c r="J133" s="732" t="s">
        <v>838</v>
      </c>
      <c r="K133" s="732" t="s">
        <v>839</v>
      </c>
      <c r="L133" s="735">
        <v>38.85</v>
      </c>
      <c r="M133" s="735">
        <v>4</v>
      </c>
      <c r="N133" s="736">
        <v>155.4</v>
      </c>
    </row>
    <row r="134" spans="1:14" ht="14.45" customHeight="1" x14ac:dyDescent="0.2">
      <c r="A134" s="730" t="s">
        <v>575</v>
      </c>
      <c r="B134" s="731" t="s">
        <v>576</v>
      </c>
      <c r="C134" s="732" t="s">
        <v>589</v>
      </c>
      <c r="D134" s="733" t="s">
        <v>590</v>
      </c>
      <c r="E134" s="734">
        <v>50113001</v>
      </c>
      <c r="F134" s="733" t="s">
        <v>609</v>
      </c>
      <c r="G134" s="732" t="s">
        <v>625</v>
      </c>
      <c r="H134" s="732">
        <v>845593</v>
      </c>
      <c r="I134" s="732">
        <v>100304</v>
      </c>
      <c r="J134" s="732" t="s">
        <v>838</v>
      </c>
      <c r="K134" s="732" t="s">
        <v>840</v>
      </c>
      <c r="L134" s="735">
        <v>40.980000000000004</v>
      </c>
      <c r="M134" s="735">
        <v>1</v>
      </c>
      <c r="N134" s="736">
        <v>40.980000000000004</v>
      </c>
    </row>
    <row r="135" spans="1:14" ht="14.45" customHeight="1" x14ac:dyDescent="0.2">
      <c r="A135" s="730" t="s">
        <v>575</v>
      </c>
      <c r="B135" s="731" t="s">
        <v>576</v>
      </c>
      <c r="C135" s="732" t="s">
        <v>589</v>
      </c>
      <c r="D135" s="733" t="s">
        <v>590</v>
      </c>
      <c r="E135" s="734">
        <v>50113001</v>
      </c>
      <c r="F135" s="733" t="s">
        <v>609</v>
      </c>
      <c r="G135" s="732" t="s">
        <v>610</v>
      </c>
      <c r="H135" s="732">
        <v>214337</v>
      </c>
      <c r="I135" s="732">
        <v>214337</v>
      </c>
      <c r="J135" s="732" t="s">
        <v>841</v>
      </c>
      <c r="K135" s="732" t="s">
        <v>842</v>
      </c>
      <c r="L135" s="735">
        <v>214.97999999999996</v>
      </c>
      <c r="M135" s="735">
        <v>1</v>
      </c>
      <c r="N135" s="736">
        <v>214.97999999999996</v>
      </c>
    </row>
    <row r="136" spans="1:14" ht="14.45" customHeight="1" x14ac:dyDescent="0.2">
      <c r="A136" s="730" t="s">
        <v>575</v>
      </c>
      <c r="B136" s="731" t="s">
        <v>576</v>
      </c>
      <c r="C136" s="732" t="s">
        <v>589</v>
      </c>
      <c r="D136" s="733" t="s">
        <v>590</v>
      </c>
      <c r="E136" s="734">
        <v>50113001</v>
      </c>
      <c r="F136" s="733" t="s">
        <v>609</v>
      </c>
      <c r="G136" s="732" t="s">
        <v>610</v>
      </c>
      <c r="H136" s="732">
        <v>214355</v>
      </c>
      <c r="I136" s="732">
        <v>214355</v>
      </c>
      <c r="J136" s="732" t="s">
        <v>843</v>
      </c>
      <c r="K136" s="732" t="s">
        <v>842</v>
      </c>
      <c r="L136" s="735">
        <v>215.26666666666665</v>
      </c>
      <c r="M136" s="735">
        <v>3</v>
      </c>
      <c r="N136" s="736">
        <v>645.79999999999995</v>
      </c>
    </row>
    <row r="137" spans="1:14" ht="14.45" customHeight="1" x14ac:dyDescent="0.2">
      <c r="A137" s="730" t="s">
        <v>575</v>
      </c>
      <c r="B137" s="731" t="s">
        <v>576</v>
      </c>
      <c r="C137" s="732" t="s">
        <v>589</v>
      </c>
      <c r="D137" s="733" t="s">
        <v>590</v>
      </c>
      <c r="E137" s="734">
        <v>50113001</v>
      </c>
      <c r="F137" s="733" t="s">
        <v>609</v>
      </c>
      <c r="G137" s="732" t="s">
        <v>610</v>
      </c>
      <c r="H137" s="732">
        <v>176205</v>
      </c>
      <c r="I137" s="732">
        <v>180825</v>
      </c>
      <c r="J137" s="732" t="s">
        <v>844</v>
      </c>
      <c r="K137" s="732" t="s">
        <v>845</v>
      </c>
      <c r="L137" s="735">
        <v>104.64000000000004</v>
      </c>
      <c r="M137" s="735">
        <v>1</v>
      </c>
      <c r="N137" s="736">
        <v>104.64000000000004</v>
      </c>
    </row>
    <row r="138" spans="1:14" ht="14.45" customHeight="1" x14ac:dyDescent="0.2">
      <c r="A138" s="730" t="s">
        <v>575</v>
      </c>
      <c r="B138" s="731" t="s">
        <v>576</v>
      </c>
      <c r="C138" s="732" t="s">
        <v>589</v>
      </c>
      <c r="D138" s="733" t="s">
        <v>590</v>
      </c>
      <c r="E138" s="734">
        <v>50113001</v>
      </c>
      <c r="F138" s="733" t="s">
        <v>609</v>
      </c>
      <c r="G138" s="732" t="s">
        <v>610</v>
      </c>
      <c r="H138" s="732">
        <v>216572</v>
      </c>
      <c r="I138" s="732">
        <v>216572</v>
      </c>
      <c r="J138" s="732" t="s">
        <v>846</v>
      </c>
      <c r="K138" s="732" t="s">
        <v>847</v>
      </c>
      <c r="L138" s="735">
        <v>36.25</v>
      </c>
      <c r="M138" s="735">
        <v>1</v>
      </c>
      <c r="N138" s="736">
        <v>36.25</v>
      </c>
    </row>
    <row r="139" spans="1:14" ht="14.45" customHeight="1" x14ac:dyDescent="0.2">
      <c r="A139" s="730" t="s">
        <v>575</v>
      </c>
      <c r="B139" s="731" t="s">
        <v>576</v>
      </c>
      <c r="C139" s="732" t="s">
        <v>589</v>
      </c>
      <c r="D139" s="733" t="s">
        <v>590</v>
      </c>
      <c r="E139" s="734">
        <v>50113001</v>
      </c>
      <c r="F139" s="733" t="s">
        <v>609</v>
      </c>
      <c r="G139" s="732" t="s">
        <v>610</v>
      </c>
      <c r="H139" s="732">
        <v>223200</v>
      </c>
      <c r="I139" s="732">
        <v>223200</v>
      </c>
      <c r="J139" s="732" t="s">
        <v>848</v>
      </c>
      <c r="K139" s="732" t="s">
        <v>849</v>
      </c>
      <c r="L139" s="735">
        <v>142.3175</v>
      </c>
      <c r="M139" s="735">
        <v>8</v>
      </c>
      <c r="N139" s="736">
        <v>1138.54</v>
      </c>
    </row>
    <row r="140" spans="1:14" ht="14.45" customHeight="1" x14ac:dyDescent="0.2">
      <c r="A140" s="730" t="s">
        <v>575</v>
      </c>
      <c r="B140" s="731" t="s">
        <v>576</v>
      </c>
      <c r="C140" s="732" t="s">
        <v>589</v>
      </c>
      <c r="D140" s="733" t="s">
        <v>590</v>
      </c>
      <c r="E140" s="734">
        <v>50113001</v>
      </c>
      <c r="F140" s="733" t="s">
        <v>609</v>
      </c>
      <c r="G140" s="732" t="s">
        <v>610</v>
      </c>
      <c r="H140" s="732">
        <v>51384</v>
      </c>
      <c r="I140" s="732">
        <v>51384</v>
      </c>
      <c r="J140" s="732" t="s">
        <v>850</v>
      </c>
      <c r="K140" s="732" t="s">
        <v>851</v>
      </c>
      <c r="L140" s="735">
        <v>192.5</v>
      </c>
      <c r="M140" s="735">
        <v>3</v>
      </c>
      <c r="N140" s="736">
        <v>577.5</v>
      </c>
    </row>
    <row r="141" spans="1:14" ht="14.45" customHeight="1" x14ac:dyDescent="0.2">
      <c r="A141" s="730" t="s">
        <v>575</v>
      </c>
      <c r="B141" s="731" t="s">
        <v>576</v>
      </c>
      <c r="C141" s="732" t="s">
        <v>589</v>
      </c>
      <c r="D141" s="733" t="s">
        <v>590</v>
      </c>
      <c r="E141" s="734">
        <v>50113001</v>
      </c>
      <c r="F141" s="733" t="s">
        <v>609</v>
      </c>
      <c r="G141" s="732" t="s">
        <v>610</v>
      </c>
      <c r="H141" s="732">
        <v>51383</v>
      </c>
      <c r="I141" s="732">
        <v>51383</v>
      </c>
      <c r="J141" s="732" t="s">
        <v>850</v>
      </c>
      <c r="K141" s="732" t="s">
        <v>852</v>
      </c>
      <c r="L141" s="735">
        <v>93.5</v>
      </c>
      <c r="M141" s="735">
        <v>2</v>
      </c>
      <c r="N141" s="736">
        <v>187</v>
      </c>
    </row>
    <row r="142" spans="1:14" ht="14.45" customHeight="1" x14ac:dyDescent="0.2">
      <c r="A142" s="730" t="s">
        <v>575</v>
      </c>
      <c r="B142" s="731" t="s">
        <v>576</v>
      </c>
      <c r="C142" s="732" t="s">
        <v>589</v>
      </c>
      <c r="D142" s="733" t="s">
        <v>590</v>
      </c>
      <c r="E142" s="734">
        <v>50113001</v>
      </c>
      <c r="F142" s="733" t="s">
        <v>609</v>
      </c>
      <c r="G142" s="732" t="s">
        <v>610</v>
      </c>
      <c r="H142" s="732">
        <v>51366</v>
      </c>
      <c r="I142" s="732">
        <v>51366</v>
      </c>
      <c r="J142" s="732" t="s">
        <v>850</v>
      </c>
      <c r="K142" s="732" t="s">
        <v>853</v>
      </c>
      <c r="L142" s="735">
        <v>171.60000000000005</v>
      </c>
      <c r="M142" s="735">
        <v>34</v>
      </c>
      <c r="N142" s="736">
        <v>5834.4000000000015</v>
      </c>
    </row>
    <row r="143" spans="1:14" ht="14.45" customHeight="1" x14ac:dyDescent="0.2">
      <c r="A143" s="730" t="s">
        <v>575</v>
      </c>
      <c r="B143" s="731" t="s">
        <v>576</v>
      </c>
      <c r="C143" s="732" t="s">
        <v>589</v>
      </c>
      <c r="D143" s="733" t="s">
        <v>590</v>
      </c>
      <c r="E143" s="734">
        <v>50113001</v>
      </c>
      <c r="F143" s="733" t="s">
        <v>609</v>
      </c>
      <c r="G143" s="732" t="s">
        <v>610</v>
      </c>
      <c r="H143" s="732">
        <v>51367</v>
      </c>
      <c r="I143" s="732">
        <v>51367</v>
      </c>
      <c r="J143" s="732" t="s">
        <v>850</v>
      </c>
      <c r="K143" s="732" t="s">
        <v>854</v>
      </c>
      <c r="L143" s="735">
        <v>92.949999999999989</v>
      </c>
      <c r="M143" s="735">
        <v>34</v>
      </c>
      <c r="N143" s="736">
        <v>3160.2999999999997</v>
      </c>
    </row>
    <row r="144" spans="1:14" ht="14.45" customHeight="1" x14ac:dyDescent="0.2">
      <c r="A144" s="730" t="s">
        <v>575</v>
      </c>
      <c r="B144" s="731" t="s">
        <v>576</v>
      </c>
      <c r="C144" s="732" t="s">
        <v>589</v>
      </c>
      <c r="D144" s="733" t="s">
        <v>590</v>
      </c>
      <c r="E144" s="734">
        <v>50113001</v>
      </c>
      <c r="F144" s="733" t="s">
        <v>609</v>
      </c>
      <c r="G144" s="732" t="s">
        <v>610</v>
      </c>
      <c r="H144" s="732">
        <v>229792</v>
      </c>
      <c r="I144" s="732">
        <v>229792</v>
      </c>
      <c r="J144" s="732" t="s">
        <v>855</v>
      </c>
      <c r="K144" s="732" t="s">
        <v>856</v>
      </c>
      <c r="L144" s="735">
        <v>81.77000000000001</v>
      </c>
      <c r="M144" s="735">
        <v>2</v>
      </c>
      <c r="N144" s="736">
        <v>163.54000000000002</v>
      </c>
    </row>
    <row r="145" spans="1:14" ht="14.45" customHeight="1" x14ac:dyDescent="0.2">
      <c r="A145" s="730" t="s">
        <v>575</v>
      </c>
      <c r="B145" s="731" t="s">
        <v>576</v>
      </c>
      <c r="C145" s="732" t="s">
        <v>589</v>
      </c>
      <c r="D145" s="733" t="s">
        <v>590</v>
      </c>
      <c r="E145" s="734">
        <v>50113001</v>
      </c>
      <c r="F145" s="733" t="s">
        <v>609</v>
      </c>
      <c r="G145" s="732" t="s">
        <v>610</v>
      </c>
      <c r="H145" s="732">
        <v>207899</v>
      </c>
      <c r="I145" s="732">
        <v>207899</v>
      </c>
      <c r="J145" s="732" t="s">
        <v>857</v>
      </c>
      <c r="K145" s="732" t="s">
        <v>858</v>
      </c>
      <c r="L145" s="735">
        <v>66.850000000000009</v>
      </c>
      <c r="M145" s="735">
        <v>1</v>
      </c>
      <c r="N145" s="736">
        <v>66.850000000000009</v>
      </c>
    </row>
    <row r="146" spans="1:14" ht="14.45" customHeight="1" x14ac:dyDescent="0.2">
      <c r="A146" s="730" t="s">
        <v>575</v>
      </c>
      <c r="B146" s="731" t="s">
        <v>576</v>
      </c>
      <c r="C146" s="732" t="s">
        <v>589</v>
      </c>
      <c r="D146" s="733" t="s">
        <v>590</v>
      </c>
      <c r="E146" s="734">
        <v>50113001</v>
      </c>
      <c r="F146" s="733" t="s">
        <v>609</v>
      </c>
      <c r="G146" s="732" t="s">
        <v>610</v>
      </c>
      <c r="H146" s="732">
        <v>207898</v>
      </c>
      <c r="I146" s="732">
        <v>207898</v>
      </c>
      <c r="J146" s="732" t="s">
        <v>857</v>
      </c>
      <c r="K146" s="732" t="s">
        <v>859</v>
      </c>
      <c r="L146" s="735">
        <v>64.58</v>
      </c>
      <c r="M146" s="735">
        <v>1</v>
      </c>
      <c r="N146" s="736">
        <v>64.58</v>
      </c>
    </row>
    <row r="147" spans="1:14" ht="14.45" customHeight="1" x14ac:dyDescent="0.2">
      <c r="A147" s="730" t="s">
        <v>575</v>
      </c>
      <c r="B147" s="731" t="s">
        <v>576</v>
      </c>
      <c r="C147" s="732" t="s">
        <v>589</v>
      </c>
      <c r="D147" s="733" t="s">
        <v>590</v>
      </c>
      <c r="E147" s="734">
        <v>50113001</v>
      </c>
      <c r="F147" s="733" t="s">
        <v>609</v>
      </c>
      <c r="G147" s="732" t="s">
        <v>610</v>
      </c>
      <c r="H147" s="732">
        <v>229793</v>
      </c>
      <c r="I147" s="732">
        <v>229793</v>
      </c>
      <c r="J147" s="732" t="s">
        <v>860</v>
      </c>
      <c r="K147" s="732" t="s">
        <v>861</v>
      </c>
      <c r="L147" s="735">
        <v>126.40000000000002</v>
      </c>
      <c r="M147" s="735">
        <v>5</v>
      </c>
      <c r="N147" s="736">
        <v>632.00000000000011</v>
      </c>
    </row>
    <row r="148" spans="1:14" ht="14.45" customHeight="1" x14ac:dyDescent="0.2">
      <c r="A148" s="730" t="s">
        <v>575</v>
      </c>
      <c r="B148" s="731" t="s">
        <v>576</v>
      </c>
      <c r="C148" s="732" t="s">
        <v>589</v>
      </c>
      <c r="D148" s="733" t="s">
        <v>590</v>
      </c>
      <c r="E148" s="734">
        <v>50113001</v>
      </c>
      <c r="F148" s="733" t="s">
        <v>609</v>
      </c>
      <c r="G148" s="732" t="s">
        <v>610</v>
      </c>
      <c r="H148" s="732">
        <v>157608</v>
      </c>
      <c r="I148" s="732">
        <v>57608</v>
      </c>
      <c r="J148" s="732" t="s">
        <v>862</v>
      </c>
      <c r="K148" s="732" t="s">
        <v>863</v>
      </c>
      <c r="L148" s="735">
        <v>118.86</v>
      </c>
      <c r="M148" s="735">
        <v>1</v>
      </c>
      <c r="N148" s="736">
        <v>118.86</v>
      </c>
    </row>
    <row r="149" spans="1:14" ht="14.45" customHeight="1" x14ac:dyDescent="0.2">
      <c r="A149" s="730" t="s">
        <v>575</v>
      </c>
      <c r="B149" s="731" t="s">
        <v>576</v>
      </c>
      <c r="C149" s="732" t="s">
        <v>589</v>
      </c>
      <c r="D149" s="733" t="s">
        <v>590</v>
      </c>
      <c r="E149" s="734">
        <v>50113001</v>
      </c>
      <c r="F149" s="733" t="s">
        <v>609</v>
      </c>
      <c r="G149" s="732" t="s">
        <v>610</v>
      </c>
      <c r="H149" s="732">
        <v>224965</v>
      </c>
      <c r="I149" s="732">
        <v>224965</v>
      </c>
      <c r="J149" s="732" t="s">
        <v>864</v>
      </c>
      <c r="K149" s="732" t="s">
        <v>865</v>
      </c>
      <c r="L149" s="735">
        <v>107.75000000000004</v>
      </c>
      <c r="M149" s="735">
        <v>2</v>
      </c>
      <c r="N149" s="736">
        <v>215.50000000000009</v>
      </c>
    </row>
    <row r="150" spans="1:14" ht="14.45" customHeight="1" x14ac:dyDescent="0.2">
      <c r="A150" s="730" t="s">
        <v>575</v>
      </c>
      <c r="B150" s="731" t="s">
        <v>576</v>
      </c>
      <c r="C150" s="732" t="s">
        <v>589</v>
      </c>
      <c r="D150" s="733" t="s">
        <v>590</v>
      </c>
      <c r="E150" s="734">
        <v>50113001</v>
      </c>
      <c r="F150" s="733" t="s">
        <v>609</v>
      </c>
      <c r="G150" s="732" t="s">
        <v>610</v>
      </c>
      <c r="H150" s="732">
        <v>117189</v>
      </c>
      <c r="I150" s="732">
        <v>17189</v>
      </c>
      <c r="J150" s="732" t="s">
        <v>866</v>
      </c>
      <c r="K150" s="732" t="s">
        <v>867</v>
      </c>
      <c r="L150" s="735">
        <v>55.799999999999983</v>
      </c>
      <c r="M150" s="735">
        <v>1</v>
      </c>
      <c r="N150" s="736">
        <v>55.799999999999983</v>
      </c>
    </row>
    <row r="151" spans="1:14" ht="14.45" customHeight="1" x14ac:dyDescent="0.2">
      <c r="A151" s="730" t="s">
        <v>575</v>
      </c>
      <c r="B151" s="731" t="s">
        <v>576</v>
      </c>
      <c r="C151" s="732" t="s">
        <v>589</v>
      </c>
      <c r="D151" s="733" t="s">
        <v>590</v>
      </c>
      <c r="E151" s="734">
        <v>50113001</v>
      </c>
      <c r="F151" s="733" t="s">
        <v>609</v>
      </c>
      <c r="G151" s="732" t="s">
        <v>610</v>
      </c>
      <c r="H151" s="732">
        <v>848725</v>
      </c>
      <c r="I151" s="732">
        <v>107677</v>
      </c>
      <c r="J151" s="732" t="s">
        <v>868</v>
      </c>
      <c r="K151" s="732" t="s">
        <v>869</v>
      </c>
      <c r="L151" s="735">
        <v>382.11</v>
      </c>
      <c r="M151" s="735">
        <v>10</v>
      </c>
      <c r="N151" s="736">
        <v>3821.1000000000004</v>
      </c>
    </row>
    <row r="152" spans="1:14" ht="14.45" customHeight="1" x14ac:dyDescent="0.2">
      <c r="A152" s="730" t="s">
        <v>575</v>
      </c>
      <c r="B152" s="731" t="s">
        <v>576</v>
      </c>
      <c r="C152" s="732" t="s">
        <v>589</v>
      </c>
      <c r="D152" s="733" t="s">
        <v>590</v>
      </c>
      <c r="E152" s="734">
        <v>50113001</v>
      </c>
      <c r="F152" s="733" t="s">
        <v>609</v>
      </c>
      <c r="G152" s="732" t="s">
        <v>610</v>
      </c>
      <c r="H152" s="732">
        <v>845697</v>
      </c>
      <c r="I152" s="732">
        <v>200935</v>
      </c>
      <c r="J152" s="732" t="s">
        <v>870</v>
      </c>
      <c r="K152" s="732" t="s">
        <v>871</v>
      </c>
      <c r="L152" s="735">
        <v>44.79</v>
      </c>
      <c r="M152" s="735">
        <v>24</v>
      </c>
      <c r="N152" s="736">
        <v>1074.96</v>
      </c>
    </row>
    <row r="153" spans="1:14" ht="14.45" customHeight="1" x14ac:dyDescent="0.2">
      <c r="A153" s="730" t="s">
        <v>575</v>
      </c>
      <c r="B153" s="731" t="s">
        <v>576</v>
      </c>
      <c r="C153" s="732" t="s">
        <v>589</v>
      </c>
      <c r="D153" s="733" t="s">
        <v>590</v>
      </c>
      <c r="E153" s="734">
        <v>50113001</v>
      </c>
      <c r="F153" s="733" t="s">
        <v>609</v>
      </c>
      <c r="G153" s="732" t="s">
        <v>610</v>
      </c>
      <c r="H153" s="732">
        <v>230426</v>
      </c>
      <c r="I153" s="732">
        <v>230426</v>
      </c>
      <c r="J153" s="732" t="s">
        <v>872</v>
      </c>
      <c r="K153" s="732" t="s">
        <v>873</v>
      </c>
      <c r="L153" s="735">
        <v>78.54000000000002</v>
      </c>
      <c r="M153" s="735">
        <v>1</v>
      </c>
      <c r="N153" s="736">
        <v>78.54000000000002</v>
      </c>
    </row>
    <row r="154" spans="1:14" ht="14.45" customHeight="1" x14ac:dyDescent="0.2">
      <c r="A154" s="730" t="s">
        <v>575</v>
      </c>
      <c r="B154" s="731" t="s">
        <v>576</v>
      </c>
      <c r="C154" s="732" t="s">
        <v>589</v>
      </c>
      <c r="D154" s="733" t="s">
        <v>590</v>
      </c>
      <c r="E154" s="734">
        <v>50113001</v>
      </c>
      <c r="F154" s="733" t="s">
        <v>609</v>
      </c>
      <c r="G154" s="732" t="s">
        <v>610</v>
      </c>
      <c r="H154" s="732">
        <v>100489</v>
      </c>
      <c r="I154" s="732">
        <v>489</v>
      </c>
      <c r="J154" s="732" t="s">
        <v>872</v>
      </c>
      <c r="K154" s="732" t="s">
        <v>874</v>
      </c>
      <c r="L154" s="735">
        <v>47.29</v>
      </c>
      <c r="M154" s="735">
        <v>2</v>
      </c>
      <c r="N154" s="736">
        <v>94.58</v>
      </c>
    </row>
    <row r="155" spans="1:14" ht="14.45" customHeight="1" x14ac:dyDescent="0.2">
      <c r="A155" s="730" t="s">
        <v>575</v>
      </c>
      <c r="B155" s="731" t="s">
        <v>576</v>
      </c>
      <c r="C155" s="732" t="s">
        <v>589</v>
      </c>
      <c r="D155" s="733" t="s">
        <v>590</v>
      </c>
      <c r="E155" s="734">
        <v>50113001</v>
      </c>
      <c r="F155" s="733" t="s">
        <v>609</v>
      </c>
      <c r="G155" s="732" t="s">
        <v>625</v>
      </c>
      <c r="H155" s="732">
        <v>166759</v>
      </c>
      <c r="I155" s="732">
        <v>166759</v>
      </c>
      <c r="J155" s="732" t="s">
        <v>875</v>
      </c>
      <c r="K155" s="732" t="s">
        <v>876</v>
      </c>
      <c r="L155" s="735">
        <v>122.10999999999999</v>
      </c>
      <c r="M155" s="735">
        <v>1</v>
      </c>
      <c r="N155" s="736">
        <v>122.10999999999999</v>
      </c>
    </row>
    <row r="156" spans="1:14" ht="14.45" customHeight="1" x14ac:dyDescent="0.2">
      <c r="A156" s="730" t="s">
        <v>575</v>
      </c>
      <c r="B156" s="731" t="s">
        <v>576</v>
      </c>
      <c r="C156" s="732" t="s">
        <v>589</v>
      </c>
      <c r="D156" s="733" t="s">
        <v>590</v>
      </c>
      <c r="E156" s="734">
        <v>50113001</v>
      </c>
      <c r="F156" s="733" t="s">
        <v>609</v>
      </c>
      <c r="G156" s="732" t="s">
        <v>610</v>
      </c>
      <c r="H156" s="732">
        <v>921284</v>
      </c>
      <c r="I156" s="732">
        <v>0</v>
      </c>
      <c r="J156" s="732" t="s">
        <v>877</v>
      </c>
      <c r="K156" s="732" t="s">
        <v>329</v>
      </c>
      <c r="L156" s="735">
        <v>123.0146681233656</v>
      </c>
      <c r="M156" s="735">
        <v>25</v>
      </c>
      <c r="N156" s="736">
        <v>3075.3667030841398</v>
      </c>
    </row>
    <row r="157" spans="1:14" ht="14.45" customHeight="1" x14ac:dyDescent="0.2">
      <c r="A157" s="730" t="s">
        <v>575</v>
      </c>
      <c r="B157" s="731" t="s">
        <v>576</v>
      </c>
      <c r="C157" s="732" t="s">
        <v>589</v>
      </c>
      <c r="D157" s="733" t="s">
        <v>590</v>
      </c>
      <c r="E157" s="734">
        <v>50113001</v>
      </c>
      <c r="F157" s="733" t="s">
        <v>609</v>
      </c>
      <c r="G157" s="732" t="s">
        <v>610</v>
      </c>
      <c r="H157" s="732">
        <v>921458</v>
      </c>
      <c r="I157" s="732">
        <v>0</v>
      </c>
      <c r="J157" s="732" t="s">
        <v>878</v>
      </c>
      <c r="K157" s="732" t="s">
        <v>329</v>
      </c>
      <c r="L157" s="735">
        <v>121.41995793538953</v>
      </c>
      <c r="M157" s="735">
        <v>2</v>
      </c>
      <c r="N157" s="736">
        <v>242.83991587077907</v>
      </c>
    </row>
    <row r="158" spans="1:14" ht="14.45" customHeight="1" x14ac:dyDescent="0.2">
      <c r="A158" s="730" t="s">
        <v>575</v>
      </c>
      <c r="B158" s="731" t="s">
        <v>576</v>
      </c>
      <c r="C158" s="732" t="s">
        <v>589</v>
      </c>
      <c r="D158" s="733" t="s">
        <v>590</v>
      </c>
      <c r="E158" s="734">
        <v>50113001</v>
      </c>
      <c r="F158" s="733" t="s">
        <v>609</v>
      </c>
      <c r="G158" s="732" t="s">
        <v>610</v>
      </c>
      <c r="H158" s="732">
        <v>395019</v>
      </c>
      <c r="I158" s="732">
        <v>0</v>
      </c>
      <c r="J158" s="732" t="s">
        <v>879</v>
      </c>
      <c r="K158" s="732" t="s">
        <v>880</v>
      </c>
      <c r="L158" s="735">
        <v>217.69099935250432</v>
      </c>
      <c r="M158" s="735">
        <v>5</v>
      </c>
      <c r="N158" s="736">
        <v>1088.4549967625217</v>
      </c>
    </row>
    <row r="159" spans="1:14" ht="14.45" customHeight="1" x14ac:dyDescent="0.2">
      <c r="A159" s="730" t="s">
        <v>575</v>
      </c>
      <c r="B159" s="731" t="s">
        <v>576</v>
      </c>
      <c r="C159" s="732" t="s">
        <v>589</v>
      </c>
      <c r="D159" s="733" t="s">
        <v>590</v>
      </c>
      <c r="E159" s="734">
        <v>50113001</v>
      </c>
      <c r="F159" s="733" t="s">
        <v>609</v>
      </c>
      <c r="G159" s="732" t="s">
        <v>610</v>
      </c>
      <c r="H159" s="732">
        <v>394080</v>
      </c>
      <c r="I159" s="732">
        <v>0</v>
      </c>
      <c r="J159" s="732" t="s">
        <v>881</v>
      </c>
      <c r="K159" s="732" t="s">
        <v>882</v>
      </c>
      <c r="L159" s="735">
        <v>699.41681133170675</v>
      </c>
      <c r="M159" s="735">
        <v>1</v>
      </c>
      <c r="N159" s="736">
        <v>699.41681133170675</v>
      </c>
    </row>
    <row r="160" spans="1:14" ht="14.45" customHeight="1" x14ac:dyDescent="0.2">
      <c r="A160" s="730" t="s">
        <v>575</v>
      </c>
      <c r="B160" s="731" t="s">
        <v>576</v>
      </c>
      <c r="C160" s="732" t="s">
        <v>589</v>
      </c>
      <c r="D160" s="733" t="s">
        <v>590</v>
      </c>
      <c r="E160" s="734">
        <v>50113001</v>
      </c>
      <c r="F160" s="733" t="s">
        <v>609</v>
      </c>
      <c r="G160" s="732" t="s">
        <v>610</v>
      </c>
      <c r="H160" s="732">
        <v>900071</v>
      </c>
      <c r="I160" s="732">
        <v>0</v>
      </c>
      <c r="J160" s="732" t="s">
        <v>883</v>
      </c>
      <c r="K160" s="732" t="s">
        <v>329</v>
      </c>
      <c r="L160" s="735">
        <v>155.63120368343121</v>
      </c>
      <c r="M160" s="735">
        <v>6</v>
      </c>
      <c r="N160" s="736">
        <v>933.7872221005872</v>
      </c>
    </row>
    <row r="161" spans="1:14" ht="14.45" customHeight="1" x14ac:dyDescent="0.2">
      <c r="A161" s="730" t="s">
        <v>575</v>
      </c>
      <c r="B161" s="731" t="s">
        <v>576</v>
      </c>
      <c r="C161" s="732" t="s">
        <v>589</v>
      </c>
      <c r="D161" s="733" t="s">
        <v>590</v>
      </c>
      <c r="E161" s="734">
        <v>50113001</v>
      </c>
      <c r="F161" s="733" t="s">
        <v>609</v>
      </c>
      <c r="G161" s="732" t="s">
        <v>610</v>
      </c>
      <c r="H161" s="732">
        <v>235808</v>
      </c>
      <c r="I161" s="732">
        <v>235808</v>
      </c>
      <c r="J161" s="732" t="s">
        <v>884</v>
      </c>
      <c r="K161" s="732" t="s">
        <v>885</v>
      </c>
      <c r="L161" s="735">
        <v>99.809999999999974</v>
      </c>
      <c r="M161" s="735">
        <v>1</v>
      </c>
      <c r="N161" s="736">
        <v>99.809999999999974</v>
      </c>
    </row>
    <row r="162" spans="1:14" ht="14.45" customHeight="1" x14ac:dyDescent="0.2">
      <c r="A162" s="730" t="s">
        <v>575</v>
      </c>
      <c r="B162" s="731" t="s">
        <v>576</v>
      </c>
      <c r="C162" s="732" t="s">
        <v>589</v>
      </c>
      <c r="D162" s="733" t="s">
        <v>590</v>
      </c>
      <c r="E162" s="734">
        <v>50113001</v>
      </c>
      <c r="F162" s="733" t="s">
        <v>609</v>
      </c>
      <c r="G162" s="732" t="s">
        <v>610</v>
      </c>
      <c r="H162" s="732">
        <v>990927</v>
      </c>
      <c r="I162" s="732">
        <v>0</v>
      </c>
      <c r="J162" s="732" t="s">
        <v>886</v>
      </c>
      <c r="K162" s="732" t="s">
        <v>329</v>
      </c>
      <c r="L162" s="735">
        <v>140.07000000000002</v>
      </c>
      <c r="M162" s="735">
        <v>2</v>
      </c>
      <c r="N162" s="736">
        <v>280.14000000000004</v>
      </c>
    </row>
    <row r="163" spans="1:14" ht="14.45" customHeight="1" x14ac:dyDescent="0.2">
      <c r="A163" s="730" t="s">
        <v>575</v>
      </c>
      <c r="B163" s="731" t="s">
        <v>576</v>
      </c>
      <c r="C163" s="732" t="s">
        <v>589</v>
      </c>
      <c r="D163" s="733" t="s">
        <v>590</v>
      </c>
      <c r="E163" s="734">
        <v>50113001</v>
      </c>
      <c r="F163" s="733" t="s">
        <v>609</v>
      </c>
      <c r="G163" s="732" t="s">
        <v>610</v>
      </c>
      <c r="H163" s="732">
        <v>127953</v>
      </c>
      <c r="I163" s="732">
        <v>27953</v>
      </c>
      <c r="J163" s="732" t="s">
        <v>887</v>
      </c>
      <c r="K163" s="732" t="s">
        <v>888</v>
      </c>
      <c r="L163" s="735">
        <v>1083.6399999999999</v>
      </c>
      <c r="M163" s="735">
        <v>1</v>
      </c>
      <c r="N163" s="736">
        <v>1083.6399999999999</v>
      </c>
    </row>
    <row r="164" spans="1:14" ht="14.45" customHeight="1" x14ac:dyDescent="0.2">
      <c r="A164" s="730" t="s">
        <v>575</v>
      </c>
      <c r="B164" s="731" t="s">
        <v>576</v>
      </c>
      <c r="C164" s="732" t="s">
        <v>589</v>
      </c>
      <c r="D164" s="733" t="s">
        <v>590</v>
      </c>
      <c r="E164" s="734">
        <v>50113001</v>
      </c>
      <c r="F164" s="733" t="s">
        <v>609</v>
      </c>
      <c r="G164" s="732" t="s">
        <v>610</v>
      </c>
      <c r="H164" s="732">
        <v>225400</v>
      </c>
      <c r="I164" s="732">
        <v>225400</v>
      </c>
      <c r="J164" s="732" t="s">
        <v>889</v>
      </c>
      <c r="K164" s="732" t="s">
        <v>890</v>
      </c>
      <c r="L164" s="735">
        <v>52.95</v>
      </c>
      <c r="M164" s="735">
        <v>1</v>
      </c>
      <c r="N164" s="736">
        <v>52.95</v>
      </c>
    </row>
    <row r="165" spans="1:14" ht="14.45" customHeight="1" x14ac:dyDescent="0.2">
      <c r="A165" s="730" t="s">
        <v>575</v>
      </c>
      <c r="B165" s="731" t="s">
        <v>576</v>
      </c>
      <c r="C165" s="732" t="s">
        <v>589</v>
      </c>
      <c r="D165" s="733" t="s">
        <v>590</v>
      </c>
      <c r="E165" s="734">
        <v>50113001</v>
      </c>
      <c r="F165" s="733" t="s">
        <v>609</v>
      </c>
      <c r="G165" s="732" t="s">
        <v>625</v>
      </c>
      <c r="H165" s="732">
        <v>187427</v>
      </c>
      <c r="I165" s="732">
        <v>187427</v>
      </c>
      <c r="J165" s="732" t="s">
        <v>891</v>
      </c>
      <c r="K165" s="732" t="s">
        <v>892</v>
      </c>
      <c r="L165" s="735">
        <v>62.600000000000009</v>
      </c>
      <c r="M165" s="735">
        <v>2</v>
      </c>
      <c r="N165" s="736">
        <v>125.20000000000002</v>
      </c>
    </row>
    <row r="166" spans="1:14" ht="14.45" customHeight="1" x14ac:dyDescent="0.2">
      <c r="A166" s="730" t="s">
        <v>575</v>
      </c>
      <c r="B166" s="731" t="s">
        <v>576</v>
      </c>
      <c r="C166" s="732" t="s">
        <v>589</v>
      </c>
      <c r="D166" s="733" t="s">
        <v>590</v>
      </c>
      <c r="E166" s="734">
        <v>50113001</v>
      </c>
      <c r="F166" s="733" t="s">
        <v>609</v>
      </c>
      <c r="G166" s="732" t="s">
        <v>610</v>
      </c>
      <c r="H166" s="732">
        <v>188219</v>
      </c>
      <c r="I166" s="732">
        <v>88219</v>
      </c>
      <c r="J166" s="732" t="s">
        <v>893</v>
      </c>
      <c r="K166" s="732" t="s">
        <v>894</v>
      </c>
      <c r="L166" s="735">
        <v>142.75619047619048</v>
      </c>
      <c r="M166" s="735">
        <v>21</v>
      </c>
      <c r="N166" s="736">
        <v>2997.88</v>
      </c>
    </row>
    <row r="167" spans="1:14" ht="14.45" customHeight="1" x14ac:dyDescent="0.2">
      <c r="A167" s="730" t="s">
        <v>575</v>
      </c>
      <c r="B167" s="731" t="s">
        <v>576</v>
      </c>
      <c r="C167" s="732" t="s">
        <v>589</v>
      </c>
      <c r="D167" s="733" t="s">
        <v>590</v>
      </c>
      <c r="E167" s="734">
        <v>50113001</v>
      </c>
      <c r="F167" s="733" t="s">
        <v>609</v>
      </c>
      <c r="G167" s="732" t="s">
        <v>610</v>
      </c>
      <c r="H167" s="732">
        <v>216146</v>
      </c>
      <c r="I167" s="732">
        <v>216146</v>
      </c>
      <c r="J167" s="732" t="s">
        <v>893</v>
      </c>
      <c r="K167" s="732" t="s">
        <v>895</v>
      </c>
      <c r="L167" s="735">
        <v>135.2657142857143</v>
      </c>
      <c r="M167" s="735">
        <v>7</v>
      </c>
      <c r="N167" s="736">
        <v>946.86</v>
      </c>
    </row>
    <row r="168" spans="1:14" ht="14.45" customHeight="1" x14ac:dyDescent="0.2">
      <c r="A168" s="730" t="s">
        <v>575</v>
      </c>
      <c r="B168" s="731" t="s">
        <v>576</v>
      </c>
      <c r="C168" s="732" t="s">
        <v>589</v>
      </c>
      <c r="D168" s="733" t="s">
        <v>590</v>
      </c>
      <c r="E168" s="734">
        <v>50113001</v>
      </c>
      <c r="F168" s="733" t="s">
        <v>609</v>
      </c>
      <c r="G168" s="732" t="s">
        <v>610</v>
      </c>
      <c r="H168" s="732">
        <v>203092</v>
      </c>
      <c r="I168" s="732">
        <v>203092</v>
      </c>
      <c r="J168" s="732" t="s">
        <v>896</v>
      </c>
      <c r="K168" s="732" t="s">
        <v>897</v>
      </c>
      <c r="L168" s="735">
        <v>150.34</v>
      </c>
      <c r="M168" s="735">
        <v>1</v>
      </c>
      <c r="N168" s="736">
        <v>150.34</v>
      </c>
    </row>
    <row r="169" spans="1:14" ht="14.45" customHeight="1" x14ac:dyDescent="0.2">
      <c r="A169" s="730" t="s">
        <v>575</v>
      </c>
      <c r="B169" s="731" t="s">
        <v>576</v>
      </c>
      <c r="C169" s="732" t="s">
        <v>589</v>
      </c>
      <c r="D169" s="733" t="s">
        <v>590</v>
      </c>
      <c r="E169" s="734">
        <v>50113001</v>
      </c>
      <c r="F169" s="733" t="s">
        <v>609</v>
      </c>
      <c r="G169" s="732" t="s">
        <v>610</v>
      </c>
      <c r="H169" s="732">
        <v>159747</v>
      </c>
      <c r="I169" s="732">
        <v>0</v>
      </c>
      <c r="J169" s="732" t="s">
        <v>898</v>
      </c>
      <c r="K169" s="732" t="s">
        <v>899</v>
      </c>
      <c r="L169" s="735">
        <v>35.799999999999997</v>
      </c>
      <c r="M169" s="735">
        <v>2</v>
      </c>
      <c r="N169" s="736">
        <v>71.599999999999994</v>
      </c>
    </row>
    <row r="170" spans="1:14" ht="14.45" customHeight="1" x14ac:dyDescent="0.2">
      <c r="A170" s="730" t="s">
        <v>575</v>
      </c>
      <c r="B170" s="731" t="s">
        <v>576</v>
      </c>
      <c r="C170" s="732" t="s">
        <v>589</v>
      </c>
      <c r="D170" s="733" t="s">
        <v>590</v>
      </c>
      <c r="E170" s="734">
        <v>50113001</v>
      </c>
      <c r="F170" s="733" t="s">
        <v>609</v>
      </c>
      <c r="G170" s="732" t="s">
        <v>625</v>
      </c>
      <c r="H170" s="732">
        <v>149910</v>
      </c>
      <c r="I170" s="732">
        <v>49910</v>
      </c>
      <c r="J170" s="732" t="s">
        <v>900</v>
      </c>
      <c r="K170" s="732" t="s">
        <v>901</v>
      </c>
      <c r="L170" s="735">
        <v>98.469999999999956</v>
      </c>
      <c r="M170" s="735">
        <v>1</v>
      </c>
      <c r="N170" s="736">
        <v>98.469999999999956</v>
      </c>
    </row>
    <row r="171" spans="1:14" ht="14.45" customHeight="1" x14ac:dyDescent="0.2">
      <c r="A171" s="730" t="s">
        <v>575</v>
      </c>
      <c r="B171" s="731" t="s">
        <v>576</v>
      </c>
      <c r="C171" s="732" t="s">
        <v>589</v>
      </c>
      <c r="D171" s="733" t="s">
        <v>590</v>
      </c>
      <c r="E171" s="734">
        <v>50113001</v>
      </c>
      <c r="F171" s="733" t="s">
        <v>609</v>
      </c>
      <c r="G171" s="732" t="s">
        <v>610</v>
      </c>
      <c r="H171" s="732">
        <v>110151</v>
      </c>
      <c r="I171" s="732">
        <v>10151</v>
      </c>
      <c r="J171" s="732" t="s">
        <v>902</v>
      </c>
      <c r="K171" s="732" t="s">
        <v>903</v>
      </c>
      <c r="L171" s="735">
        <v>66.180000000000007</v>
      </c>
      <c r="M171" s="735">
        <v>4</v>
      </c>
      <c r="N171" s="736">
        <v>264.72000000000003</v>
      </c>
    </row>
    <row r="172" spans="1:14" ht="14.45" customHeight="1" x14ac:dyDescent="0.2">
      <c r="A172" s="730" t="s">
        <v>575</v>
      </c>
      <c r="B172" s="731" t="s">
        <v>576</v>
      </c>
      <c r="C172" s="732" t="s">
        <v>589</v>
      </c>
      <c r="D172" s="733" t="s">
        <v>590</v>
      </c>
      <c r="E172" s="734">
        <v>50113001</v>
      </c>
      <c r="F172" s="733" t="s">
        <v>609</v>
      </c>
      <c r="G172" s="732" t="s">
        <v>610</v>
      </c>
      <c r="H172" s="732">
        <v>192853</v>
      </c>
      <c r="I172" s="732">
        <v>192853</v>
      </c>
      <c r="J172" s="732" t="s">
        <v>902</v>
      </c>
      <c r="K172" s="732" t="s">
        <v>904</v>
      </c>
      <c r="L172" s="735">
        <v>107.81999999999998</v>
      </c>
      <c r="M172" s="735">
        <v>2</v>
      </c>
      <c r="N172" s="736">
        <v>215.63999999999996</v>
      </c>
    </row>
    <row r="173" spans="1:14" ht="14.45" customHeight="1" x14ac:dyDescent="0.2">
      <c r="A173" s="730" t="s">
        <v>575</v>
      </c>
      <c r="B173" s="731" t="s">
        <v>576</v>
      </c>
      <c r="C173" s="732" t="s">
        <v>589</v>
      </c>
      <c r="D173" s="733" t="s">
        <v>590</v>
      </c>
      <c r="E173" s="734">
        <v>50113001</v>
      </c>
      <c r="F173" s="733" t="s">
        <v>609</v>
      </c>
      <c r="G173" s="732" t="s">
        <v>610</v>
      </c>
      <c r="H173" s="732">
        <v>147478</v>
      </c>
      <c r="I173" s="732">
        <v>47478</v>
      </c>
      <c r="J173" s="732" t="s">
        <v>905</v>
      </c>
      <c r="K173" s="732" t="s">
        <v>906</v>
      </c>
      <c r="L173" s="735">
        <v>84.59</v>
      </c>
      <c r="M173" s="735">
        <v>1</v>
      </c>
      <c r="N173" s="736">
        <v>84.59</v>
      </c>
    </row>
    <row r="174" spans="1:14" ht="14.45" customHeight="1" x14ac:dyDescent="0.2">
      <c r="A174" s="730" t="s">
        <v>575</v>
      </c>
      <c r="B174" s="731" t="s">
        <v>576</v>
      </c>
      <c r="C174" s="732" t="s">
        <v>589</v>
      </c>
      <c r="D174" s="733" t="s">
        <v>590</v>
      </c>
      <c r="E174" s="734">
        <v>50113001</v>
      </c>
      <c r="F174" s="733" t="s">
        <v>609</v>
      </c>
      <c r="G174" s="732" t="s">
        <v>610</v>
      </c>
      <c r="H174" s="732">
        <v>237330</v>
      </c>
      <c r="I174" s="732">
        <v>237330</v>
      </c>
      <c r="J174" s="732" t="s">
        <v>907</v>
      </c>
      <c r="K174" s="732" t="s">
        <v>908</v>
      </c>
      <c r="L174" s="735">
        <v>111.05906976744184</v>
      </c>
      <c r="M174" s="735">
        <v>43</v>
      </c>
      <c r="N174" s="736">
        <v>4775.5399999999991</v>
      </c>
    </row>
    <row r="175" spans="1:14" ht="14.45" customHeight="1" x14ac:dyDescent="0.2">
      <c r="A175" s="730" t="s">
        <v>575</v>
      </c>
      <c r="B175" s="731" t="s">
        <v>576</v>
      </c>
      <c r="C175" s="732" t="s">
        <v>589</v>
      </c>
      <c r="D175" s="733" t="s">
        <v>590</v>
      </c>
      <c r="E175" s="734">
        <v>50113001</v>
      </c>
      <c r="F175" s="733" t="s">
        <v>609</v>
      </c>
      <c r="G175" s="732" t="s">
        <v>610</v>
      </c>
      <c r="H175" s="732">
        <v>987685</v>
      </c>
      <c r="I175" s="732">
        <v>0</v>
      </c>
      <c r="J175" s="732" t="s">
        <v>909</v>
      </c>
      <c r="K175" s="732" t="s">
        <v>329</v>
      </c>
      <c r="L175" s="735">
        <v>131.01750000000001</v>
      </c>
      <c r="M175" s="735">
        <v>4</v>
      </c>
      <c r="N175" s="736">
        <v>524.07000000000005</v>
      </c>
    </row>
    <row r="176" spans="1:14" ht="14.45" customHeight="1" x14ac:dyDescent="0.2">
      <c r="A176" s="730" t="s">
        <v>575</v>
      </c>
      <c r="B176" s="731" t="s">
        <v>576</v>
      </c>
      <c r="C176" s="732" t="s">
        <v>589</v>
      </c>
      <c r="D176" s="733" t="s">
        <v>590</v>
      </c>
      <c r="E176" s="734">
        <v>50113001</v>
      </c>
      <c r="F176" s="733" t="s">
        <v>609</v>
      </c>
      <c r="G176" s="732" t="s">
        <v>610</v>
      </c>
      <c r="H176" s="732">
        <v>159750</v>
      </c>
      <c r="I176" s="732">
        <v>0</v>
      </c>
      <c r="J176" s="732" t="s">
        <v>910</v>
      </c>
      <c r="K176" s="732" t="s">
        <v>911</v>
      </c>
      <c r="L176" s="735">
        <v>28.73</v>
      </c>
      <c r="M176" s="735">
        <v>3</v>
      </c>
      <c r="N176" s="736">
        <v>86.19</v>
      </c>
    </row>
    <row r="177" spans="1:14" ht="14.45" customHeight="1" x14ac:dyDescent="0.2">
      <c r="A177" s="730" t="s">
        <v>575</v>
      </c>
      <c r="B177" s="731" t="s">
        <v>576</v>
      </c>
      <c r="C177" s="732" t="s">
        <v>589</v>
      </c>
      <c r="D177" s="733" t="s">
        <v>590</v>
      </c>
      <c r="E177" s="734">
        <v>50113001</v>
      </c>
      <c r="F177" s="733" t="s">
        <v>609</v>
      </c>
      <c r="G177" s="732" t="s">
        <v>610</v>
      </c>
      <c r="H177" s="732">
        <v>207527</v>
      </c>
      <c r="I177" s="732">
        <v>207527</v>
      </c>
      <c r="J177" s="732" t="s">
        <v>912</v>
      </c>
      <c r="K177" s="732" t="s">
        <v>913</v>
      </c>
      <c r="L177" s="735">
        <v>61.630000000000024</v>
      </c>
      <c r="M177" s="735">
        <v>1</v>
      </c>
      <c r="N177" s="736">
        <v>61.630000000000024</v>
      </c>
    </row>
    <row r="178" spans="1:14" ht="14.45" customHeight="1" x14ac:dyDescent="0.2">
      <c r="A178" s="730" t="s">
        <v>575</v>
      </c>
      <c r="B178" s="731" t="s">
        <v>576</v>
      </c>
      <c r="C178" s="732" t="s">
        <v>589</v>
      </c>
      <c r="D178" s="733" t="s">
        <v>590</v>
      </c>
      <c r="E178" s="734">
        <v>50113001</v>
      </c>
      <c r="F178" s="733" t="s">
        <v>609</v>
      </c>
      <c r="G178" s="732" t="s">
        <v>610</v>
      </c>
      <c r="H178" s="732">
        <v>102684</v>
      </c>
      <c r="I178" s="732">
        <v>2684</v>
      </c>
      <c r="J178" s="732" t="s">
        <v>914</v>
      </c>
      <c r="K178" s="732" t="s">
        <v>915</v>
      </c>
      <c r="L178" s="735">
        <v>109.51199999999999</v>
      </c>
      <c r="M178" s="735">
        <v>10</v>
      </c>
      <c r="N178" s="736">
        <v>1095.1199999999999</v>
      </c>
    </row>
    <row r="179" spans="1:14" ht="14.45" customHeight="1" x14ac:dyDescent="0.2">
      <c r="A179" s="730" t="s">
        <v>575</v>
      </c>
      <c r="B179" s="731" t="s">
        <v>576</v>
      </c>
      <c r="C179" s="732" t="s">
        <v>589</v>
      </c>
      <c r="D179" s="733" t="s">
        <v>590</v>
      </c>
      <c r="E179" s="734">
        <v>50113001</v>
      </c>
      <c r="F179" s="733" t="s">
        <v>609</v>
      </c>
      <c r="G179" s="732" t="s">
        <v>610</v>
      </c>
      <c r="H179" s="732">
        <v>100502</v>
      </c>
      <c r="I179" s="732">
        <v>502</v>
      </c>
      <c r="J179" s="732" t="s">
        <v>914</v>
      </c>
      <c r="K179" s="732" t="s">
        <v>916</v>
      </c>
      <c r="L179" s="735">
        <v>267.56</v>
      </c>
      <c r="M179" s="735">
        <v>5</v>
      </c>
      <c r="N179" s="736">
        <v>1337.8</v>
      </c>
    </row>
    <row r="180" spans="1:14" ht="14.45" customHeight="1" x14ac:dyDescent="0.2">
      <c r="A180" s="730" t="s">
        <v>575</v>
      </c>
      <c r="B180" s="731" t="s">
        <v>576</v>
      </c>
      <c r="C180" s="732" t="s">
        <v>589</v>
      </c>
      <c r="D180" s="733" t="s">
        <v>590</v>
      </c>
      <c r="E180" s="734">
        <v>50113001</v>
      </c>
      <c r="F180" s="733" t="s">
        <v>609</v>
      </c>
      <c r="G180" s="732" t="s">
        <v>625</v>
      </c>
      <c r="H180" s="732">
        <v>239963</v>
      </c>
      <c r="I180" s="732">
        <v>239963</v>
      </c>
      <c r="J180" s="732" t="s">
        <v>917</v>
      </c>
      <c r="K180" s="732" t="s">
        <v>918</v>
      </c>
      <c r="L180" s="735">
        <v>155.56200000000001</v>
      </c>
      <c r="M180" s="735">
        <v>8</v>
      </c>
      <c r="N180" s="736">
        <v>1244.4960000000001</v>
      </c>
    </row>
    <row r="181" spans="1:14" ht="14.45" customHeight="1" x14ac:dyDescent="0.2">
      <c r="A181" s="730" t="s">
        <v>575</v>
      </c>
      <c r="B181" s="731" t="s">
        <v>576</v>
      </c>
      <c r="C181" s="732" t="s">
        <v>589</v>
      </c>
      <c r="D181" s="733" t="s">
        <v>590</v>
      </c>
      <c r="E181" s="734">
        <v>50113001</v>
      </c>
      <c r="F181" s="733" t="s">
        <v>609</v>
      </c>
      <c r="G181" s="732" t="s">
        <v>625</v>
      </c>
      <c r="H181" s="732">
        <v>127737</v>
      </c>
      <c r="I181" s="732">
        <v>127737</v>
      </c>
      <c r="J181" s="732" t="s">
        <v>919</v>
      </c>
      <c r="K181" s="732" t="s">
        <v>920</v>
      </c>
      <c r="L181" s="735">
        <v>67.39</v>
      </c>
      <c r="M181" s="735">
        <v>11</v>
      </c>
      <c r="N181" s="736">
        <v>741.29</v>
      </c>
    </row>
    <row r="182" spans="1:14" ht="14.45" customHeight="1" x14ac:dyDescent="0.2">
      <c r="A182" s="730" t="s">
        <v>575</v>
      </c>
      <c r="B182" s="731" t="s">
        <v>576</v>
      </c>
      <c r="C182" s="732" t="s">
        <v>589</v>
      </c>
      <c r="D182" s="733" t="s">
        <v>590</v>
      </c>
      <c r="E182" s="734">
        <v>50113001</v>
      </c>
      <c r="F182" s="733" t="s">
        <v>609</v>
      </c>
      <c r="G182" s="732" t="s">
        <v>610</v>
      </c>
      <c r="H182" s="732">
        <v>113816</v>
      </c>
      <c r="I182" s="732">
        <v>13816</v>
      </c>
      <c r="J182" s="732" t="s">
        <v>921</v>
      </c>
      <c r="K182" s="732" t="s">
        <v>922</v>
      </c>
      <c r="L182" s="735">
        <v>255.75000000000006</v>
      </c>
      <c r="M182" s="735">
        <v>1</v>
      </c>
      <c r="N182" s="736">
        <v>255.75000000000006</v>
      </c>
    </row>
    <row r="183" spans="1:14" ht="14.45" customHeight="1" x14ac:dyDescent="0.2">
      <c r="A183" s="730" t="s">
        <v>575</v>
      </c>
      <c r="B183" s="731" t="s">
        <v>576</v>
      </c>
      <c r="C183" s="732" t="s">
        <v>589</v>
      </c>
      <c r="D183" s="733" t="s">
        <v>590</v>
      </c>
      <c r="E183" s="734">
        <v>50113001</v>
      </c>
      <c r="F183" s="733" t="s">
        <v>609</v>
      </c>
      <c r="G183" s="732" t="s">
        <v>610</v>
      </c>
      <c r="H183" s="732">
        <v>850104</v>
      </c>
      <c r="I183" s="732">
        <v>164344</v>
      </c>
      <c r="J183" s="732" t="s">
        <v>923</v>
      </c>
      <c r="K183" s="732" t="s">
        <v>924</v>
      </c>
      <c r="L183" s="735">
        <v>125.35</v>
      </c>
      <c r="M183" s="735">
        <v>1</v>
      </c>
      <c r="N183" s="736">
        <v>125.35</v>
      </c>
    </row>
    <row r="184" spans="1:14" ht="14.45" customHeight="1" x14ac:dyDescent="0.2">
      <c r="A184" s="730" t="s">
        <v>575</v>
      </c>
      <c r="B184" s="731" t="s">
        <v>576</v>
      </c>
      <c r="C184" s="732" t="s">
        <v>589</v>
      </c>
      <c r="D184" s="733" t="s">
        <v>590</v>
      </c>
      <c r="E184" s="734">
        <v>50113001</v>
      </c>
      <c r="F184" s="733" t="s">
        <v>609</v>
      </c>
      <c r="G184" s="732" t="s">
        <v>610</v>
      </c>
      <c r="H184" s="732">
        <v>101125</v>
      </c>
      <c r="I184" s="732">
        <v>1125</v>
      </c>
      <c r="J184" s="732" t="s">
        <v>925</v>
      </c>
      <c r="K184" s="732" t="s">
        <v>926</v>
      </c>
      <c r="L184" s="735">
        <v>77.279999999999987</v>
      </c>
      <c r="M184" s="735">
        <v>22</v>
      </c>
      <c r="N184" s="736">
        <v>1700.1599999999999</v>
      </c>
    </row>
    <row r="185" spans="1:14" ht="14.45" customHeight="1" x14ac:dyDescent="0.2">
      <c r="A185" s="730" t="s">
        <v>575</v>
      </c>
      <c r="B185" s="731" t="s">
        <v>576</v>
      </c>
      <c r="C185" s="732" t="s">
        <v>589</v>
      </c>
      <c r="D185" s="733" t="s">
        <v>590</v>
      </c>
      <c r="E185" s="734">
        <v>50113001</v>
      </c>
      <c r="F185" s="733" t="s">
        <v>609</v>
      </c>
      <c r="G185" s="732" t="s">
        <v>625</v>
      </c>
      <c r="H185" s="732">
        <v>132857</v>
      </c>
      <c r="I185" s="732">
        <v>32857</v>
      </c>
      <c r="J185" s="732" t="s">
        <v>927</v>
      </c>
      <c r="K185" s="732" t="s">
        <v>928</v>
      </c>
      <c r="L185" s="735">
        <v>52.723333333333329</v>
      </c>
      <c r="M185" s="735">
        <v>3</v>
      </c>
      <c r="N185" s="736">
        <v>158.16999999999999</v>
      </c>
    </row>
    <row r="186" spans="1:14" ht="14.45" customHeight="1" x14ac:dyDescent="0.2">
      <c r="A186" s="730" t="s">
        <v>575</v>
      </c>
      <c r="B186" s="731" t="s">
        <v>576</v>
      </c>
      <c r="C186" s="732" t="s">
        <v>589</v>
      </c>
      <c r="D186" s="733" t="s">
        <v>590</v>
      </c>
      <c r="E186" s="734">
        <v>50113001</v>
      </c>
      <c r="F186" s="733" t="s">
        <v>609</v>
      </c>
      <c r="G186" s="732" t="s">
        <v>625</v>
      </c>
      <c r="H186" s="732">
        <v>32859</v>
      </c>
      <c r="I186" s="732">
        <v>32859</v>
      </c>
      <c r="J186" s="732" t="s">
        <v>927</v>
      </c>
      <c r="K186" s="732" t="s">
        <v>929</v>
      </c>
      <c r="L186" s="735">
        <v>135.88999999999996</v>
      </c>
      <c r="M186" s="735">
        <v>1</v>
      </c>
      <c r="N186" s="736">
        <v>135.88999999999996</v>
      </c>
    </row>
    <row r="187" spans="1:14" ht="14.45" customHeight="1" x14ac:dyDescent="0.2">
      <c r="A187" s="730" t="s">
        <v>575</v>
      </c>
      <c r="B187" s="731" t="s">
        <v>576</v>
      </c>
      <c r="C187" s="732" t="s">
        <v>589</v>
      </c>
      <c r="D187" s="733" t="s">
        <v>590</v>
      </c>
      <c r="E187" s="734">
        <v>50113001</v>
      </c>
      <c r="F187" s="733" t="s">
        <v>609</v>
      </c>
      <c r="G187" s="732" t="s">
        <v>625</v>
      </c>
      <c r="H187" s="732">
        <v>132858</v>
      </c>
      <c r="I187" s="732">
        <v>32858</v>
      </c>
      <c r="J187" s="732" t="s">
        <v>927</v>
      </c>
      <c r="K187" s="732" t="s">
        <v>930</v>
      </c>
      <c r="L187" s="735">
        <v>81.240476190476215</v>
      </c>
      <c r="M187" s="735">
        <v>21</v>
      </c>
      <c r="N187" s="736">
        <v>1706.0500000000004</v>
      </c>
    </row>
    <row r="188" spans="1:14" ht="14.45" customHeight="1" x14ac:dyDescent="0.2">
      <c r="A188" s="730" t="s">
        <v>575</v>
      </c>
      <c r="B188" s="731" t="s">
        <v>576</v>
      </c>
      <c r="C188" s="732" t="s">
        <v>589</v>
      </c>
      <c r="D188" s="733" t="s">
        <v>590</v>
      </c>
      <c r="E188" s="734">
        <v>50113001</v>
      </c>
      <c r="F188" s="733" t="s">
        <v>609</v>
      </c>
      <c r="G188" s="732" t="s">
        <v>610</v>
      </c>
      <c r="H188" s="732">
        <v>112572</v>
      </c>
      <c r="I188" s="732">
        <v>112572</v>
      </c>
      <c r="J188" s="732" t="s">
        <v>931</v>
      </c>
      <c r="K188" s="732" t="s">
        <v>932</v>
      </c>
      <c r="L188" s="735">
        <v>64.779999999999973</v>
      </c>
      <c r="M188" s="735">
        <v>4</v>
      </c>
      <c r="N188" s="736">
        <v>259.11999999999989</v>
      </c>
    </row>
    <row r="189" spans="1:14" ht="14.45" customHeight="1" x14ac:dyDescent="0.2">
      <c r="A189" s="730" t="s">
        <v>575</v>
      </c>
      <c r="B189" s="731" t="s">
        <v>576</v>
      </c>
      <c r="C189" s="732" t="s">
        <v>589</v>
      </c>
      <c r="D189" s="733" t="s">
        <v>590</v>
      </c>
      <c r="E189" s="734">
        <v>50113001</v>
      </c>
      <c r="F189" s="733" t="s">
        <v>609</v>
      </c>
      <c r="G189" s="732" t="s">
        <v>610</v>
      </c>
      <c r="H189" s="732">
        <v>230353</v>
      </c>
      <c r="I189" s="732">
        <v>230353</v>
      </c>
      <c r="J189" s="732" t="s">
        <v>933</v>
      </c>
      <c r="K189" s="732" t="s">
        <v>934</v>
      </c>
      <c r="L189" s="735">
        <v>1592.8000000000002</v>
      </c>
      <c r="M189" s="735">
        <v>9</v>
      </c>
      <c r="N189" s="736">
        <v>14335.2</v>
      </c>
    </row>
    <row r="190" spans="1:14" ht="14.45" customHeight="1" x14ac:dyDescent="0.2">
      <c r="A190" s="730" t="s">
        <v>575</v>
      </c>
      <c r="B190" s="731" t="s">
        <v>576</v>
      </c>
      <c r="C190" s="732" t="s">
        <v>589</v>
      </c>
      <c r="D190" s="733" t="s">
        <v>590</v>
      </c>
      <c r="E190" s="734">
        <v>50113001</v>
      </c>
      <c r="F190" s="733" t="s">
        <v>609</v>
      </c>
      <c r="G190" s="732" t="s">
        <v>625</v>
      </c>
      <c r="H190" s="732">
        <v>191788</v>
      </c>
      <c r="I190" s="732">
        <v>91788</v>
      </c>
      <c r="J190" s="732" t="s">
        <v>935</v>
      </c>
      <c r="K190" s="732" t="s">
        <v>936</v>
      </c>
      <c r="L190" s="735">
        <v>9.120000000000001</v>
      </c>
      <c r="M190" s="735">
        <v>15</v>
      </c>
      <c r="N190" s="736">
        <v>136.80000000000001</v>
      </c>
    </row>
    <row r="191" spans="1:14" ht="14.45" customHeight="1" x14ac:dyDescent="0.2">
      <c r="A191" s="730" t="s">
        <v>575</v>
      </c>
      <c r="B191" s="731" t="s">
        <v>576</v>
      </c>
      <c r="C191" s="732" t="s">
        <v>589</v>
      </c>
      <c r="D191" s="733" t="s">
        <v>590</v>
      </c>
      <c r="E191" s="734">
        <v>50113001</v>
      </c>
      <c r="F191" s="733" t="s">
        <v>609</v>
      </c>
      <c r="G191" s="732" t="s">
        <v>625</v>
      </c>
      <c r="H191" s="732">
        <v>184400</v>
      </c>
      <c r="I191" s="732">
        <v>84400</v>
      </c>
      <c r="J191" s="732" t="s">
        <v>937</v>
      </c>
      <c r="K191" s="732" t="s">
        <v>938</v>
      </c>
      <c r="L191" s="735">
        <v>254.94999999999993</v>
      </c>
      <c r="M191" s="735">
        <v>1</v>
      </c>
      <c r="N191" s="736">
        <v>254.94999999999993</v>
      </c>
    </row>
    <row r="192" spans="1:14" ht="14.45" customHeight="1" x14ac:dyDescent="0.2">
      <c r="A192" s="730" t="s">
        <v>575</v>
      </c>
      <c r="B192" s="731" t="s">
        <v>576</v>
      </c>
      <c r="C192" s="732" t="s">
        <v>589</v>
      </c>
      <c r="D192" s="733" t="s">
        <v>590</v>
      </c>
      <c r="E192" s="734">
        <v>50113001</v>
      </c>
      <c r="F192" s="733" t="s">
        <v>609</v>
      </c>
      <c r="G192" s="732" t="s">
        <v>610</v>
      </c>
      <c r="H192" s="732">
        <v>117187</v>
      </c>
      <c r="I192" s="732">
        <v>17187</v>
      </c>
      <c r="J192" s="732" t="s">
        <v>939</v>
      </c>
      <c r="K192" s="732" t="s">
        <v>940</v>
      </c>
      <c r="L192" s="735">
        <v>89.000000000000014</v>
      </c>
      <c r="M192" s="735">
        <v>1</v>
      </c>
      <c r="N192" s="736">
        <v>89.000000000000014</v>
      </c>
    </row>
    <row r="193" spans="1:14" ht="14.45" customHeight="1" x14ac:dyDescent="0.2">
      <c r="A193" s="730" t="s">
        <v>575</v>
      </c>
      <c r="B193" s="731" t="s">
        <v>576</v>
      </c>
      <c r="C193" s="732" t="s">
        <v>589</v>
      </c>
      <c r="D193" s="733" t="s">
        <v>590</v>
      </c>
      <c r="E193" s="734">
        <v>50113001</v>
      </c>
      <c r="F193" s="733" t="s">
        <v>609</v>
      </c>
      <c r="G193" s="732" t="s">
        <v>625</v>
      </c>
      <c r="H193" s="732">
        <v>111900</v>
      </c>
      <c r="I193" s="732">
        <v>111900</v>
      </c>
      <c r="J193" s="732" t="s">
        <v>941</v>
      </c>
      <c r="K193" s="732" t="s">
        <v>942</v>
      </c>
      <c r="L193" s="735">
        <v>70.680000000000021</v>
      </c>
      <c r="M193" s="735">
        <v>2</v>
      </c>
      <c r="N193" s="736">
        <v>141.36000000000004</v>
      </c>
    </row>
    <row r="194" spans="1:14" ht="14.45" customHeight="1" x14ac:dyDescent="0.2">
      <c r="A194" s="730" t="s">
        <v>575</v>
      </c>
      <c r="B194" s="731" t="s">
        <v>576</v>
      </c>
      <c r="C194" s="732" t="s">
        <v>589</v>
      </c>
      <c r="D194" s="733" t="s">
        <v>590</v>
      </c>
      <c r="E194" s="734">
        <v>50113001</v>
      </c>
      <c r="F194" s="733" t="s">
        <v>609</v>
      </c>
      <c r="G194" s="732" t="s">
        <v>610</v>
      </c>
      <c r="H194" s="732">
        <v>104307</v>
      </c>
      <c r="I194" s="732">
        <v>4307</v>
      </c>
      <c r="J194" s="732" t="s">
        <v>943</v>
      </c>
      <c r="K194" s="732" t="s">
        <v>944</v>
      </c>
      <c r="L194" s="735">
        <v>349.9545454545455</v>
      </c>
      <c r="M194" s="735">
        <v>22</v>
      </c>
      <c r="N194" s="736">
        <v>7699.0000000000009</v>
      </c>
    </row>
    <row r="195" spans="1:14" ht="14.45" customHeight="1" x14ac:dyDescent="0.2">
      <c r="A195" s="730" t="s">
        <v>575</v>
      </c>
      <c r="B195" s="731" t="s">
        <v>576</v>
      </c>
      <c r="C195" s="732" t="s">
        <v>589</v>
      </c>
      <c r="D195" s="733" t="s">
        <v>590</v>
      </c>
      <c r="E195" s="734">
        <v>50113001</v>
      </c>
      <c r="F195" s="733" t="s">
        <v>609</v>
      </c>
      <c r="G195" s="732" t="s">
        <v>625</v>
      </c>
      <c r="H195" s="732">
        <v>100536</v>
      </c>
      <c r="I195" s="732">
        <v>536</v>
      </c>
      <c r="J195" s="732" t="s">
        <v>945</v>
      </c>
      <c r="K195" s="732" t="s">
        <v>616</v>
      </c>
      <c r="L195" s="735">
        <v>49.319999791073343</v>
      </c>
      <c r="M195" s="735">
        <v>51</v>
      </c>
      <c r="N195" s="736">
        <v>2515.3199893447404</v>
      </c>
    </row>
    <row r="196" spans="1:14" ht="14.45" customHeight="1" x14ac:dyDescent="0.2">
      <c r="A196" s="730" t="s">
        <v>575</v>
      </c>
      <c r="B196" s="731" t="s">
        <v>576</v>
      </c>
      <c r="C196" s="732" t="s">
        <v>589</v>
      </c>
      <c r="D196" s="733" t="s">
        <v>590</v>
      </c>
      <c r="E196" s="734">
        <v>50113001</v>
      </c>
      <c r="F196" s="733" t="s">
        <v>609</v>
      </c>
      <c r="G196" s="732" t="s">
        <v>625</v>
      </c>
      <c r="H196" s="732">
        <v>155823</v>
      </c>
      <c r="I196" s="732">
        <v>55823</v>
      </c>
      <c r="J196" s="732" t="s">
        <v>946</v>
      </c>
      <c r="K196" s="732" t="s">
        <v>947</v>
      </c>
      <c r="L196" s="735">
        <v>33.328411764705891</v>
      </c>
      <c r="M196" s="735">
        <v>17</v>
      </c>
      <c r="N196" s="736">
        <v>566.58300000000008</v>
      </c>
    </row>
    <row r="197" spans="1:14" ht="14.45" customHeight="1" x14ac:dyDescent="0.2">
      <c r="A197" s="730" t="s">
        <v>575</v>
      </c>
      <c r="B197" s="731" t="s">
        <v>576</v>
      </c>
      <c r="C197" s="732" t="s">
        <v>589</v>
      </c>
      <c r="D197" s="733" t="s">
        <v>590</v>
      </c>
      <c r="E197" s="734">
        <v>50113001</v>
      </c>
      <c r="F197" s="733" t="s">
        <v>609</v>
      </c>
      <c r="G197" s="732" t="s">
        <v>625</v>
      </c>
      <c r="H197" s="732">
        <v>107981</v>
      </c>
      <c r="I197" s="732">
        <v>7981</v>
      </c>
      <c r="J197" s="732" t="s">
        <v>946</v>
      </c>
      <c r="K197" s="732" t="s">
        <v>948</v>
      </c>
      <c r="L197" s="735">
        <v>45.128235294117644</v>
      </c>
      <c r="M197" s="735">
        <v>34</v>
      </c>
      <c r="N197" s="736">
        <v>1534.36</v>
      </c>
    </row>
    <row r="198" spans="1:14" ht="14.45" customHeight="1" x14ac:dyDescent="0.2">
      <c r="A198" s="730" t="s">
        <v>575</v>
      </c>
      <c r="B198" s="731" t="s">
        <v>576</v>
      </c>
      <c r="C198" s="732" t="s">
        <v>589</v>
      </c>
      <c r="D198" s="733" t="s">
        <v>590</v>
      </c>
      <c r="E198" s="734">
        <v>50113001</v>
      </c>
      <c r="F198" s="733" t="s">
        <v>609</v>
      </c>
      <c r="G198" s="732" t="s">
        <v>625</v>
      </c>
      <c r="H198" s="732">
        <v>155824</v>
      </c>
      <c r="I198" s="732">
        <v>55824</v>
      </c>
      <c r="J198" s="732" t="s">
        <v>946</v>
      </c>
      <c r="K198" s="732" t="s">
        <v>949</v>
      </c>
      <c r="L198" s="735">
        <v>46.891999999999996</v>
      </c>
      <c r="M198" s="735">
        <v>5</v>
      </c>
      <c r="N198" s="736">
        <v>234.45999999999998</v>
      </c>
    </row>
    <row r="199" spans="1:14" ht="14.45" customHeight="1" x14ac:dyDescent="0.2">
      <c r="A199" s="730" t="s">
        <v>575</v>
      </c>
      <c r="B199" s="731" t="s">
        <v>576</v>
      </c>
      <c r="C199" s="732" t="s">
        <v>589</v>
      </c>
      <c r="D199" s="733" t="s">
        <v>590</v>
      </c>
      <c r="E199" s="734">
        <v>50113001</v>
      </c>
      <c r="F199" s="733" t="s">
        <v>609</v>
      </c>
      <c r="G199" s="732" t="s">
        <v>625</v>
      </c>
      <c r="H199" s="732">
        <v>126786</v>
      </c>
      <c r="I199" s="732">
        <v>26786</v>
      </c>
      <c r="J199" s="732" t="s">
        <v>950</v>
      </c>
      <c r="K199" s="732" t="s">
        <v>951</v>
      </c>
      <c r="L199" s="735">
        <v>409.59000000000009</v>
      </c>
      <c r="M199" s="735">
        <v>2</v>
      </c>
      <c r="N199" s="736">
        <v>819.18000000000018</v>
      </c>
    </row>
    <row r="200" spans="1:14" ht="14.45" customHeight="1" x14ac:dyDescent="0.2">
      <c r="A200" s="730" t="s">
        <v>575</v>
      </c>
      <c r="B200" s="731" t="s">
        <v>576</v>
      </c>
      <c r="C200" s="732" t="s">
        <v>589</v>
      </c>
      <c r="D200" s="733" t="s">
        <v>590</v>
      </c>
      <c r="E200" s="734">
        <v>50113001</v>
      </c>
      <c r="F200" s="733" t="s">
        <v>609</v>
      </c>
      <c r="G200" s="732" t="s">
        <v>610</v>
      </c>
      <c r="H200" s="732">
        <v>200863</v>
      </c>
      <c r="I200" s="732">
        <v>200863</v>
      </c>
      <c r="J200" s="732" t="s">
        <v>952</v>
      </c>
      <c r="K200" s="732" t="s">
        <v>953</v>
      </c>
      <c r="L200" s="735">
        <v>85.450000000000031</v>
      </c>
      <c r="M200" s="735">
        <v>2</v>
      </c>
      <c r="N200" s="736">
        <v>170.90000000000006</v>
      </c>
    </row>
    <row r="201" spans="1:14" ht="14.45" customHeight="1" x14ac:dyDescent="0.2">
      <c r="A201" s="730" t="s">
        <v>575</v>
      </c>
      <c r="B201" s="731" t="s">
        <v>576</v>
      </c>
      <c r="C201" s="732" t="s">
        <v>589</v>
      </c>
      <c r="D201" s="733" t="s">
        <v>590</v>
      </c>
      <c r="E201" s="734">
        <v>50113001</v>
      </c>
      <c r="F201" s="733" t="s">
        <v>609</v>
      </c>
      <c r="G201" s="732" t="s">
        <v>610</v>
      </c>
      <c r="H201" s="732">
        <v>101940</v>
      </c>
      <c r="I201" s="732">
        <v>1940</v>
      </c>
      <c r="J201" s="732" t="s">
        <v>954</v>
      </c>
      <c r="K201" s="732" t="s">
        <v>955</v>
      </c>
      <c r="L201" s="735">
        <v>34.799999999999997</v>
      </c>
      <c r="M201" s="735">
        <v>1</v>
      </c>
      <c r="N201" s="736">
        <v>34.799999999999997</v>
      </c>
    </row>
    <row r="202" spans="1:14" ht="14.45" customHeight="1" x14ac:dyDescent="0.2">
      <c r="A202" s="730" t="s">
        <v>575</v>
      </c>
      <c r="B202" s="731" t="s">
        <v>576</v>
      </c>
      <c r="C202" s="732" t="s">
        <v>589</v>
      </c>
      <c r="D202" s="733" t="s">
        <v>590</v>
      </c>
      <c r="E202" s="734">
        <v>50113001</v>
      </c>
      <c r="F202" s="733" t="s">
        <v>609</v>
      </c>
      <c r="G202" s="732" t="s">
        <v>610</v>
      </c>
      <c r="H202" s="732">
        <v>994705</v>
      </c>
      <c r="I202" s="732">
        <v>0</v>
      </c>
      <c r="J202" s="732" t="s">
        <v>956</v>
      </c>
      <c r="K202" s="732" t="s">
        <v>329</v>
      </c>
      <c r="L202" s="735">
        <v>104.36</v>
      </c>
      <c r="M202" s="735">
        <v>1</v>
      </c>
      <c r="N202" s="736">
        <v>104.36</v>
      </c>
    </row>
    <row r="203" spans="1:14" ht="14.45" customHeight="1" x14ac:dyDescent="0.2">
      <c r="A203" s="730" t="s">
        <v>575</v>
      </c>
      <c r="B203" s="731" t="s">
        <v>576</v>
      </c>
      <c r="C203" s="732" t="s">
        <v>589</v>
      </c>
      <c r="D203" s="733" t="s">
        <v>590</v>
      </c>
      <c r="E203" s="734">
        <v>50113001</v>
      </c>
      <c r="F203" s="733" t="s">
        <v>609</v>
      </c>
      <c r="G203" s="732" t="s">
        <v>625</v>
      </c>
      <c r="H203" s="732">
        <v>850729</v>
      </c>
      <c r="I203" s="732">
        <v>157875</v>
      </c>
      <c r="J203" s="732" t="s">
        <v>957</v>
      </c>
      <c r="K203" s="732" t="s">
        <v>958</v>
      </c>
      <c r="L203" s="735">
        <v>154</v>
      </c>
      <c r="M203" s="735">
        <v>2</v>
      </c>
      <c r="N203" s="736">
        <v>308</v>
      </c>
    </row>
    <row r="204" spans="1:14" ht="14.45" customHeight="1" x14ac:dyDescent="0.2">
      <c r="A204" s="730" t="s">
        <v>575</v>
      </c>
      <c r="B204" s="731" t="s">
        <v>576</v>
      </c>
      <c r="C204" s="732" t="s">
        <v>589</v>
      </c>
      <c r="D204" s="733" t="s">
        <v>590</v>
      </c>
      <c r="E204" s="734">
        <v>50113001</v>
      </c>
      <c r="F204" s="733" t="s">
        <v>609</v>
      </c>
      <c r="G204" s="732" t="s">
        <v>610</v>
      </c>
      <c r="H204" s="732">
        <v>207820</v>
      </c>
      <c r="I204" s="732">
        <v>207820</v>
      </c>
      <c r="J204" s="732" t="s">
        <v>959</v>
      </c>
      <c r="K204" s="732" t="s">
        <v>960</v>
      </c>
      <c r="L204" s="735">
        <v>31.256666666666675</v>
      </c>
      <c r="M204" s="735">
        <v>9</v>
      </c>
      <c r="N204" s="736">
        <v>281.31000000000006</v>
      </c>
    </row>
    <row r="205" spans="1:14" ht="14.45" customHeight="1" x14ac:dyDescent="0.2">
      <c r="A205" s="730" t="s">
        <v>575</v>
      </c>
      <c r="B205" s="731" t="s">
        <v>576</v>
      </c>
      <c r="C205" s="732" t="s">
        <v>589</v>
      </c>
      <c r="D205" s="733" t="s">
        <v>590</v>
      </c>
      <c r="E205" s="734">
        <v>50113001</v>
      </c>
      <c r="F205" s="733" t="s">
        <v>609</v>
      </c>
      <c r="G205" s="732" t="s">
        <v>610</v>
      </c>
      <c r="H205" s="732">
        <v>207819</v>
      </c>
      <c r="I205" s="732">
        <v>207819</v>
      </c>
      <c r="J205" s="732" t="s">
        <v>961</v>
      </c>
      <c r="K205" s="732" t="s">
        <v>962</v>
      </c>
      <c r="L205" s="735">
        <v>22.3</v>
      </c>
      <c r="M205" s="735">
        <v>4</v>
      </c>
      <c r="N205" s="736">
        <v>89.2</v>
      </c>
    </row>
    <row r="206" spans="1:14" ht="14.45" customHeight="1" x14ac:dyDescent="0.2">
      <c r="A206" s="730" t="s">
        <v>575</v>
      </c>
      <c r="B206" s="731" t="s">
        <v>576</v>
      </c>
      <c r="C206" s="732" t="s">
        <v>589</v>
      </c>
      <c r="D206" s="733" t="s">
        <v>590</v>
      </c>
      <c r="E206" s="734">
        <v>50113001</v>
      </c>
      <c r="F206" s="733" t="s">
        <v>609</v>
      </c>
      <c r="G206" s="732" t="s">
        <v>610</v>
      </c>
      <c r="H206" s="732">
        <v>102963</v>
      </c>
      <c r="I206" s="732">
        <v>2963</v>
      </c>
      <c r="J206" s="732" t="s">
        <v>963</v>
      </c>
      <c r="K206" s="732" t="s">
        <v>964</v>
      </c>
      <c r="L206" s="735">
        <v>121.82999999999998</v>
      </c>
      <c r="M206" s="735">
        <v>4</v>
      </c>
      <c r="N206" s="736">
        <v>487.31999999999994</v>
      </c>
    </row>
    <row r="207" spans="1:14" ht="14.45" customHeight="1" x14ac:dyDescent="0.2">
      <c r="A207" s="730" t="s">
        <v>575</v>
      </c>
      <c r="B207" s="731" t="s">
        <v>576</v>
      </c>
      <c r="C207" s="732" t="s">
        <v>589</v>
      </c>
      <c r="D207" s="733" t="s">
        <v>590</v>
      </c>
      <c r="E207" s="734">
        <v>50113001</v>
      </c>
      <c r="F207" s="733" t="s">
        <v>609</v>
      </c>
      <c r="G207" s="732" t="s">
        <v>610</v>
      </c>
      <c r="H207" s="732">
        <v>100269</v>
      </c>
      <c r="I207" s="732">
        <v>269</v>
      </c>
      <c r="J207" s="732" t="s">
        <v>965</v>
      </c>
      <c r="K207" s="732" t="s">
        <v>966</v>
      </c>
      <c r="L207" s="735">
        <v>50.90000000000002</v>
      </c>
      <c r="M207" s="735">
        <v>2</v>
      </c>
      <c r="N207" s="736">
        <v>101.80000000000004</v>
      </c>
    </row>
    <row r="208" spans="1:14" ht="14.45" customHeight="1" x14ac:dyDescent="0.2">
      <c r="A208" s="730" t="s">
        <v>575</v>
      </c>
      <c r="B208" s="731" t="s">
        <v>576</v>
      </c>
      <c r="C208" s="732" t="s">
        <v>589</v>
      </c>
      <c r="D208" s="733" t="s">
        <v>590</v>
      </c>
      <c r="E208" s="734">
        <v>50113001</v>
      </c>
      <c r="F208" s="733" t="s">
        <v>609</v>
      </c>
      <c r="G208" s="732" t="s">
        <v>625</v>
      </c>
      <c r="H208" s="732">
        <v>845220</v>
      </c>
      <c r="I208" s="732">
        <v>101211</v>
      </c>
      <c r="J208" s="732" t="s">
        <v>967</v>
      </c>
      <c r="K208" s="732" t="s">
        <v>694</v>
      </c>
      <c r="L208" s="735">
        <v>188.83</v>
      </c>
      <c r="M208" s="735">
        <v>5</v>
      </c>
      <c r="N208" s="736">
        <v>944.15000000000009</v>
      </c>
    </row>
    <row r="209" spans="1:14" ht="14.45" customHeight="1" x14ac:dyDescent="0.2">
      <c r="A209" s="730" t="s">
        <v>575</v>
      </c>
      <c r="B209" s="731" t="s">
        <v>576</v>
      </c>
      <c r="C209" s="732" t="s">
        <v>589</v>
      </c>
      <c r="D209" s="733" t="s">
        <v>590</v>
      </c>
      <c r="E209" s="734">
        <v>50113001</v>
      </c>
      <c r="F209" s="733" t="s">
        <v>609</v>
      </c>
      <c r="G209" s="732" t="s">
        <v>610</v>
      </c>
      <c r="H209" s="732">
        <v>846340</v>
      </c>
      <c r="I209" s="732">
        <v>122690</v>
      </c>
      <c r="J209" s="732" t="s">
        <v>968</v>
      </c>
      <c r="K209" s="732" t="s">
        <v>757</v>
      </c>
      <c r="L209" s="735">
        <v>277.42</v>
      </c>
      <c r="M209" s="735">
        <v>1</v>
      </c>
      <c r="N209" s="736">
        <v>277.42</v>
      </c>
    </row>
    <row r="210" spans="1:14" ht="14.45" customHeight="1" x14ac:dyDescent="0.2">
      <c r="A210" s="730" t="s">
        <v>575</v>
      </c>
      <c r="B210" s="731" t="s">
        <v>576</v>
      </c>
      <c r="C210" s="732" t="s">
        <v>589</v>
      </c>
      <c r="D210" s="733" t="s">
        <v>590</v>
      </c>
      <c r="E210" s="734">
        <v>50113001</v>
      </c>
      <c r="F210" s="733" t="s">
        <v>609</v>
      </c>
      <c r="G210" s="732" t="s">
        <v>625</v>
      </c>
      <c r="H210" s="732">
        <v>118167</v>
      </c>
      <c r="I210" s="732">
        <v>18167</v>
      </c>
      <c r="J210" s="732" t="s">
        <v>969</v>
      </c>
      <c r="K210" s="732" t="s">
        <v>970</v>
      </c>
      <c r="L210" s="735">
        <v>65.78</v>
      </c>
      <c r="M210" s="735">
        <v>15</v>
      </c>
      <c r="N210" s="736">
        <v>986.7</v>
      </c>
    </row>
    <row r="211" spans="1:14" ht="14.45" customHeight="1" x14ac:dyDescent="0.2">
      <c r="A211" s="730" t="s">
        <v>575</v>
      </c>
      <c r="B211" s="731" t="s">
        <v>576</v>
      </c>
      <c r="C211" s="732" t="s">
        <v>589</v>
      </c>
      <c r="D211" s="733" t="s">
        <v>590</v>
      </c>
      <c r="E211" s="734">
        <v>50113001</v>
      </c>
      <c r="F211" s="733" t="s">
        <v>609</v>
      </c>
      <c r="G211" s="732" t="s">
        <v>610</v>
      </c>
      <c r="H211" s="732">
        <v>241679</v>
      </c>
      <c r="I211" s="732">
        <v>241679</v>
      </c>
      <c r="J211" s="732" t="s">
        <v>971</v>
      </c>
      <c r="K211" s="732" t="s">
        <v>972</v>
      </c>
      <c r="L211" s="735">
        <v>59.39</v>
      </c>
      <c r="M211" s="735">
        <v>2</v>
      </c>
      <c r="N211" s="736">
        <v>118.78</v>
      </c>
    </row>
    <row r="212" spans="1:14" ht="14.45" customHeight="1" x14ac:dyDescent="0.2">
      <c r="A212" s="730" t="s">
        <v>575</v>
      </c>
      <c r="B212" s="731" t="s">
        <v>576</v>
      </c>
      <c r="C212" s="732" t="s">
        <v>589</v>
      </c>
      <c r="D212" s="733" t="s">
        <v>590</v>
      </c>
      <c r="E212" s="734">
        <v>50113001</v>
      </c>
      <c r="F212" s="733" t="s">
        <v>609</v>
      </c>
      <c r="G212" s="732" t="s">
        <v>610</v>
      </c>
      <c r="H212" s="732">
        <v>118305</v>
      </c>
      <c r="I212" s="732">
        <v>18305</v>
      </c>
      <c r="J212" s="732" t="s">
        <v>973</v>
      </c>
      <c r="K212" s="732" t="s">
        <v>974</v>
      </c>
      <c r="L212" s="735">
        <v>242</v>
      </c>
      <c r="M212" s="735">
        <v>28</v>
      </c>
      <c r="N212" s="736">
        <v>6776</v>
      </c>
    </row>
    <row r="213" spans="1:14" ht="14.45" customHeight="1" x14ac:dyDescent="0.2">
      <c r="A213" s="730" t="s">
        <v>575</v>
      </c>
      <c r="B213" s="731" t="s">
        <v>576</v>
      </c>
      <c r="C213" s="732" t="s">
        <v>589</v>
      </c>
      <c r="D213" s="733" t="s">
        <v>590</v>
      </c>
      <c r="E213" s="734">
        <v>50113001</v>
      </c>
      <c r="F213" s="733" t="s">
        <v>609</v>
      </c>
      <c r="G213" s="732" t="s">
        <v>610</v>
      </c>
      <c r="H213" s="732">
        <v>159357</v>
      </c>
      <c r="I213" s="732">
        <v>59357</v>
      </c>
      <c r="J213" s="732" t="s">
        <v>975</v>
      </c>
      <c r="K213" s="732" t="s">
        <v>976</v>
      </c>
      <c r="L213" s="735">
        <v>188.87999999999997</v>
      </c>
      <c r="M213" s="735">
        <v>5</v>
      </c>
      <c r="N213" s="736">
        <v>944.39999999999986</v>
      </c>
    </row>
    <row r="214" spans="1:14" ht="14.45" customHeight="1" x14ac:dyDescent="0.2">
      <c r="A214" s="730" t="s">
        <v>575</v>
      </c>
      <c r="B214" s="731" t="s">
        <v>576</v>
      </c>
      <c r="C214" s="732" t="s">
        <v>589</v>
      </c>
      <c r="D214" s="733" t="s">
        <v>590</v>
      </c>
      <c r="E214" s="734">
        <v>50113001</v>
      </c>
      <c r="F214" s="733" t="s">
        <v>609</v>
      </c>
      <c r="G214" s="732" t="s">
        <v>610</v>
      </c>
      <c r="H214" s="732">
        <v>114958</v>
      </c>
      <c r="I214" s="732">
        <v>14958</v>
      </c>
      <c r="J214" s="732" t="s">
        <v>977</v>
      </c>
      <c r="K214" s="732" t="s">
        <v>978</v>
      </c>
      <c r="L214" s="735">
        <v>32.85</v>
      </c>
      <c r="M214" s="735">
        <v>2</v>
      </c>
      <c r="N214" s="736">
        <v>65.7</v>
      </c>
    </row>
    <row r="215" spans="1:14" ht="14.45" customHeight="1" x14ac:dyDescent="0.2">
      <c r="A215" s="730" t="s">
        <v>575</v>
      </c>
      <c r="B215" s="731" t="s">
        <v>576</v>
      </c>
      <c r="C215" s="732" t="s">
        <v>589</v>
      </c>
      <c r="D215" s="733" t="s">
        <v>590</v>
      </c>
      <c r="E215" s="734">
        <v>50113001</v>
      </c>
      <c r="F215" s="733" t="s">
        <v>609</v>
      </c>
      <c r="G215" s="732" t="s">
        <v>610</v>
      </c>
      <c r="H215" s="732">
        <v>993234</v>
      </c>
      <c r="I215" s="732">
        <v>0</v>
      </c>
      <c r="J215" s="732" t="s">
        <v>979</v>
      </c>
      <c r="K215" s="732" t="s">
        <v>329</v>
      </c>
      <c r="L215" s="735">
        <v>69.28</v>
      </c>
      <c r="M215" s="735">
        <v>2</v>
      </c>
      <c r="N215" s="736">
        <v>138.56</v>
      </c>
    </row>
    <row r="216" spans="1:14" ht="14.45" customHeight="1" x14ac:dyDescent="0.2">
      <c r="A216" s="730" t="s">
        <v>575</v>
      </c>
      <c r="B216" s="731" t="s">
        <v>576</v>
      </c>
      <c r="C216" s="732" t="s">
        <v>589</v>
      </c>
      <c r="D216" s="733" t="s">
        <v>590</v>
      </c>
      <c r="E216" s="734">
        <v>50113001</v>
      </c>
      <c r="F216" s="733" t="s">
        <v>609</v>
      </c>
      <c r="G216" s="732" t="s">
        <v>610</v>
      </c>
      <c r="H216" s="732">
        <v>192086</v>
      </c>
      <c r="I216" s="732">
        <v>92086</v>
      </c>
      <c r="J216" s="732" t="s">
        <v>980</v>
      </c>
      <c r="K216" s="732" t="s">
        <v>981</v>
      </c>
      <c r="L216" s="735">
        <v>134.4</v>
      </c>
      <c r="M216" s="735">
        <v>1</v>
      </c>
      <c r="N216" s="736">
        <v>134.4</v>
      </c>
    </row>
    <row r="217" spans="1:14" ht="14.45" customHeight="1" x14ac:dyDescent="0.2">
      <c r="A217" s="730" t="s">
        <v>575</v>
      </c>
      <c r="B217" s="731" t="s">
        <v>576</v>
      </c>
      <c r="C217" s="732" t="s">
        <v>589</v>
      </c>
      <c r="D217" s="733" t="s">
        <v>590</v>
      </c>
      <c r="E217" s="734">
        <v>50113001</v>
      </c>
      <c r="F217" s="733" t="s">
        <v>609</v>
      </c>
      <c r="G217" s="732" t="s">
        <v>610</v>
      </c>
      <c r="H217" s="732">
        <v>147712</v>
      </c>
      <c r="I217" s="732">
        <v>47712</v>
      </c>
      <c r="J217" s="732" t="s">
        <v>982</v>
      </c>
      <c r="K217" s="732" t="s">
        <v>983</v>
      </c>
      <c r="L217" s="735">
        <v>224.25</v>
      </c>
      <c r="M217" s="735">
        <v>1</v>
      </c>
      <c r="N217" s="736">
        <v>224.25</v>
      </c>
    </row>
    <row r="218" spans="1:14" ht="14.45" customHeight="1" x14ac:dyDescent="0.2">
      <c r="A218" s="730" t="s">
        <v>575</v>
      </c>
      <c r="B218" s="731" t="s">
        <v>576</v>
      </c>
      <c r="C218" s="732" t="s">
        <v>589</v>
      </c>
      <c r="D218" s="733" t="s">
        <v>590</v>
      </c>
      <c r="E218" s="734">
        <v>50113001</v>
      </c>
      <c r="F218" s="733" t="s">
        <v>609</v>
      </c>
      <c r="G218" s="732" t="s">
        <v>610</v>
      </c>
      <c r="H218" s="732">
        <v>145961</v>
      </c>
      <c r="I218" s="732">
        <v>45961</v>
      </c>
      <c r="J218" s="732" t="s">
        <v>984</v>
      </c>
      <c r="K218" s="732" t="s">
        <v>985</v>
      </c>
      <c r="L218" s="735">
        <v>393.46000000000009</v>
      </c>
      <c r="M218" s="735">
        <v>1</v>
      </c>
      <c r="N218" s="736">
        <v>393.46000000000009</v>
      </c>
    </row>
    <row r="219" spans="1:14" ht="14.45" customHeight="1" x14ac:dyDescent="0.2">
      <c r="A219" s="730" t="s">
        <v>575</v>
      </c>
      <c r="B219" s="731" t="s">
        <v>576</v>
      </c>
      <c r="C219" s="732" t="s">
        <v>589</v>
      </c>
      <c r="D219" s="733" t="s">
        <v>590</v>
      </c>
      <c r="E219" s="734">
        <v>50113001</v>
      </c>
      <c r="F219" s="733" t="s">
        <v>609</v>
      </c>
      <c r="G219" s="732" t="s">
        <v>625</v>
      </c>
      <c r="H219" s="732">
        <v>191922</v>
      </c>
      <c r="I219" s="732">
        <v>191922</v>
      </c>
      <c r="J219" s="732" t="s">
        <v>986</v>
      </c>
      <c r="K219" s="732" t="s">
        <v>987</v>
      </c>
      <c r="L219" s="735">
        <v>70.389999999999986</v>
      </c>
      <c r="M219" s="735">
        <v>5</v>
      </c>
      <c r="N219" s="736">
        <v>351.94999999999993</v>
      </c>
    </row>
    <row r="220" spans="1:14" ht="14.45" customHeight="1" x14ac:dyDescent="0.2">
      <c r="A220" s="730" t="s">
        <v>575</v>
      </c>
      <c r="B220" s="731" t="s">
        <v>576</v>
      </c>
      <c r="C220" s="732" t="s">
        <v>589</v>
      </c>
      <c r="D220" s="733" t="s">
        <v>590</v>
      </c>
      <c r="E220" s="734">
        <v>50113001</v>
      </c>
      <c r="F220" s="733" t="s">
        <v>609</v>
      </c>
      <c r="G220" s="732" t="s">
        <v>625</v>
      </c>
      <c r="H220" s="732">
        <v>208204</v>
      </c>
      <c r="I220" s="732">
        <v>208204</v>
      </c>
      <c r="J220" s="732" t="s">
        <v>988</v>
      </c>
      <c r="K220" s="732" t="s">
        <v>989</v>
      </c>
      <c r="L220" s="735">
        <v>48.93</v>
      </c>
      <c r="M220" s="735">
        <v>1</v>
      </c>
      <c r="N220" s="736">
        <v>48.93</v>
      </c>
    </row>
    <row r="221" spans="1:14" ht="14.45" customHeight="1" x14ac:dyDescent="0.2">
      <c r="A221" s="730" t="s">
        <v>575</v>
      </c>
      <c r="B221" s="731" t="s">
        <v>576</v>
      </c>
      <c r="C221" s="732" t="s">
        <v>589</v>
      </c>
      <c r="D221" s="733" t="s">
        <v>590</v>
      </c>
      <c r="E221" s="734">
        <v>50113001</v>
      </c>
      <c r="F221" s="733" t="s">
        <v>609</v>
      </c>
      <c r="G221" s="732" t="s">
        <v>625</v>
      </c>
      <c r="H221" s="732">
        <v>208203</v>
      </c>
      <c r="I221" s="732">
        <v>208203</v>
      </c>
      <c r="J221" s="732" t="s">
        <v>988</v>
      </c>
      <c r="K221" s="732" t="s">
        <v>990</v>
      </c>
      <c r="L221" s="735">
        <v>97.31</v>
      </c>
      <c r="M221" s="735">
        <v>2</v>
      </c>
      <c r="N221" s="736">
        <v>194.62</v>
      </c>
    </row>
    <row r="222" spans="1:14" ht="14.45" customHeight="1" x14ac:dyDescent="0.2">
      <c r="A222" s="730" t="s">
        <v>575</v>
      </c>
      <c r="B222" s="731" t="s">
        <v>576</v>
      </c>
      <c r="C222" s="732" t="s">
        <v>589</v>
      </c>
      <c r="D222" s="733" t="s">
        <v>590</v>
      </c>
      <c r="E222" s="734">
        <v>50113001</v>
      </c>
      <c r="F222" s="733" t="s">
        <v>609</v>
      </c>
      <c r="G222" s="732" t="s">
        <v>625</v>
      </c>
      <c r="H222" s="732">
        <v>208207</v>
      </c>
      <c r="I222" s="732">
        <v>208207</v>
      </c>
      <c r="J222" s="732" t="s">
        <v>991</v>
      </c>
      <c r="K222" s="732" t="s">
        <v>992</v>
      </c>
      <c r="L222" s="735">
        <v>80.989999999999995</v>
      </c>
      <c r="M222" s="735">
        <v>3</v>
      </c>
      <c r="N222" s="736">
        <v>242.96999999999997</v>
      </c>
    </row>
    <row r="223" spans="1:14" ht="14.45" customHeight="1" x14ac:dyDescent="0.2">
      <c r="A223" s="730" t="s">
        <v>575</v>
      </c>
      <c r="B223" s="731" t="s">
        <v>576</v>
      </c>
      <c r="C223" s="732" t="s">
        <v>589</v>
      </c>
      <c r="D223" s="733" t="s">
        <v>590</v>
      </c>
      <c r="E223" s="734">
        <v>50113001</v>
      </c>
      <c r="F223" s="733" t="s">
        <v>609</v>
      </c>
      <c r="G223" s="732" t="s">
        <v>625</v>
      </c>
      <c r="H223" s="732">
        <v>109709</v>
      </c>
      <c r="I223" s="732">
        <v>9709</v>
      </c>
      <c r="J223" s="732" t="s">
        <v>993</v>
      </c>
      <c r="K223" s="732" t="s">
        <v>994</v>
      </c>
      <c r="L223" s="735">
        <v>64.899999999999991</v>
      </c>
      <c r="M223" s="735">
        <v>8</v>
      </c>
      <c r="N223" s="736">
        <v>519.19999999999993</v>
      </c>
    </row>
    <row r="224" spans="1:14" ht="14.45" customHeight="1" x14ac:dyDescent="0.2">
      <c r="A224" s="730" t="s">
        <v>575</v>
      </c>
      <c r="B224" s="731" t="s">
        <v>576</v>
      </c>
      <c r="C224" s="732" t="s">
        <v>589</v>
      </c>
      <c r="D224" s="733" t="s">
        <v>590</v>
      </c>
      <c r="E224" s="734">
        <v>50113001</v>
      </c>
      <c r="F224" s="733" t="s">
        <v>609</v>
      </c>
      <c r="G224" s="732" t="s">
        <v>625</v>
      </c>
      <c r="H224" s="732">
        <v>194882</v>
      </c>
      <c r="I224" s="732">
        <v>94882</v>
      </c>
      <c r="J224" s="732" t="s">
        <v>993</v>
      </c>
      <c r="K224" s="732" t="s">
        <v>995</v>
      </c>
      <c r="L224" s="735">
        <v>171.66</v>
      </c>
      <c r="M224" s="735">
        <v>2</v>
      </c>
      <c r="N224" s="736">
        <v>343.32</v>
      </c>
    </row>
    <row r="225" spans="1:14" ht="14.45" customHeight="1" x14ac:dyDescent="0.2">
      <c r="A225" s="730" t="s">
        <v>575</v>
      </c>
      <c r="B225" s="731" t="s">
        <v>576</v>
      </c>
      <c r="C225" s="732" t="s">
        <v>589</v>
      </c>
      <c r="D225" s="733" t="s">
        <v>590</v>
      </c>
      <c r="E225" s="734">
        <v>50113001</v>
      </c>
      <c r="F225" s="733" t="s">
        <v>609</v>
      </c>
      <c r="G225" s="732" t="s">
        <v>610</v>
      </c>
      <c r="H225" s="732">
        <v>194852</v>
      </c>
      <c r="I225" s="732">
        <v>94852</v>
      </c>
      <c r="J225" s="732" t="s">
        <v>996</v>
      </c>
      <c r="K225" s="732" t="s">
        <v>997</v>
      </c>
      <c r="L225" s="735">
        <v>1029.3699999999999</v>
      </c>
      <c r="M225" s="735">
        <v>2</v>
      </c>
      <c r="N225" s="736">
        <v>2058.7399999999998</v>
      </c>
    </row>
    <row r="226" spans="1:14" ht="14.45" customHeight="1" x14ac:dyDescent="0.2">
      <c r="A226" s="730" t="s">
        <v>575</v>
      </c>
      <c r="B226" s="731" t="s">
        <v>576</v>
      </c>
      <c r="C226" s="732" t="s">
        <v>589</v>
      </c>
      <c r="D226" s="733" t="s">
        <v>590</v>
      </c>
      <c r="E226" s="734">
        <v>50113001</v>
      </c>
      <c r="F226" s="733" t="s">
        <v>609</v>
      </c>
      <c r="G226" s="732" t="s">
        <v>610</v>
      </c>
      <c r="H226" s="732">
        <v>119654</v>
      </c>
      <c r="I226" s="732">
        <v>119654</v>
      </c>
      <c r="J226" s="732" t="s">
        <v>998</v>
      </c>
      <c r="K226" s="732" t="s">
        <v>999</v>
      </c>
      <c r="L226" s="735">
        <v>254.01</v>
      </c>
      <c r="M226" s="735">
        <v>6</v>
      </c>
      <c r="N226" s="736">
        <v>1524.06</v>
      </c>
    </row>
    <row r="227" spans="1:14" ht="14.45" customHeight="1" x14ac:dyDescent="0.2">
      <c r="A227" s="730" t="s">
        <v>575</v>
      </c>
      <c r="B227" s="731" t="s">
        <v>576</v>
      </c>
      <c r="C227" s="732" t="s">
        <v>589</v>
      </c>
      <c r="D227" s="733" t="s">
        <v>590</v>
      </c>
      <c r="E227" s="734">
        <v>50113001</v>
      </c>
      <c r="F227" s="733" t="s">
        <v>609</v>
      </c>
      <c r="G227" s="732" t="s">
        <v>329</v>
      </c>
      <c r="H227" s="732">
        <v>193019</v>
      </c>
      <c r="I227" s="732">
        <v>93019</v>
      </c>
      <c r="J227" s="732" t="s">
        <v>1000</v>
      </c>
      <c r="K227" s="732" t="s">
        <v>1001</v>
      </c>
      <c r="L227" s="735">
        <v>106.62</v>
      </c>
      <c r="M227" s="735">
        <v>2</v>
      </c>
      <c r="N227" s="736">
        <v>213.24</v>
      </c>
    </row>
    <row r="228" spans="1:14" ht="14.45" customHeight="1" x14ac:dyDescent="0.2">
      <c r="A228" s="730" t="s">
        <v>575</v>
      </c>
      <c r="B228" s="731" t="s">
        <v>576</v>
      </c>
      <c r="C228" s="732" t="s">
        <v>589</v>
      </c>
      <c r="D228" s="733" t="s">
        <v>590</v>
      </c>
      <c r="E228" s="734">
        <v>50113001</v>
      </c>
      <c r="F228" s="733" t="s">
        <v>609</v>
      </c>
      <c r="G228" s="732" t="s">
        <v>610</v>
      </c>
      <c r="H228" s="732">
        <v>844145</v>
      </c>
      <c r="I228" s="732">
        <v>56350</v>
      </c>
      <c r="J228" s="732" t="s">
        <v>1002</v>
      </c>
      <c r="K228" s="732" t="s">
        <v>899</v>
      </c>
      <c r="L228" s="735">
        <v>38.49916666666666</v>
      </c>
      <c r="M228" s="735">
        <v>12</v>
      </c>
      <c r="N228" s="736">
        <v>461.9899999999999</v>
      </c>
    </row>
    <row r="229" spans="1:14" ht="14.45" customHeight="1" x14ac:dyDescent="0.2">
      <c r="A229" s="730" t="s">
        <v>575</v>
      </c>
      <c r="B229" s="731" t="s">
        <v>576</v>
      </c>
      <c r="C229" s="732" t="s">
        <v>589</v>
      </c>
      <c r="D229" s="733" t="s">
        <v>590</v>
      </c>
      <c r="E229" s="734">
        <v>50113001</v>
      </c>
      <c r="F229" s="733" t="s">
        <v>609</v>
      </c>
      <c r="G229" s="732" t="s">
        <v>610</v>
      </c>
      <c r="H229" s="732">
        <v>188850</v>
      </c>
      <c r="I229" s="732">
        <v>188850</v>
      </c>
      <c r="J229" s="732" t="s">
        <v>1003</v>
      </c>
      <c r="K229" s="732" t="s">
        <v>1004</v>
      </c>
      <c r="L229" s="735">
        <v>39.22</v>
      </c>
      <c r="M229" s="735">
        <v>1</v>
      </c>
      <c r="N229" s="736">
        <v>39.22</v>
      </c>
    </row>
    <row r="230" spans="1:14" ht="14.45" customHeight="1" x14ac:dyDescent="0.2">
      <c r="A230" s="730" t="s">
        <v>575</v>
      </c>
      <c r="B230" s="731" t="s">
        <v>576</v>
      </c>
      <c r="C230" s="732" t="s">
        <v>589</v>
      </c>
      <c r="D230" s="733" t="s">
        <v>590</v>
      </c>
      <c r="E230" s="734">
        <v>50113001</v>
      </c>
      <c r="F230" s="733" t="s">
        <v>609</v>
      </c>
      <c r="G230" s="732" t="s">
        <v>610</v>
      </c>
      <c r="H230" s="732">
        <v>988179</v>
      </c>
      <c r="I230" s="732">
        <v>0</v>
      </c>
      <c r="J230" s="732" t="s">
        <v>1005</v>
      </c>
      <c r="K230" s="732" t="s">
        <v>329</v>
      </c>
      <c r="L230" s="735">
        <v>88.348000000000013</v>
      </c>
      <c r="M230" s="735">
        <v>5</v>
      </c>
      <c r="N230" s="736">
        <v>441.74000000000007</v>
      </c>
    </row>
    <row r="231" spans="1:14" ht="14.45" customHeight="1" x14ac:dyDescent="0.2">
      <c r="A231" s="730" t="s">
        <v>575</v>
      </c>
      <c r="B231" s="731" t="s">
        <v>576</v>
      </c>
      <c r="C231" s="732" t="s">
        <v>589</v>
      </c>
      <c r="D231" s="733" t="s">
        <v>590</v>
      </c>
      <c r="E231" s="734">
        <v>50113001</v>
      </c>
      <c r="F231" s="733" t="s">
        <v>609</v>
      </c>
      <c r="G231" s="732" t="s">
        <v>610</v>
      </c>
      <c r="H231" s="732">
        <v>397057</v>
      </c>
      <c r="I231" s="732">
        <v>0</v>
      </c>
      <c r="J231" s="732" t="s">
        <v>1006</v>
      </c>
      <c r="K231" s="732" t="s">
        <v>329</v>
      </c>
      <c r="L231" s="735">
        <v>57.470000000000006</v>
      </c>
      <c r="M231" s="735">
        <v>4</v>
      </c>
      <c r="N231" s="736">
        <v>229.88000000000002</v>
      </c>
    </row>
    <row r="232" spans="1:14" ht="14.45" customHeight="1" x14ac:dyDescent="0.2">
      <c r="A232" s="730" t="s">
        <v>575</v>
      </c>
      <c r="B232" s="731" t="s">
        <v>576</v>
      </c>
      <c r="C232" s="732" t="s">
        <v>589</v>
      </c>
      <c r="D232" s="733" t="s">
        <v>590</v>
      </c>
      <c r="E232" s="734">
        <v>50113001</v>
      </c>
      <c r="F232" s="733" t="s">
        <v>609</v>
      </c>
      <c r="G232" s="732" t="s">
        <v>610</v>
      </c>
      <c r="H232" s="732">
        <v>225261</v>
      </c>
      <c r="I232" s="732">
        <v>225261</v>
      </c>
      <c r="J232" s="732" t="s">
        <v>1007</v>
      </c>
      <c r="K232" s="732" t="s">
        <v>1008</v>
      </c>
      <c r="L232" s="735">
        <v>57.784615384615378</v>
      </c>
      <c r="M232" s="735">
        <v>13</v>
      </c>
      <c r="N232" s="736">
        <v>751.19999999999993</v>
      </c>
    </row>
    <row r="233" spans="1:14" ht="14.45" customHeight="1" x14ac:dyDescent="0.2">
      <c r="A233" s="730" t="s">
        <v>575</v>
      </c>
      <c r="B233" s="731" t="s">
        <v>576</v>
      </c>
      <c r="C233" s="732" t="s">
        <v>589</v>
      </c>
      <c r="D233" s="733" t="s">
        <v>590</v>
      </c>
      <c r="E233" s="734">
        <v>50113001</v>
      </c>
      <c r="F233" s="733" t="s">
        <v>609</v>
      </c>
      <c r="G233" s="732" t="s">
        <v>610</v>
      </c>
      <c r="H233" s="732">
        <v>100610</v>
      </c>
      <c r="I233" s="732">
        <v>610</v>
      </c>
      <c r="J233" s="732" t="s">
        <v>1009</v>
      </c>
      <c r="K233" s="732" t="s">
        <v>1010</v>
      </c>
      <c r="L233" s="735">
        <v>72.419999999999987</v>
      </c>
      <c r="M233" s="735">
        <v>15</v>
      </c>
      <c r="N233" s="736">
        <v>1086.2999999999997</v>
      </c>
    </row>
    <row r="234" spans="1:14" ht="14.45" customHeight="1" x14ac:dyDescent="0.2">
      <c r="A234" s="730" t="s">
        <v>575</v>
      </c>
      <c r="B234" s="731" t="s">
        <v>576</v>
      </c>
      <c r="C234" s="732" t="s">
        <v>589</v>
      </c>
      <c r="D234" s="733" t="s">
        <v>590</v>
      </c>
      <c r="E234" s="734">
        <v>50113001</v>
      </c>
      <c r="F234" s="733" t="s">
        <v>609</v>
      </c>
      <c r="G234" s="732" t="s">
        <v>610</v>
      </c>
      <c r="H234" s="732">
        <v>100612</v>
      </c>
      <c r="I234" s="732">
        <v>612</v>
      </c>
      <c r="J234" s="732" t="s">
        <v>1011</v>
      </c>
      <c r="K234" s="732" t="s">
        <v>651</v>
      </c>
      <c r="L234" s="735">
        <v>67.58</v>
      </c>
      <c r="M234" s="735">
        <v>1</v>
      </c>
      <c r="N234" s="736">
        <v>67.58</v>
      </c>
    </row>
    <row r="235" spans="1:14" ht="14.45" customHeight="1" x14ac:dyDescent="0.2">
      <c r="A235" s="730" t="s">
        <v>575</v>
      </c>
      <c r="B235" s="731" t="s">
        <v>576</v>
      </c>
      <c r="C235" s="732" t="s">
        <v>589</v>
      </c>
      <c r="D235" s="733" t="s">
        <v>590</v>
      </c>
      <c r="E235" s="734">
        <v>50113001</v>
      </c>
      <c r="F235" s="733" t="s">
        <v>609</v>
      </c>
      <c r="G235" s="732" t="s">
        <v>610</v>
      </c>
      <c r="H235" s="732">
        <v>395294</v>
      </c>
      <c r="I235" s="732">
        <v>180306</v>
      </c>
      <c r="J235" s="732" t="s">
        <v>1012</v>
      </c>
      <c r="K235" s="732" t="s">
        <v>1013</v>
      </c>
      <c r="L235" s="735">
        <v>204.38200000000001</v>
      </c>
      <c r="M235" s="735">
        <v>5</v>
      </c>
      <c r="N235" s="736">
        <v>1021.9100000000001</v>
      </c>
    </row>
    <row r="236" spans="1:14" ht="14.45" customHeight="1" x14ac:dyDescent="0.2">
      <c r="A236" s="730" t="s">
        <v>575</v>
      </c>
      <c r="B236" s="731" t="s">
        <v>576</v>
      </c>
      <c r="C236" s="732" t="s">
        <v>589</v>
      </c>
      <c r="D236" s="733" t="s">
        <v>590</v>
      </c>
      <c r="E236" s="734">
        <v>50113001</v>
      </c>
      <c r="F236" s="733" t="s">
        <v>609</v>
      </c>
      <c r="G236" s="732" t="s">
        <v>610</v>
      </c>
      <c r="H236" s="732">
        <v>158198</v>
      </c>
      <c r="I236" s="732">
        <v>158198</v>
      </c>
      <c r="J236" s="732" t="s">
        <v>1014</v>
      </c>
      <c r="K236" s="732" t="s">
        <v>1015</v>
      </c>
      <c r="L236" s="735">
        <v>196.97</v>
      </c>
      <c r="M236" s="735">
        <v>2</v>
      </c>
      <c r="N236" s="736">
        <v>393.94</v>
      </c>
    </row>
    <row r="237" spans="1:14" ht="14.45" customHeight="1" x14ac:dyDescent="0.2">
      <c r="A237" s="730" t="s">
        <v>575</v>
      </c>
      <c r="B237" s="731" t="s">
        <v>576</v>
      </c>
      <c r="C237" s="732" t="s">
        <v>589</v>
      </c>
      <c r="D237" s="733" t="s">
        <v>590</v>
      </c>
      <c r="E237" s="734">
        <v>50113001</v>
      </c>
      <c r="F237" s="733" t="s">
        <v>609</v>
      </c>
      <c r="G237" s="732" t="s">
        <v>610</v>
      </c>
      <c r="H237" s="732">
        <v>188415</v>
      </c>
      <c r="I237" s="732">
        <v>188415</v>
      </c>
      <c r="J237" s="732" t="s">
        <v>1016</v>
      </c>
      <c r="K237" s="732" t="s">
        <v>1017</v>
      </c>
      <c r="L237" s="735">
        <v>92.569999999999979</v>
      </c>
      <c r="M237" s="735">
        <v>1</v>
      </c>
      <c r="N237" s="736">
        <v>92.569999999999979</v>
      </c>
    </row>
    <row r="238" spans="1:14" ht="14.45" customHeight="1" x14ac:dyDescent="0.2">
      <c r="A238" s="730" t="s">
        <v>575</v>
      </c>
      <c r="B238" s="731" t="s">
        <v>576</v>
      </c>
      <c r="C238" s="732" t="s">
        <v>589</v>
      </c>
      <c r="D238" s="733" t="s">
        <v>590</v>
      </c>
      <c r="E238" s="734">
        <v>50113001</v>
      </c>
      <c r="F238" s="733" t="s">
        <v>609</v>
      </c>
      <c r="G238" s="732" t="s">
        <v>610</v>
      </c>
      <c r="H238" s="732">
        <v>100616</v>
      </c>
      <c r="I238" s="732">
        <v>616</v>
      </c>
      <c r="J238" s="732" t="s">
        <v>1018</v>
      </c>
      <c r="K238" s="732" t="s">
        <v>1019</v>
      </c>
      <c r="L238" s="735">
        <v>118.97999999999998</v>
      </c>
      <c r="M238" s="735">
        <v>2</v>
      </c>
      <c r="N238" s="736">
        <v>237.95999999999995</v>
      </c>
    </row>
    <row r="239" spans="1:14" ht="14.45" customHeight="1" x14ac:dyDescent="0.2">
      <c r="A239" s="730" t="s">
        <v>575</v>
      </c>
      <c r="B239" s="731" t="s">
        <v>576</v>
      </c>
      <c r="C239" s="732" t="s">
        <v>589</v>
      </c>
      <c r="D239" s="733" t="s">
        <v>590</v>
      </c>
      <c r="E239" s="734">
        <v>50113001</v>
      </c>
      <c r="F239" s="733" t="s">
        <v>609</v>
      </c>
      <c r="G239" s="732" t="s">
        <v>610</v>
      </c>
      <c r="H239" s="732">
        <v>848632</v>
      </c>
      <c r="I239" s="732">
        <v>125315</v>
      </c>
      <c r="J239" s="732" t="s">
        <v>1020</v>
      </c>
      <c r="K239" s="732" t="s">
        <v>1021</v>
      </c>
      <c r="L239" s="735">
        <v>58.150000000000006</v>
      </c>
      <c r="M239" s="735">
        <v>88</v>
      </c>
      <c r="N239" s="736">
        <v>5117.2000000000007</v>
      </c>
    </row>
    <row r="240" spans="1:14" ht="14.45" customHeight="1" x14ac:dyDescent="0.2">
      <c r="A240" s="730" t="s">
        <v>575</v>
      </c>
      <c r="B240" s="731" t="s">
        <v>576</v>
      </c>
      <c r="C240" s="732" t="s">
        <v>589</v>
      </c>
      <c r="D240" s="733" t="s">
        <v>590</v>
      </c>
      <c r="E240" s="734">
        <v>50113001</v>
      </c>
      <c r="F240" s="733" t="s">
        <v>609</v>
      </c>
      <c r="G240" s="732" t="s">
        <v>610</v>
      </c>
      <c r="H240" s="732">
        <v>191836</v>
      </c>
      <c r="I240" s="732">
        <v>91836</v>
      </c>
      <c r="J240" s="732" t="s">
        <v>1022</v>
      </c>
      <c r="K240" s="732" t="s">
        <v>1023</v>
      </c>
      <c r="L240" s="735">
        <v>44.61</v>
      </c>
      <c r="M240" s="735">
        <v>1</v>
      </c>
      <c r="N240" s="736">
        <v>44.61</v>
      </c>
    </row>
    <row r="241" spans="1:14" ht="14.45" customHeight="1" x14ac:dyDescent="0.2">
      <c r="A241" s="730" t="s">
        <v>575</v>
      </c>
      <c r="B241" s="731" t="s">
        <v>576</v>
      </c>
      <c r="C241" s="732" t="s">
        <v>589</v>
      </c>
      <c r="D241" s="733" t="s">
        <v>590</v>
      </c>
      <c r="E241" s="734">
        <v>50113001</v>
      </c>
      <c r="F241" s="733" t="s">
        <v>609</v>
      </c>
      <c r="G241" s="732" t="s">
        <v>610</v>
      </c>
      <c r="H241" s="732">
        <v>230433</v>
      </c>
      <c r="I241" s="732">
        <v>230433</v>
      </c>
      <c r="J241" s="732" t="s">
        <v>1024</v>
      </c>
      <c r="K241" s="732" t="s">
        <v>1025</v>
      </c>
      <c r="L241" s="735">
        <v>44.77</v>
      </c>
      <c r="M241" s="735">
        <v>1</v>
      </c>
      <c r="N241" s="736">
        <v>44.77</v>
      </c>
    </row>
    <row r="242" spans="1:14" ht="14.45" customHeight="1" x14ac:dyDescent="0.2">
      <c r="A242" s="730" t="s">
        <v>575</v>
      </c>
      <c r="B242" s="731" t="s">
        <v>576</v>
      </c>
      <c r="C242" s="732" t="s">
        <v>589</v>
      </c>
      <c r="D242" s="733" t="s">
        <v>590</v>
      </c>
      <c r="E242" s="734">
        <v>50113001</v>
      </c>
      <c r="F242" s="733" t="s">
        <v>609</v>
      </c>
      <c r="G242" s="732" t="s">
        <v>610</v>
      </c>
      <c r="H242" s="732">
        <v>201137</v>
      </c>
      <c r="I242" s="732">
        <v>201137</v>
      </c>
      <c r="J242" s="732" t="s">
        <v>1026</v>
      </c>
      <c r="K242" s="732" t="s">
        <v>1027</v>
      </c>
      <c r="L242" s="735">
        <v>23.29</v>
      </c>
      <c r="M242" s="735">
        <v>1</v>
      </c>
      <c r="N242" s="736">
        <v>23.29</v>
      </c>
    </row>
    <row r="243" spans="1:14" ht="14.45" customHeight="1" x14ac:dyDescent="0.2">
      <c r="A243" s="730" t="s">
        <v>575</v>
      </c>
      <c r="B243" s="731" t="s">
        <v>576</v>
      </c>
      <c r="C243" s="732" t="s">
        <v>589</v>
      </c>
      <c r="D243" s="733" t="s">
        <v>590</v>
      </c>
      <c r="E243" s="734">
        <v>50113001</v>
      </c>
      <c r="F243" s="733" t="s">
        <v>609</v>
      </c>
      <c r="G243" s="732" t="s">
        <v>610</v>
      </c>
      <c r="H243" s="732">
        <v>190975</v>
      </c>
      <c r="I243" s="732">
        <v>190975</v>
      </c>
      <c r="J243" s="732" t="s">
        <v>1028</v>
      </c>
      <c r="K243" s="732" t="s">
        <v>757</v>
      </c>
      <c r="L243" s="735">
        <v>640.02</v>
      </c>
      <c r="M243" s="735">
        <v>1</v>
      </c>
      <c r="N243" s="736">
        <v>640.02</v>
      </c>
    </row>
    <row r="244" spans="1:14" ht="14.45" customHeight="1" x14ac:dyDescent="0.2">
      <c r="A244" s="730" t="s">
        <v>575</v>
      </c>
      <c r="B244" s="731" t="s">
        <v>576</v>
      </c>
      <c r="C244" s="732" t="s">
        <v>589</v>
      </c>
      <c r="D244" s="733" t="s">
        <v>590</v>
      </c>
      <c r="E244" s="734">
        <v>50113001</v>
      </c>
      <c r="F244" s="733" t="s">
        <v>609</v>
      </c>
      <c r="G244" s="732" t="s">
        <v>610</v>
      </c>
      <c r="H244" s="732">
        <v>190958</v>
      </c>
      <c r="I244" s="732">
        <v>190958</v>
      </c>
      <c r="J244" s="732" t="s">
        <v>1029</v>
      </c>
      <c r="K244" s="732" t="s">
        <v>1030</v>
      </c>
      <c r="L244" s="735">
        <v>140.72</v>
      </c>
      <c r="M244" s="735">
        <v>1</v>
      </c>
      <c r="N244" s="736">
        <v>140.72</v>
      </c>
    </row>
    <row r="245" spans="1:14" ht="14.45" customHeight="1" x14ac:dyDescent="0.2">
      <c r="A245" s="730" t="s">
        <v>575</v>
      </c>
      <c r="B245" s="731" t="s">
        <v>576</v>
      </c>
      <c r="C245" s="732" t="s">
        <v>589</v>
      </c>
      <c r="D245" s="733" t="s">
        <v>590</v>
      </c>
      <c r="E245" s="734">
        <v>50113001</v>
      </c>
      <c r="F245" s="733" t="s">
        <v>609</v>
      </c>
      <c r="G245" s="732" t="s">
        <v>625</v>
      </c>
      <c r="H245" s="732">
        <v>56976</v>
      </c>
      <c r="I245" s="732">
        <v>56976</v>
      </c>
      <c r="J245" s="732" t="s">
        <v>1031</v>
      </c>
      <c r="K245" s="732" t="s">
        <v>1032</v>
      </c>
      <c r="L245" s="735">
        <v>11.830000000000002</v>
      </c>
      <c r="M245" s="735">
        <v>5</v>
      </c>
      <c r="N245" s="736">
        <v>59.150000000000006</v>
      </c>
    </row>
    <row r="246" spans="1:14" ht="14.45" customHeight="1" x14ac:dyDescent="0.2">
      <c r="A246" s="730" t="s">
        <v>575</v>
      </c>
      <c r="B246" s="731" t="s">
        <v>576</v>
      </c>
      <c r="C246" s="732" t="s">
        <v>589</v>
      </c>
      <c r="D246" s="733" t="s">
        <v>590</v>
      </c>
      <c r="E246" s="734">
        <v>50113001</v>
      </c>
      <c r="F246" s="733" t="s">
        <v>609</v>
      </c>
      <c r="G246" s="732" t="s">
        <v>610</v>
      </c>
      <c r="H246" s="732">
        <v>146444</v>
      </c>
      <c r="I246" s="732">
        <v>46444</v>
      </c>
      <c r="J246" s="732" t="s">
        <v>1033</v>
      </c>
      <c r="K246" s="732" t="s">
        <v>1034</v>
      </c>
      <c r="L246" s="735">
        <v>349.45</v>
      </c>
      <c r="M246" s="735">
        <v>1</v>
      </c>
      <c r="N246" s="736">
        <v>349.45</v>
      </c>
    </row>
    <row r="247" spans="1:14" ht="14.45" customHeight="1" x14ac:dyDescent="0.2">
      <c r="A247" s="730" t="s">
        <v>575</v>
      </c>
      <c r="B247" s="731" t="s">
        <v>576</v>
      </c>
      <c r="C247" s="732" t="s">
        <v>589</v>
      </c>
      <c r="D247" s="733" t="s">
        <v>590</v>
      </c>
      <c r="E247" s="734">
        <v>50113001</v>
      </c>
      <c r="F247" s="733" t="s">
        <v>609</v>
      </c>
      <c r="G247" s="732" t="s">
        <v>610</v>
      </c>
      <c r="H247" s="732">
        <v>154094</v>
      </c>
      <c r="I247" s="732">
        <v>54094</v>
      </c>
      <c r="J247" s="732" t="s">
        <v>1035</v>
      </c>
      <c r="K247" s="732" t="s">
        <v>1036</v>
      </c>
      <c r="L247" s="735">
        <v>111.23999999999998</v>
      </c>
      <c r="M247" s="735">
        <v>2</v>
      </c>
      <c r="N247" s="736">
        <v>222.47999999999996</v>
      </c>
    </row>
    <row r="248" spans="1:14" ht="14.45" customHeight="1" x14ac:dyDescent="0.2">
      <c r="A248" s="730" t="s">
        <v>575</v>
      </c>
      <c r="B248" s="731" t="s">
        <v>576</v>
      </c>
      <c r="C248" s="732" t="s">
        <v>589</v>
      </c>
      <c r="D248" s="733" t="s">
        <v>590</v>
      </c>
      <c r="E248" s="734">
        <v>50113001</v>
      </c>
      <c r="F248" s="733" t="s">
        <v>609</v>
      </c>
      <c r="G248" s="732" t="s">
        <v>625</v>
      </c>
      <c r="H248" s="732">
        <v>150318</v>
      </c>
      <c r="I248" s="732">
        <v>50318</v>
      </c>
      <c r="J248" s="732" t="s">
        <v>1037</v>
      </c>
      <c r="K248" s="732" t="s">
        <v>1038</v>
      </c>
      <c r="L248" s="735">
        <v>207.27</v>
      </c>
      <c r="M248" s="735">
        <v>1</v>
      </c>
      <c r="N248" s="736">
        <v>207.27</v>
      </c>
    </row>
    <row r="249" spans="1:14" ht="14.45" customHeight="1" x14ac:dyDescent="0.2">
      <c r="A249" s="730" t="s">
        <v>575</v>
      </c>
      <c r="B249" s="731" t="s">
        <v>576</v>
      </c>
      <c r="C249" s="732" t="s">
        <v>589</v>
      </c>
      <c r="D249" s="733" t="s">
        <v>590</v>
      </c>
      <c r="E249" s="734">
        <v>50113001</v>
      </c>
      <c r="F249" s="733" t="s">
        <v>609</v>
      </c>
      <c r="G249" s="732" t="s">
        <v>610</v>
      </c>
      <c r="H249" s="732">
        <v>850592</v>
      </c>
      <c r="I249" s="732">
        <v>148309</v>
      </c>
      <c r="J249" s="732" t="s">
        <v>1039</v>
      </c>
      <c r="K249" s="732" t="s">
        <v>1040</v>
      </c>
      <c r="L249" s="735">
        <v>323.81875000000002</v>
      </c>
      <c r="M249" s="735">
        <v>16</v>
      </c>
      <c r="N249" s="736">
        <v>5181.1000000000004</v>
      </c>
    </row>
    <row r="250" spans="1:14" ht="14.45" customHeight="1" x14ac:dyDescent="0.2">
      <c r="A250" s="730" t="s">
        <v>575</v>
      </c>
      <c r="B250" s="731" t="s">
        <v>576</v>
      </c>
      <c r="C250" s="732" t="s">
        <v>589</v>
      </c>
      <c r="D250" s="733" t="s">
        <v>590</v>
      </c>
      <c r="E250" s="734">
        <v>50113001</v>
      </c>
      <c r="F250" s="733" t="s">
        <v>609</v>
      </c>
      <c r="G250" s="732" t="s">
        <v>625</v>
      </c>
      <c r="H250" s="732">
        <v>237705</v>
      </c>
      <c r="I250" s="732">
        <v>237705</v>
      </c>
      <c r="J250" s="732" t="s">
        <v>1041</v>
      </c>
      <c r="K250" s="732" t="s">
        <v>1042</v>
      </c>
      <c r="L250" s="735">
        <v>81.126666666666679</v>
      </c>
      <c r="M250" s="735">
        <v>15</v>
      </c>
      <c r="N250" s="736">
        <v>1216.9000000000001</v>
      </c>
    </row>
    <row r="251" spans="1:14" ht="14.45" customHeight="1" x14ac:dyDescent="0.2">
      <c r="A251" s="730" t="s">
        <v>575</v>
      </c>
      <c r="B251" s="731" t="s">
        <v>576</v>
      </c>
      <c r="C251" s="732" t="s">
        <v>589</v>
      </c>
      <c r="D251" s="733" t="s">
        <v>590</v>
      </c>
      <c r="E251" s="734">
        <v>50113001</v>
      </c>
      <c r="F251" s="733" t="s">
        <v>609</v>
      </c>
      <c r="G251" s="732" t="s">
        <v>329</v>
      </c>
      <c r="H251" s="732">
        <v>231956</v>
      </c>
      <c r="I251" s="732">
        <v>231956</v>
      </c>
      <c r="J251" s="732" t="s">
        <v>1043</v>
      </c>
      <c r="K251" s="732" t="s">
        <v>1044</v>
      </c>
      <c r="L251" s="735">
        <v>50.065999999999995</v>
      </c>
      <c r="M251" s="735">
        <v>5</v>
      </c>
      <c r="N251" s="736">
        <v>250.32999999999998</v>
      </c>
    </row>
    <row r="252" spans="1:14" ht="14.45" customHeight="1" x14ac:dyDescent="0.2">
      <c r="A252" s="730" t="s">
        <v>575</v>
      </c>
      <c r="B252" s="731" t="s">
        <v>576</v>
      </c>
      <c r="C252" s="732" t="s">
        <v>589</v>
      </c>
      <c r="D252" s="733" t="s">
        <v>590</v>
      </c>
      <c r="E252" s="734">
        <v>50113001</v>
      </c>
      <c r="F252" s="733" t="s">
        <v>609</v>
      </c>
      <c r="G252" s="732" t="s">
        <v>625</v>
      </c>
      <c r="H252" s="732">
        <v>131934</v>
      </c>
      <c r="I252" s="732">
        <v>31934</v>
      </c>
      <c r="J252" s="732" t="s">
        <v>1043</v>
      </c>
      <c r="K252" s="732" t="s">
        <v>1044</v>
      </c>
      <c r="L252" s="735">
        <v>49.760000000000012</v>
      </c>
      <c r="M252" s="735">
        <v>2</v>
      </c>
      <c r="N252" s="736">
        <v>99.520000000000024</v>
      </c>
    </row>
    <row r="253" spans="1:14" ht="14.45" customHeight="1" x14ac:dyDescent="0.2">
      <c r="A253" s="730" t="s">
        <v>575</v>
      </c>
      <c r="B253" s="731" t="s">
        <v>576</v>
      </c>
      <c r="C253" s="732" t="s">
        <v>589</v>
      </c>
      <c r="D253" s="733" t="s">
        <v>590</v>
      </c>
      <c r="E253" s="734">
        <v>50113001</v>
      </c>
      <c r="F253" s="733" t="s">
        <v>609</v>
      </c>
      <c r="G253" s="732" t="s">
        <v>610</v>
      </c>
      <c r="H253" s="732">
        <v>846948</v>
      </c>
      <c r="I253" s="732">
        <v>122198</v>
      </c>
      <c r="J253" s="732" t="s">
        <v>1045</v>
      </c>
      <c r="K253" s="732" t="s">
        <v>1046</v>
      </c>
      <c r="L253" s="735">
        <v>36.086666666666673</v>
      </c>
      <c r="M253" s="735">
        <v>3</v>
      </c>
      <c r="N253" s="736">
        <v>108.26000000000002</v>
      </c>
    </row>
    <row r="254" spans="1:14" ht="14.45" customHeight="1" x14ac:dyDescent="0.2">
      <c r="A254" s="730" t="s">
        <v>575</v>
      </c>
      <c r="B254" s="731" t="s">
        <v>576</v>
      </c>
      <c r="C254" s="732" t="s">
        <v>589</v>
      </c>
      <c r="D254" s="733" t="s">
        <v>590</v>
      </c>
      <c r="E254" s="734">
        <v>50113001</v>
      </c>
      <c r="F254" s="733" t="s">
        <v>609</v>
      </c>
      <c r="G254" s="732" t="s">
        <v>610</v>
      </c>
      <c r="H254" s="732">
        <v>130434</v>
      </c>
      <c r="I254" s="732">
        <v>30434</v>
      </c>
      <c r="J254" s="732" t="s">
        <v>1047</v>
      </c>
      <c r="K254" s="732" t="s">
        <v>1048</v>
      </c>
      <c r="L254" s="735">
        <v>156.43</v>
      </c>
      <c r="M254" s="735">
        <v>4</v>
      </c>
      <c r="N254" s="736">
        <v>625.72</v>
      </c>
    </row>
    <row r="255" spans="1:14" ht="14.45" customHeight="1" x14ac:dyDescent="0.2">
      <c r="A255" s="730" t="s">
        <v>575</v>
      </c>
      <c r="B255" s="731" t="s">
        <v>576</v>
      </c>
      <c r="C255" s="732" t="s">
        <v>589</v>
      </c>
      <c r="D255" s="733" t="s">
        <v>590</v>
      </c>
      <c r="E255" s="734">
        <v>50113001</v>
      </c>
      <c r="F255" s="733" t="s">
        <v>609</v>
      </c>
      <c r="G255" s="732" t="s">
        <v>610</v>
      </c>
      <c r="H255" s="732">
        <v>100643</v>
      </c>
      <c r="I255" s="732">
        <v>643</v>
      </c>
      <c r="J255" s="732" t="s">
        <v>1049</v>
      </c>
      <c r="K255" s="732" t="s">
        <v>1050</v>
      </c>
      <c r="L255" s="735">
        <v>63.56</v>
      </c>
      <c r="M255" s="735">
        <v>1</v>
      </c>
      <c r="N255" s="736">
        <v>63.56</v>
      </c>
    </row>
    <row r="256" spans="1:14" ht="14.45" customHeight="1" x14ac:dyDescent="0.2">
      <c r="A256" s="730" t="s">
        <v>575</v>
      </c>
      <c r="B256" s="731" t="s">
        <v>576</v>
      </c>
      <c r="C256" s="732" t="s">
        <v>589</v>
      </c>
      <c r="D256" s="733" t="s">
        <v>590</v>
      </c>
      <c r="E256" s="734">
        <v>50113001</v>
      </c>
      <c r="F256" s="733" t="s">
        <v>609</v>
      </c>
      <c r="G256" s="732" t="s">
        <v>625</v>
      </c>
      <c r="H256" s="732">
        <v>192340</v>
      </c>
      <c r="I256" s="732">
        <v>192340</v>
      </c>
      <c r="J256" s="732" t="s">
        <v>1051</v>
      </c>
      <c r="K256" s="732" t="s">
        <v>1052</v>
      </c>
      <c r="L256" s="735">
        <v>73.739999999999995</v>
      </c>
      <c r="M256" s="735">
        <v>3</v>
      </c>
      <c r="N256" s="736">
        <v>221.21999999999997</v>
      </c>
    </row>
    <row r="257" spans="1:14" ht="14.45" customHeight="1" x14ac:dyDescent="0.2">
      <c r="A257" s="730" t="s">
        <v>575</v>
      </c>
      <c r="B257" s="731" t="s">
        <v>576</v>
      </c>
      <c r="C257" s="732" t="s">
        <v>589</v>
      </c>
      <c r="D257" s="733" t="s">
        <v>590</v>
      </c>
      <c r="E257" s="734">
        <v>50113001</v>
      </c>
      <c r="F257" s="733" t="s">
        <v>609</v>
      </c>
      <c r="G257" s="732" t="s">
        <v>625</v>
      </c>
      <c r="H257" s="732">
        <v>192342</v>
      </c>
      <c r="I257" s="732">
        <v>192342</v>
      </c>
      <c r="J257" s="732" t="s">
        <v>1053</v>
      </c>
      <c r="K257" s="732" t="s">
        <v>1054</v>
      </c>
      <c r="L257" s="735">
        <v>137.37</v>
      </c>
      <c r="M257" s="735">
        <v>1</v>
      </c>
      <c r="N257" s="736">
        <v>137.37</v>
      </c>
    </row>
    <row r="258" spans="1:14" ht="14.45" customHeight="1" x14ac:dyDescent="0.2">
      <c r="A258" s="730" t="s">
        <v>575</v>
      </c>
      <c r="B258" s="731" t="s">
        <v>576</v>
      </c>
      <c r="C258" s="732" t="s">
        <v>589</v>
      </c>
      <c r="D258" s="733" t="s">
        <v>590</v>
      </c>
      <c r="E258" s="734">
        <v>50113001</v>
      </c>
      <c r="F258" s="733" t="s">
        <v>609</v>
      </c>
      <c r="G258" s="732" t="s">
        <v>610</v>
      </c>
      <c r="H258" s="732">
        <v>148673</v>
      </c>
      <c r="I258" s="732">
        <v>148673</v>
      </c>
      <c r="J258" s="732" t="s">
        <v>1055</v>
      </c>
      <c r="K258" s="732" t="s">
        <v>1056</v>
      </c>
      <c r="L258" s="735">
        <v>146.12</v>
      </c>
      <c r="M258" s="735">
        <v>2</v>
      </c>
      <c r="N258" s="736">
        <v>292.24</v>
      </c>
    </row>
    <row r="259" spans="1:14" ht="14.45" customHeight="1" x14ac:dyDescent="0.2">
      <c r="A259" s="730" t="s">
        <v>575</v>
      </c>
      <c r="B259" s="731" t="s">
        <v>576</v>
      </c>
      <c r="C259" s="732" t="s">
        <v>589</v>
      </c>
      <c r="D259" s="733" t="s">
        <v>590</v>
      </c>
      <c r="E259" s="734">
        <v>50113001</v>
      </c>
      <c r="F259" s="733" t="s">
        <v>609</v>
      </c>
      <c r="G259" s="732" t="s">
        <v>610</v>
      </c>
      <c r="H259" s="732">
        <v>848469</v>
      </c>
      <c r="I259" s="732">
        <v>500719</v>
      </c>
      <c r="J259" s="732" t="s">
        <v>1057</v>
      </c>
      <c r="K259" s="732" t="s">
        <v>1058</v>
      </c>
      <c r="L259" s="735">
        <v>3960</v>
      </c>
      <c r="M259" s="735">
        <v>1</v>
      </c>
      <c r="N259" s="736">
        <v>3960</v>
      </c>
    </row>
    <row r="260" spans="1:14" ht="14.45" customHeight="1" x14ac:dyDescent="0.2">
      <c r="A260" s="730" t="s">
        <v>575</v>
      </c>
      <c r="B260" s="731" t="s">
        <v>576</v>
      </c>
      <c r="C260" s="732" t="s">
        <v>589</v>
      </c>
      <c r="D260" s="733" t="s">
        <v>590</v>
      </c>
      <c r="E260" s="734">
        <v>50113001</v>
      </c>
      <c r="F260" s="733" t="s">
        <v>609</v>
      </c>
      <c r="G260" s="732" t="s">
        <v>610</v>
      </c>
      <c r="H260" s="732">
        <v>117926</v>
      </c>
      <c r="I260" s="732">
        <v>201609</v>
      </c>
      <c r="J260" s="732" t="s">
        <v>1059</v>
      </c>
      <c r="K260" s="732" t="s">
        <v>1060</v>
      </c>
      <c r="L260" s="735">
        <v>44.06133333333333</v>
      </c>
      <c r="M260" s="735">
        <v>15</v>
      </c>
      <c r="N260" s="736">
        <v>660.92</v>
      </c>
    </row>
    <row r="261" spans="1:14" ht="14.45" customHeight="1" x14ac:dyDescent="0.2">
      <c r="A261" s="730" t="s">
        <v>575</v>
      </c>
      <c r="B261" s="731" t="s">
        <v>576</v>
      </c>
      <c r="C261" s="732" t="s">
        <v>589</v>
      </c>
      <c r="D261" s="733" t="s">
        <v>590</v>
      </c>
      <c r="E261" s="734">
        <v>50113001</v>
      </c>
      <c r="F261" s="733" t="s">
        <v>609</v>
      </c>
      <c r="G261" s="732" t="s">
        <v>625</v>
      </c>
      <c r="H261" s="732">
        <v>199600</v>
      </c>
      <c r="I261" s="732">
        <v>99600</v>
      </c>
      <c r="J261" s="732" t="s">
        <v>1061</v>
      </c>
      <c r="K261" s="732" t="s">
        <v>1062</v>
      </c>
      <c r="L261" s="735">
        <v>99.890000000000015</v>
      </c>
      <c r="M261" s="735">
        <v>2</v>
      </c>
      <c r="N261" s="736">
        <v>199.78000000000003</v>
      </c>
    </row>
    <row r="262" spans="1:14" ht="14.45" customHeight="1" x14ac:dyDescent="0.2">
      <c r="A262" s="730" t="s">
        <v>575</v>
      </c>
      <c r="B262" s="731" t="s">
        <v>576</v>
      </c>
      <c r="C262" s="732" t="s">
        <v>589</v>
      </c>
      <c r="D262" s="733" t="s">
        <v>590</v>
      </c>
      <c r="E262" s="734">
        <v>50113001</v>
      </c>
      <c r="F262" s="733" t="s">
        <v>609</v>
      </c>
      <c r="G262" s="732" t="s">
        <v>625</v>
      </c>
      <c r="H262" s="732">
        <v>105496</v>
      </c>
      <c r="I262" s="732">
        <v>5496</v>
      </c>
      <c r="J262" s="732" t="s">
        <v>1061</v>
      </c>
      <c r="K262" s="732" t="s">
        <v>1063</v>
      </c>
      <c r="L262" s="735">
        <v>75.185000000000002</v>
      </c>
      <c r="M262" s="735">
        <v>2</v>
      </c>
      <c r="N262" s="736">
        <v>150.37</v>
      </c>
    </row>
    <row r="263" spans="1:14" ht="14.45" customHeight="1" x14ac:dyDescent="0.2">
      <c r="A263" s="730" t="s">
        <v>575</v>
      </c>
      <c r="B263" s="731" t="s">
        <v>576</v>
      </c>
      <c r="C263" s="732" t="s">
        <v>589</v>
      </c>
      <c r="D263" s="733" t="s">
        <v>590</v>
      </c>
      <c r="E263" s="734">
        <v>50113001</v>
      </c>
      <c r="F263" s="733" t="s">
        <v>609</v>
      </c>
      <c r="G263" s="732" t="s">
        <v>625</v>
      </c>
      <c r="H263" s="732">
        <v>153950</v>
      </c>
      <c r="I263" s="732">
        <v>53950</v>
      </c>
      <c r="J263" s="732" t="s">
        <v>1064</v>
      </c>
      <c r="K263" s="732" t="s">
        <v>1065</v>
      </c>
      <c r="L263" s="735">
        <v>91.43</v>
      </c>
      <c r="M263" s="735">
        <v>1</v>
      </c>
      <c r="N263" s="736">
        <v>91.43</v>
      </c>
    </row>
    <row r="264" spans="1:14" ht="14.45" customHeight="1" x14ac:dyDescent="0.2">
      <c r="A264" s="730" t="s">
        <v>575</v>
      </c>
      <c r="B264" s="731" t="s">
        <v>576</v>
      </c>
      <c r="C264" s="732" t="s">
        <v>589</v>
      </c>
      <c r="D264" s="733" t="s">
        <v>590</v>
      </c>
      <c r="E264" s="734">
        <v>50113001</v>
      </c>
      <c r="F264" s="733" t="s">
        <v>609</v>
      </c>
      <c r="G264" s="732" t="s">
        <v>625</v>
      </c>
      <c r="H264" s="732">
        <v>233366</v>
      </c>
      <c r="I264" s="732">
        <v>233366</v>
      </c>
      <c r="J264" s="732" t="s">
        <v>1066</v>
      </c>
      <c r="K264" s="732" t="s">
        <v>1067</v>
      </c>
      <c r="L264" s="735">
        <v>45.522500000000001</v>
      </c>
      <c r="M264" s="735">
        <v>8</v>
      </c>
      <c r="N264" s="736">
        <v>364.18</v>
      </c>
    </row>
    <row r="265" spans="1:14" ht="14.45" customHeight="1" x14ac:dyDescent="0.2">
      <c r="A265" s="730" t="s">
        <v>575</v>
      </c>
      <c r="B265" s="731" t="s">
        <v>576</v>
      </c>
      <c r="C265" s="732" t="s">
        <v>589</v>
      </c>
      <c r="D265" s="733" t="s">
        <v>590</v>
      </c>
      <c r="E265" s="734">
        <v>50113001</v>
      </c>
      <c r="F265" s="733" t="s">
        <v>609</v>
      </c>
      <c r="G265" s="732" t="s">
        <v>625</v>
      </c>
      <c r="H265" s="732">
        <v>849578</v>
      </c>
      <c r="I265" s="732">
        <v>149480</v>
      </c>
      <c r="J265" s="732" t="s">
        <v>1068</v>
      </c>
      <c r="K265" s="732" t="s">
        <v>1069</v>
      </c>
      <c r="L265" s="735">
        <v>58.464285714285708</v>
      </c>
      <c r="M265" s="735">
        <v>7</v>
      </c>
      <c r="N265" s="736">
        <v>409.24999999999994</v>
      </c>
    </row>
    <row r="266" spans="1:14" ht="14.45" customHeight="1" x14ac:dyDescent="0.2">
      <c r="A266" s="730" t="s">
        <v>575</v>
      </c>
      <c r="B266" s="731" t="s">
        <v>576</v>
      </c>
      <c r="C266" s="732" t="s">
        <v>589</v>
      </c>
      <c r="D266" s="733" t="s">
        <v>590</v>
      </c>
      <c r="E266" s="734">
        <v>50113001</v>
      </c>
      <c r="F266" s="733" t="s">
        <v>609</v>
      </c>
      <c r="G266" s="732" t="s">
        <v>625</v>
      </c>
      <c r="H266" s="732">
        <v>149483</v>
      </c>
      <c r="I266" s="732">
        <v>149483</v>
      </c>
      <c r="J266" s="732" t="s">
        <v>1068</v>
      </c>
      <c r="K266" s="732" t="s">
        <v>1070</v>
      </c>
      <c r="L266" s="735">
        <v>138.94999999999999</v>
      </c>
      <c r="M266" s="735">
        <v>4</v>
      </c>
      <c r="N266" s="736">
        <v>555.79999999999995</v>
      </c>
    </row>
    <row r="267" spans="1:14" ht="14.45" customHeight="1" x14ac:dyDescent="0.2">
      <c r="A267" s="730" t="s">
        <v>575</v>
      </c>
      <c r="B267" s="731" t="s">
        <v>576</v>
      </c>
      <c r="C267" s="732" t="s">
        <v>589</v>
      </c>
      <c r="D267" s="733" t="s">
        <v>590</v>
      </c>
      <c r="E267" s="734">
        <v>50113002</v>
      </c>
      <c r="F267" s="733" t="s">
        <v>1071</v>
      </c>
      <c r="G267" s="732" t="s">
        <v>610</v>
      </c>
      <c r="H267" s="732">
        <v>213103</v>
      </c>
      <c r="I267" s="732">
        <v>213103</v>
      </c>
      <c r="J267" s="732" t="s">
        <v>1072</v>
      </c>
      <c r="K267" s="732" t="s">
        <v>1073</v>
      </c>
      <c r="L267" s="735">
        <v>3625.37</v>
      </c>
      <c r="M267" s="735">
        <v>1</v>
      </c>
      <c r="N267" s="736">
        <v>3625.37</v>
      </c>
    </row>
    <row r="268" spans="1:14" ht="14.45" customHeight="1" x14ac:dyDescent="0.2">
      <c r="A268" s="730" t="s">
        <v>575</v>
      </c>
      <c r="B268" s="731" t="s">
        <v>576</v>
      </c>
      <c r="C268" s="732" t="s">
        <v>589</v>
      </c>
      <c r="D268" s="733" t="s">
        <v>590</v>
      </c>
      <c r="E268" s="734">
        <v>50113006</v>
      </c>
      <c r="F268" s="733" t="s">
        <v>1074</v>
      </c>
      <c r="G268" s="732" t="s">
        <v>625</v>
      </c>
      <c r="H268" s="732">
        <v>987792</v>
      </c>
      <c r="I268" s="732">
        <v>33749</v>
      </c>
      <c r="J268" s="732" t="s">
        <v>1075</v>
      </c>
      <c r="K268" s="732" t="s">
        <v>1076</v>
      </c>
      <c r="L268" s="735">
        <v>96.55</v>
      </c>
      <c r="M268" s="735">
        <v>1</v>
      </c>
      <c r="N268" s="736">
        <v>96.55</v>
      </c>
    </row>
    <row r="269" spans="1:14" ht="14.45" customHeight="1" x14ac:dyDescent="0.2">
      <c r="A269" s="730" t="s">
        <v>575</v>
      </c>
      <c r="B269" s="731" t="s">
        <v>576</v>
      </c>
      <c r="C269" s="732" t="s">
        <v>589</v>
      </c>
      <c r="D269" s="733" t="s">
        <v>590</v>
      </c>
      <c r="E269" s="734">
        <v>50113006</v>
      </c>
      <c r="F269" s="733" t="s">
        <v>1074</v>
      </c>
      <c r="G269" s="732" t="s">
        <v>625</v>
      </c>
      <c r="H269" s="732">
        <v>33936</v>
      </c>
      <c r="I269" s="732">
        <v>33936</v>
      </c>
      <c r="J269" s="732" t="s">
        <v>1077</v>
      </c>
      <c r="K269" s="732" t="s">
        <v>1078</v>
      </c>
      <c r="L269" s="735">
        <v>31.350000000000005</v>
      </c>
      <c r="M269" s="735">
        <v>6</v>
      </c>
      <c r="N269" s="736">
        <v>188.10000000000002</v>
      </c>
    </row>
    <row r="270" spans="1:14" ht="14.45" customHeight="1" x14ac:dyDescent="0.2">
      <c r="A270" s="730" t="s">
        <v>575</v>
      </c>
      <c r="B270" s="731" t="s">
        <v>576</v>
      </c>
      <c r="C270" s="732" t="s">
        <v>589</v>
      </c>
      <c r="D270" s="733" t="s">
        <v>590</v>
      </c>
      <c r="E270" s="734">
        <v>50113006</v>
      </c>
      <c r="F270" s="733" t="s">
        <v>1074</v>
      </c>
      <c r="G270" s="732" t="s">
        <v>625</v>
      </c>
      <c r="H270" s="732">
        <v>33847</v>
      </c>
      <c r="I270" s="732">
        <v>33847</v>
      </c>
      <c r="J270" s="732" t="s">
        <v>1079</v>
      </c>
      <c r="K270" s="732" t="s">
        <v>1080</v>
      </c>
      <c r="L270" s="735">
        <v>125.36000198765743</v>
      </c>
      <c r="M270" s="735">
        <v>1</v>
      </c>
      <c r="N270" s="736">
        <v>125.36000198765743</v>
      </c>
    </row>
    <row r="271" spans="1:14" ht="14.45" customHeight="1" x14ac:dyDescent="0.2">
      <c r="A271" s="730" t="s">
        <v>575</v>
      </c>
      <c r="B271" s="731" t="s">
        <v>576</v>
      </c>
      <c r="C271" s="732" t="s">
        <v>589</v>
      </c>
      <c r="D271" s="733" t="s">
        <v>590</v>
      </c>
      <c r="E271" s="734">
        <v>50113006</v>
      </c>
      <c r="F271" s="733" t="s">
        <v>1074</v>
      </c>
      <c r="G271" s="732" t="s">
        <v>610</v>
      </c>
      <c r="H271" s="732">
        <v>841761</v>
      </c>
      <c r="I271" s="732">
        <v>0</v>
      </c>
      <c r="J271" s="732" t="s">
        <v>1081</v>
      </c>
      <c r="K271" s="732" t="s">
        <v>329</v>
      </c>
      <c r="L271" s="735">
        <v>137.25</v>
      </c>
      <c r="M271" s="735">
        <v>17</v>
      </c>
      <c r="N271" s="736">
        <v>2333.25</v>
      </c>
    </row>
    <row r="272" spans="1:14" ht="14.45" customHeight="1" x14ac:dyDescent="0.2">
      <c r="A272" s="730" t="s">
        <v>575</v>
      </c>
      <c r="B272" s="731" t="s">
        <v>576</v>
      </c>
      <c r="C272" s="732" t="s">
        <v>589</v>
      </c>
      <c r="D272" s="733" t="s">
        <v>590</v>
      </c>
      <c r="E272" s="734">
        <v>50113006</v>
      </c>
      <c r="F272" s="733" t="s">
        <v>1074</v>
      </c>
      <c r="G272" s="732" t="s">
        <v>625</v>
      </c>
      <c r="H272" s="732">
        <v>133220</v>
      </c>
      <c r="I272" s="732">
        <v>33220</v>
      </c>
      <c r="J272" s="732" t="s">
        <v>1082</v>
      </c>
      <c r="K272" s="732" t="s">
        <v>1083</v>
      </c>
      <c r="L272" s="735">
        <v>195.74999999999997</v>
      </c>
      <c r="M272" s="735">
        <v>1</v>
      </c>
      <c r="N272" s="736">
        <v>195.74999999999997</v>
      </c>
    </row>
    <row r="273" spans="1:14" ht="14.45" customHeight="1" x14ac:dyDescent="0.2">
      <c r="A273" s="730" t="s">
        <v>575</v>
      </c>
      <c r="B273" s="731" t="s">
        <v>576</v>
      </c>
      <c r="C273" s="732" t="s">
        <v>589</v>
      </c>
      <c r="D273" s="733" t="s">
        <v>590</v>
      </c>
      <c r="E273" s="734">
        <v>50113011</v>
      </c>
      <c r="F273" s="733" t="s">
        <v>1084</v>
      </c>
      <c r="G273" s="732"/>
      <c r="H273" s="732"/>
      <c r="I273" s="732">
        <v>158152</v>
      </c>
      <c r="J273" s="732" t="s">
        <v>1085</v>
      </c>
      <c r="K273" s="732" t="s">
        <v>1086</v>
      </c>
      <c r="L273" s="735">
        <v>912.99003906250005</v>
      </c>
      <c r="M273" s="735">
        <v>10</v>
      </c>
      <c r="N273" s="736">
        <v>9129.900390625</v>
      </c>
    </row>
    <row r="274" spans="1:14" ht="14.45" customHeight="1" x14ac:dyDescent="0.2">
      <c r="A274" s="730" t="s">
        <v>575</v>
      </c>
      <c r="B274" s="731" t="s">
        <v>576</v>
      </c>
      <c r="C274" s="732" t="s">
        <v>589</v>
      </c>
      <c r="D274" s="733" t="s">
        <v>590</v>
      </c>
      <c r="E274" s="734">
        <v>50113013</v>
      </c>
      <c r="F274" s="733" t="s">
        <v>1087</v>
      </c>
      <c r="G274" s="732" t="s">
        <v>610</v>
      </c>
      <c r="H274" s="732">
        <v>203097</v>
      </c>
      <c r="I274" s="732">
        <v>203097</v>
      </c>
      <c r="J274" s="732" t="s">
        <v>1088</v>
      </c>
      <c r="K274" s="732" t="s">
        <v>1089</v>
      </c>
      <c r="L274" s="735">
        <v>167.35333333333332</v>
      </c>
      <c r="M274" s="735">
        <v>9</v>
      </c>
      <c r="N274" s="736">
        <v>1506.1799999999998</v>
      </c>
    </row>
    <row r="275" spans="1:14" ht="14.45" customHeight="1" x14ac:dyDescent="0.2">
      <c r="A275" s="730" t="s">
        <v>575</v>
      </c>
      <c r="B275" s="731" t="s">
        <v>576</v>
      </c>
      <c r="C275" s="732" t="s">
        <v>589</v>
      </c>
      <c r="D275" s="733" t="s">
        <v>590</v>
      </c>
      <c r="E275" s="734">
        <v>50113013</v>
      </c>
      <c r="F275" s="733" t="s">
        <v>1087</v>
      </c>
      <c r="G275" s="732" t="s">
        <v>610</v>
      </c>
      <c r="H275" s="732">
        <v>172972</v>
      </c>
      <c r="I275" s="732">
        <v>72972</v>
      </c>
      <c r="J275" s="732" t="s">
        <v>1090</v>
      </c>
      <c r="K275" s="732" t="s">
        <v>1091</v>
      </c>
      <c r="L275" s="735">
        <v>203.72</v>
      </c>
      <c r="M275" s="735">
        <v>12</v>
      </c>
      <c r="N275" s="736">
        <v>2444.64</v>
      </c>
    </row>
    <row r="276" spans="1:14" ht="14.45" customHeight="1" x14ac:dyDescent="0.2">
      <c r="A276" s="730" t="s">
        <v>575</v>
      </c>
      <c r="B276" s="731" t="s">
        <v>576</v>
      </c>
      <c r="C276" s="732" t="s">
        <v>589</v>
      </c>
      <c r="D276" s="733" t="s">
        <v>590</v>
      </c>
      <c r="E276" s="734">
        <v>50113013</v>
      </c>
      <c r="F276" s="733" t="s">
        <v>1087</v>
      </c>
      <c r="G276" s="732" t="s">
        <v>610</v>
      </c>
      <c r="H276" s="732">
        <v>201961</v>
      </c>
      <c r="I276" s="732">
        <v>201961</v>
      </c>
      <c r="J276" s="732" t="s">
        <v>1092</v>
      </c>
      <c r="K276" s="732" t="s">
        <v>1093</v>
      </c>
      <c r="L276" s="735">
        <v>319.64999999999998</v>
      </c>
      <c r="M276" s="735">
        <v>6</v>
      </c>
      <c r="N276" s="736">
        <v>1917.8999999999999</v>
      </c>
    </row>
    <row r="277" spans="1:14" ht="14.45" customHeight="1" x14ac:dyDescent="0.2">
      <c r="A277" s="730" t="s">
        <v>575</v>
      </c>
      <c r="B277" s="731" t="s">
        <v>576</v>
      </c>
      <c r="C277" s="732" t="s">
        <v>589</v>
      </c>
      <c r="D277" s="733" t="s">
        <v>590</v>
      </c>
      <c r="E277" s="734">
        <v>50113013</v>
      </c>
      <c r="F277" s="733" t="s">
        <v>1087</v>
      </c>
      <c r="G277" s="732" t="s">
        <v>610</v>
      </c>
      <c r="H277" s="732">
        <v>136083</v>
      </c>
      <c r="I277" s="732">
        <v>136083</v>
      </c>
      <c r="J277" s="732" t="s">
        <v>1094</v>
      </c>
      <c r="K277" s="732" t="s">
        <v>1095</v>
      </c>
      <c r="L277" s="735">
        <v>455.60178807947028</v>
      </c>
      <c r="M277" s="735">
        <v>15.099999999999996</v>
      </c>
      <c r="N277" s="736">
        <v>6879.5869999999995</v>
      </c>
    </row>
    <row r="278" spans="1:14" ht="14.45" customHeight="1" x14ac:dyDescent="0.2">
      <c r="A278" s="730" t="s">
        <v>575</v>
      </c>
      <c r="B278" s="731" t="s">
        <v>576</v>
      </c>
      <c r="C278" s="732" t="s">
        <v>589</v>
      </c>
      <c r="D278" s="733" t="s">
        <v>590</v>
      </c>
      <c r="E278" s="734">
        <v>50113013</v>
      </c>
      <c r="F278" s="733" t="s">
        <v>1087</v>
      </c>
      <c r="G278" s="732" t="s">
        <v>610</v>
      </c>
      <c r="H278" s="732">
        <v>498791</v>
      </c>
      <c r="I278" s="732">
        <v>9999999</v>
      </c>
      <c r="J278" s="732" t="s">
        <v>1096</v>
      </c>
      <c r="K278" s="732" t="s">
        <v>1097</v>
      </c>
      <c r="L278" s="735">
        <v>1316.8649999999991</v>
      </c>
      <c r="M278" s="735">
        <v>9.1600000000000037</v>
      </c>
      <c r="N278" s="736">
        <v>12062.483399999997</v>
      </c>
    </row>
    <row r="279" spans="1:14" ht="14.45" customHeight="1" x14ac:dyDescent="0.2">
      <c r="A279" s="730" t="s">
        <v>575</v>
      </c>
      <c r="B279" s="731" t="s">
        <v>576</v>
      </c>
      <c r="C279" s="732" t="s">
        <v>589</v>
      </c>
      <c r="D279" s="733" t="s">
        <v>590</v>
      </c>
      <c r="E279" s="734">
        <v>50113013</v>
      </c>
      <c r="F279" s="733" t="s">
        <v>1087</v>
      </c>
      <c r="G279" s="732" t="s">
        <v>625</v>
      </c>
      <c r="H279" s="732">
        <v>164831</v>
      </c>
      <c r="I279" s="732">
        <v>64831</v>
      </c>
      <c r="J279" s="732" t="s">
        <v>1098</v>
      </c>
      <c r="K279" s="732" t="s">
        <v>1099</v>
      </c>
      <c r="L279" s="735">
        <v>196.01999999999998</v>
      </c>
      <c r="M279" s="735">
        <v>4</v>
      </c>
      <c r="N279" s="736">
        <v>784.07999999999993</v>
      </c>
    </row>
    <row r="280" spans="1:14" ht="14.45" customHeight="1" x14ac:dyDescent="0.2">
      <c r="A280" s="730" t="s">
        <v>575</v>
      </c>
      <c r="B280" s="731" t="s">
        <v>576</v>
      </c>
      <c r="C280" s="732" t="s">
        <v>589</v>
      </c>
      <c r="D280" s="733" t="s">
        <v>590</v>
      </c>
      <c r="E280" s="734">
        <v>50113013</v>
      </c>
      <c r="F280" s="733" t="s">
        <v>1087</v>
      </c>
      <c r="G280" s="732" t="s">
        <v>610</v>
      </c>
      <c r="H280" s="732">
        <v>183926</v>
      </c>
      <c r="I280" s="732">
        <v>183926</v>
      </c>
      <c r="J280" s="732" t="s">
        <v>1100</v>
      </c>
      <c r="K280" s="732" t="s">
        <v>1101</v>
      </c>
      <c r="L280" s="735">
        <v>129.30578947368414</v>
      </c>
      <c r="M280" s="735">
        <v>34.200000000000038</v>
      </c>
      <c r="N280" s="736">
        <v>4422.2580000000025</v>
      </c>
    </row>
    <row r="281" spans="1:14" ht="14.45" customHeight="1" x14ac:dyDescent="0.2">
      <c r="A281" s="730" t="s">
        <v>575</v>
      </c>
      <c r="B281" s="731" t="s">
        <v>576</v>
      </c>
      <c r="C281" s="732" t="s">
        <v>589</v>
      </c>
      <c r="D281" s="733" t="s">
        <v>590</v>
      </c>
      <c r="E281" s="734">
        <v>50113013</v>
      </c>
      <c r="F281" s="733" t="s">
        <v>1087</v>
      </c>
      <c r="G281" s="732" t="s">
        <v>610</v>
      </c>
      <c r="H281" s="732">
        <v>117171</v>
      </c>
      <c r="I281" s="732">
        <v>17171</v>
      </c>
      <c r="J281" s="732" t="s">
        <v>1102</v>
      </c>
      <c r="K281" s="732" t="s">
        <v>1103</v>
      </c>
      <c r="L281" s="735">
        <v>72.839999999999975</v>
      </c>
      <c r="M281" s="735">
        <v>2</v>
      </c>
      <c r="N281" s="736">
        <v>145.67999999999995</v>
      </c>
    </row>
    <row r="282" spans="1:14" ht="14.45" customHeight="1" x14ac:dyDescent="0.2">
      <c r="A282" s="730" t="s">
        <v>575</v>
      </c>
      <c r="B282" s="731" t="s">
        <v>576</v>
      </c>
      <c r="C282" s="732" t="s">
        <v>589</v>
      </c>
      <c r="D282" s="733" t="s">
        <v>590</v>
      </c>
      <c r="E282" s="734">
        <v>50113013</v>
      </c>
      <c r="F282" s="733" t="s">
        <v>1087</v>
      </c>
      <c r="G282" s="732" t="s">
        <v>610</v>
      </c>
      <c r="H282" s="732">
        <v>131656</v>
      </c>
      <c r="I282" s="732">
        <v>131656</v>
      </c>
      <c r="J282" s="732" t="s">
        <v>1104</v>
      </c>
      <c r="K282" s="732" t="s">
        <v>1105</v>
      </c>
      <c r="L282" s="735">
        <v>517</v>
      </c>
      <c r="M282" s="735">
        <v>1</v>
      </c>
      <c r="N282" s="736">
        <v>517</v>
      </c>
    </row>
    <row r="283" spans="1:14" ht="14.45" customHeight="1" x14ac:dyDescent="0.2">
      <c r="A283" s="730" t="s">
        <v>575</v>
      </c>
      <c r="B283" s="731" t="s">
        <v>576</v>
      </c>
      <c r="C283" s="732" t="s">
        <v>589</v>
      </c>
      <c r="D283" s="733" t="s">
        <v>590</v>
      </c>
      <c r="E283" s="734">
        <v>50113013</v>
      </c>
      <c r="F283" s="733" t="s">
        <v>1087</v>
      </c>
      <c r="G283" s="732" t="s">
        <v>329</v>
      </c>
      <c r="H283" s="732">
        <v>121240</v>
      </c>
      <c r="I283" s="732">
        <v>121240</v>
      </c>
      <c r="J283" s="732" t="s">
        <v>1106</v>
      </c>
      <c r="K283" s="732" t="s">
        <v>1107</v>
      </c>
      <c r="L283" s="735">
        <v>374</v>
      </c>
      <c r="M283" s="735">
        <v>13</v>
      </c>
      <c r="N283" s="736">
        <v>4862</v>
      </c>
    </row>
    <row r="284" spans="1:14" ht="14.45" customHeight="1" x14ac:dyDescent="0.2">
      <c r="A284" s="730" t="s">
        <v>575</v>
      </c>
      <c r="B284" s="731" t="s">
        <v>576</v>
      </c>
      <c r="C284" s="732" t="s">
        <v>589</v>
      </c>
      <c r="D284" s="733" t="s">
        <v>590</v>
      </c>
      <c r="E284" s="734">
        <v>50113013</v>
      </c>
      <c r="F284" s="733" t="s">
        <v>1087</v>
      </c>
      <c r="G284" s="732" t="s">
        <v>610</v>
      </c>
      <c r="H284" s="732">
        <v>162180</v>
      </c>
      <c r="I284" s="732">
        <v>162180</v>
      </c>
      <c r="J284" s="732" t="s">
        <v>1108</v>
      </c>
      <c r="K284" s="732" t="s">
        <v>1109</v>
      </c>
      <c r="L284" s="735">
        <v>341</v>
      </c>
      <c r="M284" s="735">
        <v>10.6</v>
      </c>
      <c r="N284" s="736">
        <v>3614.6</v>
      </c>
    </row>
    <row r="285" spans="1:14" ht="14.45" customHeight="1" x14ac:dyDescent="0.2">
      <c r="A285" s="730" t="s">
        <v>575</v>
      </c>
      <c r="B285" s="731" t="s">
        <v>576</v>
      </c>
      <c r="C285" s="732" t="s">
        <v>589</v>
      </c>
      <c r="D285" s="733" t="s">
        <v>590</v>
      </c>
      <c r="E285" s="734">
        <v>50113013</v>
      </c>
      <c r="F285" s="733" t="s">
        <v>1087</v>
      </c>
      <c r="G285" s="732" t="s">
        <v>610</v>
      </c>
      <c r="H285" s="732">
        <v>162187</v>
      </c>
      <c r="I285" s="732">
        <v>162187</v>
      </c>
      <c r="J285" s="732" t="s">
        <v>1110</v>
      </c>
      <c r="K285" s="732" t="s">
        <v>1111</v>
      </c>
      <c r="L285" s="735">
        <v>670.99998110221486</v>
      </c>
      <c r="M285" s="735">
        <v>12.6</v>
      </c>
      <c r="N285" s="736">
        <v>8454.5997618879064</v>
      </c>
    </row>
    <row r="286" spans="1:14" ht="14.45" customHeight="1" x14ac:dyDescent="0.2">
      <c r="A286" s="730" t="s">
        <v>575</v>
      </c>
      <c r="B286" s="731" t="s">
        <v>576</v>
      </c>
      <c r="C286" s="732" t="s">
        <v>589</v>
      </c>
      <c r="D286" s="733" t="s">
        <v>590</v>
      </c>
      <c r="E286" s="734">
        <v>50113013</v>
      </c>
      <c r="F286" s="733" t="s">
        <v>1087</v>
      </c>
      <c r="G286" s="732" t="s">
        <v>625</v>
      </c>
      <c r="H286" s="732">
        <v>849655</v>
      </c>
      <c r="I286" s="732">
        <v>129836</v>
      </c>
      <c r="J286" s="732" t="s">
        <v>1112</v>
      </c>
      <c r="K286" s="732" t="s">
        <v>1113</v>
      </c>
      <c r="L286" s="735">
        <v>263.99999999999994</v>
      </c>
      <c r="M286" s="735">
        <v>10</v>
      </c>
      <c r="N286" s="736">
        <v>2639.9999999999995</v>
      </c>
    </row>
    <row r="287" spans="1:14" ht="14.45" customHeight="1" x14ac:dyDescent="0.2">
      <c r="A287" s="730" t="s">
        <v>575</v>
      </c>
      <c r="B287" s="731" t="s">
        <v>576</v>
      </c>
      <c r="C287" s="732" t="s">
        <v>589</v>
      </c>
      <c r="D287" s="733" t="s">
        <v>590</v>
      </c>
      <c r="E287" s="734">
        <v>50113013</v>
      </c>
      <c r="F287" s="733" t="s">
        <v>1087</v>
      </c>
      <c r="G287" s="732" t="s">
        <v>625</v>
      </c>
      <c r="H287" s="732">
        <v>849887</v>
      </c>
      <c r="I287" s="732">
        <v>129834</v>
      </c>
      <c r="J287" s="732" t="s">
        <v>1114</v>
      </c>
      <c r="K287" s="732" t="s">
        <v>329</v>
      </c>
      <c r="L287" s="735">
        <v>150.69999999999999</v>
      </c>
      <c r="M287" s="735">
        <v>8</v>
      </c>
      <c r="N287" s="736">
        <v>1205.5999999999999</v>
      </c>
    </row>
    <row r="288" spans="1:14" ht="14.45" customHeight="1" x14ac:dyDescent="0.2">
      <c r="A288" s="730" t="s">
        <v>575</v>
      </c>
      <c r="B288" s="731" t="s">
        <v>576</v>
      </c>
      <c r="C288" s="732" t="s">
        <v>589</v>
      </c>
      <c r="D288" s="733" t="s">
        <v>590</v>
      </c>
      <c r="E288" s="734">
        <v>50113013</v>
      </c>
      <c r="F288" s="733" t="s">
        <v>1087</v>
      </c>
      <c r="G288" s="732" t="s">
        <v>610</v>
      </c>
      <c r="H288" s="732">
        <v>101066</v>
      </c>
      <c r="I288" s="732">
        <v>1066</v>
      </c>
      <c r="J288" s="732" t="s">
        <v>1115</v>
      </c>
      <c r="K288" s="732" t="s">
        <v>1116</v>
      </c>
      <c r="L288" s="735">
        <v>57.251999999999988</v>
      </c>
      <c r="M288" s="735">
        <v>5</v>
      </c>
      <c r="N288" s="736">
        <v>286.25999999999993</v>
      </c>
    </row>
    <row r="289" spans="1:14" ht="14.45" customHeight="1" x14ac:dyDescent="0.2">
      <c r="A289" s="730" t="s">
        <v>575</v>
      </c>
      <c r="B289" s="731" t="s">
        <v>576</v>
      </c>
      <c r="C289" s="732" t="s">
        <v>589</v>
      </c>
      <c r="D289" s="733" t="s">
        <v>590</v>
      </c>
      <c r="E289" s="734">
        <v>50113013</v>
      </c>
      <c r="F289" s="733" t="s">
        <v>1087</v>
      </c>
      <c r="G289" s="732" t="s">
        <v>610</v>
      </c>
      <c r="H289" s="732">
        <v>207280</v>
      </c>
      <c r="I289" s="732">
        <v>207280</v>
      </c>
      <c r="J289" s="732" t="s">
        <v>1117</v>
      </c>
      <c r="K289" s="732" t="s">
        <v>1118</v>
      </c>
      <c r="L289" s="735">
        <v>129.82000000000002</v>
      </c>
      <c r="M289" s="735">
        <v>1</v>
      </c>
      <c r="N289" s="736">
        <v>129.82000000000002</v>
      </c>
    </row>
    <row r="290" spans="1:14" ht="14.45" customHeight="1" x14ac:dyDescent="0.2">
      <c r="A290" s="730" t="s">
        <v>575</v>
      </c>
      <c r="B290" s="731" t="s">
        <v>576</v>
      </c>
      <c r="C290" s="732" t="s">
        <v>589</v>
      </c>
      <c r="D290" s="733" t="s">
        <v>590</v>
      </c>
      <c r="E290" s="734">
        <v>50113013</v>
      </c>
      <c r="F290" s="733" t="s">
        <v>1087</v>
      </c>
      <c r="G290" s="732" t="s">
        <v>610</v>
      </c>
      <c r="H290" s="732">
        <v>847476</v>
      </c>
      <c r="I290" s="732">
        <v>112782</v>
      </c>
      <c r="J290" s="732" t="s">
        <v>1119</v>
      </c>
      <c r="K290" s="732" t="s">
        <v>1120</v>
      </c>
      <c r="L290" s="735">
        <v>728.75</v>
      </c>
      <c r="M290" s="735">
        <v>1.75</v>
      </c>
      <c r="N290" s="736">
        <v>1275.3125</v>
      </c>
    </row>
    <row r="291" spans="1:14" ht="14.45" customHeight="1" x14ac:dyDescent="0.2">
      <c r="A291" s="730" t="s">
        <v>575</v>
      </c>
      <c r="B291" s="731" t="s">
        <v>576</v>
      </c>
      <c r="C291" s="732" t="s">
        <v>589</v>
      </c>
      <c r="D291" s="733" t="s">
        <v>590</v>
      </c>
      <c r="E291" s="734">
        <v>50113013</v>
      </c>
      <c r="F291" s="733" t="s">
        <v>1087</v>
      </c>
      <c r="G291" s="732" t="s">
        <v>610</v>
      </c>
      <c r="H291" s="732">
        <v>394618</v>
      </c>
      <c r="I291" s="732">
        <v>112786</v>
      </c>
      <c r="J291" s="732" t="s">
        <v>1121</v>
      </c>
      <c r="K291" s="732" t="s">
        <v>1122</v>
      </c>
      <c r="L291" s="735">
        <v>332.97933333333327</v>
      </c>
      <c r="M291" s="735">
        <v>3</v>
      </c>
      <c r="N291" s="736">
        <v>998.93799999999987</v>
      </c>
    </row>
    <row r="292" spans="1:14" ht="14.45" customHeight="1" x14ac:dyDescent="0.2">
      <c r="A292" s="730" t="s">
        <v>575</v>
      </c>
      <c r="B292" s="731" t="s">
        <v>576</v>
      </c>
      <c r="C292" s="732" t="s">
        <v>589</v>
      </c>
      <c r="D292" s="733" t="s">
        <v>590</v>
      </c>
      <c r="E292" s="734">
        <v>50113013</v>
      </c>
      <c r="F292" s="733" t="s">
        <v>1087</v>
      </c>
      <c r="G292" s="732" t="s">
        <v>610</v>
      </c>
      <c r="H292" s="732">
        <v>96414</v>
      </c>
      <c r="I292" s="732">
        <v>96414</v>
      </c>
      <c r="J292" s="732" t="s">
        <v>1123</v>
      </c>
      <c r="K292" s="732" t="s">
        <v>1124</v>
      </c>
      <c r="L292" s="735">
        <v>59.2</v>
      </c>
      <c r="M292" s="735">
        <v>4</v>
      </c>
      <c r="N292" s="736">
        <v>236.8</v>
      </c>
    </row>
    <row r="293" spans="1:14" ht="14.45" customHeight="1" x14ac:dyDescent="0.2">
      <c r="A293" s="730" t="s">
        <v>575</v>
      </c>
      <c r="B293" s="731" t="s">
        <v>576</v>
      </c>
      <c r="C293" s="732" t="s">
        <v>589</v>
      </c>
      <c r="D293" s="733" t="s">
        <v>590</v>
      </c>
      <c r="E293" s="734">
        <v>50113013</v>
      </c>
      <c r="F293" s="733" t="s">
        <v>1087</v>
      </c>
      <c r="G293" s="732" t="s">
        <v>610</v>
      </c>
      <c r="H293" s="732">
        <v>846019</v>
      </c>
      <c r="I293" s="732">
        <v>107744</v>
      </c>
      <c r="J293" s="732" t="s">
        <v>1125</v>
      </c>
      <c r="K293" s="732" t="s">
        <v>1126</v>
      </c>
      <c r="L293" s="735">
        <v>162.80000000000001</v>
      </c>
      <c r="M293" s="735">
        <v>1</v>
      </c>
      <c r="N293" s="736">
        <v>162.80000000000001</v>
      </c>
    </row>
    <row r="294" spans="1:14" ht="14.45" customHeight="1" x14ac:dyDescent="0.2">
      <c r="A294" s="730" t="s">
        <v>575</v>
      </c>
      <c r="B294" s="731" t="s">
        <v>576</v>
      </c>
      <c r="C294" s="732" t="s">
        <v>589</v>
      </c>
      <c r="D294" s="733" t="s">
        <v>590</v>
      </c>
      <c r="E294" s="734">
        <v>50113013</v>
      </c>
      <c r="F294" s="733" t="s">
        <v>1087</v>
      </c>
      <c r="G294" s="732" t="s">
        <v>295</v>
      </c>
      <c r="H294" s="732">
        <v>134595</v>
      </c>
      <c r="I294" s="732">
        <v>134595</v>
      </c>
      <c r="J294" s="732" t="s">
        <v>1127</v>
      </c>
      <c r="K294" s="732" t="s">
        <v>1128</v>
      </c>
      <c r="L294" s="735">
        <v>416.78000000000009</v>
      </c>
      <c r="M294" s="735">
        <v>1</v>
      </c>
      <c r="N294" s="736">
        <v>416.78000000000009</v>
      </c>
    </row>
    <row r="295" spans="1:14" ht="14.45" customHeight="1" x14ac:dyDescent="0.2">
      <c r="A295" s="730" t="s">
        <v>575</v>
      </c>
      <c r="B295" s="731" t="s">
        <v>576</v>
      </c>
      <c r="C295" s="732" t="s">
        <v>589</v>
      </c>
      <c r="D295" s="733" t="s">
        <v>590</v>
      </c>
      <c r="E295" s="734">
        <v>50113013</v>
      </c>
      <c r="F295" s="733" t="s">
        <v>1087</v>
      </c>
      <c r="G295" s="732" t="s">
        <v>625</v>
      </c>
      <c r="H295" s="732">
        <v>173750</v>
      </c>
      <c r="I295" s="732">
        <v>173750</v>
      </c>
      <c r="J295" s="732" t="s">
        <v>1129</v>
      </c>
      <c r="K295" s="732" t="s">
        <v>1130</v>
      </c>
      <c r="L295" s="735">
        <v>825.08</v>
      </c>
      <c r="M295" s="735">
        <v>6</v>
      </c>
      <c r="N295" s="736">
        <v>4950.4800000000005</v>
      </c>
    </row>
    <row r="296" spans="1:14" ht="14.45" customHeight="1" x14ac:dyDescent="0.2">
      <c r="A296" s="730" t="s">
        <v>575</v>
      </c>
      <c r="B296" s="731" t="s">
        <v>576</v>
      </c>
      <c r="C296" s="732" t="s">
        <v>589</v>
      </c>
      <c r="D296" s="733" t="s">
        <v>590</v>
      </c>
      <c r="E296" s="734">
        <v>50113013</v>
      </c>
      <c r="F296" s="733" t="s">
        <v>1087</v>
      </c>
      <c r="G296" s="732" t="s">
        <v>329</v>
      </c>
      <c r="H296" s="732">
        <v>224407</v>
      </c>
      <c r="I296" s="732">
        <v>224407</v>
      </c>
      <c r="J296" s="732" t="s">
        <v>1131</v>
      </c>
      <c r="K296" s="732" t="s">
        <v>1132</v>
      </c>
      <c r="L296" s="735">
        <v>188.45999999999995</v>
      </c>
      <c r="M296" s="735">
        <v>3</v>
      </c>
      <c r="N296" s="736">
        <v>565.37999999999988</v>
      </c>
    </row>
    <row r="297" spans="1:14" ht="14.45" customHeight="1" x14ac:dyDescent="0.2">
      <c r="A297" s="730" t="s">
        <v>575</v>
      </c>
      <c r="B297" s="731" t="s">
        <v>576</v>
      </c>
      <c r="C297" s="732" t="s">
        <v>589</v>
      </c>
      <c r="D297" s="733" t="s">
        <v>590</v>
      </c>
      <c r="E297" s="734">
        <v>50113013</v>
      </c>
      <c r="F297" s="733" t="s">
        <v>1087</v>
      </c>
      <c r="G297" s="732" t="s">
        <v>610</v>
      </c>
      <c r="H297" s="732">
        <v>193465</v>
      </c>
      <c r="I297" s="732">
        <v>93465</v>
      </c>
      <c r="J297" s="732" t="s">
        <v>1133</v>
      </c>
      <c r="K297" s="732" t="s">
        <v>1134</v>
      </c>
      <c r="L297" s="735">
        <v>76.659999999999982</v>
      </c>
      <c r="M297" s="735">
        <v>1</v>
      </c>
      <c r="N297" s="736">
        <v>76.659999999999982</v>
      </c>
    </row>
    <row r="298" spans="1:14" ht="14.45" customHeight="1" x14ac:dyDescent="0.2">
      <c r="A298" s="730" t="s">
        <v>575</v>
      </c>
      <c r="B298" s="731" t="s">
        <v>576</v>
      </c>
      <c r="C298" s="732" t="s">
        <v>589</v>
      </c>
      <c r="D298" s="733" t="s">
        <v>590</v>
      </c>
      <c r="E298" s="734">
        <v>50113013</v>
      </c>
      <c r="F298" s="733" t="s">
        <v>1087</v>
      </c>
      <c r="G298" s="732" t="s">
        <v>610</v>
      </c>
      <c r="H298" s="732">
        <v>201970</v>
      </c>
      <c r="I298" s="732">
        <v>201970</v>
      </c>
      <c r="J298" s="732" t="s">
        <v>1135</v>
      </c>
      <c r="K298" s="732" t="s">
        <v>1136</v>
      </c>
      <c r="L298" s="735">
        <v>72.109999999999971</v>
      </c>
      <c r="M298" s="735">
        <v>3</v>
      </c>
      <c r="N298" s="736">
        <v>216.32999999999993</v>
      </c>
    </row>
    <row r="299" spans="1:14" ht="14.45" customHeight="1" x14ac:dyDescent="0.2">
      <c r="A299" s="730" t="s">
        <v>575</v>
      </c>
      <c r="B299" s="731" t="s">
        <v>576</v>
      </c>
      <c r="C299" s="732" t="s">
        <v>589</v>
      </c>
      <c r="D299" s="733" t="s">
        <v>590</v>
      </c>
      <c r="E299" s="734">
        <v>50113013</v>
      </c>
      <c r="F299" s="733" t="s">
        <v>1087</v>
      </c>
      <c r="G299" s="732" t="s">
        <v>610</v>
      </c>
      <c r="H299" s="732">
        <v>201974</v>
      </c>
      <c r="I299" s="732">
        <v>201974</v>
      </c>
      <c r="J299" s="732" t="s">
        <v>1137</v>
      </c>
      <c r="K299" s="732" t="s">
        <v>1138</v>
      </c>
      <c r="L299" s="735">
        <v>217.97</v>
      </c>
      <c r="M299" s="735">
        <v>1</v>
      </c>
      <c r="N299" s="736">
        <v>217.97</v>
      </c>
    </row>
    <row r="300" spans="1:14" ht="14.45" customHeight="1" x14ac:dyDescent="0.2">
      <c r="A300" s="730" t="s">
        <v>575</v>
      </c>
      <c r="B300" s="731" t="s">
        <v>576</v>
      </c>
      <c r="C300" s="732" t="s">
        <v>589</v>
      </c>
      <c r="D300" s="733" t="s">
        <v>590</v>
      </c>
      <c r="E300" s="734">
        <v>50113013</v>
      </c>
      <c r="F300" s="733" t="s">
        <v>1087</v>
      </c>
      <c r="G300" s="732" t="s">
        <v>610</v>
      </c>
      <c r="H300" s="732">
        <v>192359</v>
      </c>
      <c r="I300" s="732">
        <v>92359</v>
      </c>
      <c r="J300" s="732" t="s">
        <v>1139</v>
      </c>
      <c r="K300" s="732" t="s">
        <v>1140</v>
      </c>
      <c r="L300" s="735">
        <v>43.639999999999993</v>
      </c>
      <c r="M300" s="735">
        <v>180</v>
      </c>
      <c r="N300" s="736">
        <v>7855.1999999999989</v>
      </c>
    </row>
    <row r="301" spans="1:14" ht="14.45" customHeight="1" x14ac:dyDescent="0.2">
      <c r="A301" s="730" t="s">
        <v>575</v>
      </c>
      <c r="B301" s="731" t="s">
        <v>576</v>
      </c>
      <c r="C301" s="732" t="s">
        <v>589</v>
      </c>
      <c r="D301" s="733" t="s">
        <v>590</v>
      </c>
      <c r="E301" s="734">
        <v>50113013</v>
      </c>
      <c r="F301" s="733" t="s">
        <v>1087</v>
      </c>
      <c r="G301" s="732" t="s">
        <v>329</v>
      </c>
      <c r="H301" s="732">
        <v>201030</v>
      </c>
      <c r="I301" s="732">
        <v>201030</v>
      </c>
      <c r="J301" s="732" t="s">
        <v>1141</v>
      </c>
      <c r="K301" s="732" t="s">
        <v>1142</v>
      </c>
      <c r="L301" s="735">
        <v>33.4</v>
      </c>
      <c r="M301" s="735">
        <v>160</v>
      </c>
      <c r="N301" s="736">
        <v>5344</v>
      </c>
    </row>
    <row r="302" spans="1:14" ht="14.45" customHeight="1" x14ac:dyDescent="0.2">
      <c r="A302" s="730" t="s">
        <v>575</v>
      </c>
      <c r="B302" s="731" t="s">
        <v>576</v>
      </c>
      <c r="C302" s="732" t="s">
        <v>589</v>
      </c>
      <c r="D302" s="733" t="s">
        <v>590</v>
      </c>
      <c r="E302" s="734">
        <v>50113013</v>
      </c>
      <c r="F302" s="733" t="s">
        <v>1087</v>
      </c>
      <c r="G302" s="732" t="s">
        <v>610</v>
      </c>
      <c r="H302" s="732">
        <v>106264</v>
      </c>
      <c r="I302" s="732">
        <v>6264</v>
      </c>
      <c r="J302" s="732" t="s">
        <v>1143</v>
      </c>
      <c r="K302" s="732" t="s">
        <v>1144</v>
      </c>
      <c r="L302" s="735">
        <v>31.639999999999997</v>
      </c>
      <c r="M302" s="735">
        <v>5</v>
      </c>
      <c r="N302" s="736">
        <v>158.19999999999999</v>
      </c>
    </row>
    <row r="303" spans="1:14" ht="14.45" customHeight="1" x14ac:dyDescent="0.2">
      <c r="A303" s="730" t="s">
        <v>575</v>
      </c>
      <c r="B303" s="731" t="s">
        <v>576</v>
      </c>
      <c r="C303" s="732" t="s">
        <v>589</v>
      </c>
      <c r="D303" s="733" t="s">
        <v>590</v>
      </c>
      <c r="E303" s="734">
        <v>50113013</v>
      </c>
      <c r="F303" s="733" t="s">
        <v>1087</v>
      </c>
      <c r="G303" s="732" t="s">
        <v>625</v>
      </c>
      <c r="H303" s="732">
        <v>126127</v>
      </c>
      <c r="I303" s="732">
        <v>26127</v>
      </c>
      <c r="J303" s="732" t="s">
        <v>1145</v>
      </c>
      <c r="K303" s="732" t="s">
        <v>1146</v>
      </c>
      <c r="L303" s="735">
        <v>2237.73</v>
      </c>
      <c r="M303" s="735">
        <v>4</v>
      </c>
      <c r="N303" s="736">
        <v>8950.92</v>
      </c>
    </row>
    <row r="304" spans="1:14" ht="14.45" customHeight="1" x14ac:dyDescent="0.2">
      <c r="A304" s="730" t="s">
        <v>575</v>
      </c>
      <c r="B304" s="731" t="s">
        <v>576</v>
      </c>
      <c r="C304" s="732" t="s">
        <v>589</v>
      </c>
      <c r="D304" s="733" t="s">
        <v>590</v>
      </c>
      <c r="E304" s="734">
        <v>50113013</v>
      </c>
      <c r="F304" s="733" t="s">
        <v>1087</v>
      </c>
      <c r="G304" s="732" t="s">
        <v>610</v>
      </c>
      <c r="H304" s="732">
        <v>117149</v>
      </c>
      <c r="I304" s="732">
        <v>17149</v>
      </c>
      <c r="J304" s="732" t="s">
        <v>1147</v>
      </c>
      <c r="K304" s="732" t="s">
        <v>1148</v>
      </c>
      <c r="L304" s="735">
        <v>162.53</v>
      </c>
      <c r="M304" s="735">
        <v>16</v>
      </c>
      <c r="N304" s="736">
        <v>2600.48</v>
      </c>
    </row>
    <row r="305" spans="1:14" ht="14.45" customHeight="1" x14ac:dyDescent="0.2">
      <c r="A305" s="730" t="s">
        <v>575</v>
      </c>
      <c r="B305" s="731" t="s">
        <v>576</v>
      </c>
      <c r="C305" s="732" t="s">
        <v>589</v>
      </c>
      <c r="D305" s="733" t="s">
        <v>590</v>
      </c>
      <c r="E305" s="734">
        <v>50113013</v>
      </c>
      <c r="F305" s="733" t="s">
        <v>1087</v>
      </c>
      <c r="G305" s="732" t="s">
        <v>625</v>
      </c>
      <c r="H305" s="732">
        <v>166269</v>
      </c>
      <c r="I305" s="732">
        <v>166269</v>
      </c>
      <c r="J305" s="732" t="s">
        <v>1149</v>
      </c>
      <c r="K305" s="732" t="s">
        <v>1150</v>
      </c>
      <c r="L305" s="735">
        <v>52.88</v>
      </c>
      <c r="M305" s="735">
        <v>70</v>
      </c>
      <c r="N305" s="736">
        <v>3701.6000000000004</v>
      </c>
    </row>
    <row r="306" spans="1:14" ht="14.45" customHeight="1" x14ac:dyDescent="0.2">
      <c r="A306" s="730" t="s">
        <v>575</v>
      </c>
      <c r="B306" s="731" t="s">
        <v>576</v>
      </c>
      <c r="C306" s="732" t="s">
        <v>589</v>
      </c>
      <c r="D306" s="733" t="s">
        <v>590</v>
      </c>
      <c r="E306" s="734">
        <v>50113013</v>
      </c>
      <c r="F306" s="733" t="s">
        <v>1087</v>
      </c>
      <c r="G306" s="732" t="s">
        <v>625</v>
      </c>
      <c r="H306" s="732">
        <v>166265</v>
      </c>
      <c r="I306" s="732">
        <v>166265</v>
      </c>
      <c r="J306" s="732" t="s">
        <v>1151</v>
      </c>
      <c r="K306" s="732" t="s">
        <v>1152</v>
      </c>
      <c r="L306" s="735">
        <v>33.388000000000005</v>
      </c>
      <c r="M306" s="735">
        <v>50</v>
      </c>
      <c r="N306" s="736">
        <v>1669.4</v>
      </c>
    </row>
    <row r="307" spans="1:14" ht="14.45" customHeight="1" x14ac:dyDescent="0.2">
      <c r="A307" s="730" t="s">
        <v>575</v>
      </c>
      <c r="B307" s="731" t="s">
        <v>576</v>
      </c>
      <c r="C307" s="732" t="s">
        <v>589</v>
      </c>
      <c r="D307" s="733" t="s">
        <v>590</v>
      </c>
      <c r="E307" s="734">
        <v>50113014</v>
      </c>
      <c r="F307" s="733" t="s">
        <v>1153</v>
      </c>
      <c r="G307" s="732" t="s">
        <v>610</v>
      </c>
      <c r="H307" s="732">
        <v>176150</v>
      </c>
      <c r="I307" s="732">
        <v>76150</v>
      </c>
      <c r="J307" s="732" t="s">
        <v>1154</v>
      </c>
      <c r="K307" s="732" t="s">
        <v>1155</v>
      </c>
      <c r="L307" s="735">
        <v>117.38</v>
      </c>
      <c r="M307" s="735">
        <v>2</v>
      </c>
      <c r="N307" s="736">
        <v>234.76</v>
      </c>
    </row>
    <row r="308" spans="1:14" ht="14.45" customHeight="1" x14ac:dyDescent="0.2">
      <c r="A308" s="730" t="s">
        <v>575</v>
      </c>
      <c r="B308" s="731" t="s">
        <v>576</v>
      </c>
      <c r="C308" s="732" t="s">
        <v>589</v>
      </c>
      <c r="D308" s="733" t="s">
        <v>590</v>
      </c>
      <c r="E308" s="734">
        <v>50113014</v>
      </c>
      <c r="F308" s="733" t="s">
        <v>1153</v>
      </c>
      <c r="G308" s="732" t="s">
        <v>610</v>
      </c>
      <c r="H308" s="732">
        <v>176152</v>
      </c>
      <c r="I308" s="732">
        <v>76152</v>
      </c>
      <c r="J308" s="732" t="s">
        <v>1156</v>
      </c>
      <c r="K308" s="732" t="s">
        <v>1157</v>
      </c>
      <c r="L308" s="735">
        <v>134.37000000000003</v>
      </c>
      <c r="M308" s="735">
        <v>2</v>
      </c>
      <c r="N308" s="736">
        <v>268.74000000000007</v>
      </c>
    </row>
    <row r="309" spans="1:14" ht="14.45" customHeight="1" x14ac:dyDescent="0.2">
      <c r="A309" s="730" t="s">
        <v>575</v>
      </c>
      <c r="B309" s="731" t="s">
        <v>576</v>
      </c>
      <c r="C309" s="732" t="s">
        <v>589</v>
      </c>
      <c r="D309" s="733" t="s">
        <v>590</v>
      </c>
      <c r="E309" s="734">
        <v>50113014</v>
      </c>
      <c r="F309" s="733" t="s">
        <v>1153</v>
      </c>
      <c r="G309" s="732" t="s">
        <v>625</v>
      </c>
      <c r="H309" s="732">
        <v>164407</v>
      </c>
      <c r="I309" s="732">
        <v>164407</v>
      </c>
      <c r="J309" s="732" t="s">
        <v>1158</v>
      </c>
      <c r="K309" s="732" t="s">
        <v>1159</v>
      </c>
      <c r="L309" s="735">
        <v>0</v>
      </c>
      <c r="M309" s="735">
        <v>0</v>
      </c>
      <c r="N309" s="736">
        <v>0</v>
      </c>
    </row>
    <row r="310" spans="1:14" ht="14.45" customHeight="1" x14ac:dyDescent="0.2">
      <c r="A310" s="730" t="s">
        <v>575</v>
      </c>
      <c r="B310" s="731" t="s">
        <v>576</v>
      </c>
      <c r="C310" s="732" t="s">
        <v>594</v>
      </c>
      <c r="D310" s="733" t="s">
        <v>595</v>
      </c>
      <c r="E310" s="734">
        <v>50113001</v>
      </c>
      <c r="F310" s="733" t="s">
        <v>609</v>
      </c>
      <c r="G310" s="732" t="s">
        <v>610</v>
      </c>
      <c r="H310" s="732">
        <v>100362</v>
      </c>
      <c r="I310" s="732">
        <v>362</v>
      </c>
      <c r="J310" s="732" t="s">
        <v>615</v>
      </c>
      <c r="K310" s="732" t="s">
        <v>616</v>
      </c>
      <c r="L310" s="735">
        <v>72.569999999999965</v>
      </c>
      <c r="M310" s="735">
        <v>1</v>
      </c>
      <c r="N310" s="736">
        <v>72.569999999999965</v>
      </c>
    </row>
    <row r="311" spans="1:14" ht="14.45" customHeight="1" x14ac:dyDescent="0.2">
      <c r="A311" s="730" t="s">
        <v>575</v>
      </c>
      <c r="B311" s="731" t="s">
        <v>576</v>
      </c>
      <c r="C311" s="732" t="s">
        <v>594</v>
      </c>
      <c r="D311" s="733" t="s">
        <v>595</v>
      </c>
      <c r="E311" s="734">
        <v>50113001</v>
      </c>
      <c r="F311" s="733" t="s">
        <v>609</v>
      </c>
      <c r="G311" s="732" t="s">
        <v>610</v>
      </c>
      <c r="H311" s="732">
        <v>930444</v>
      </c>
      <c r="I311" s="732">
        <v>0</v>
      </c>
      <c r="J311" s="732" t="s">
        <v>1160</v>
      </c>
      <c r="K311" s="732" t="s">
        <v>329</v>
      </c>
      <c r="L311" s="735">
        <v>48.424572674444846</v>
      </c>
      <c r="M311" s="735">
        <v>1</v>
      </c>
      <c r="N311" s="736">
        <v>48.424572674444846</v>
      </c>
    </row>
    <row r="312" spans="1:14" ht="14.45" customHeight="1" x14ac:dyDescent="0.2">
      <c r="A312" s="730" t="s">
        <v>575</v>
      </c>
      <c r="B312" s="731" t="s">
        <v>576</v>
      </c>
      <c r="C312" s="732" t="s">
        <v>594</v>
      </c>
      <c r="D312" s="733" t="s">
        <v>595</v>
      </c>
      <c r="E312" s="734">
        <v>50113001</v>
      </c>
      <c r="F312" s="733" t="s">
        <v>609</v>
      </c>
      <c r="G312" s="732" t="s">
        <v>329</v>
      </c>
      <c r="H312" s="732">
        <v>231956</v>
      </c>
      <c r="I312" s="732">
        <v>231956</v>
      </c>
      <c r="J312" s="732" t="s">
        <v>1043</v>
      </c>
      <c r="K312" s="732" t="s">
        <v>1044</v>
      </c>
      <c r="L312" s="735">
        <v>50.27</v>
      </c>
      <c r="M312" s="735">
        <v>1</v>
      </c>
      <c r="N312" s="736">
        <v>50.27</v>
      </c>
    </row>
    <row r="313" spans="1:14" ht="14.45" customHeight="1" x14ac:dyDescent="0.2">
      <c r="A313" s="730" t="s">
        <v>575</v>
      </c>
      <c r="B313" s="731" t="s">
        <v>576</v>
      </c>
      <c r="C313" s="732" t="s">
        <v>597</v>
      </c>
      <c r="D313" s="733" t="s">
        <v>598</v>
      </c>
      <c r="E313" s="734">
        <v>50113001</v>
      </c>
      <c r="F313" s="733" t="s">
        <v>609</v>
      </c>
      <c r="G313" s="732" t="s">
        <v>610</v>
      </c>
      <c r="H313" s="732">
        <v>846758</v>
      </c>
      <c r="I313" s="732">
        <v>103387</v>
      </c>
      <c r="J313" s="732" t="s">
        <v>1161</v>
      </c>
      <c r="K313" s="732" t="s">
        <v>1162</v>
      </c>
      <c r="L313" s="735">
        <v>80.509999999999991</v>
      </c>
      <c r="M313" s="735">
        <v>3</v>
      </c>
      <c r="N313" s="736">
        <v>241.52999999999997</v>
      </c>
    </row>
    <row r="314" spans="1:14" ht="14.45" customHeight="1" x14ac:dyDescent="0.2">
      <c r="A314" s="730" t="s">
        <v>575</v>
      </c>
      <c r="B314" s="731" t="s">
        <v>576</v>
      </c>
      <c r="C314" s="732" t="s">
        <v>597</v>
      </c>
      <c r="D314" s="733" t="s">
        <v>598</v>
      </c>
      <c r="E314" s="734">
        <v>50113001</v>
      </c>
      <c r="F314" s="733" t="s">
        <v>609</v>
      </c>
      <c r="G314" s="732" t="s">
        <v>610</v>
      </c>
      <c r="H314" s="732">
        <v>192729</v>
      </c>
      <c r="I314" s="732">
        <v>92729</v>
      </c>
      <c r="J314" s="732" t="s">
        <v>1163</v>
      </c>
      <c r="K314" s="732" t="s">
        <v>1164</v>
      </c>
      <c r="L314" s="735">
        <v>48.769999999999996</v>
      </c>
      <c r="M314" s="735">
        <v>2</v>
      </c>
      <c r="N314" s="736">
        <v>97.539999999999992</v>
      </c>
    </row>
    <row r="315" spans="1:14" ht="14.45" customHeight="1" x14ac:dyDescent="0.2">
      <c r="A315" s="730" t="s">
        <v>575</v>
      </c>
      <c r="B315" s="731" t="s">
        <v>576</v>
      </c>
      <c r="C315" s="732" t="s">
        <v>597</v>
      </c>
      <c r="D315" s="733" t="s">
        <v>598</v>
      </c>
      <c r="E315" s="734">
        <v>50113001</v>
      </c>
      <c r="F315" s="733" t="s">
        <v>609</v>
      </c>
      <c r="G315" s="732" t="s">
        <v>610</v>
      </c>
      <c r="H315" s="732">
        <v>847132</v>
      </c>
      <c r="I315" s="732">
        <v>137238</v>
      </c>
      <c r="J315" s="732" t="s">
        <v>613</v>
      </c>
      <c r="K315" s="732" t="s">
        <v>614</v>
      </c>
      <c r="L315" s="735">
        <v>639.69000000000005</v>
      </c>
      <c r="M315" s="735">
        <v>1</v>
      </c>
      <c r="N315" s="736">
        <v>639.69000000000005</v>
      </c>
    </row>
    <row r="316" spans="1:14" ht="14.45" customHeight="1" x14ac:dyDescent="0.2">
      <c r="A316" s="730" t="s">
        <v>575</v>
      </c>
      <c r="B316" s="731" t="s">
        <v>576</v>
      </c>
      <c r="C316" s="732" t="s">
        <v>597</v>
      </c>
      <c r="D316" s="733" t="s">
        <v>598</v>
      </c>
      <c r="E316" s="734">
        <v>50113001</v>
      </c>
      <c r="F316" s="733" t="s">
        <v>609</v>
      </c>
      <c r="G316" s="732" t="s">
        <v>610</v>
      </c>
      <c r="H316" s="732">
        <v>100362</v>
      </c>
      <c r="I316" s="732">
        <v>362</v>
      </c>
      <c r="J316" s="732" t="s">
        <v>615</v>
      </c>
      <c r="K316" s="732" t="s">
        <v>616</v>
      </c>
      <c r="L316" s="735">
        <v>72.453333333333333</v>
      </c>
      <c r="M316" s="735">
        <v>15</v>
      </c>
      <c r="N316" s="736">
        <v>1086.8</v>
      </c>
    </row>
    <row r="317" spans="1:14" ht="14.45" customHeight="1" x14ac:dyDescent="0.2">
      <c r="A317" s="730" t="s">
        <v>575</v>
      </c>
      <c r="B317" s="731" t="s">
        <v>576</v>
      </c>
      <c r="C317" s="732" t="s">
        <v>597</v>
      </c>
      <c r="D317" s="733" t="s">
        <v>598</v>
      </c>
      <c r="E317" s="734">
        <v>50113001</v>
      </c>
      <c r="F317" s="733" t="s">
        <v>609</v>
      </c>
      <c r="G317" s="732" t="s">
        <v>625</v>
      </c>
      <c r="H317" s="732">
        <v>115379</v>
      </c>
      <c r="I317" s="732">
        <v>15379</v>
      </c>
      <c r="J317" s="732" t="s">
        <v>1165</v>
      </c>
      <c r="K317" s="732" t="s">
        <v>1166</v>
      </c>
      <c r="L317" s="735">
        <v>53.97</v>
      </c>
      <c r="M317" s="735">
        <v>1</v>
      </c>
      <c r="N317" s="736">
        <v>53.97</v>
      </c>
    </row>
    <row r="318" spans="1:14" ht="14.45" customHeight="1" x14ac:dyDescent="0.2">
      <c r="A318" s="730" t="s">
        <v>575</v>
      </c>
      <c r="B318" s="731" t="s">
        <v>576</v>
      </c>
      <c r="C318" s="732" t="s">
        <v>597</v>
      </c>
      <c r="D318" s="733" t="s">
        <v>598</v>
      </c>
      <c r="E318" s="734">
        <v>50113001</v>
      </c>
      <c r="F318" s="733" t="s">
        <v>609</v>
      </c>
      <c r="G318" s="732" t="s">
        <v>610</v>
      </c>
      <c r="H318" s="732">
        <v>176954</v>
      </c>
      <c r="I318" s="732">
        <v>176954</v>
      </c>
      <c r="J318" s="732" t="s">
        <v>623</v>
      </c>
      <c r="K318" s="732" t="s">
        <v>624</v>
      </c>
      <c r="L318" s="735">
        <v>95.12</v>
      </c>
      <c r="M318" s="735">
        <v>3</v>
      </c>
      <c r="N318" s="736">
        <v>285.36</v>
      </c>
    </row>
    <row r="319" spans="1:14" ht="14.45" customHeight="1" x14ac:dyDescent="0.2">
      <c r="A319" s="730" t="s">
        <v>575</v>
      </c>
      <c r="B319" s="731" t="s">
        <v>576</v>
      </c>
      <c r="C319" s="732" t="s">
        <v>597</v>
      </c>
      <c r="D319" s="733" t="s">
        <v>598</v>
      </c>
      <c r="E319" s="734">
        <v>50113001</v>
      </c>
      <c r="F319" s="733" t="s">
        <v>609</v>
      </c>
      <c r="G319" s="732" t="s">
        <v>610</v>
      </c>
      <c r="H319" s="732">
        <v>167547</v>
      </c>
      <c r="I319" s="732">
        <v>67547</v>
      </c>
      <c r="J319" s="732" t="s">
        <v>1167</v>
      </c>
      <c r="K319" s="732" t="s">
        <v>1168</v>
      </c>
      <c r="L319" s="735">
        <v>46.927499999999995</v>
      </c>
      <c r="M319" s="735">
        <v>16</v>
      </c>
      <c r="N319" s="736">
        <v>750.83999999999992</v>
      </c>
    </row>
    <row r="320" spans="1:14" ht="14.45" customHeight="1" x14ac:dyDescent="0.2">
      <c r="A320" s="730" t="s">
        <v>575</v>
      </c>
      <c r="B320" s="731" t="s">
        <v>576</v>
      </c>
      <c r="C320" s="732" t="s">
        <v>597</v>
      </c>
      <c r="D320" s="733" t="s">
        <v>598</v>
      </c>
      <c r="E320" s="734">
        <v>50113001</v>
      </c>
      <c r="F320" s="733" t="s">
        <v>609</v>
      </c>
      <c r="G320" s="732" t="s">
        <v>610</v>
      </c>
      <c r="H320" s="732">
        <v>194916</v>
      </c>
      <c r="I320" s="732">
        <v>94916</v>
      </c>
      <c r="J320" s="732" t="s">
        <v>633</v>
      </c>
      <c r="K320" s="732" t="s">
        <v>634</v>
      </c>
      <c r="L320" s="735">
        <v>84.509999999999991</v>
      </c>
      <c r="M320" s="735">
        <v>32</v>
      </c>
      <c r="N320" s="736">
        <v>2704.3199999999997</v>
      </c>
    </row>
    <row r="321" spans="1:14" ht="14.45" customHeight="1" x14ac:dyDescent="0.2">
      <c r="A321" s="730" t="s">
        <v>575</v>
      </c>
      <c r="B321" s="731" t="s">
        <v>576</v>
      </c>
      <c r="C321" s="732" t="s">
        <v>597</v>
      </c>
      <c r="D321" s="733" t="s">
        <v>598</v>
      </c>
      <c r="E321" s="734">
        <v>50113001</v>
      </c>
      <c r="F321" s="733" t="s">
        <v>609</v>
      </c>
      <c r="G321" s="732" t="s">
        <v>610</v>
      </c>
      <c r="H321" s="732">
        <v>223855</v>
      </c>
      <c r="I321" s="732">
        <v>223855</v>
      </c>
      <c r="J321" s="732" t="s">
        <v>638</v>
      </c>
      <c r="K321" s="732" t="s">
        <v>639</v>
      </c>
      <c r="L321" s="735">
        <v>165</v>
      </c>
      <c r="M321" s="735">
        <v>19</v>
      </c>
      <c r="N321" s="736">
        <v>3135</v>
      </c>
    </row>
    <row r="322" spans="1:14" ht="14.45" customHeight="1" x14ac:dyDescent="0.2">
      <c r="A322" s="730" t="s">
        <v>575</v>
      </c>
      <c r="B322" s="731" t="s">
        <v>576</v>
      </c>
      <c r="C322" s="732" t="s">
        <v>597</v>
      </c>
      <c r="D322" s="733" t="s">
        <v>598</v>
      </c>
      <c r="E322" s="734">
        <v>50113001</v>
      </c>
      <c r="F322" s="733" t="s">
        <v>609</v>
      </c>
      <c r="G322" s="732" t="s">
        <v>610</v>
      </c>
      <c r="H322" s="732">
        <v>235897</v>
      </c>
      <c r="I322" s="732">
        <v>235897</v>
      </c>
      <c r="J322" s="732" t="s">
        <v>642</v>
      </c>
      <c r="K322" s="732" t="s">
        <v>643</v>
      </c>
      <c r="L322" s="735">
        <v>63.264444444444443</v>
      </c>
      <c r="M322" s="735">
        <v>9</v>
      </c>
      <c r="N322" s="736">
        <v>569.38</v>
      </c>
    </row>
    <row r="323" spans="1:14" ht="14.45" customHeight="1" x14ac:dyDescent="0.2">
      <c r="A323" s="730" t="s">
        <v>575</v>
      </c>
      <c r="B323" s="731" t="s">
        <v>576</v>
      </c>
      <c r="C323" s="732" t="s">
        <v>597</v>
      </c>
      <c r="D323" s="733" t="s">
        <v>598</v>
      </c>
      <c r="E323" s="734">
        <v>50113001</v>
      </c>
      <c r="F323" s="733" t="s">
        <v>609</v>
      </c>
      <c r="G323" s="732" t="s">
        <v>610</v>
      </c>
      <c r="H323" s="732">
        <v>850027</v>
      </c>
      <c r="I323" s="732">
        <v>125122</v>
      </c>
      <c r="J323" s="732" t="s">
        <v>1169</v>
      </c>
      <c r="K323" s="732" t="s">
        <v>1170</v>
      </c>
      <c r="L323" s="735">
        <v>174.38999999999996</v>
      </c>
      <c r="M323" s="735">
        <v>6</v>
      </c>
      <c r="N323" s="736">
        <v>1046.3399999999997</v>
      </c>
    </row>
    <row r="324" spans="1:14" ht="14.45" customHeight="1" x14ac:dyDescent="0.2">
      <c r="A324" s="730" t="s">
        <v>575</v>
      </c>
      <c r="B324" s="731" t="s">
        <v>576</v>
      </c>
      <c r="C324" s="732" t="s">
        <v>597</v>
      </c>
      <c r="D324" s="733" t="s">
        <v>598</v>
      </c>
      <c r="E324" s="734">
        <v>50113001</v>
      </c>
      <c r="F324" s="733" t="s">
        <v>609</v>
      </c>
      <c r="G324" s="732" t="s">
        <v>625</v>
      </c>
      <c r="H324" s="732">
        <v>849054</v>
      </c>
      <c r="I324" s="732">
        <v>107847</v>
      </c>
      <c r="J324" s="732" t="s">
        <v>1171</v>
      </c>
      <c r="K324" s="732" t="s">
        <v>618</v>
      </c>
      <c r="L324" s="735">
        <v>98.15</v>
      </c>
      <c r="M324" s="735">
        <v>1</v>
      </c>
      <c r="N324" s="736">
        <v>98.15</v>
      </c>
    </row>
    <row r="325" spans="1:14" ht="14.45" customHeight="1" x14ac:dyDescent="0.2">
      <c r="A325" s="730" t="s">
        <v>575</v>
      </c>
      <c r="B325" s="731" t="s">
        <v>576</v>
      </c>
      <c r="C325" s="732" t="s">
        <v>597</v>
      </c>
      <c r="D325" s="733" t="s">
        <v>598</v>
      </c>
      <c r="E325" s="734">
        <v>50113001</v>
      </c>
      <c r="F325" s="733" t="s">
        <v>609</v>
      </c>
      <c r="G325" s="732" t="s">
        <v>610</v>
      </c>
      <c r="H325" s="732">
        <v>169789</v>
      </c>
      <c r="I325" s="732">
        <v>69789</v>
      </c>
      <c r="J325" s="732" t="s">
        <v>648</v>
      </c>
      <c r="K325" s="732" t="s">
        <v>1172</v>
      </c>
      <c r="L325" s="735">
        <v>21.88</v>
      </c>
      <c r="M325" s="735">
        <v>168</v>
      </c>
      <c r="N325" s="736">
        <v>3675.8399999999997</v>
      </c>
    </row>
    <row r="326" spans="1:14" ht="14.45" customHeight="1" x14ac:dyDescent="0.2">
      <c r="A326" s="730" t="s">
        <v>575</v>
      </c>
      <c r="B326" s="731" t="s">
        <v>576</v>
      </c>
      <c r="C326" s="732" t="s">
        <v>597</v>
      </c>
      <c r="D326" s="733" t="s">
        <v>598</v>
      </c>
      <c r="E326" s="734">
        <v>50113001</v>
      </c>
      <c r="F326" s="733" t="s">
        <v>609</v>
      </c>
      <c r="G326" s="732" t="s">
        <v>610</v>
      </c>
      <c r="H326" s="732">
        <v>189244</v>
      </c>
      <c r="I326" s="732">
        <v>89244</v>
      </c>
      <c r="J326" s="732" t="s">
        <v>648</v>
      </c>
      <c r="K326" s="732" t="s">
        <v>649</v>
      </c>
      <c r="L326" s="735">
        <v>20.759470588235292</v>
      </c>
      <c r="M326" s="735">
        <v>340</v>
      </c>
      <c r="N326" s="736">
        <v>7058.2199999999993</v>
      </c>
    </row>
    <row r="327" spans="1:14" ht="14.45" customHeight="1" x14ac:dyDescent="0.2">
      <c r="A327" s="730" t="s">
        <v>575</v>
      </c>
      <c r="B327" s="731" t="s">
        <v>576</v>
      </c>
      <c r="C327" s="732" t="s">
        <v>597</v>
      </c>
      <c r="D327" s="733" t="s">
        <v>598</v>
      </c>
      <c r="E327" s="734">
        <v>50113001</v>
      </c>
      <c r="F327" s="733" t="s">
        <v>609</v>
      </c>
      <c r="G327" s="732" t="s">
        <v>610</v>
      </c>
      <c r="H327" s="732">
        <v>173321</v>
      </c>
      <c r="I327" s="732">
        <v>173321</v>
      </c>
      <c r="J327" s="732" t="s">
        <v>1173</v>
      </c>
      <c r="K327" s="732" t="s">
        <v>1174</v>
      </c>
      <c r="L327" s="735">
        <v>605.44000000000005</v>
      </c>
      <c r="M327" s="735">
        <v>5</v>
      </c>
      <c r="N327" s="736">
        <v>3027.2000000000003</v>
      </c>
    </row>
    <row r="328" spans="1:14" ht="14.45" customHeight="1" x14ac:dyDescent="0.2">
      <c r="A328" s="730" t="s">
        <v>575</v>
      </c>
      <c r="B328" s="731" t="s">
        <v>576</v>
      </c>
      <c r="C328" s="732" t="s">
        <v>597</v>
      </c>
      <c r="D328" s="733" t="s">
        <v>598</v>
      </c>
      <c r="E328" s="734">
        <v>50113001</v>
      </c>
      <c r="F328" s="733" t="s">
        <v>609</v>
      </c>
      <c r="G328" s="732" t="s">
        <v>610</v>
      </c>
      <c r="H328" s="732">
        <v>169595</v>
      </c>
      <c r="I328" s="732">
        <v>69595</v>
      </c>
      <c r="J328" s="732" t="s">
        <v>1175</v>
      </c>
      <c r="K328" s="732" t="s">
        <v>1176</v>
      </c>
      <c r="L328" s="735">
        <v>612.61249999999984</v>
      </c>
      <c r="M328" s="735">
        <v>6</v>
      </c>
      <c r="N328" s="736">
        <v>3675.6749999999993</v>
      </c>
    </row>
    <row r="329" spans="1:14" ht="14.45" customHeight="1" x14ac:dyDescent="0.2">
      <c r="A329" s="730" t="s">
        <v>575</v>
      </c>
      <c r="B329" s="731" t="s">
        <v>576</v>
      </c>
      <c r="C329" s="732" t="s">
        <v>597</v>
      </c>
      <c r="D329" s="733" t="s">
        <v>598</v>
      </c>
      <c r="E329" s="734">
        <v>50113001</v>
      </c>
      <c r="F329" s="733" t="s">
        <v>609</v>
      </c>
      <c r="G329" s="732" t="s">
        <v>610</v>
      </c>
      <c r="H329" s="732">
        <v>173322</v>
      </c>
      <c r="I329" s="732">
        <v>173322</v>
      </c>
      <c r="J329" s="732" t="s">
        <v>1177</v>
      </c>
      <c r="K329" s="732" t="s">
        <v>1178</v>
      </c>
      <c r="L329" s="735">
        <v>803.66</v>
      </c>
      <c r="M329" s="735">
        <v>1</v>
      </c>
      <c r="N329" s="736">
        <v>803.66</v>
      </c>
    </row>
    <row r="330" spans="1:14" ht="14.45" customHeight="1" x14ac:dyDescent="0.2">
      <c r="A330" s="730" t="s">
        <v>575</v>
      </c>
      <c r="B330" s="731" t="s">
        <v>576</v>
      </c>
      <c r="C330" s="732" t="s">
        <v>597</v>
      </c>
      <c r="D330" s="733" t="s">
        <v>598</v>
      </c>
      <c r="E330" s="734">
        <v>50113001</v>
      </c>
      <c r="F330" s="733" t="s">
        <v>609</v>
      </c>
      <c r="G330" s="732" t="s">
        <v>610</v>
      </c>
      <c r="H330" s="732">
        <v>173396</v>
      </c>
      <c r="I330" s="732">
        <v>173396</v>
      </c>
      <c r="J330" s="732" t="s">
        <v>1179</v>
      </c>
      <c r="K330" s="732" t="s">
        <v>1180</v>
      </c>
      <c r="L330" s="735">
        <v>800.82</v>
      </c>
      <c r="M330" s="735">
        <v>1</v>
      </c>
      <c r="N330" s="736">
        <v>800.82</v>
      </c>
    </row>
    <row r="331" spans="1:14" ht="14.45" customHeight="1" x14ac:dyDescent="0.2">
      <c r="A331" s="730" t="s">
        <v>575</v>
      </c>
      <c r="B331" s="731" t="s">
        <v>576</v>
      </c>
      <c r="C331" s="732" t="s">
        <v>597</v>
      </c>
      <c r="D331" s="733" t="s">
        <v>598</v>
      </c>
      <c r="E331" s="734">
        <v>50113001</v>
      </c>
      <c r="F331" s="733" t="s">
        <v>609</v>
      </c>
      <c r="G331" s="732" t="s">
        <v>610</v>
      </c>
      <c r="H331" s="732">
        <v>187822</v>
      </c>
      <c r="I331" s="732">
        <v>87822</v>
      </c>
      <c r="J331" s="732" t="s">
        <v>1181</v>
      </c>
      <c r="K331" s="732" t="s">
        <v>1182</v>
      </c>
      <c r="L331" s="735">
        <v>1301.03</v>
      </c>
      <c r="M331" s="735">
        <v>1</v>
      </c>
      <c r="N331" s="736">
        <v>1301.03</v>
      </c>
    </row>
    <row r="332" spans="1:14" ht="14.45" customHeight="1" x14ac:dyDescent="0.2">
      <c r="A332" s="730" t="s">
        <v>575</v>
      </c>
      <c r="B332" s="731" t="s">
        <v>576</v>
      </c>
      <c r="C332" s="732" t="s">
        <v>597</v>
      </c>
      <c r="D332" s="733" t="s">
        <v>598</v>
      </c>
      <c r="E332" s="734">
        <v>50113001</v>
      </c>
      <c r="F332" s="733" t="s">
        <v>609</v>
      </c>
      <c r="G332" s="732" t="s">
        <v>610</v>
      </c>
      <c r="H332" s="732">
        <v>100392</v>
      </c>
      <c r="I332" s="732">
        <v>392</v>
      </c>
      <c r="J332" s="732" t="s">
        <v>650</v>
      </c>
      <c r="K332" s="732" t="s">
        <v>651</v>
      </c>
      <c r="L332" s="735">
        <v>57.784999999999997</v>
      </c>
      <c r="M332" s="735">
        <v>2</v>
      </c>
      <c r="N332" s="736">
        <v>115.57</v>
      </c>
    </row>
    <row r="333" spans="1:14" ht="14.45" customHeight="1" x14ac:dyDescent="0.2">
      <c r="A333" s="730" t="s">
        <v>575</v>
      </c>
      <c r="B333" s="731" t="s">
        <v>576</v>
      </c>
      <c r="C333" s="732" t="s">
        <v>597</v>
      </c>
      <c r="D333" s="733" t="s">
        <v>598</v>
      </c>
      <c r="E333" s="734">
        <v>50113001</v>
      </c>
      <c r="F333" s="733" t="s">
        <v>609</v>
      </c>
      <c r="G333" s="732" t="s">
        <v>610</v>
      </c>
      <c r="H333" s="732">
        <v>100394</v>
      </c>
      <c r="I333" s="732">
        <v>394</v>
      </c>
      <c r="J333" s="732" t="s">
        <v>652</v>
      </c>
      <c r="K333" s="732" t="s">
        <v>653</v>
      </c>
      <c r="L333" s="735">
        <v>65.649999999999991</v>
      </c>
      <c r="M333" s="735">
        <v>1</v>
      </c>
      <c r="N333" s="736">
        <v>65.649999999999991</v>
      </c>
    </row>
    <row r="334" spans="1:14" ht="14.45" customHeight="1" x14ac:dyDescent="0.2">
      <c r="A334" s="730" t="s">
        <v>575</v>
      </c>
      <c r="B334" s="731" t="s">
        <v>576</v>
      </c>
      <c r="C334" s="732" t="s">
        <v>597</v>
      </c>
      <c r="D334" s="733" t="s">
        <v>598</v>
      </c>
      <c r="E334" s="734">
        <v>50113001</v>
      </c>
      <c r="F334" s="733" t="s">
        <v>609</v>
      </c>
      <c r="G334" s="732" t="s">
        <v>610</v>
      </c>
      <c r="H334" s="732">
        <v>176496</v>
      </c>
      <c r="I334" s="732">
        <v>76496</v>
      </c>
      <c r="J334" s="732" t="s">
        <v>658</v>
      </c>
      <c r="K334" s="732" t="s">
        <v>659</v>
      </c>
      <c r="L334" s="735">
        <v>125.43</v>
      </c>
      <c r="M334" s="735">
        <v>4</v>
      </c>
      <c r="N334" s="736">
        <v>501.72</v>
      </c>
    </row>
    <row r="335" spans="1:14" ht="14.45" customHeight="1" x14ac:dyDescent="0.2">
      <c r="A335" s="730" t="s">
        <v>575</v>
      </c>
      <c r="B335" s="731" t="s">
        <v>576</v>
      </c>
      <c r="C335" s="732" t="s">
        <v>597</v>
      </c>
      <c r="D335" s="733" t="s">
        <v>598</v>
      </c>
      <c r="E335" s="734">
        <v>50113001</v>
      </c>
      <c r="F335" s="733" t="s">
        <v>609</v>
      </c>
      <c r="G335" s="732" t="s">
        <v>610</v>
      </c>
      <c r="H335" s="732">
        <v>162317</v>
      </c>
      <c r="I335" s="732">
        <v>62317</v>
      </c>
      <c r="J335" s="732" t="s">
        <v>1183</v>
      </c>
      <c r="K335" s="732" t="s">
        <v>1184</v>
      </c>
      <c r="L335" s="735">
        <v>286.00000000000006</v>
      </c>
      <c r="M335" s="735">
        <v>1</v>
      </c>
      <c r="N335" s="736">
        <v>286.00000000000006</v>
      </c>
    </row>
    <row r="336" spans="1:14" ht="14.45" customHeight="1" x14ac:dyDescent="0.2">
      <c r="A336" s="730" t="s">
        <v>575</v>
      </c>
      <c r="B336" s="731" t="s">
        <v>576</v>
      </c>
      <c r="C336" s="732" t="s">
        <v>597</v>
      </c>
      <c r="D336" s="733" t="s">
        <v>598</v>
      </c>
      <c r="E336" s="734">
        <v>50113001</v>
      </c>
      <c r="F336" s="733" t="s">
        <v>609</v>
      </c>
      <c r="G336" s="732" t="s">
        <v>625</v>
      </c>
      <c r="H336" s="732">
        <v>231702</v>
      </c>
      <c r="I336" s="732">
        <v>231702</v>
      </c>
      <c r="J336" s="732" t="s">
        <v>1185</v>
      </c>
      <c r="K336" s="732" t="s">
        <v>1186</v>
      </c>
      <c r="L336" s="735">
        <v>249.59</v>
      </c>
      <c r="M336" s="735">
        <v>1</v>
      </c>
      <c r="N336" s="736">
        <v>249.59</v>
      </c>
    </row>
    <row r="337" spans="1:14" ht="14.45" customHeight="1" x14ac:dyDescent="0.2">
      <c r="A337" s="730" t="s">
        <v>575</v>
      </c>
      <c r="B337" s="731" t="s">
        <v>576</v>
      </c>
      <c r="C337" s="732" t="s">
        <v>597</v>
      </c>
      <c r="D337" s="733" t="s">
        <v>598</v>
      </c>
      <c r="E337" s="734">
        <v>50113001</v>
      </c>
      <c r="F337" s="733" t="s">
        <v>609</v>
      </c>
      <c r="G337" s="732" t="s">
        <v>625</v>
      </c>
      <c r="H337" s="732">
        <v>231696</v>
      </c>
      <c r="I337" s="732">
        <v>231696</v>
      </c>
      <c r="J337" s="732" t="s">
        <v>1185</v>
      </c>
      <c r="K337" s="732" t="s">
        <v>1187</v>
      </c>
      <c r="L337" s="735">
        <v>207.22999999999996</v>
      </c>
      <c r="M337" s="735">
        <v>1</v>
      </c>
      <c r="N337" s="736">
        <v>207.22999999999996</v>
      </c>
    </row>
    <row r="338" spans="1:14" ht="14.45" customHeight="1" x14ac:dyDescent="0.2">
      <c r="A338" s="730" t="s">
        <v>575</v>
      </c>
      <c r="B338" s="731" t="s">
        <v>576</v>
      </c>
      <c r="C338" s="732" t="s">
        <v>597</v>
      </c>
      <c r="D338" s="733" t="s">
        <v>598</v>
      </c>
      <c r="E338" s="734">
        <v>50113001</v>
      </c>
      <c r="F338" s="733" t="s">
        <v>609</v>
      </c>
      <c r="G338" s="732" t="s">
        <v>610</v>
      </c>
      <c r="H338" s="732">
        <v>993603</v>
      </c>
      <c r="I338" s="732">
        <v>0</v>
      </c>
      <c r="J338" s="732" t="s">
        <v>668</v>
      </c>
      <c r="K338" s="732" t="s">
        <v>329</v>
      </c>
      <c r="L338" s="735">
        <v>230.63000000000002</v>
      </c>
      <c r="M338" s="735">
        <v>4</v>
      </c>
      <c r="N338" s="736">
        <v>922.5200000000001</v>
      </c>
    </row>
    <row r="339" spans="1:14" ht="14.45" customHeight="1" x14ac:dyDescent="0.2">
      <c r="A339" s="730" t="s">
        <v>575</v>
      </c>
      <c r="B339" s="731" t="s">
        <v>576</v>
      </c>
      <c r="C339" s="732" t="s">
        <v>597</v>
      </c>
      <c r="D339" s="733" t="s">
        <v>598</v>
      </c>
      <c r="E339" s="734">
        <v>50113001</v>
      </c>
      <c r="F339" s="733" t="s">
        <v>609</v>
      </c>
      <c r="G339" s="732" t="s">
        <v>625</v>
      </c>
      <c r="H339" s="732">
        <v>233600</v>
      </c>
      <c r="I339" s="732">
        <v>233600</v>
      </c>
      <c r="J339" s="732" t="s">
        <v>673</v>
      </c>
      <c r="K339" s="732" t="s">
        <v>674</v>
      </c>
      <c r="L339" s="735">
        <v>52.219999999999992</v>
      </c>
      <c r="M339" s="735">
        <v>3</v>
      </c>
      <c r="N339" s="736">
        <v>156.65999999999997</v>
      </c>
    </row>
    <row r="340" spans="1:14" ht="14.45" customHeight="1" x14ac:dyDescent="0.2">
      <c r="A340" s="730" t="s">
        <v>575</v>
      </c>
      <c r="B340" s="731" t="s">
        <v>576</v>
      </c>
      <c r="C340" s="732" t="s">
        <v>597</v>
      </c>
      <c r="D340" s="733" t="s">
        <v>598</v>
      </c>
      <c r="E340" s="734">
        <v>50113001</v>
      </c>
      <c r="F340" s="733" t="s">
        <v>609</v>
      </c>
      <c r="G340" s="732" t="s">
        <v>625</v>
      </c>
      <c r="H340" s="732">
        <v>233584</v>
      </c>
      <c r="I340" s="732">
        <v>233584</v>
      </c>
      <c r="J340" s="732" t="s">
        <v>677</v>
      </c>
      <c r="K340" s="732" t="s">
        <v>678</v>
      </c>
      <c r="L340" s="735">
        <v>87.02</v>
      </c>
      <c r="M340" s="735">
        <v>1</v>
      </c>
      <c r="N340" s="736">
        <v>87.02</v>
      </c>
    </row>
    <row r="341" spans="1:14" ht="14.45" customHeight="1" x14ac:dyDescent="0.2">
      <c r="A341" s="730" t="s">
        <v>575</v>
      </c>
      <c r="B341" s="731" t="s">
        <v>576</v>
      </c>
      <c r="C341" s="732" t="s">
        <v>597</v>
      </c>
      <c r="D341" s="733" t="s">
        <v>598</v>
      </c>
      <c r="E341" s="734">
        <v>50113001</v>
      </c>
      <c r="F341" s="733" t="s">
        <v>609</v>
      </c>
      <c r="G341" s="732" t="s">
        <v>610</v>
      </c>
      <c r="H341" s="732">
        <v>167939</v>
      </c>
      <c r="I341" s="732">
        <v>167939</v>
      </c>
      <c r="J341" s="732" t="s">
        <v>681</v>
      </c>
      <c r="K341" s="732" t="s">
        <v>682</v>
      </c>
      <c r="L341" s="735">
        <v>1625</v>
      </c>
      <c r="M341" s="735">
        <v>2</v>
      </c>
      <c r="N341" s="736">
        <v>3250</v>
      </c>
    </row>
    <row r="342" spans="1:14" ht="14.45" customHeight="1" x14ac:dyDescent="0.2">
      <c r="A342" s="730" t="s">
        <v>575</v>
      </c>
      <c r="B342" s="731" t="s">
        <v>576</v>
      </c>
      <c r="C342" s="732" t="s">
        <v>597</v>
      </c>
      <c r="D342" s="733" t="s">
        <v>598</v>
      </c>
      <c r="E342" s="734">
        <v>50113001</v>
      </c>
      <c r="F342" s="733" t="s">
        <v>609</v>
      </c>
      <c r="G342" s="732" t="s">
        <v>610</v>
      </c>
      <c r="H342" s="732">
        <v>159392</v>
      </c>
      <c r="I342" s="732">
        <v>59392</v>
      </c>
      <c r="J342" s="732" t="s">
        <v>1188</v>
      </c>
      <c r="K342" s="732" t="s">
        <v>1189</v>
      </c>
      <c r="L342" s="735">
        <v>83.862500000000011</v>
      </c>
      <c r="M342" s="735">
        <v>4</v>
      </c>
      <c r="N342" s="736">
        <v>335.45000000000005</v>
      </c>
    </row>
    <row r="343" spans="1:14" ht="14.45" customHeight="1" x14ac:dyDescent="0.2">
      <c r="A343" s="730" t="s">
        <v>575</v>
      </c>
      <c r="B343" s="731" t="s">
        <v>576</v>
      </c>
      <c r="C343" s="732" t="s">
        <v>597</v>
      </c>
      <c r="D343" s="733" t="s">
        <v>598</v>
      </c>
      <c r="E343" s="734">
        <v>50113001</v>
      </c>
      <c r="F343" s="733" t="s">
        <v>609</v>
      </c>
      <c r="G343" s="732" t="s">
        <v>610</v>
      </c>
      <c r="H343" s="732">
        <v>100409</v>
      </c>
      <c r="I343" s="732">
        <v>409</v>
      </c>
      <c r="J343" s="732" t="s">
        <v>1190</v>
      </c>
      <c r="K343" s="732" t="s">
        <v>1191</v>
      </c>
      <c r="L343" s="735">
        <v>79.67</v>
      </c>
      <c r="M343" s="735">
        <v>140</v>
      </c>
      <c r="N343" s="736">
        <v>11153.8</v>
      </c>
    </row>
    <row r="344" spans="1:14" ht="14.45" customHeight="1" x14ac:dyDescent="0.2">
      <c r="A344" s="730" t="s">
        <v>575</v>
      </c>
      <c r="B344" s="731" t="s">
        <v>576</v>
      </c>
      <c r="C344" s="732" t="s">
        <v>597</v>
      </c>
      <c r="D344" s="733" t="s">
        <v>598</v>
      </c>
      <c r="E344" s="734">
        <v>50113001</v>
      </c>
      <c r="F344" s="733" t="s">
        <v>609</v>
      </c>
      <c r="G344" s="732" t="s">
        <v>610</v>
      </c>
      <c r="H344" s="732">
        <v>187814</v>
      </c>
      <c r="I344" s="732">
        <v>87814</v>
      </c>
      <c r="J344" s="732" t="s">
        <v>1192</v>
      </c>
      <c r="K344" s="732" t="s">
        <v>1193</v>
      </c>
      <c r="L344" s="735">
        <v>535.03000000000009</v>
      </c>
      <c r="M344" s="735">
        <v>1</v>
      </c>
      <c r="N344" s="736">
        <v>535.03000000000009</v>
      </c>
    </row>
    <row r="345" spans="1:14" ht="14.45" customHeight="1" x14ac:dyDescent="0.2">
      <c r="A345" s="730" t="s">
        <v>575</v>
      </c>
      <c r="B345" s="731" t="s">
        <v>576</v>
      </c>
      <c r="C345" s="732" t="s">
        <v>597</v>
      </c>
      <c r="D345" s="733" t="s">
        <v>598</v>
      </c>
      <c r="E345" s="734">
        <v>50113001</v>
      </c>
      <c r="F345" s="733" t="s">
        <v>609</v>
      </c>
      <c r="G345" s="732" t="s">
        <v>610</v>
      </c>
      <c r="H345" s="732">
        <v>841498</v>
      </c>
      <c r="I345" s="732">
        <v>31951</v>
      </c>
      <c r="J345" s="732" t="s">
        <v>689</v>
      </c>
      <c r="K345" s="732" t="s">
        <v>690</v>
      </c>
      <c r="L345" s="735">
        <v>50.66</v>
      </c>
      <c r="M345" s="735">
        <v>1</v>
      </c>
      <c r="N345" s="736">
        <v>50.66</v>
      </c>
    </row>
    <row r="346" spans="1:14" ht="14.45" customHeight="1" x14ac:dyDescent="0.2">
      <c r="A346" s="730" t="s">
        <v>575</v>
      </c>
      <c r="B346" s="731" t="s">
        <v>576</v>
      </c>
      <c r="C346" s="732" t="s">
        <v>597</v>
      </c>
      <c r="D346" s="733" t="s">
        <v>598</v>
      </c>
      <c r="E346" s="734">
        <v>50113001</v>
      </c>
      <c r="F346" s="733" t="s">
        <v>609</v>
      </c>
      <c r="G346" s="732" t="s">
        <v>610</v>
      </c>
      <c r="H346" s="732">
        <v>102132</v>
      </c>
      <c r="I346" s="732">
        <v>2132</v>
      </c>
      <c r="J346" s="732" t="s">
        <v>1194</v>
      </c>
      <c r="K346" s="732" t="s">
        <v>1195</v>
      </c>
      <c r="L346" s="735">
        <v>153.30000000000004</v>
      </c>
      <c r="M346" s="735">
        <v>3</v>
      </c>
      <c r="N346" s="736">
        <v>459.90000000000009</v>
      </c>
    </row>
    <row r="347" spans="1:14" ht="14.45" customHeight="1" x14ac:dyDescent="0.2">
      <c r="A347" s="730" t="s">
        <v>575</v>
      </c>
      <c r="B347" s="731" t="s">
        <v>576</v>
      </c>
      <c r="C347" s="732" t="s">
        <v>597</v>
      </c>
      <c r="D347" s="733" t="s">
        <v>598</v>
      </c>
      <c r="E347" s="734">
        <v>50113001</v>
      </c>
      <c r="F347" s="733" t="s">
        <v>609</v>
      </c>
      <c r="G347" s="732" t="s">
        <v>610</v>
      </c>
      <c r="H347" s="732">
        <v>843217</v>
      </c>
      <c r="I347" s="732">
        <v>9999999</v>
      </c>
      <c r="J347" s="732" t="s">
        <v>1196</v>
      </c>
      <c r="K347" s="732" t="s">
        <v>1197</v>
      </c>
      <c r="L347" s="735">
        <v>204.73499999999999</v>
      </c>
      <c r="M347" s="735">
        <v>10</v>
      </c>
      <c r="N347" s="736">
        <v>2047.35</v>
      </c>
    </row>
    <row r="348" spans="1:14" ht="14.45" customHeight="1" x14ac:dyDescent="0.2">
      <c r="A348" s="730" t="s">
        <v>575</v>
      </c>
      <c r="B348" s="731" t="s">
        <v>576</v>
      </c>
      <c r="C348" s="732" t="s">
        <v>597</v>
      </c>
      <c r="D348" s="733" t="s">
        <v>598</v>
      </c>
      <c r="E348" s="734">
        <v>50113001</v>
      </c>
      <c r="F348" s="733" t="s">
        <v>609</v>
      </c>
      <c r="G348" s="732" t="s">
        <v>610</v>
      </c>
      <c r="H348" s="732">
        <v>150660</v>
      </c>
      <c r="I348" s="732">
        <v>150660</v>
      </c>
      <c r="J348" s="732" t="s">
        <v>1198</v>
      </c>
      <c r="K348" s="732" t="s">
        <v>1199</v>
      </c>
      <c r="L348" s="735">
        <v>793.79800000000023</v>
      </c>
      <c r="M348" s="735">
        <v>25</v>
      </c>
      <c r="N348" s="736">
        <v>19844.950000000004</v>
      </c>
    </row>
    <row r="349" spans="1:14" ht="14.45" customHeight="1" x14ac:dyDescent="0.2">
      <c r="A349" s="730" t="s">
        <v>575</v>
      </c>
      <c r="B349" s="731" t="s">
        <v>576</v>
      </c>
      <c r="C349" s="732" t="s">
        <v>597</v>
      </c>
      <c r="D349" s="733" t="s">
        <v>598</v>
      </c>
      <c r="E349" s="734">
        <v>50113001</v>
      </c>
      <c r="F349" s="733" t="s">
        <v>609</v>
      </c>
      <c r="G349" s="732" t="s">
        <v>610</v>
      </c>
      <c r="H349" s="732">
        <v>145981</v>
      </c>
      <c r="I349" s="732">
        <v>45981</v>
      </c>
      <c r="J349" s="732" t="s">
        <v>1200</v>
      </c>
      <c r="K349" s="732" t="s">
        <v>1201</v>
      </c>
      <c r="L349" s="735">
        <v>1704.56</v>
      </c>
      <c r="M349" s="735">
        <v>1</v>
      </c>
      <c r="N349" s="736">
        <v>1704.56</v>
      </c>
    </row>
    <row r="350" spans="1:14" ht="14.45" customHeight="1" x14ac:dyDescent="0.2">
      <c r="A350" s="730" t="s">
        <v>575</v>
      </c>
      <c r="B350" s="731" t="s">
        <v>576</v>
      </c>
      <c r="C350" s="732" t="s">
        <v>597</v>
      </c>
      <c r="D350" s="733" t="s">
        <v>598</v>
      </c>
      <c r="E350" s="734">
        <v>50113001</v>
      </c>
      <c r="F350" s="733" t="s">
        <v>609</v>
      </c>
      <c r="G350" s="732" t="s">
        <v>610</v>
      </c>
      <c r="H350" s="732">
        <v>207939</v>
      </c>
      <c r="I350" s="732">
        <v>207939</v>
      </c>
      <c r="J350" s="732" t="s">
        <v>1202</v>
      </c>
      <c r="K350" s="732" t="s">
        <v>1203</v>
      </c>
      <c r="L350" s="735">
        <v>61.234999999999999</v>
      </c>
      <c r="M350" s="735">
        <v>4</v>
      </c>
      <c r="N350" s="736">
        <v>244.94</v>
      </c>
    </row>
    <row r="351" spans="1:14" ht="14.45" customHeight="1" x14ac:dyDescent="0.2">
      <c r="A351" s="730" t="s">
        <v>575</v>
      </c>
      <c r="B351" s="731" t="s">
        <v>576</v>
      </c>
      <c r="C351" s="732" t="s">
        <v>597</v>
      </c>
      <c r="D351" s="733" t="s">
        <v>598</v>
      </c>
      <c r="E351" s="734">
        <v>50113001</v>
      </c>
      <c r="F351" s="733" t="s">
        <v>609</v>
      </c>
      <c r="G351" s="732" t="s">
        <v>610</v>
      </c>
      <c r="H351" s="732">
        <v>207940</v>
      </c>
      <c r="I351" s="732">
        <v>207940</v>
      </c>
      <c r="J351" s="732" t="s">
        <v>702</v>
      </c>
      <c r="K351" s="732" t="s">
        <v>703</v>
      </c>
      <c r="L351" s="735">
        <v>73.059999999999988</v>
      </c>
      <c r="M351" s="735">
        <v>2</v>
      </c>
      <c r="N351" s="736">
        <v>146.11999999999998</v>
      </c>
    </row>
    <row r="352" spans="1:14" ht="14.45" customHeight="1" x14ac:dyDescent="0.2">
      <c r="A352" s="730" t="s">
        <v>575</v>
      </c>
      <c r="B352" s="731" t="s">
        <v>576</v>
      </c>
      <c r="C352" s="732" t="s">
        <v>597</v>
      </c>
      <c r="D352" s="733" t="s">
        <v>598</v>
      </c>
      <c r="E352" s="734">
        <v>50113001</v>
      </c>
      <c r="F352" s="733" t="s">
        <v>609</v>
      </c>
      <c r="G352" s="732" t="s">
        <v>625</v>
      </c>
      <c r="H352" s="732">
        <v>214427</v>
      </c>
      <c r="I352" s="732">
        <v>214427</v>
      </c>
      <c r="J352" s="732" t="s">
        <v>1204</v>
      </c>
      <c r="K352" s="732" t="s">
        <v>1205</v>
      </c>
      <c r="L352" s="735">
        <v>16.570384615384615</v>
      </c>
      <c r="M352" s="735">
        <v>260</v>
      </c>
      <c r="N352" s="736">
        <v>4308.3</v>
      </c>
    </row>
    <row r="353" spans="1:14" ht="14.45" customHeight="1" x14ac:dyDescent="0.2">
      <c r="A353" s="730" t="s">
        <v>575</v>
      </c>
      <c r="B353" s="731" t="s">
        <v>576</v>
      </c>
      <c r="C353" s="732" t="s">
        <v>597</v>
      </c>
      <c r="D353" s="733" t="s">
        <v>598</v>
      </c>
      <c r="E353" s="734">
        <v>50113001</v>
      </c>
      <c r="F353" s="733" t="s">
        <v>609</v>
      </c>
      <c r="G353" s="732" t="s">
        <v>625</v>
      </c>
      <c r="H353" s="732">
        <v>848765</v>
      </c>
      <c r="I353" s="732">
        <v>107938</v>
      </c>
      <c r="J353" s="732" t="s">
        <v>712</v>
      </c>
      <c r="K353" s="732" t="s">
        <v>715</v>
      </c>
      <c r="L353" s="735">
        <v>128.31771929824561</v>
      </c>
      <c r="M353" s="735">
        <v>57</v>
      </c>
      <c r="N353" s="736">
        <v>7314.11</v>
      </c>
    </row>
    <row r="354" spans="1:14" ht="14.45" customHeight="1" x14ac:dyDescent="0.2">
      <c r="A354" s="730" t="s">
        <v>575</v>
      </c>
      <c r="B354" s="731" t="s">
        <v>576</v>
      </c>
      <c r="C354" s="732" t="s">
        <v>597</v>
      </c>
      <c r="D354" s="733" t="s">
        <v>598</v>
      </c>
      <c r="E354" s="734">
        <v>50113001</v>
      </c>
      <c r="F354" s="733" t="s">
        <v>609</v>
      </c>
      <c r="G354" s="732" t="s">
        <v>625</v>
      </c>
      <c r="H354" s="732">
        <v>241308</v>
      </c>
      <c r="I354" s="732">
        <v>241308</v>
      </c>
      <c r="J354" s="732" t="s">
        <v>1206</v>
      </c>
      <c r="K354" s="732" t="s">
        <v>1207</v>
      </c>
      <c r="L354" s="735">
        <v>546.81999999999971</v>
      </c>
      <c r="M354" s="735">
        <v>2</v>
      </c>
      <c r="N354" s="736">
        <v>1093.6399999999994</v>
      </c>
    </row>
    <row r="355" spans="1:14" ht="14.45" customHeight="1" x14ac:dyDescent="0.2">
      <c r="A355" s="730" t="s">
        <v>575</v>
      </c>
      <c r="B355" s="731" t="s">
        <v>576</v>
      </c>
      <c r="C355" s="732" t="s">
        <v>597</v>
      </c>
      <c r="D355" s="733" t="s">
        <v>598</v>
      </c>
      <c r="E355" s="734">
        <v>50113001</v>
      </c>
      <c r="F355" s="733" t="s">
        <v>609</v>
      </c>
      <c r="G355" s="732" t="s">
        <v>610</v>
      </c>
      <c r="H355" s="732">
        <v>193105</v>
      </c>
      <c r="I355" s="732">
        <v>93105</v>
      </c>
      <c r="J355" s="732" t="s">
        <v>720</v>
      </c>
      <c r="K355" s="732" t="s">
        <v>722</v>
      </c>
      <c r="L355" s="735">
        <v>208.35500000000002</v>
      </c>
      <c r="M355" s="735">
        <v>2</v>
      </c>
      <c r="N355" s="736">
        <v>416.71000000000004</v>
      </c>
    </row>
    <row r="356" spans="1:14" ht="14.45" customHeight="1" x14ac:dyDescent="0.2">
      <c r="A356" s="730" t="s">
        <v>575</v>
      </c>
      <c r="B356" s="731" t="s">
        <v>576</v>
      </c>
      <c r="C356" s="732" t="s">
        <v>597</v>
      </c>
      <c r="D356" s="733" t="s">
        <v>598</v>
      </c>
      <c r="E356" s="734">
        <v>50113001</v>
      </c>
      <c r="F356" s="733" t="s">
        <v>609</v>
      </c>
      <c r="G356" s="732" t="s">
        <v>625</v>
      </c>
      <c r="H356" s="732">
        <v>144997</v>
      </c>
      <c r="I356" s="732">
        <v>44997</v>
      </c>
      <c r="J356" s="732" t="s">
        <v>1208</v>
      </c>
      <c r="K356" s="732" t="s">
        <v>1209</v>
      </c>
      <c r="L356" s="735">
        <v>238.21999999999997</v>
      </c>
      <c r="M356" s="735">
        <v>1</v>
      </c>
      <c r="N356" s="736">
        <v>238.21999999999997</v>
      </c>
    </row>
    <row r="357" spans="1:14" ht="14.45" customHeight="1" x14ac:dyDescent="0.2">
      <c r="A357" s="730" t="s">
        <v>575</v>
      </c>
      <c r="B357" s="731" t="s">
        <v>576</v>
      </c>
      <c r="C357" s="732" t="s">
        <v>597</v>
      </c>
      <c r="D357" s="733" t="s">
        <v>598</v>
      </c>
      <c r="E357" s="734">
        <v>50113001</v>
      </c>
      <c r="F357" s="733" t="s">
        <v>609</v>
      </c>
      <c r="G357" s="732" t="s">
        <v>610</v>
      </c>
      <c r="H357" s="732">
        <v>184090</v>
      </c>
      <c r="I357" s="732">
        <v>84090</v>
      </c>
      <c r="J357" s="732" t="s">
        <v>729</v>
      </c>
      <c r="K357" s="732" t="s">
        <v>730</v>
      </c>
      <c r="L357" s="735">
        <v>59.706666666666671</v>
      </c>
      <c r="M357" s="735">
        <v>6</v>
      </c>
      <c r="N357" s="736">
        <v>358.24</v>
      </c>
    </row>
    <row r="358" spans="1:14" ht="14.45" customHeight="1" x14ac:dyDescent="0.2">
      <c r="A358" s="730" t="s">
        <v>575</v>
      </c>
      <c r="B358" s="731" t="s">
        <v>576</v>
      </c>
      <c r="C358" s="732" t="s">
        <v>597</v>
      </c>
      <c r="D358" s="733" t="s">
        <v>598</v>
      </c>
      <c r="E358" s="734">
        <v>50113001</v>
      </c>
      <c r="F358" s="733" t="s">
        <v>609</v>
      </c>
      <c r="G358" s="732" t="s">
        <v>625</v>
      </c>
      <c r="H358" s="732">
        <v>136755</v>
      </c>
      <c r="I358" s="732">
        <v>136755</v>
      </c>
      <c r="J358" s="732" t="s">
        <v>1210</v>
      </c>
      <c r="K358" s="732" t="s">
        <v>1211</v>
      </c>
      <c r="L358" s="735">
        <v>5553.9000000000005</v>
      </c>
      <c r="M358" s="735">
        <v>8</v>
      </c>
      <c r="N358" s="736">
        <v>44431.200000000004</v>
      </c>
    </row>
    <row r="359" spans="1:14" ht="14.45" customHeight="1" x14ac:dyDescent="0.2">
      <c r="A359" s="730" t="s">
        <v>575</v>
      </c>
      <c r="B359" s="731" t="s">
        <v>576</v>
      </c>
      <c r="C359" s="732" t="s">
        <v>597</v>
      </c>
      <c r="D359" s="733" t="s">
        <v>598</v>
      </c>
      <c r="E359" s="734">
        <v>50113001</v>
      </c>
      <c r="F359" s="733" t="s">
        <v>609</v>
      </c>
      <c r="G359" s="732" t="s">
        <v>610</v>
      </c>
      <c r="H359" s="732">
        <v>117011</v>
      </c>
      <c r="I359" s="732">
        <v>17011</v>
      </c>
      <c r="J359" s="732" t="s">
        <v>741</v>
      </c>
      <c r="K359" s="732" t="s">
        <v>742</v>
      </c>
      <c r="L359" s="735">
        <v>144.935</v>
      </c>
      <c r="M359" s="735">
        <v>10</v>
      </c>
      <c r="N359" s="736">
        <v>1449.35</v>
      </c>
    </row>
    <row r="360" spans="1:14" ht="14.45" customHeight="1" x14ac:dyDescent="0.2">
      <c r="A360" s="730" t="s">
        <v>575</v>
      </c>
      <c r="B360" s="731" t="s">
        <v>576</v>
      </c>
      <c r="C360" s="732" t="s">
        <v>597</v>
      </c>
      <c r="D360" s="733" t="s">
        <v>598</v>
      </c>
      <c r="E360" s="734">
        <v>50113001</v>
      </c>
      <c r="F360" s="733" t="s">
        <v>609</v>
      </c>
      <c r="G360" s="732" t="s">
        <v>610</v>
      </c>
      <c r="H360" s="732">
        <v>241672</v>
      </c>
      <c r="I360" s="732">
        <v>241672</v>
      </c>
      <c r="J360" s="732" t="s">
        <v>747</v>
      </c>
      <c r="K360" s="732" t="s">
        <v>748</v>
      </c>
      <c r="L360" s="735">
        <v>111.40999999999998</v>
      </c>
      <c r="M360" s="735">
        <v>142</v>
      </c>
      <c r="N360" s="736">
        <v>15820.219999999998</v>
      </c>
    </row>
    <row r="361" spans="1:14" ht="14.45" customHeight="1" x14ac:dyDescent="0.2">
      <c r="A361" s="730" t="s">
        <v>575</v>
      </c>
      <c r="B361" s="731" t="s">
        <v>576</v>
      </c>
      <c r="C361" s="732" t="s">
        <v>597</v>
      </c>
      <c r="D361" s="733" t="s">
        <v>598</v>
      </c>
      <c r="E361" s="734">
        <v>50113001</v>
      </c>
      <c r="F361" s="733" t="s">
        <v>609</v>
      </c>
      <c r="G361" s="732" t="s">
        <v>610</v>
      </c>
      <c r="H361" s="732">
        <v>104071</v>
      </c>
      <c r="I361" s="732">
        <v>4071</v>
      </c>
      <c r="J361" s="732" t="s">
        <v>749</v>
      </c>
      <c r="K361" s="732" t="s">
        <v>751</v>
      </c>
      <c r="L361" s="735">
        <v>224.10999999999999</v>
      </c>
      <c r="M361" s="735">
        <v>4</v>
      </c>
      <c r="N361" s="736">
        <v>896.43999999999994</v>
      </c>
    </row>
    <row r="362" spans="1:14" ht="14.45" customHeight="1" x14ac:dyDescent="0.2">
      <c r="A362" s="730" t="s">
        <v>575</v>
      </c>
      <c r="B362" s="731" t="s">
        <v>576</v>
      </c>
      <c r="C362" s="732" t="s">
        <v>597</v>
      </c>
      <c r="D362" s="733" t="s">
        <v>598</v>
      </c>
      <c r="E362" s="734">
        <v>50113001</v>
      </c>
      <c r="F362" s="733" t="s">
        <v>609</v>
      </c>
      <c r="G362" s="732" t="s">
        <v>610</v>
      </c>
      <c r="H362" s="732">
        <v>846599</v>
      </c>
      <c r="I362" s="732">
        <v>107754</v>
      </c>
      <c r="J362" s="732" t="s">
        <v>752</v>
      </c>
      <c r="K362" s="732" t="s">
        <v>329</v>
      </c>
      <c r="L362" s="735">
        <v>131.51613207547172</v>
      </c>
      <c r="M362" s="735">
        <v>106</v>
      </c>
      <c r="N362" s="736">
        <v>13940.710000000003</v>
      </c>
    </row>
    <row r="363" spans="1:14" ht="14.45" customHeight="1" x14ac:dyDescent="0.2">
      <c r="A363" s="730" t="s">
        <v>575</v>
      </c>
      <c r="B363" s="731" t="s">
        <v>576</v>
      </c>
      <c r="C363" s="732" t="s">
        <v>597</v>
      </c>
      <c r="D363" s="733" t="s">
        <v>598</v>
      </c>
      <c r="E363" s="734">
        <v>50113001</v>
      </c>
      <c r="F363" s="733" t="s">
        <v>609</v>
      </c>
      <c r="G363" s="732" t="s">
        <v>610</v>
      </c>
      <c r="H363" s="732">
        <v>226523</v>
      </c>
      <c r="I363" s="732">
        <v>226523</v>
      </c>
      <c r="J363" s="732" t="s">
        <v>760</v>
      </c>
      <c r="K363" s="732" t="s">
        <v>761</v>
      </c>
      <c r="L363" s="735">
        <v>51.960000000000015</v>
      </c>
      <c r="M363" s="735">
        <v>1</v>
      </c>
      <c r="N363" s="736">
        <v>51.960000000000015</v>
      </c>
    </row>
    <row r="364" spans="1:14" ht="14.45" customHeight="1" x14ac:dyDescent="0.2">
      <c r="A364" s="730" t="s">
        <v>575</v>
      </c>
      <c r="B364" s="731" t="s">
        <v>576</v>
      </c>
      <c r="C364" s="732" t="s">
        <v>597</v>
      </c>
      <c r="D364" s="733" t="s">
        <v>598</v>
      </c>
      <c r="E364" s="734">
        <v>50113001</v>
      </c>
      <c r="F364" s="733" t="s">
        <v>609</v>
      </c>
      <c r="G364" s="732" t="s">
        <v>610</v>
      </c>
      <c r="H364" s="732">
        <v>905097</v>
      </c>
      <c r="I364" s="732">
        <v>158767</v>
      </c>
      <c r="J364" s="732" t="s">
        <v>1212</v>
      </c>
      <c r="K364" s="732" t="s">
        <v>1213</v>
      </c>
      <c r="L364" s="735">
        <v>167.42000000000002</v>
      </c>
      <c r="M364" s="735">
        <v>1</v>
      </c>
      <c r="N364" s="736">
        <v>167.42000000000002</v>
      </c>
    </row>
    <row r="365" spans="1:14" ht="14.45" customHeight="1" x14ac:dyDescent="0.2">
      <c r="A365" s="730" t="s">
        <v>575</v>
      </c>
      <c r="B365" s="731" t="s">
        <v>576</v>
      </c>
      <c r="C365" s="732" t="s">
        <v>597</v>
      </c>
      <c r="D365" s="733" t="s">
        <v>598</v>
      </c>
      <c r="E365" s="734">
        <v>50113001</v>
      </c>
      <c r="F365" s="733" t="s">
        <v>609</v>
      </c>
      <c r="G365" s="732" t="s">
        <v>610</v>
      </c>
      <c r="H365" s="732">
        <v>920170</v>
      </c>
      <c r="I365" s="732">
        <v>0</v>
      </c>
      <c r="J365" s="732" t="s">
        <v>1214</v>
      </c>
      <c r="K365" s="732" t="s">
        <v>329</v>
      </c>
      <c r="L365" s="735">
        <v>77.415794316289393</v>
      </c>
      <c r="M365" s="735">
        <v>4</v>
      </c>
      <c r="N365" s="736">
        <v>309.66317726515757</v>
      </c>
    </row>
    <row r="366" spans="1:14" ht="14.45" customHeight="1" x14ac:dyDescent="0.2">
      <c r="A366" s="730" t="s">
        <v>575</v>
      </c>
      <c r="B366" s="731" t="s">
        <v>576</v>
      </c>
      <c r="C366" s="732" t="s">
        <v>597</v>
      </c>
      <c r="D366" s="733" t="s">
        <v>598</v>
      </c>
      <c r="E366" s="734">
        <v>50113001</v>
      </c>
      <c r="F366" s="733" t="s">
        <v>609</v>
      </c>
      <c r="G366" s="732" t="s">
        <v>610</v>
      </c>
      <c r="H366" s="732">
        <v>215473</v>
      </c>
      <c r="I366" s="732">
        <v>215473</v>
      </c>
      <c r="J366" s="732" t="s">
        <v>1215</v>
      </c>
      <c r="K366" s="732" t="s">
        <v>1216</v>
      </c>
      <c r="L366" s="735">
        <v>336.27</v>
      </c>
      <c r="M366" s="735">
        <v>5</v>
      </c>
      <c r="N366" s="736">
        <v>1681.35</v>
      </c>
    </row>
    <row r="367" spans="1:14" ht="14.45" customHeight="1" x14ac:dyDescent="0.2">
      <c r="A367" s="730" t="s">
        <v>575</v>
      </c>
      <c r="B367" s="731" t="s">
        <v>576</v>
      </c>
      <c r="C367" s="732" t="s">
        <v>597</v>
      </c>
      <c r="D367" s="733" t="s">
        <v>598</v>
      </c>
      <c r="E367" s="734">
        <v>50113001</v>
      </c>
      <c r="F367" s="733" t="s">
        <v>609</v>
      </c>
      <c r="G367" s="732" t="s">
        <v>610</v>
      </c>
      <c r="H367" s="732">
        <v>215474</v>
      </c>
      <c r="I367" s="732">
        <v>215474</v>
      </c>
      <c r="J367" s="732" t="s">
        <v>1217</v>
      </c>
      <c r="K367" s="732" t="s">
        <v>1218</v>
      </c>
      <c r="L367" s="735">
        <v>531.37999999999988</v>
      </c>
      <c r="M367" s="735">
        <v>5</v>
      </c>
      <c r="N367" s="736">
        <v>2656.8999999999996</v>
      </c>
    </row>
    <row r="368" spans="1:14" ht="14.45" customHeight="1" x14ac:dyDescent="0.2">
      <c r="A368" s="730" t="s">
        <v>575</v>
      </c>
      <c r="B368" s="731" t="s">
        <v>576</v>
      </c>
      <c r="C368" s="732" t="s">
        <v>597</v>
      </c>
      <c r="D368" s="733" t="s">
        <v>598</v>
      </c>
      <c r="E368" s="734">
        <v>50113001</v>
      </c>
      <c r="F368" s="733" t="s">
        <v>609</v>
      </c>
      <c r="G368" s="732" t="s">
        <v>610</v>
      </c>
      <c r="H368" s="732">
        <v>501596</v>
      </c>
      <c r="I368" s="732">
        <v>0</v>
      </c>
      <c r="J368" s="732" t="s">
        <v>1219</v>
      </c>
      <c r="K368" s="732" t="s">
        <v>1220</v>
      </c>
      <c r="L368" s="735">
        <v>113.26000000000003</v>
      </c>
      <c r="M368" s="735">
        <v>1</v>
      </c>
      <c r="N368" s="736">
        <v>113.26000000000003</v>
      </c>
    </row>
    <row r="369" spans="1:14" ht="14.45" customHeight="1" x14ac:dyDescent="0.2">
      <c r="A369" s="730" t="s">
        <v>575</v>
      </c>
      <c r="B369" s="731" t="s">
        <v>576</v>
      </c>
      <c r="C369" s="732" t="s">
        <v>597</v>
      </c>
      <c r="D369" s="733" t="s">
        <v>598</v>
      </c>
      <c r="E369" s="734">
        <v>50113001</v>
      </c>
      <c r="F369" s="733" t="s">
        <v>609</v>
      </c>
      <c r="G369" s="732" t="s">
        <v>610</v>
      </c>
      <c r="H369" s="732">
        <v>54150</v>
      </c>
      <c r="I369" s="732">
        <v>54150</v>
      </c>
      <c r="J369" s="732" t="s">
        <v>1221</v>
      </c>
      <c r="K369" s="732" t="s">
        <v>1222</v>
      </c>
      <c r="L369" s="735">
        <v>89.83</v>
      </c>
      <c r="M369" s="735">
        <v>3</v>
      </c>
      <c r="N369" s="736">
        <v>269.49</v>
      </c>
    </row>
    <row r="370" spans="1:14" ht="14.45" customHeight="1" x14ac:dyDescent="0.2">
      <c r="A370" s="730" t="s">
        <v>575</v>
      </c>
      <c r="B370" s="731" t="s">
        <v>576</v>
      </c>
      <c r="C370" s="732" t="s">
        <v>597</v>
      </c>
      <c r="D370" s="733" t="s">
        <v>598</v>
      </c>
      <c r="E370" s="734">
        <v>50113001</v>
      </c>
      <c r="F370" s="733" t="s">
        <v>609</v>
      </c>
      <c r="G370" s="732" t="s">
        <v>329</v>
      </c>
      <c r="H370" s="732">
        <v>154151</v>
      </c>
      <c r="I370" s="732">
        <v>54151</v>
      </c>
      <c r="J370" s="732" t="s">
        <v>1223</v>
      </c>
      <c r="K370" s="732" t="s">
        <v>1224</v>
      </c>
      <c r="L370" s="735">
        <v>109.00000000000003</v>
      </c>
      <c r="M370" s="735">
        <v>1</v>
      </c>
      <c r="N370" s="736">
        <v>109.00000000000003</v>
      </c>
    </row>
    <row r="371" spans="1:14" ht="14.45" customHeight="1" x14ac:dyDescent="0.2">
      <c r="A371" s="730" t="s">
        <v>575</v>
      </c>
      <c r="B371" s="731" t="s">
        <v>576</v>
      </c>
      <c r="C371" s="732" t="s">
        <v>597</v>
      </c>
      <c r="D371" s="733" t="s">
        <v>598</v>
      </c>
      <c r="E371" s="734">
        <v>50113001</v>
      </c>
      <c r="F371" s="733" t="s">
        <v>609</v>
      </c>
      <c r="G371" s="732" t="s">
        <v>625</v>
      </c>
      <c r="H371" s="732">
        <v>168326</v>
      </c>
      <c r="I371" s="732">
        <v>168326</v>
      </c>
      <c r="J371" s="732" t="s">
        <v>770</v>
      </c>
      <c r="K371" s="732" t="s">
        <v>1225</v>
      </c>
      <c r="L371" s="735">
        <v>393.33</v>
      </c>
      <c r="M371" s="735">
        <v>1</v>
      </c>
      <c r="N371" s="736">
        <v>393.33</v>
      </c>
    </row>
    <row r="372" spans="1:14" ht="14.45" customHeight="1" x14ac:dyDescent="0.2">
      <c r="A372" s="730" t="s">
        <v>575</v>
      </c>
      <c r="B372" s="731" t="s">
        <v>576</v>
      </c>
      <c r="C372" s="732" t="s">
        <v>597</v>
      </c>
      <c r="D372" s="733" t="s">
        <v>598</v>
      </c>
      <c r="E372" s="734">
        <v>50113001</v>
      </c>
      <c r="F372" s="733" t="s">
        <v>609</v>
      </c>
      <c r="G372" s="732" t="s">
        <v>625</v>
      </c>
      <c r="H372" s="732">
        <v>193745</v>
      </c>
      <c r="I372" s="732">
        <v>193745</v>
      </c>
      <c r="J372" s="732" t="s">
        <v>772</v>
      </c>
      <c r="K372" s="732" t="s">
        <v>773</v>
      </c>
      <c r="L372" s="735">
        <v>1505.8700000000001</v>
      </c>
      <c r="M372" s="735">
        <v>1</v>
      </c>
      <c r="N372" s="736">
        <v>1505.8700000000001</v>
      </c>
    </row>
    <row r="373" spans="1:14" ht="14.45" customHeight="1" x14ac:dyDescent="0.2">
      <c r="A373" s="730" t="s">
        <v>575</v>
      </c>
      <c r="B373" s="731" t="s">
        <v>576</v>
      </c>
      <c r="C373" s="732" t="s">
        <v>597</v>
      </c>
      <c r="D373" s="733" t="s">
        <v>598</v>
      </c>
      <c r="E373" s="734">
        <v>50113001</v>
      </c>
      <c r="F373" s="733" t="s">
        <v>609</v>
      </c>
      <c r="G373" s="732" t="s">
        <v>610</v>
      </c>
      <c r="H373" s="732">
        <v>502196</v>
      </c>
      <c r="I373" s="732">
        <v>9999999</v>
      </c>
      <c r="J373" s="732" t="s">
        <v>1226</v>
      </c>
      <c r="K373" s="732" t="s">
        <v>1227</v>
      </c>
      <c r="L373" s="735">
        <v>20855.12</v>
      </c>
      <c r="M373" s="735">
        <v>2</v>
      </c>
      <c r="N373" s="736">
        <v>41710.239999999998</v>
      </c>
    </row>
    <row r="374" spans="1:14" ht="14.45" customHeight="1" x14ac:dyDescent="0.2">
      <c r="A374" s="730" t="s">
        <v>575</v>
      </c>
      <c r="B374" s="731" t="s">
        <v>576</v>
      </c>
      <c r="C374" s="732" t="s">
        <v>597</v>
      </c>
      <c r="D374" s="733" t="s">
        <v>598</v>
      </c>
      <c r="E374" s="734">
        <v>50113001</v>
      </c>
      <c r="F374" s="733" t="s">
        <v>609</v>
      </c>
      <c r="G374" s="732" t="s">
        <v>610</v>
      </c>
      <c r="H374" s="732">
        <v>162597</v>
      </c>
      <c r="I374" s="732">
        <v>62597</v>
      </c>
      <c r="J374" s="732" t="s">
        <v>1228</v>
      </c>
      <c r="K374" s="732" t="s">
        <v>1229</v>
      </c>
      <c r="L374" s="735">
        <v>77.92</v>
      </c>
      <c r="M374" s="735">
        <v>3</v>
      </c>
      <c r="N374" s="736">
        <v>233.76</v>
      </c>
    </row>
    <row r="375" spans="1:14" ht="14.45" customHeight="1" x14ac:dyDescent="0.2">
      <c r="A375" s="730" t="s">
        <v>575</v>
      </c>
      <c r="B375" s="731" t="s">
        <v>576</v>
      </c>
      <c r="C375" s="732" t="s">
        <v>597</v>
      </c>
      <c r="D375" s="733" t="s">
        <v>598</v>
      </c>
      <c r="E375" s="734">
        <v>50113001</v>
      </c>
      <c r="F375" s="733" t="s">
        <v>609</v>
      </c>
      <c r="G375" s="732" t="s">
        <v>610</v>
      </c>
      <c r="H375" s="732">
        <v>447</v>
      </c>
      <c r="I375" s="732">
        <v>447</v>
      </c>
      <c r="J375" s="732" t="s">
        <v>1230</v>
      </c>
      <c r="K375" s="732" t="s">
        <v>1231</v>
      </c>
      <c r="L375" s="735">
        <v>178.64166666666668</v>
      </c>
      <c r="M375" s="735">
        <v>18</v>
      </c>
      <c r="N375" s="736">
        <v>3215.55</v>
      </c>
    </row>
    <row r="376" spans="1:14" ht="14.45" customHeight="1" x14ac:dyDescent="0.2">
      <c r="A376" s="730" t="s">
        <v>575</v>
      </c>
      <c r="B376" s="731" t="s">
        <v>576</v>
      </c>
      <c r="C376" s="732" t="s">
        <v>597</v>
      </c>
      <c r="D376" s="733" t="s">
        <v>598</v>
      </c>
      <c r="E376" s="734">
        <v>50113001</v>
      </c>
      <c r="F376" s="733" t="s">
        <v>609</v>
      </c>
      <c r="G376" s="732" t="s">
        <v>610</v>
      </c>
      <c r="H376" s="732">
        <v>199680</v>
      </c>
      <c r="I376" s="732">
        <v>199680</v>
      </c>
      <c r="J376" s="732" t="s">
        <v>780</v>
      </c>
      <c r="K376" s="732" t="s">
        <v>781</v>
      </c>
      <c r="L376" s="735">
        <v>362.45999999999987</v>
      </c>
      <c r="M376" s="735">
        <v>3</v>
      </c>
      <c r="N376" s="736">
        <v>1087.3799999999997</v>
      </c>
    </row>
    <row r="377" spans="1:14" ht="14.45" customHeight="1" x14ac:dyDescent="0.2">
      <c r="A377" s="730" t="s">
        <v>575</v>
      </c>
      <c r="B377" s="731" t="s">
        <v>576</v>
      </c>
      <c r="C377" s="732" t="s">
        <v>597</v>
      </c>
      <c r="D377" s="733" t="s">
        <v>598</v>
      </c>
      <c r="E377" s="734">
        <v>50113001</v>
      </c>
      <c r="F377" s="733" t="s">
        <v>609</v>
      </c>
      <c r="G377" s="732" t="s">
        <v>610</v>
      </c>
      <c r="H377" s="732">
        <v>159465</v>
      </c>
      <c r="I377" s="732">
        <v>159465</v>
      </c>
      <c r="J377" s="732" t="s">
        <v>1232</v>
      </c>
      <c r="K377" s="732" t="s">
        <v>1233</v>
      </c>
      <c r="L377" s="735">
        <v>3359.59</v>
      </c>
      <c r="M377" s="735">
        <v>5</v>
      </c>
      <c r="N377" s="736">
        <v>16797.95</v>
      </c>
    </row>
    <row r="378" spans="1:14" ht="14.45" customHeight="1" x14ac:dyDescent="0.2">
      <c r="A378" s="730" t="s">
        <v>575</v>
      </c>
      <c r="B378" s="731" t="s">
        <v>576</v>
      </c>
      <c r="C378" s="732" t="s">
        <v>597</v>
      </c>
      <c r="D378" s="733" t="s">
        <v>598</v>
      </c>
      <c r="E378" s="734">
        <v>50113001</v>
      </c>
      <c r="F378" s="733" t="s">
        <v>609</v>
      </c>
      <c r="G378" s="732" t="s">
        <v>610</v>
      </c>
      <c r="H378" s="732">
        <v>225510</v>
      </c>
      <c r="I378" s="732">
        <v>225510</v>
      </c>
      <c r="J378" s="732" t="s">
        <v>1234</v>
      </c>
      <c r="K378" s="732" t="s">
        <v>1235</v>
      </c>
      <c r="L378" s="735">
        <v>64.72</v>
      </c>
      <c r="M378" s="735">
        <v>1</v>
      </c>
      <c r="N378" s="736">
        <v>64.72</v>
      </c>
    </row>
    <row r="379" spans="1:14" ht="14.45" customHeight="1" x14ac:dyDescent="0.2">
      <c r="A379" s="730" t="s">
        <v>575</v>
      </c>
      <c r="B379" s="731" t="s">
        <v>576</v>
      </c>
      <c r="C379" s="732" t="s">
        <v>597</v>
      </c>
      <c r="D379" s="733" t="s">
        <v>598</v>
      </c>
      <c r="E379" s="734">
        <v>50113001</v>
      </c>
      <c r="F379" s="733" t="s">
        <v>609</v>
      </c>
      <c r="G379" s="732" t="s">
        <v>610</v>
      </c>
      <c r="H379" s="732">
        <v>149990</v>
      </c>
      <c r="I379" s="732">
        <v>49990</v>
      </c>
      <c r="J379" s="732" t="s">
        <v>792</v>
      </c>
      <c r="K379" s="732" t="s">
        <v>1236</v>
      </c>
      <c r="L379" s="735">
        <v>170.54999897985519</v>
      </c>
      <c r="M379" s="735">
        <v>30</v>
      </c>
      <c r="N379" s="736">
        <v>5116.4999693956561</v>
      </c>
    </row>
    <row r="380" spans="1:14" ht="14.45" customHeight="1" x14ac:dyDescent="0.2">
      <c r="A380" s="730" t="s">
        <v>575</v>
      </c>
      <c r="B380" s="731" t="s">
        <v>576</v>
      </c>
      <c r="C380" s="732" t="s">
        <v>597</v>
      </c>
      <c r="D380" s="733" t="s">
        <v>598</v>
      </c>
      <c r="E380" s="734">
        <v>50113001</v>
      </c>
      <c r="F380" s="733" t="s">
        <v>609</v>
      </c>
      <c r="G380" s="732" t="s">
        <v>625</v>
      </c>
      <c r="H380" s="732">
        <v>213487</v>
      </c>
      <c r="I380" s="732">
        <v>213487</v>
      </c>
      <c r="J380" s="732" t="s">
        <v>803</v>
      </c>
      <c r="K380" s="732" t="s">
        <v>807</v>
      </c>
      <c r="L380" s="735">
        <v>271.85000000000002</v>
      </c>
      <c r="M380" s="735">
        <v>63</v>
      </c>
      <c r="N380" s="736">
        <v>17126.550000000003</v>
      </c>
    </row>
    <row r="381" spans="1:14" ht="14.45" customHeight="1" x14ac:dyDescent="0.2">
      <c r="A381" s="730" t="s">
        <v>575</v>
      </c>
      <c r="B381" s="731" t="s">
        <v>576</v>
      </c>
      <c r="C381" s="732" t="s">
        <v>597</v>
      </c>
      <c r="D381" s="733" t="s">
        <v>598</v>
      </c>
      <c r="E381" s="734">
        <v>50113001</v>
      </c>
      <c r="F381" s="733" t="s">
        <v>609</v>
      </c>
      <c r="G381" s="732" t="s">
        <v>625</v>
      </c>
      <c r="H381" s="732">
        <v>213494</v>
      </c>
      <c r="I381" s="732">
        <v>213494</v>
      </c>
      <c r="J381" s="732" t="s">
        <v>803</v>
      </c>
      <c r="K381" s="732" t="s">
        <v>804</v>
      </c>
      <c r="L381" s="735">
        <v>408.95000000000005</v>
      </c>
      <c r="M381" s="735">
        <v>31</v>
      </c>
      <c r="N381" s="736">
        <v>12677.45</v>
      </c>
    </row>
    <row r="382" spans="1:14" ht="14.45" customHeight="1" x14ac:dyDescent="0.2">
      <c r="A382" s="730" t="s">
        <v>575</v>
      </c>
      <c r="B382" s="731" t="s">
        <v>576</v>
      </c>
      <c r="C382" s="732" t="s">
        <v>597</v>
      </c>
      <c r="D382" s="733" t="s">
        <v>598</v>
      </c>
      <c r="E382" s="734">
        <v>50113001</v>
      </c>
      <c r="F382" s="733" t="s">
        <v>609</v>
      </c>
      <c r="G382" s="732" t="s">
        <v>625</v>
      </c>
      <c r="H382" s="732">
        <v>213489</v>
      </c>
      <c r="I382" s="732">
        <v>213489</v>
      </c>
      <c r="J382" s="732" t="s">
        <v>803</v>
      </c>
      <c r="K382" s="732" t="s">
        <v>806</v>
      </c>
      <c r="L382" s="735">
        <v>630.66</v>
      </c>
      <c r="M382" s="735">
        <v>10</v>
      </c>
      <c r="N382" s="736">
        <v>6306.5999999999995</v>
      </c>
    </row>
    <row r="383" spans="1:14" ht="14.45" customHeight="1" x14ac:dyDescent="0.2">
      <c r="A383" s="730" t="s">
        <v>575</v>
      </c>
      <c r="B383" s="731" t="s">
        <v>576</v>
      </c>
      <c r="C383" s="732" t="s">
        <v>597</v>
      </c>
      <c r="D383" s="733" t="s">
        <v>598</v>
      </c>
      <c r="E383" s="734">
        <v>50113001</v>
      </c>
      <c r="F383" s="733" t="s">
        <v>609</v>
      </c>
      <c r="G383" s="732" t="s">
        <v>625</v>
      </c>
      <c r="H383" s="732">
        <v>156804</v>
      </c>
      <c r="I383" s="732">
        <v>56804</v>
      </c>
      <c r="J383" s="732" t="s">
        <v>811</v>
      </c>
      <c r="K383" s="732" t="s">
        <v>1237</v>
      </c>
      <c r="L383" s="735">
        <v>31.519999999999996</v>
      </c>
      <c r="M383" s="735">
        <v>3</v>
      </c>
      <c r="N383" s="736">
        <v>94.559999999999988</v>
      </c>
    </row>
    <row r="384" spans="1:14" ht="14.45" customHeight="1" x14ac:dyDescent="0.2">
      <c r="A384" s="730" t="s">
        <v>575</v>
      </c>
      <c r="B384" s="731" t="s">
        <v>576</v>
      </c>
      <c r="C384" s="732" t="s">
        <v>597</v>
      </c>
      <c r="D384" s="733" t="s">
        <v>598</v>
      </c>
      <c r="E384" s="734">
        <v>50113001</v>
      </c>
      <c r="F384" s="733" t="s">
        <v>609</v>
      </c>
      <c r="G384" s="732" t="s">
        <v>625</v>
      </c>
      <c r="H384" s="732">
        <v>239807</v>
      </c>
      <c r="I384" s="732">
        <v>239807</v>
      </c>
      <c r="J384" s="732" t="s">
        <v>813</v>
      </c>
      <c r="K384" s="732" t="s">
        <v>814</v>
      </c>
      <c r="L384" s="735">
        <v>40.38209876543209</v>
      </c>
      <c r="M384" s="735">
        <v>81</v>
      </c>
      <c r="N384" s="736">
        <v>3270.9499999999994</v>
      </c>
    </row>
    <row r="385" spans="1:14" ht="14.45" customHeight="1" x14ac:dyDescent="0.2">
      <c r="A385" s="730" t="s">
        <v>575</v>
      </c>
      <c r="B385" s="731" t="s">
        <v>576</v>
      </c>
      <c r="C385" s="732" t="s">
        <v>597</v>
      </c>
      <c r="D385" s="733" t="s">
        <v>598</v>
      </c>
      <c r="E385" s="734">
        <v>50113001</v>
      </c>
      <c r="F385" s="733" t="s">
        <v>609</v>
      </c>
      <c r="G385" s="732" t="s">
        <v>625</v>
      </c>
      <c r="H385" s="732">
        <v>214036</v>
      </c>
      <c r="I385" s="732">
        <v>214036</v>
      </c>
      <c r="J385" s="732" t="s">
        <v>813</v>
      </c>
      <c r="K385" s="732" t="s">
        <v>814</v>
      </c>
      <c r="L385" s="735">
        <v>40.35321167883211</v>
      </c>
      <c r="M385" s="735">
        <v>137</v>
      </c>
      <c r="N385" s="736">
        <v>5528.3899999999994</v>
      </c>
    </row>
    <row r="386" spans="1:14" ht="14.45" customHeight="1" x14ac:dyDescent="0.2">
      <c r="A386" s="730" t="s">
        <v>575</v>
      </c>
      <c r="B386" s="731" t="s">
        <v>576</v>
      </c>
      <c r="C386" s="732" t="s">
        <v>597</v>
      </c>
      <c r="D386" s="733" t="s">
        <v>598</v>
      </c>
      <c r="E386" s="734">
        <v>50113001</v>
      </c>
      <c r="F386" s="733" t="s">
        <v>609</v>
      </c>
      <c r="G386" s="732" t="s">
        <v>610</v>
      </c>
      <c r="H386" s="732">
        <v>199333</v>
      </c>
      <c r="I386" s="732">
        <v>99333</v>
      </c>
      <c r="J386" s="732" t="s">
        <v>815</v>
      </c>
      <c r="K386" s="732" t="s">
        <v>816</v>
      </c>
      <c r="L386" s="735">
        <v>246.78794871794875</v>
      </c>
      <c r="M386" s="735">
        <v>39</v>
      </c>
      <c r="N386" s="736">
        <v>9624.7300000000014</v>
      </c>
    </row>
    <row r="387" spans="1:14" ht="14.45" customHeight="1" x14ac:dyDescent="0.2">
      <c r="A387" s="730" t="s">
        <v>575</v>
      </c>
      <c r="B387" s="731" t="s">
        <v>576</v>
      </c>
      <c r="C387" s="732" t="s">
        <v>597</v>
      </c>
      <c r="D387" s="733" t="s">
        <v>598</v>
      </c>
      <c r="E387" s="734">
        <v>50113001</v>
      </c>
      <c r="F387" s="733" t="s">
        <v>609</v>
      </c>
      <c r="G387" s="732" t="s">
        <v>610</v>
      </c>
      <c r="H387" s="732">
        <v>165633</v>
      </c>
      <c r="I387" s="732">
        <v>165751</v>
      </c>
      <c r="J387" s="732" t="s">
        <v>1238</v>
      </c>
      <c r="K387" s="732" t="s">
        <v>1239</v>
      </c>
      <c r="L387" s="735">
        <v>3951.64</v>
      </c>
      <c r="M387" s="735">
        <v>3</v>
      </c>
      <c r="N387" s="736">
        <v>11854.92</v>
      </c>
    </row>
    <row r="388" spans="1:14" ht="14.45" customHeight="1" x14ac:dyDescent="0.2">
      <c r="A388" s="730" t="s">
        <v>575</v>
      </c>
      <c r="B388" s="731" t="s">
        <v>576</v>
      </c>
      <c r="C388" s="732" t="s">
        <v>597</v>
      </c>
      <c r="D388" s="733" t="s">
        <v>598</v>
      </c>
      <c r="E388" s="734">
        <v>50113001</v>
      </c>
      <c r="F388" s="733" t="s">
        <v>609</v>
      </c>
      <c r="G388" s="732" t="s">
        <v>610</v>
      </c>
      <c r="H388" s="732">
        <v>111337</v>
      </c>
      <c r="I388" s="732">
        <v>52421</v>
      </c>
      <c r="J388" s="732" t="s">
        <v>1240</v>
      </c>
      <c r="K388" s="732" t="s">
        <v>1241</v>
      </c>
      <c r="L388" s="735">
        <v>75.900000000000006</v>
      </c>
      <c r="M388" s="735">
        <v>11</v>
      </c>
      <c r="N388" s="736">
        <v>834.90000000000009</v>
      </c>
    </row>
    <row r="389" spans="1:14" ht="14.45" customHeight="1" x14ac:dyDescent="0.2">
      <c r="A389" s="730" t="s">
        <v>575</v>
      </c>
      <c r="B389" s="731" t="s">
        <v>576</v>
      </c>
      <c r="C389" s="732" t="s">
        <v>597</v>
      </c>
      <c r="D389" s="733" t="s">
        <v>598</v>
      </c>
      <c r="E389" s="734">
        <v>50113001</v>
      </c>
      <c r="F389" s="733" t="s">
        <v>609</v>
      </c>
      <c r="G389" s="732" t="s">
        <v>610</v>
      </c>
      <c r="H389" s="732">
        <v>31915</v>
      </c>
      <c r="I389" s="732">
        <v>31915</v>
      </c>
      <c r="J389" s="732" t="s">
        <v>821</v>
      </c>
      <c r="K389" s="732" t="s">
        <v>822</v>
      </c>
      <c r="L389" s="735">
        <v>173.69000000000003</v>
      </c>
      <c r="M389" s="735">
        <v>23</v>
      </c>
      <c r="N389" s="736">
        <v>3994.8700000000008</v>
      </c>
    </row>
    <row r="390" spans="1:14" ht="14.45" customHeight="1" x14ac:dyDescent="0.2">
      <c r="A390" s="730" t="s">
        <v>575</v>
      </c>
      <c r="B390" s="731" t="s">
        <v>576</v>
      </c>
      <c r="C390" s="732" t="s">
        <v>597</v>
      </c>
      <c r="D390" s="733" t="s">
        <v>598</v>
      </c>
      <c r="E390" s="734">
        <v>50113001</v>
      </c>
      <c r="F390" s="733" t="s">
        <v>609</v>
      </c>
      <c r="G390" s="732" t="s">
        <v>610</v>
      </c>
      <c r="H390" s="732">
        <v>47706</v>
      </c>
      <c r="I390" s="732">
        <v>47706</v>
      </c>
      <c r="J390" s="732" t="s">
        <v>1242</v>
      </c>
      <c r="K390" s="732" t="s">
        <v>1243</v>
      </c>
      <c r="L390" s="735">
        <v>288.52999999999997</v>
      </c>
      <c r="M390" s="735">
        <v>1</v>
      </c>
      <c r="N390" s="736">
        <v>288.52999999999997</v>
      </c>
    </row>
    <row r="391" spans="1:14" ht="14.45" customHeight="1" x14ac:dyDescent="0.2">
      <c r="A391" s="730" t="s">
        <v>575</v>
      </c>
      <c r="B391" s="731" t="s">
        <v>576</v>
      </c>
      <c r="C391" s="732" t="s">
        <v>597</v>
      </c>
      <c r="D391" s="733" t="s">
        <v>598</v>
      </c>
      <c r="E391" s="734">
        <v>50113001</v>
      </c>
      <c r="F391" s="733" t="s">
        <v>609</v>
      </c>
      <c r="G391" s="732" t="s">
        <v>610</v>
      </c>
      <c r="H391" s="732">
        <v>47256</v>
      </c>
      <c r="I391" s="732">
        <v>47256</v>
      </c>
      <c r="J391" s="732" t="s">
        <v>823</v>
      </c>
      <c r="K391" s="732" t="s">
        <v>824</v>
      </c>
      <c r="L391" s="735">
        <v>222.19999999999996</v>
      </c>
      <c r="M391" s="735">
        <v>13</v>
      </c>
      <c r="N391" s="736">
        <v>2888.5999999999995</v>
      </c>
    </row>
    <row r="392" spans="1:14" ht="14.45" customHeight="1" x14ac:dyDescent="0.2">
      <c r="A392" s="730" t="s">
        <v>575</v>
      </c>
      <c r="B392" s="731" t="s">
        <v>576</v>
      </c>
      <c r="C392" s="732" t="s">
        <v>597</v>
      </c>
      <c r="D392" s="733" t="s">
        <v>598</v>
      </c>
      <c r="E392" s="734">
        <v>50113001</v>
      </c>
      <c r="F392" s="733" t="s">
        <v>609</v>
      </c>
      <c r="G392" s="732" t="s">
        <v>610</v>
      </c>
      <c r="H392" s="732">
        <v>47244</v>
      </c>
      <c r="I392" s="732">
        <v>47244</v>
      </c>
      <c r="J392" s="732" t="s">
        <v>823</v>
      </c>
      <c r="K392" s="732" t="s">
        <v>822</v>
      </c>
      <c r="L392" s="735">
        <v>143</v>
      </c>
      <c r="M392" s="735">
        <v>24</v>
      </c>
      <c r="N392" s="736">
        <v>3432</v>
      </c>
    </row>
    <row r="393" spans="1:14" ht="14.45" customHeight="1" x14ac:dyDescent="0.2">
      <c r="A393" s="730" t="s">
        <v>575</v>
      </c>
      <c r="B393" s="731" t="s">
        <v>576</v>
      </c>
      <c r="C393" s="732" t="s">
        <v>597</v>
      </c>
      <c r="D393" s="733" t="s">
        <v>598</v>
      </c>
      <c r="E393" s="734">
        <v>50113001</v>
      </c>
      <c r="F393" s="733" t="s">
        <v>609</v>
      </c>
      <c r="G393" s="732" t="s">
        <v>610</v>
      </c>
      <c r="H393" s="732">
        <v>47249</v>
      </c>
      <c r="I393" s="732">
        <v>47249</v>
      </c>
      <c r="J393" s="732" t="s">
        <v>823</v>
      </c>
      <c r="K393" s="732" t="s">
        <v>1244</v>
      </c>
      <c r="L393" s="735">
        <v>126.5</v>
      </c>
      <c r="M393" s="735">
        <v>4</v>
      </c>
      <c r="N393" s="736">
        <v>506</v>
      </c>
    </row>
    <row r="394" spans="1:14" ht="14.45" customHeight="1" x14ac:dyDescent="0.2">
      <c r="A394" s="730" t="s">
        <v>575</v>
      </c>
      <c r="B394" s="731" t="s">
        <v>576</v>
      </c>
      <c r="C394" s="732" t="s">
        <v>597</v>
      </c>
      <c r="D394" s="733" t="s">
        <v>598</v>
      </c>
      <c r="E394" s="734">
        <v>50113001</v>
      </c>
      <c r="F394" s="733" t="s">
        <v>609</v>
      </c>
      <c r="G394" s="732" t="s">
        <v>610</v>
      </c>
      <c r="H394" s="732">
        <v>125366</v>
      </c>
      <c r="I394" s="732">
        <v>25366</v>
      </c>
      <c r="J394" s="732" t="s">
        <v>832</v>
      </c>
      <c r="K394" s="732" t="s">
        <v>833</v>
      </c>
      <c r="L394" s="735">
        <v>71.765000000000001</v>
      </c>
      <c r="M394" s="735">
        <v>12</v>
      </c>
      <c r="N394" s="736">
        <v>861.18000000000006</v>
      </c>
    </row>
    <row r="395" spans="1:14" ht="14.45" customHeight="1" x14ac:dyDescent="0.2">
      <c r="A395" s="730" t="s">
        <v>575</v>
      </c>
      <c r="B395" s="731" t="s">
        <v>576</v>
      </c>
      <c r="C395" s="732" t="s">
        <v>597</v>
      </c>
      <c r="D395" s="733" t="s">
        <v>598</v>
      </c>
      <c r="E395" s="734">
        <v>50113001</v>
      </c>
      <c r="F395" s="733" t="s">
        <v>609</v>
      </c>
      <c r="G395" s="732" t="s">
        <v>610</v>
      </c>
      <c r="H395" s="732">
        <v>109139</v>
      </c>
      <c r="I395" s="732">
        <v>176129</v>
      </c>
      <c r="J395" s="732" t="s">
        <v>834</v>
      </c>
      <c r="K395" s="732" t="s">
        <v>835</v>
      </c>
      <c r="L395" s="735">
        <v>639.13999999999987</v>
      </c>
      <c r="M395" s="735">
        <v>2</v>
      </c>
      <c r="N395" s="736">
        <v>1278.2799999999997</v>
      </c>
    </row>
    <row r="396" spans="1:14" ht="14.45" customHeight="1" x14ac:dyDescent="0.2">
      <c r="A396" s="730" t="s">
        <v>575</v>
      </c>
      <c r="B396" s="731" t="s">
        <v>576</v>
      </c>
      <c r="C396" s="732" t="s">
        <v>597</v>
      </c>
      <c r="D396" s="733" t="s">
        <v>598</v>
      </c>
      <c r="E396" s="734">
        <v>50113001</v>
      </c>
      <c r="F396" s="733" t="s">
        <v>609</v>
      </c>
      <c r="G396" s="732" t="s">
        <v>610</v>
      </c>
      <c r="H396" s="732">
        <v>193746</v>
      </c>
      <c r="I396" s="732">
        <v>93746</v>
      </c>
      <c r="J396" s="732" t="s">
        <v>836</v>
      </c>
      <c r="K396" s="732" t="s">
        <v>837</v>
      </c>
      <c r="L396" s="735">
        <v>366.22</v>
      </c>
      <c r="M396" s="735">
        <v>11</v>
      </c>
      <c r="N396" s="736">
        <v>4028.42</v>
      </c>
    </row>
    <row r="397" spans="1:14" ht="14.45" customHeight="1" x14ac:dyDescent="0.2">
      <c r="A397" s="730" t="s">
        <v>575</v>
      </c>
      <c r="B397" s="731" t="s">
        <v>576</v>
      </c>
      <c r="C397" s="732" t="s">
        <v>597</v>
      </c>
      <c r="D397" s="733" t="s">
        <v>598</v>
      </c>
      <c r="E397" s="734">
        <v>50113001</v>
      </c>
      <c r="F397" s="733" t="s">
        <v>609</v>
      </c>
      <c r="G397" s="732" t="s">
        <v>625</v>
      </c>
      <c r="H397" s="732">
        <v>845593</v>
      </c>
      <c r="I397" s="732">
        <v>100304</v>
      </c>
      <c r="J397" s="732" t="s">
        <v>838</v>
      </c>
      <c r="K397" s="732" t="s">
        <v>840</v>
      </c>
      <c r="L397" s="735">
        <v>39.149999999999991</v>
      </c>
      <c r="M397" s="735">
        <v>8</v>
      </c>
      <c r="N397" s="736">
        <v>313.19999999999993</v>
      </c>
    </row>
    <row r="398" spans="1:14" ht="14.45" customHeight="1" x14ac:dyDescent="0.2">
      <c r="A398" s="730" t="s">
        <v>575</v>
      </c>
      <c r="B398" s="731" t="s">
        <v>576</v>
      </c>
      <c r="C398" s="732" t="s">
        <v>597</v>
      </c>
      <c r="D398" s="733" t="s">
        <v>598</v>
      </c>
      <c r="E398" s="734">
        <v>50113001</v>
      </c>
      <c r="F398" s="733" t="s">
        <v>609</v>
      </c>
      <c r="G398" s="732" t="s">
        <v>610</v>
      </c>
      <c r="H398" s="732">
        <v>214355</v>
      </c>
      <c r="I398" s="732">
        <v>214355</v>
      </c>
      <c r="J398" s="732" t="s">
        <v>843</v>
      </c>
      <c r="K398" s="732" t="s">
        <v>842</v>
      </c>
      <c r="L398" s="735">
        <v>215.33474999999993</v>
      </c>
      <c r="M398" s="735">
        <v>40</v>
      </c>
      <c r="N398" s="736">
        <v>8613.3899999999976</v>
      </c>
    </row>
    <row r="399" spans="1:14" ht="14.45" customHeight="1" x14ac:dyDescent="0.2">
      <c r="A399" s="730" t="s">
        <v>575</v>
      </c>
      <c r="B399" s="731" t="s">
        <v>576</v>
      </c>
      <c r="C399" s="732" t="s">
        <v>597</v>
      </c>
      <c r="D399" s="733" t="s">
        <v>598</v>
      </c>
      <c r="E399" s="734">
        <v>50113001</v>
      </c>
      <c r="F399" s="733" t="s">
        <v>609</v>
      </c>
      <c r="G399" s="732" t="s">
        <v>610</v>
      </c>
      <c r="H399" s="732">
        <v>216572</v>
      </c>
      <c r="I399" s="732">
        <v>216572</v>
      </c>
      <c r="J399" s="732" t="s">
        <v>846</v>
      </c>
      <c r="K399" s="732" t="s">
        <v>847</v>
      </c>
      <c r="L399" s="735">
        <v>36.511818181818178</v>
      </c>
      <c r="M399" s="735">
        <v>110</v>
      </c>
      <c r="N399" s="736">
        <v>4016.2999999999997</v>
      </c>
    </row>
    <row r="400" spans="1:14" ht="14.45" customHeight="1" x14ac:dyDescent="0.2">
      <c r="A400" s="730" t="s">
        <v>575</v>
      </c>
      <c r="B400" s="731" t="s">
        <v>576</v>
      </c>
      <c r="C400" s="732" t="s">
        <v>597</v>
      </c>
      <c r="D400" s="733" t="s">
        <v>598</v>
      </c>
      <c r="E400" s="734">
        <v>50113001</v>
      </c>
      <c r="F400" s="733" t="s">
        <v>609</v>
      </c>
      <c r="G400" s="732" t="s">
        <v>610</v>
      </c>
      <c r="H400" s="732">
        <v>223200</v>
      </c>
      <c r="I400" s="732">
        <v>223200</v>
      </c>
      <c r="J400" s="732" t="s">
        <v>848</v>
      </c>
      <c r="K400" s="732" t="s">
        <v>849</v>
      </c>
      <c r="L400" s="735">
        <v>137.75857142857143</v>
      </c>
      <c r="M400" s="735">
        <v>7</v>
      </c>
      <c r="N400" s="736">
        <v>964.31000000000006</v>
      </c>
    </row>
    <row r="401" spans="1:14" ht="14.45" customHeight="1" x14ac:dyDescent="0.2">
      <c r="A401" s="730" t="s">
        <v>575</v>
      </c>
      <c r="B401" s="731" t="s">
        <v>576</v>
      </c>
      <c r="C401" s="732" t="s">
        <v>597</v>
      </c>
      <c r="D401" s="733" t="s">
        <v>598</v>
      </c>
      <c r="E401" s="734">
        <v>50113001</v>
      </c>
      <c r="F401" s="733" t="s">
        <v>609</v>
      </c>
      <c r="G401" s="732" t="s">
        <v>610</v>
      </c>
      <c r="H401" s="732">
        <v>51384</v>
      </c>
      <c r="I401" s="732">
        <v>51384</v>
      </c>
      <c r="J401" s="732" t="s">
        <v>850</v>
      </c>
      <c r="K401" s="732" t="s">
        <v>851</v>
      </c>
      <c r="L401" s="735">
        <v>192.50000000000003</v>
      </c>
      <c r="M401" s="735">
        <v>4</v>
      </c>
      <c r="N401" s="736">
        <v>770.00000000000011</v>
      </c>
    </row>
    <row r="402" spans="1:14" ht="14.45" customHeight="1" x14ac:dyDescent="0.2">
      <c r="A402" s="730" t="s">
        <v>575</v>
      </c>
      <c r="B402" s="731" t="s">
        <v>576</v>
      </c>
      <c r="C402" s="732" t="s">
        <v>597</v>
      </c>
      <c r="D402" s="733" t="s">
        <v>598</v>
      </c>
      <c r="E402" s="734">
        <v>50113001</v>
      </c>
      <c r="F402" s="733" t="s">
        <v>609</v>
      </c>
      <c r="G402" s="732" t="s">
        <v>610</v>
      </c>
      <c r="H402" s="732">
        <v>51366</v>
      </c>
      <c r="I402" s="732">
        <v>51366</v>
      </c>
      <c r="J402" s="732" t="s">
        <v>850</v>
      </c>
      <c r="K402" s="732" t="s">
        <v>853</v>
      </c>
      <c r="L402" s="735">
        <v>171.6</v>
      </c>
      <c r="M402" s="735">
        <v>15</v>
      </c>
      <c r="N402" s="736">
        <v>2574</v>
      </c>
    </row>
    <row r="403" spans="1:14" ht="14.45" customHeight="1" x14ac:dyDescent="0.2">
      <c r="A403" s="730" t="s">
        <v>575</v>
      </c>
      <c r="B403" s="731" t="s">
        <v>576</v>
      </c>
      <c r="C403" s="732" t="s">
        <v>597</v>
      </c>
      <c r="D403" s="733" t="s">
        <v>598</v>
      </c>
      <c r="E403" s="734">
        <v>50113001</v>
      </c>
      <c r="F403" s="733" t="s">
        <v>609</v>
      </c>
      <c r="G403" s="732" t="s">
        <v>610</v>
      </c>
      <c r="H403" s="732">
        <v>51383</v>
      </c>
      <c r="I403" s="732">
        <v>51383</v>
      </c>
      <c r="J403" s="732" t="s">
        <v>850</v>
      </c>
      <c r="K403" s="732" t="s">
        <v>852</v>
      </c>
      <c r="L403" s="735">
        <v>93.500000000000014</v>
      </c>
      <c r="M403" s="735">
        <v>2</v>
      </c>
      <c r="N403" s="736">
        <v>187.00000000000003</v>
      </c>
    </row>
    <row r="404" spans="1:14" ht="14.45" customHeight="1" x14ac:dyDescent="0.2">
      <c r="A404" s="730" t="s">
        <v>575</v>
      </c>
      <c r="B404" s="731" t="s">
        <v>576</v>
      </c>
      <c r="C404" s="732" t="s">
        <v>597</v>
      </c>
      <c r="D404" s="733" t="s">
        <v>598</v>
      </c>
      <c r="E404" s="734">
        <v>50113001</v>
      </c>
      <c r="F404" s="733" t="s">
        <v>609</v>
      </c>
      <c r="G404" s="732" t="s">
        <v>610</v>
      </c>
      <c r="H404" s="732">
        <v>51367</v>
      </c>
      <c r="I404" s="732">
        <v>51367</v>
      </c>
      <c r="J404" s="732" t="s">
        <v>850</v>
      </c>
      <c r="K404" s="732" t="s">
        <v>854</v>
      </c>
      <c r="L404" s="735">
        <v>92.950000000000017</v>
      </c>
      <c r="M404" s="735">
        <v>83</v>
      </c>
      <c r="N404" s="736">
        <v>7714.8500000000013</v>
      </c>
    </row>
    <row r="405" spans="1:14" ht="14.45" customHeight="1" x14ac:dyDescent="0.2">
      <c r="A405" s="730" t="s">
        <v>575</v>
      </c>
      <c r="B405" s="731" t="s">
        <v>576</v>
      </c>
      <c r="C405" s="732" t="s">
        <v>597</v>
      </c>
      <c r="D405" s="733" t="s">
        <v>598</v>
      </c>
      <c r="E405" s="734">
        <v>50113001</v>
      </c>
      <c r="F405" s="733" t="s">
        <v>609</v>
      </c>
      <c r="G405" s="732" t="s">
        <v>610</v>
      </c>
      <c r="H405" s="732">
        <v>157608</v>
      </c>
      <c r="I405" s="732">
        <v>57608</v>
      </c>
      <c r="J405" s="732" t="s">
        <v>862</v>
      </c>
      <c r="K405" s="732" t="s">
        <v>863</v>
      </c>
      <c r="L405" s="735">
        <v>100.25</v>
      </c>
      <c r="M405" s="735">
        <v>1</v>
      </c>
      <c r="N405" s="736">
        <v>100.25</v>
      </c>
    </row>
    <row r="406" spans="1:14" ht="14.45" customHeight="1" x14ac:dyDescent="0.2">
      <c r="A406" s="730" t="s">
        <v>575</v>
      </c>
      <c r="B406" s="731" t="s">
        <v>576</v>
      </c>
      <c r="C406" s="732" t="s">
        <v>597</v>
      </c>
      <c r="D406" s="733" t="s">
        <v>598</v>
      </c>
      <c r="E406" s="734">
        <v>50113001</v>
      </c>
      <c r="F406" s="733" t="s">
        <v>609</v>
      </c>
      <c r="G406" s="732" t="s">
        <v>610</v>
      </c>
      <c r="H406" s="732">
        <v>241991</v>
      </c>
      <c r="I406" s="732">
        <v>241991</v>
      </c>
      <c r="J406" s="732" t="s">
        <v>1245</v>
      </c>
      <c r="K406" s="732" t="s">
        <v>1246</v>
      </c>
      <c r="L406" s="735">
        <v>44.66</v>
      </c>
      <c r="M406" s="735">
        <v>3</v>
      </c>
      <c r="N406" s="736">
        <v>133.97999999999999</v>
      </c>
    </row>
    <row r="407" spans="1:14" ht="14.45" customHeight="1" x14ac:dyDescent="0.2">
      <c r="A407" s="730" t="s">
        <v>575</v>
      </c>
      <c r="B407" s="731" t="s">
        <v>576</v>
      </c>
      <c r="C407" s="732" t="s">
        <v>597</v>
      </c>
      <c r="D407" s="733" t="s">
        <v>598</v>
      </c>
      <c r="E407" s="734">
        <v>50113001</v>
      </c>
      <c r="F407" s="733" t="s">
        <v>609</v>
      </c>
      <c r="G407" s="732" t="s">
        <v>610</v>
      </c>
      <c r="H407" s="732">
        <v>159982</v>
      </c>
      <c r="I407" s="732">
        <v>59982</v>
      </c>
      <c r="J407" s="732" t="s">
        <v>1247</v>
      </c>
      <c r="K407" s="732" t="s">
        <v>1103</v>
      </c>
      <c r="L407" s="735">
        <v>51.410000000000011</v>
      </c>
      <c r="M407" s="735">
        <v>1</v>
      </c>
      <c r="N407" s="736">
        <v>51.410000000000011</v>
      </c>
    </row>
    <row r="408" spans="1:14" ht="14.45" customHeight="1" x14ac:dyDescent="0.2">
      <c r="A408" s="730" t="s">
        <v>575</v>
      </c>
      <c r="B408" s="731" t="s">
        <v>576</v>
      </c>
      <c r="C408" s="732" t="s">
        <v>597</v>
      </c>
      <c r="D408" s="733" t="s">
        <v>598</v>
      </c>
      <c r="E408" s="734">
        <v>50113001</v>
      </c>
      <c r="F408" s="733" t="s">
        <v>609</v>
      </c>
      <c r="G408" s="732" t="s">
        <v>625</v>
      </c>
      <c r="H408" s="732">
        <v>398158</v>
      </c>
      <c r="I408" s="732">
        <v>199647</v>
      </c>
      <c r="J408" s="732" t="s">
        <v>1248</v>
      </c>
      <c r="K408" s="732" t="s">
        <v>1249</v>
      </c>
      <c r="L408" s="735">
        <v>364.52</v>
      </c>
      <c r="M408" s="735">
        <v>1</v>
      </c>
      <c r="N408" s="736">
        <v>364.52</v>
      </c>
    </row>
    <row r="409" spans="1:14" ht="14.45" customHeight="1" x14ac:dyDescent="0.2">
      <c r="A409" s="730" t="s">
        <v>575</v>
      </c>
      <c r="B409" s="731" t="s">
        <v>576</v>
      </c>
      <c r="C409" s="732" t="s">
        <v>597</v>
      </c>
      <c r="D409" s="733" t="s">
        <v>598</v>
      </c>
      <c r="E409" s="734">
        <v>50113001</v>
      </c>
      <c r="F409" s="733" t="s">
        <v>609</v>
      </c>
      <c r="G409" s="732" t="s">
        <v>610</v>
      </c>
      <c r="H409" s="732">
        <v>202878</v>
      </c>
      <c r="I409" s="732">
        <v>202878</v>
      </c>
      <c r="J409" s="732" t="s">
        <v>1250</v>
      </c>
      <c r="K409" s="732" t="s">
        <v>1251</v>
      </c>
      <c r="L409" s="735">
        <v>50.639999999999986</v>
      </c>
      <c r="M409" s="735">
        <v>2</v>
      </c>
      <c r="N409" s="736">
        <v>101.27999999999997</v>
      </c>
    </row>
    <row r="410" spans="1:14" ht="14.45" customHeight="1" x14ac:dyDescent="0.2">
      <c r="A410" s="730" t="s">
        <v>575</v>
      </c>
      <c r="B410" s="731" t="s">
        <v>576</v>
      </c>
      <c r="C410" s="732" t="s">
        <v>597</v>
      </c>
      <c r="D410" s="733" t="s">
        <v>598</v>
      </c>
      <c r="E410" s="734">
        <v>50113001</v>
      </c>
      <c r="F410" s="733" t="s">
        <v>609</v>
      </c>
      <c r="G410" s="732" t="s">
        <v>610</v>
      </c>
      <c r="H410" s="732">
        <v>502059</v>
      </c>
      <c r="I410" s="732">
        <v>0</v>
      </c>
      <c r="J410" s="732" t="s">
        <v>1252</v>
      </c>
      <c r="K410" s="732" t="s">
        <v>1253</v>
      </c>
      <c r="L410" s="735">
        <v>254.1</v>
      </c>
      <c r="M410" s="735">
        <v>40</v>
      </c>
      <c r="N410" s="736">
        <v>10164</v>
      </c>
    </row>
    <row r="411" spans="1:14" ht="14.45" customHeight="1" x14ac:dyDescent="0.2">
      <c r="A411" s="730" t="s">
        <v>575</v>
      </c>
      <c r="B411" s="731" t="s">
        <v>576</v>
      </c>
      <c r="C411" s="732" t="s">
        <v>597</v>
      </c>
      <c r="D411" s="733" t="s">
        <v>598</v>
      </c>
      <c r="E411" s="734">
        <v>50113001</v>
      </c>
      <c r="F411" s="733" t="s">
        <v>609</v>
      </c>
      <c r="G411" s="732" t="s">
        <v>610</v>
      </c>
      <c r="H411" s="732">
        <v>394712</v>
      </c>
      <c r="I411" s="732">
        <v>0</v>
      </c>
      <c r="J411" s="732" t="s">
        <v>1254</v>
      </c>
      <c r="K411" s="732" t="s">
        <v>1255</v>
      </c>
      <c r="L411" s="735">
        <v>28.75</v>
      </c>
      <c r="M411" s="735">
        <v>192</v>
      </c>
      <c r="N411" s="736">
        <v>5520</v>
      </c>
    </row>
    <row r="412" spans="1:14" ht="14.45" customHeight="1" x14ac:dyDescent="0.2">
      <c r="A412" s="730" t="s">
        <v>575</v>
      </c>
      <c r="B412" s="731" t="s">
        <v>576</v>
      </c>
      <c r="C412" s="732" t="s">
        <v>597</v>
      </c>
      <c r="D412" s="733" t="s">
        <v>598</v>
      </c>
      <c r="E412" s="734">
        <v>50113001</v>
      </c>
      <c r="F412" s="733" t="s">
        <v>609</v>
      </c>
      <c r="G412" s="732" t="s">
        <v>610</v>
      </c>
      <c r="H412" s="732">
        <v>902048</v>
      </c>
      <c r="I412" s="732">
        <v>0</v>
      </c>
      <c r="J412" s="732" t="s">
        <v>1256</v>
      </c>
      <c r="K412" s="732" t="s">
        <v>1257</v>
      </c>
      <c r="L412" s="735">
        <v>331.2</v>
      </c>
      <c r="M412" s="735">
        <v>130</v>
      </c>
      <c r="N412" s="736">
        <v>43056</v>
      </c>
    </row>
    <row r="413" spans="1:14" ht="14.45" customHeight="1" x14ac:dyDescent="0.2">
      <c r="A413" s="730" t="s">
        <v>575</v>
      </c>
      <c r="B413" s="731" t="s">
        <v>576</v>
      </c>
      <c r="C413" s="732" t="s">
        <v>597</v>
      </c>
      <c r="D413" s="733" t="s">
        <v>598</v>
      </c>
      <c r="E413" s="734">
        <v>50113001</v>
      </c>
      <c r="F413" s="733" t="s">
        <v>609</v>
      </c>
      <c r="G413" s="732" t="s">
        <v>610</v>
      </c>
      <c r="H413" s="732">
        <v>398077</v>
      </c>
      <c r="I413" s="732">
        <v>0</v>
      </c>
      <c r="J413" s="732" t="s">
        <v>1258</v>
      </c>
      <c r="K413" s="732" t="s">
        <v>1259</v>
      </c>
      <c r="L413" s="735">
        <v>42.55</v>
      </c>
      <c r="M413" s="735">
        <v>30</v>
      </c>
      <c r="N413" s="736">
        <v>1276.5</v>
      </c>
    </row>
    <row r="414" spans="1:14" ht="14.45" customHeight="1" x14ac:dyDescent="0.2">
      <c r="A414" s="730" t="s">
        <v>575</v>
      </c>
      <c r="B414" s="731" t="s">
        <v>576</v>
      </c>
      <c r="C414" s="732" t="s">
        <v>597</v>
      </c>
      <c r="D414" s="733" t="s">
        <v>598</v>
      </c>
      <c r="E414" s="734">
        <v>50113001</v>
      </c>
      <c r="F414" s="733" t="s">
        <v>609</v>
      </c>
      <c r="G414" s="732" t="s">
        <v>610</v>
      </c>
      <c r="H414" s="732">
        <v>848725</v>
      </c>
      <c r="I414" s="732">
        <v>107677</v>
      </c>
      <c r="J414" s="732" t="s">
        <v>868</v>
      </c>
      <c r="K414" s="732" t="s">
        <v>869</v>
      </c>
      <c r="L414" s="735">
        <v>382.1099999999999</v>
      </c>
      <c r="M414" s="735">
        <v>41</v>
      </c>
      <c r="N414" s="736">
        <v>15666.509999999997</v>
      </c>
    </row>
    <row r="415" spans="1:14" ht="14.45" customHeight="1" x14ac:dyDescent="0.2">
      <c r="A415" s="730" t="s">
        <v>575</v>
      </c>
      <c r="B415" s="731" t="s">
        <v>576</v>
      </c>
      <c r="C415" s="732" t="s">
        <v>597</v>
      </c>
      <c r="D415" s="733" t="s">
        <v>598</v>
      </c>
      <c r="E415" s="734">
        <v>50113001</v>
      </c>
      <c r="F415" s="733" t="s">
        <v>609</v>
      </c>
      <c r="G415" s="732" t="s">
        <v>610</v>
      </c>
      <c r="H415" s="732">
        <v>900441</v>
      </c>
      <c r="I415" s="732">
        <v>0</v>
      </c>
      <c r="J415" s="732" t="s">
        <v>1260</v>
      </c>
      <c r="K415" s="732" t="s">
        <v>1261</v>
      </c>
      <c r="L415" s="735">
        <v>264.37758525775178</v>
      </c>
      <c r="M415" s="735">
        <v>7</v>
      </c>
      <c r="N415" s="736">
        <v>1850.6430968042625</v>
      </c>
    </row>
    <row r="416" spans="1:14" ht="14.45" customHeight="1" x14ac:dyDescent="0.2">
      <c r="A416" s="730" t="s">
        <v>575</v>
      </c>
      <c r="B416" s="731" t="s">
        <v>576</v>
      </c>
      <c r="C416" s="732" t="s">
        <v>597</v>
      </c>
      <c r="D416" s="733" t="s">
        <v>598</v>
      </c>
      <c r="E416" s="734">
        <v>50113001</v>
      </c>
      <c r="F416" s="733" t="s">
        <v>609</v>
      </c>
      <c r="G416" s="732" t="s">
        <v>610</v>
      </c>
      <c r="H416" s="732">
        <v>990927</v>
      </c>
      <c r="I416" s="732">
        <v>0</v>
      </c>
      <c r="J416" s="732" t="s">
        <v>886</v>
      </c>
      <c r="K416" s="732" t="s">
        <v>329</v>
      </c>
      <c r="L416" s="735">
        <v>140.06999999999996</v>
      </c>
      <c r="M416" s="735">
        <v>6</v>
      </c>
      <c r="N416" s="736">
        <v>840.41999999999985</v>
      </c>
    </row>
    <row r="417" spans="1:14" ht="14.45" customHeight="1" x14ac:dyDescent="0.2">
      <c r="A417" s="730" t="s">
        <v>575</v>
      </c>
      <c r="B417" s="731" t="s">
        <v>576</v>
      </c>
      <c r="C417" s="732" t="s">
        <v>597</v>
      </c>
      <c r="D417" s="733" t="s">
        <v>598</v>
      </c>
      <c r="E417" s="734">
        <v>50113001</v>
      </c>
      <c r="F417" s="733" t="s">
        <v>609</v>
      </c>
      <c r="G417" s="732" t="s">
        <v>625</v>
      </c>
      <c r="H417" s="732">
        <v>187427</v>
      </c>
      <c r="I417" s="732">
        <v>187427</v>
      </c>
      <c r="J417" s="732" t="s">
        <v>891</v>
      </c>
      <c r="K417" s="732" t="s">
        <v>892</v>
      </c>
      <c r="L417" s="735">
        <v>62.589999999999996</v>
      </c>
      <c r="M417" s="735">
        <v>1</v>
      </c>
      <c r="N417" s="736">
        <v>62.589999999999996</v>
      </c>
    </row>
    <row r="418" spans="1:14" ht="14.45" customHeight="1" x14ac:dyDescent="0.2">
      <c r="A418" s="730" t="s">
        <v>575</v>
      </c>
      <c r="B418" s="731" t="s">
        <v>576</v>
      </c>
      <c r="C418" s="732" t="s">
        <v>597</v>
      </c>
      <c r="D418" s="733" t="s">
        <v>598</v>
      </c>
      <c r="E418" s="734">
        <v>50113001</v>
      </c>
      <c r="F418" s="733" t="s">
        <v>609</v>
      </c>
      <c r="G418" s="732" t="s">
        <v>625</v>
      </c>
      <c r="H418" s="732">
        <v>184245</v>
      </c>
      <c r="I418" s="732">
        <v>184245</v>
      </c>
      <c r="J418" s="732" t="s">
        <v>1262</v>
      </c>
      <c r="K418" s="732" t="s">
        <v>1263</v>
      </c>
      <c r="L418" s="735">
        <v>92.69</v>
      </c>
      <c r="M418" s="735">
        <v>1</v>
      </c>
      <c r="N418" s="736">
        <v>92.69</v>
      </c>
    </row>
    <row r="419" spans="1:14" ht="14.45" customHeight="1" x14ac:dyDescent="0.2">
      <c r="A419" s="730" t="s">
        <v>575</v>
      </c>
      <c r="B419" s="731" t="s">
        <v>576</v>
      </c>
      <c r="C419" s="732" t="s">
        <v>597</v>
      </c>
      <c r="D419" s="733" t="s">
        <v>598</v>
      </c>
      <c r="E419" s="734">
        <v>50113001</v>
      </c>
      <c r="F419" s="733" t="s">
        <v>609</v>
      </c>
      <c r="G419" s="732" t="s">
        <v>625</v>
      </c>
      <c r="H419" s="732">
        <v>197125</v>
      </c>
      <c r="I419" s="732">
        <v>197125</v>
      </c>
      <c r="J419" s="732" t="s">
        <v>1264</v>
      </c>
      <c r="K419" s="732" t="s">
        <v>1265</v>
      </c>
      <c r="L419" s="735">
        <v>110</v>
      </c>
      <c r="M419" s="735">
        <v>7</v>
      </c>
      <c r="N419" s="736">
        <v>770</v>
      </c>
    </row>
    <row r="420" spans="1:14" ht="14.45" customHeight="1" x14ac:dyDescent="0.2">
      <c r="A420" s="730" t="s">
        <v>575</v>
      </c>
      <c r="B420" s="731" t="s">
        <v>576</v>
      </c>
      <c r="C420" s="732" t="s">
        <v>597</v>
      </c>
      <c r="D420" s="733" t="s">
        <v>598</v>
      </c>
      <c r="E420" s="734">
        <v>50113001</v>
      </c>
      <c r="F420" s="733" t="s">
        <v>609</v>
      </c>
      <c r="G420" s="732" t="s">
        <v>610</v>
      </c>
      <c r="H420" s="732">
        <v>188217</v>
      </c>
      <c r="I420" s="732">
        <v>88217</v>
      </c>
      <c r="J420" s="732" t="s">
        <v>1266</v>
      </c>
      <c r="K420" s="732" t="s">
        <v>1267</v>
      </c>
      <c r="L420" s="735">
        <v>127.69</v>
      </c>
      <c r="M420" s="735">
        <v>2</v>
      </c>
      <c r="N420" s="736">
        <v>255.38</v>
      </c>
    </row>
    <row r="421" spans="1:14" ht="14.45" customHeight="1" x14ac:dyDescent="0.2">
      <c r="A421" s="730" t="s">
        <v>575</v>
      </c>
      <c r="B421" s="731" t="s">
        <v>576</v>
      </c>
      <c r="C421" s="732" t="s">
        <v>597</v>
      </c>
      <c r="D421" s="733" t="s">
        <v>598</v>
      </c>
      <c r="E421" s="734">
        <v>50113001</v>
      </c>
      <c r="F421" s="733" t="s">
        <v>609</v>
      </c>
      <c r="G421" s="732" t="s">
        <v>610</v>
      </c>
      <c r="H421" s="732">
        <v>188219</v>
      </c>
      <c r="I421" s="732">
        <v>88219</v>
      </c>
      <c r="J421" s="732" t="s">
        <v>893</v>
      </c>
      <c r="K421" s="732" t="s">
        <v>894</v>
      </c>
      <c r="L421" s="735">
        <v>141.59</v>
      </c>
      <c r="M421" s="735">
        <v>10</v>
      </c>
      <c r="N421" s="736">
        <v>1415.9</v>
      </c>
    </row>
    <row r="422" spans="1:14" ht="14.45" customHeight="1" x14ac:dyDescent="0.2">
      <c r="A422" s="730" t="s">
        <v>575</v>
      </c>
      <c r="B422" s="731" t="s">
        <v>576</v>
      </c>
      <c r="C422" s="732" t="s">
        <v>597</v>
      </c>
      <c r="D422" s="733" t="s">
        <v>598</v>
      </c>
      <c r="E422" s="734">
        <v>50113001</v>
      </c>
      <c r="F422" s="733" t="s">
        <v>609</v>
      </c>
      <c r="G422" s="732" t="s">
        <v>610</v>
      </c>
      <c r="H422" s="732">
        <v>216146</v>
      </c>
      <c r="I422" s="732">
        <v>216146</v>
      </c>
      <c r="J422" s="732" t="s">
        <v>893</v>
      </c>
      <c r="K422" s="732" t="s">
        <v>895</v>
      </c>
      <c r="L422" s="735">
        <v>138.72</v>
      </c>
      <c r="M422" s="735">
        <v>4</v>
      </c>
      <c r="N422" s="736">
        <v>554.88</v>
      </c>
    </row>
    <row r="423" spans="1:14" ht="14.45" customHeight="1" x14ac:dyDescent="0.2">
      <c r="A423" s="730" t="s">
        <v>575</v>
      </c>
      <c r="B423" s="731" t="s">
        <v>576</v>
      </c>
      <c r="C423" s="732" t="s">
        <v>597</v>
      </c>
      <c r="D423" s="733" t="s">
        <v>598</v>
      </c>
      <c r="E423" s="734">
        <v>50113001</v>
      </c>
      <c r="F423" s="733" t="s">
        <v>609</v>
      </c>
      <c r="G423" s="732" t="s">
        <v>610</v>
      </c>
      <c r="H423" s="732">
        <v>203092</v>
      </c>
      <c r="I423" s="732">
        <v>203092</v>
      </c>
      <c r="J423" s="732" t="s">
        <v>896</v>
      </c>
      <c r="K423" s="732" t="s">
        <v>897</v>
      </c>
      <c r="L423" s="735">
        <v>150.33999999999997</v>
      </c>
      <c r="M423" s="735">
        <v>4</v>
      </c>
      <c r="N423" s="736">
        <v>601.3599999999999</v>
      </c>
    </row>
    <row r="424" spans="1:14" ht="14.45" customHeight="1" x14ac:dyDescent="0.2">
      <c r="A424" s="730" t="s">
        <v>575</v>
      </c>
      <c r="B424" s="731" t="s">
        <v>576</v>
      </c>
      <c r="C424" s="732" t="s">
        <v>597</v>
      </c>
      <c r="D424" s="733" t="s">
        <v>598</v>
      </c>
      <c r="E424" s="734">
        <v>50113001</v>
      </c>
      <c r="F424" s="733" t="s">
        <v>609</v>
      </c>
      <c r="G424" s="732" t="s">
        <v>610</v>
      </c>
      <c r="H424" s="732">
        <v>185512</v>
      </c>
      <c r="I424" s="732">
        <v>185512</v>
      </c>
      <c r="J424" s="732" t="s">
        <v>1268</v>
      </c>
      <c r="K424" s="732" t="s">
        <v>1269</v>
      </c>
      <c r="L424" s="735">
        <v>74.198750000000018</v>
      </c>
      <c r="M424" s="735">
        <v>8</v>
      </c>
      <c r="N424" s="736">
        <v>593.59000000000015</v>
      </c>
    </row>
    <row r="425" spans="1:14" ht="14.45" customHeight="1" x14ac:dyDescent="0.2">
      <c r="A425" s="730" t="s">
        <v>575</v>
      </c>
      <c r="B425" s="731" t="s">
        <v>576</v>
      </c>
      <c r="C425" s="732" t="s">
        <v>597</v>
      </c>
      <c r="D425" s="733" t="s">
        <v>598</v>
      </c>
      <c r="E425" s="734">
        <v>50113001</v>
      </c>
      <c r="F425" s="733" t="s">
        <v>609</v>
      </c>
      <c r="G425" s="732" t="s">
        <v>610</v>
      </c>
      <c r="H425" s="732">
        <v>237329</v>
      </c>
      <c r="I425" s="732">
        <v>237329</v>
      </c>
      <c r="J425" s="732" t="s">
        <v>1270</v>
      </c>
      <c r="K425" s="732" t="s">
        <v>1191</v>
      </c>
      <c r="L425" s="735">
        <v>108.95666666666668</v>
      </c>
      <c r="M425" s="735">
        <v>15</v>
      </c>
      <c r="N425" s="736">
        <v>1634.3500000000001</v>
      </c>
    </row>
    <row r="426" spans="1:14" ht="14.45" customHeight="1" x14ac:dyDescent="0.2">
      <c r="A426" s="730" t="s">
        <v>575</v>
      </c>
      <c r="B426" s="731" t="s">
        <v>576</v>
      </c>
      <c r="C426" s="732" t="s">
        <v>597</v>
      </c>
      <c r="D426" s="733" t="s">
        <v>598</v>
      </c>
      <c r="E426" s="734">
        <v>50113001</v>
      </c>
      <c r="F426" s="733" t="s">
        <v>609</v>
      </c>
      <c r="G426" s="732" t="s">
        <v>610</v>
      </c>
      <c r="H426" s="732">
        <v>237330</v>
      </c>
      <c r="I426" s="732">
        <v>237330</v>
      </c>
      <c r="J426" s="732" t="s">
        <v>907</v>
      </c>
      <c r="K426" s="732" t="s">
        <v>908</v>
      </c>
      <c r="L426" s="735">
        <v>110.7353333333333</v>
      </c>
      <c r="M426" s="735">
        <v>105</v>
      </c>
      <c r="N426" s="736">
        <v>11627.209999999997</v>
      </c>
    </row>
    <row r="427" spans="1:14" ht="14.45" customHeight="1" x14ac:dyDescent="0.2">
      <c r="A427" s="730" t="s">
        <v>575</v>
      </c>
      <c r="B427" s="731" t="s">
        <v>576</v>
      </c>
      <c r="C427" s="732" t="s">
        <v>597</v>
      </c>
      <c r="D427" s="733" t="s">
        <v>598</v>
      </c>
      <c r="E427" s="734">
        <v>50113001</v>
      </c>
      <c r="F427" s="733" t="s">
        <v>609</v>
      </c>
      <c r="G427" s="732" t="s">
        <v>610</v>
      </c>
      <c r="H427" s="732">
        <v>234736</v>
      </c>
      <c r="I427" s="732">
        <v>234736</v>
      </c>
      <c r="J427" s="732" t="s">
        <v>1271</v>
      </c>
      <c r="K427" s="732" t="s">
        <v>1272</v>
      </c>
      <c r="L427" s="735">
        <v>120.54</v>
      </c>
      <c r="M427" s="735">
        <v>4</v>
      </c>
      <c r="N427" s="736">
        <v>482.16</v>
      </c>
    </row>
    <row r="428" spans="1:14" ht="14.45" customHeight="1" x14ac:dyDescent="0.2">
      <c r="A428" s="730" t="s">
        <v>575</v>
      </c>
      <c r="B428" s="731" t="s">
        <v>576</v>
      </c>
      <c r="C428" s="732" t="s">
        <v>597</v>
      </c>
      <c r="D428" s="733" t="s">
        <v>598</v>
      </c>
      <c r="E428" s="734">
        <v>50113001</v>
      </c>
      <c r="F428" s="733" t="s">
        <v>609</v>
      </c>
      <c r="G428" s="732" t="s">
        <v>610</v>
      </c>
      <c r="H428" s="732">
        <v>225169</v>
      </c>
      <c r="I428" s="732">
        <v>225169</v>
      </c>
      <c r="J428" s="732" t="s">
        <v>1273</v>
      </c>
      <c r="K428" s="732" t="s">
        <v>1274</v>
      </c>
      <c r="L428" s="735">
        <v>44.45000000000001</v>
      </c>
      <c r="M428" s="735">
        <v>1</v>
      </c>
      <c r="N428" s="736">
        <v>44.45000000000001</v>
      </c>
    </row>
    <row r="429" spans="1:14" ht="14.45" customHeight="1" x14ac:dyDescent="0.2">
      <c r="A429" s="730" t="s">
        <v>575</v>
      </c>
      <c r="B429" s="731" t="s">
        <v>576</v>
      </c>
      <c r="C429" s="732" t="s">
        <v>597</v>
      </c>
      <c r="D429" s="733" t="s">
        <v>598</v>
      </c>
      <c r="E429" s="734">
        <v>50113001</v>
      </c>
      <c r="F429" s="733" t="s">
        <v>609</v>
      </c>
      <c r="G429" s="732" t="s">
        <v>610</v>
      </c>
      <c r="H429" s="732">
        <v>225168</v>
      </c>
      <c r="I429" s="732">
        <v>225168</v>
      </c>
      <c r="J429" s="732" t="s">
        <v>1273</v>
      </c>
      <c r="K429" s="732" t="s">
        <v>1275</v>
      </c>
      <c r="L429" s="735">
        <v>63.539999999999992</v>
      </c>
      <c r="M429" s="735">
        <v>2</v>
      </c>
      <c r="N429" s="736">
        <v>127.07999999999998</v>
      </c>
    </row>
    <row r="430" spans="1:14" ht="14.45" customHeight="1" x14ac:dyDescent="0.2">
      <c r="A430" s="730" t="s">
        <v>575</v>
      </c>
      <c r="B430" s="731" t="s">
        <v>576</v>
      </c>
      <c r="C430" s="732" t="s">
        <v>597</v>
      </c>
      <c r="D430" s="733" t="s">
        <v>598</v>
      </c>
      <c r="E430" s="734">
        <v>50113001</v>
      </c>
      <c r="F430" s="733" t="s">
        <v>609</v>
      </c>
      <c r="G430" s="732" t="s">
        <v>610</v>
      </c>
      <c r="H430" s="732">
        <v>102684</v>
      </c>
      <c r="I430" s="732">
        <v>2684</v>
      </c>
      <c r="J430" s="732" t="s">
        <v>914</v>
      </c>
      <c r="K430" s="732" t="s">
        <v>915</v>
      </c>
      <c r="L430" s="735">
        <v>109.28</v>
      </c>
      <c r="M430" s="735">
        <v>16</v>
      </c>
      <c r="N430" s="736">
        <v>1748.48</v>
      </c>
    </row>
    <row r="431" spans="1:14" ht="14.45" customHeight="1" x14ac:dyDescent="0.2">
      <c r="A431" s="730" t="s">
        <v>575</v>
      </c>
      <c r="B431" s="731" t="s">
        <v>576</v>
      </c>
      <c r="C431" s="732" t="s">
        <v>597</v>
      </c>
      <c r="D431" s="733" t="s">
        <v>598</v>
      </c>
      <c r="E431" s="734">
        <v>50113001</v>
      </c>
      <c r="F431" s="733" t="s">
        <v>609</v>
      </c>
      <c r="G431" s="732" t="s">
        <v>610</v>
      </c>
      <c r="H431" s="732">
        <v>100502</v>
      </c>
      <c r="I431" s="732">
        <v>502</v>
      </c>
      <c r="J431" s="732" t="s">
        <v>914</v>
      </c>
      <c r="K431" s="732" t="s">
        <v>916</v>
      </c>
      <c r="L431" s="735">
        <v>268.47999999999996</v>
      </c>
      <c r="M431" s="735">
        <v>5</v>
      </c>
      <c r="N431" s="736">
        <v>1342.3999999999999</v>
      </c>
    </row>
    <row r="432" spans="1:14" ht="14.45" customHeight="1" x14ac:dyDescent="0.2">
      <c r="A432" s="730" t="s">
        <v>575</v>
      </c>
      <c r="B432" s="731" t="s">
        <v>576</v>
      </c>
      <c r="C432" s="732" t="s">
        <v>597</v>
      </c>
      <c r="D432" s="733" t="s">
        <v>598</v>
      </c>
      <c r="E432" s="734">
        <v>50113001</v>
      </c>
      <c r="F432" s="733" t="s">
        <v>609</v>
      </c>
      <c r="G432" s="732" t="s">
        <v>625</v>
      </c>
      <c r="H432" s="732">
        <v>127738</v>
      </c>
      <c r="I432" s="732">
        <v>127738</v>
      </c>
      <c r="J432" s="732" t="s">
        <v>919</v>
      </c>
      <c r="K432" s="732" t="s">
        <v>1276</v>
      </c>
      <c r="L432" s="735">
        <v>466.68</v>
      </c>
      <c r="M432" s="735">
        <v>17</v>
      </c>
      <c r="N432" s="736">
        <v>7933.56</v>
      </c>
    </row>
    <row r="433" spans="1:14" ht="14.45" customHeight="1" x14ac:dyDescent="0.2">
      <c r="A433" s="730" t="s">
        <v>575</v>
      </c>
      <c r="B433" s="731" t="s">
        <v>576</v>
      </c>
      <c r="C433" s="732" t="s">
        <v>597</v>
      </c>
      <c r="D433" s="733" t="s">
        <v>598</v>
      </c>
      <c r="E433" s="734">
        <v>50113001</v>
      </c>
      <c r="F433" s="733" t="s">
        <v>609</v>
      </c>
      <c r="G433" s="732" t="s">
        <v>625</v>
      </c>
      <c r="H433" s="732">
        <v>239964</v>
      </c>
      <c r="I433" s="732">
        <v>239964</v>
      </c>
      <c r="J433" s="732" t="s">
        <v>919</v>
      </c>
      <c r="K433" s="732" t="s">
        <v>920</v>
      </c>
      <c r="L433" s="735">
        <v>236.78</v>
      </c>
      <c r="M433" s="735">
        <v>3</v>
      </c>
      <c r="N433" s="736">
        <v>710.34</v>
      </c>
    </row>
    <row r="434" spans="1:14" ht="14.45" customHeight="1" x14ac:dyDescent="0.2">
      <c r="A434" s="730" t="s">
        <v>575</v>
      </c>
      <c r="B434" s="731" t="s">
        <v>576</v>
      </c>
      <c r="C434" s="732" t="s">
        <v>597</v>
      </c>
      <c r="D434" s="733" t="s">
        <v>598</v>
      </c>
      <c r="E434" s="734">
        <v>50113001</v>
      </c>
      <c r="F434" s="733" t="s">
        <v>609</v>
      </c>
      <c r="G434" s="732" t="s">
        <v>625</v>
      </c>
      <c r="H434" s="732">
        <v>127737</v>
      </c>
      <c r="I434" s="732">
        <v>127737</v>
      </c>
      <c r="J434" s="732" t="s">
        <v>919</v>
      </c>
      <c r="K434" s="732" t="s">
        <v>920</v>
      </c>
      <c r="L434" s="735">
        <v>67.39</v>
      </c>
      <c r="M434" s="735">
        <v>4</v>
      </c>
      <c r="N434" s="736">
        <v>269.56</v>
      </c>
    </row>
    <row r="435" spans="1:14" ht="14.45" customHeight="1" x14ac:dyDescent="0.2">
      <c r="A435" s="730" t="s">
        <v>575</v>
      </c>
      <c r="B435" s="731" t="s">
        <v>576</v>
      </c>
      <c r="C435" s="732" t="s">
        <v>597</v>
      </c>
      <c r="D435" s="733" t="s">
        <v>598</v>
      </c>
      <c r="E435" s="734">
        <v>50113001</v>
      </c>
      <c r="F435" s="733" t="s">
        <v>609</v>
      </c>
      <c r="G435" s="732" t="s">
        <v>610</v>
      </c>
      <c r="H435" s="732">
        <v>101125</v>
      </c>
      <c r="I435" s="732">
        <v>1125</v>
      </c>
      <c r="J435" s="732" t="s">
        <v>925</v>
      </c>
      <c r="K435" s="732" t="s">
        <v>926</v>
      </c>
      <c r="L435" s="735">
        <v>77.28</v>
      </c>
      <c r="M435" s="735">
        <v>2</v>
      </c>
      <c r="N435" s="736">
        <v>154.56</v>
      </c>
    </row>
    <row r="436" spans="1:14" ht="14.45" customHeight="1" x14ac:dyDescent="0.2">
      <c r="A436" s="730" t="s">
        <v>575</v>
      </c>
      <c r="B436" s="731" t="s">
        <v>576</v>
      </c>
      <c r="C436" s="732" t="s">
        <v>597</v>
      </c>
      <c r="D436" s="733" t="s">
        <v>598</v>
      </c>
      <c r="E436" s="734">
        <v>50113001</v>
      </c>
      <c r="F436" s="733" t="s">
        <v>609</v>
      </c>
      <c r="G436" s="732" t="s">
        <v>610</v>
      </c>
      <c r="H436" s="732">
        <v>223159</v>
      </c>
      <c r="I436" s="732">
        <v>223159</v>
      </c>
      <c r="J436" s="732" t="s">
        <v>1277</v>
      </c>
      <c r="K436" s="732" t="s">
        <v>1278</v>
      </c>
      <c r="L436" s="735">
        <v>74.623157894736835</v>
      </c>
      <c r="M436" s="735">
        <v>19</v>
      </c>
      <c r="N436" s="736">
        <v>1417.84</v>
      </c>
    </row>
    <row r="437" spans="1:14" ht="14.45" customHeight="1" x14ac:dyDescent="0.2">
      <c r="A437" s="730" t="s">
        <v>575</v>
      </c>
      <c r="B437" s="731" t="s">
        <v>576</v>
      </c>
      <c r="C437" s="732" t="s">
        <v>597</v>
      </c>
      <c r="D437" s="733" t="s">
        <v>598</v>
      </c>
      <c r="E437" s="734">
        <v>50113001</v>
      </c>
      <c r="F437" s="733" t="s">
        <v>609</v>
      </c>
      <c r="G437" s="732" t="s">
        <v>625</v>
      </c>
      <c r="H437" s="732">
        <v>132858</v>
      </c>
      <c r="I437" s="732">
        <v>32858</v>
      </c>
      <c r="J437" s="732" t="s">
        <v>927</v>
      </c>
      <c r="K437" s="732" t="s">
        <v>930</v>
      </c>
      <c r="L437" s="735">
        <v>77.210000000000008</v>
      </c>
      <c r="M437" s="735">
        <v>2</v>
      </c>
      <c r="N437" s="736">
        <v>154.42000000000002</v>
      </c>
    </row>
    <row r="438" spans="1:14" ht="14.45" customHeight="1" x14ac:dyDescent="0.2">
      <c r="A438" s="730" t="s">
        <v>575</v>
      </c>
      <c r="B438" s="731" t="s">
        <v>576</v>
      </c>
      <c r="C438" s="732" t="s">
        <v>597</v>
      </c>
      <c r="D438" s="733" t="s">
        <v>598</v>
      </c>
      <c r="E438" s="734">
        <v>50113001</v>
      </c>
      <c r="F438" s="733" t="s">
        <v>609</v>
      </c>
      <c r="G438" s="732" t="s">
        <v>610</v>
      </c>
      <c r="H438" s="732">
        <v>230353</v>
      </c>
      <c r="I438" s="732">
        <v>230353</v>
      </c>
      <c r="J438" s="732" t="s">
        <v>933</v>
      </c>
      <c r="K438" s="732" t="s">
        <v>934</v>
      </c>
      <c r="L438" s="735">
        <v>1614.8706666666665</v>
      </c>
      <c r="M438" s="735">
        <v>15</v>
      </c>
      <c r="N438" s="736">
        <v>24223.059999999998</v>
      </c>
    </row>
    <row r="439" spans="1:14" ht="14.45" customHeight="1" x14ac:dyDescent="0.2">
      <c r="A439" s="730" t="s">
        <v>575</v>
      </c>
      <c r="B439" s="731" t="s">
        <v>576</v>
      </c>
      <c r="C439" s="732" t="s">
        <v>597</v>
      </c>
      <c r="D439" s="733" t="s">
        <v>598</v>
      </c>
      <c r="E439" s="734">
        <v>50113001</v>
      </c>
      <c r="F439" s="733" t="s">
        <v>609</v>
      </c>
      <c r="G439" s="732" t="s">
        <v>610</v>
      </c>
      <c r="H439" s="732">
        <v>230352</v>
      </c>
      <c r="I439" s="732">
        <v>230352</v>
      </c>
      <c r="J439" s="732" t="s">
        <v>933</v>
      </c>
      <c r="K439" s="732" t="s">
        <v>1279</v>
      </c>
      <c r="L439" s="735">
        <v>159.28</v>
      </c>
      <c r="M439" s="735">
        <v>20</v>
      </c>
      <c r="N439" s="736">
        <v>3185.6</v>
      </c>
    </row>
    <row r="440" spans="1:14" ht="14.45" customHeight="1" x14ac:dyDescent="0.2">
      <c r="A440" s="730" t="s">
        <v>575</v>
      </c>
      <c r="B440" s="731" t="s">
        <v>576</v>
      </c>
      <c r="C440" s="732" t="s">
        <v>597</v>
      </c>
      <c r="D440" s="733" t="s">
        <v>598</v>
      </c>
      <c r="E440" s="734">
        <v>50113001</v>
      </c>
      <c r="F440" s="733" t="s">
        <v>609</v>
      </c>
      <c r="G440" s="732" t="s">
        <v>625</v>
      </c>
      <c r="H440" s="732">
        <v>106618</v>
      </c>
      <c r="I440" s="732">
        <v>6618</v>
      </c>
      <c r="J440" s="732" t="s">
        <v>1280</v>
      </c>
      <c r="K440" s="732" t="s">
        <v>1281</v>
      </c>
      <c r="L440" s="735">
        <v>19.5</v>
      </c>
      <c r="M440" s="735">
        <v>1</v>
      </c>
      <c r="N440" s="736">
        <v>19.5</v>
      </c>
    </row>
    <row r="441" spans="1:14" ht="14.45" customHeight="1" x14ac:dyDescent="0.2">
      <c r="A441" s="730" t="s">
        <v>575</v>
      </c>
      <c r="B441" s="731" t="s">
        <v>576</v>
      </c>
      <c r="C441" s="732" t="s">
        <v>597</v>
      </c>
      <c r="D441" s="733" t="s">
        <v>598</v>
      </c>
      <c r="E441" s="734">
        <v>50113001</v>
      </c>
      <c r="F441" s="733" t="s">
        <v>609</v>
      </c>
      <c r="G441" s="732" t="s">
        <v>625</v>
      </c>
      <c r="H441" s="732">
        <v>184399</v>
      </c>
      <c r="I441" s="732">
        <v>84399</v>
      </c>
      <c r="J441" s="732" t="s">
        <v>1282</v>
      </c>
      <c r="K441" s="732" t="s">
        <v>1283</v>
      </c>
      <c r="L441" s="735">
        <v>126.2</v>
      </c>
      <c r="M441" s="735">
        <v>2</v>
      </c>
      <c r="N441" s="736">
        <v>252.4</v>
      </c>
    </row>
    <row r="442" spans="1:14" ht="14.45" customHeight="1" x14ac:dyDescent="0.2">
      <c r="A442" s="730" t="s">
        <v>575</v>
      </c>
      <c r="B442" s="731" t="s">
        <v>576</v>
      </c>
      <c r="C442" s="732" t="s">
        <v>597</v>
      </c>
      <c r="D442" s="733" t="s">
        <v>598</v>
      </c>
      <c r="E442" s="734">
        <v>50113001</v>
      </c>
      <c r="F442" s="733" t="s">
        <v>609</v>
      </c>
      <c r="G442" s="732" t="s">
        <v>610</v>
      </c>
      <c r="H442" s="732">
        <v>104307</v>
      </c>
      <c r="I442" s="732">
        <v>4307</v>
      </c>
      <c r="J442" s="732" t="s">
        <v>943</v>
      </c>
      <c r="K442" s="732" t="s">
        <v>944</v>
      </c>
      <c r="L442" s="735">
        <v>350.301520737327</v>
      </c>
      <c r="M442" s="735">
        <v>217</v>
      </c>
      <c r="N442" s="736">
        <v>76015.429999999964</v>
      </c>
    </row>
    <row r="443" spans="1:14" ht="14.45" customHeight="1" x14ac:dyDescent="0.2">
      <c r="A443" s="730" t="s">
        <v>575</v>
      </c>
      <c r="B443" s="731" t="s">
        <v>576</v>
      </c>
      <c r="C443" s="732" t="s">
        <v>597</v>
      </c>
      <c r="D443" s="733" t="s">
        <v>598</v>
      </c>
      <c r="E443" s="734">
        <v>50113001</v>
      </c>
      <c r="F443" s="733" t="s">
        <v>609</v>
      </c>
      <c r="G443" s="732" t="s">
        <v>625</v>
      </c>
      <c r="H443" s="732">
        <v>100536</v>
      </c>
      <c r="I443" s="732">
        <v>536</v>
      </c>
      <c r="J443" s="732" t="s">
        <v>945</v>
      </c>
      <c r="K443" s="732" t="s">
        <v>616</v>
      </c>
      <c r="L443" s="735">
        <v>49.319999999999986</v>
      </c>
      <c r="M443" s="735">
        <v>95</v>
      </c>
      <c r="N443" s="736">
        <v>4685.3999999999987</v>
      </c>
    </row>
    <row r="444" spans="1:14" ht="14.45" customHeight="1" x14ac:dyDescent="0.2">
      <c r="A444" s="730" t="s">
        <v>575</v>
      </c>
      <c r="B444" s="731" t="s">
        <v>576</v>
      </c>
      <c r="C444" s="732" t="s">
        <v>597</v>
      </c>
      <c r="D444" s="733" t="s">
        <v>598</v>
      </c>
      <c r="E444" s="734">
        <v>50113001</v>
      </c>
      <c r="F444" s="733" t="s">
        <v>609</v>
      </c>
      <c r="G444" s="732" t="s">
        <v>625</v>
      </c>
      <c r="H444" s="732">
        <v>216900</v>
      </c>
      <c r="I444" s="732">
        <v>216900</v>
      </c>
      <c r="J444" s="732" t="s">
        <v>1284</v>
      </c>
      <c r="K444" s="732" t="s">
        <v>1285</v>
      </c>
      <c r="L444" s="735">
        <v>246.60000108090566</v>
      </c>
      <c r="M444" s="735">
        <v>107</v>
      </c>
      <c r="N444" s="736">
        <v>26386.200115656906</v>
      </c>
    </row>
    <row r="445" spans="1:14" ht="14.45" customHeight="1" x14ac:dyDescent="0.2">
      <c r="A445" s="730" t="s">
        <v>575</v>
      </c>
      <c r="B445" s="731" t="s">
        <v>576</v>
      </c>
      <c r="C445" s="732" t="s">
        <v>597</v>
      </c>
      <c r="D445" s="733" t="s">
        <v>598</v>
      </c>
      <c r="E445" s="734">
        <v>50113001</v>
      </c>
      <c r="F445" s="733" t="s">
        <v>609</v>
      </c>
      <c r="G445" s="732" t="s">
        <v>625</v>
      </c>
      <c r="H445" s="732">
        <v>155823</v>
      </c>
      <c r="I445" s="732">
        <v>55823</v>
      </c>
      <c r="J445" s="732" t="s">
        <v>946</v>
      </c>
      <c r="K445" s="732" t="s">
        <v>947</v>
      </c>
      <c r="L445" s="735">
        <v>33.010999767770159</v>
      </c>
      <c r="M445" s="735">
        <v>5</v>
      </c>
      <c r="N445" s="736">
        <v>165.05499883885079</v>
      </c>
    </row>
    <row r="446" spans="1:14" ht="14.45" customHeight="1" x14ac:dyDescent="0.2">
      <c r="A446" s="730" t="s">
        <v>575</v>
      </c>
      <c r="B446" s="731" t="s">
        <v>576</v>
      </c>
      <c r="C446" s="732" t="s">
        <v>597</v>
      </c>
      <c r="D446" s="733" t="s">
        <v>598</v>
      </c>
      <c r="E446" s="734">
        <v>50113001</v>
      </c>
      <c r="F446" s="733" t="s">
        <v>609</v>
      </c>
      <c r="G446" s="732" t="s">
        <v>625</v>
      </c>
      <c r="H446" s="732">
        <v>107981</v>
      </c>
      <c r="I446" s="732">
        <v>7981</v>
      </c>
      <c r="J446" s="732" t="s">
        <v>946</v>
      </c>
      <c r="K446" s="732" t="s">
        <v>948</v>
      </c>
      <c r="L446" s="735">
        <v>44.86085937499999</v>
      </c>
      <c r="M446" s="735">
        <v>128</v>
      </c>
      <c r="N446" s="736">
        <v>5742.1899999999987</v>
      </c>
    </row>
    <row r="447" spans="1:14" ht="14.45" customHeight="1" x14ac:dyDescent="0.2">
      <c r="A447" s="730" t="s">
        <v>575</v>
      </c>
      <c r="B447" s="731" t="s">
        <v>576</v>
      </c>
      <c r="C447" s="732" t="s">
        <v>597</v>
      </c>
      <c r="D447" s="733" t="s">
        <v>598</v>
      </c>
      <c r="E447" s="734">
        <v>50113001</v>
      </c>
      <c r="F447" s="733" t="s">
        <v>609</v>
      </c>
      <c r="G447" s="732" t="s">
        <v>625</v>
      </c>
      <c r="H447" s="732">
        <v>126786</v>
      </c>
      <c r="I447" s="732">
        <v>26786</v>
      </c>
      <c r="J447" s="732" t="s">
        <v>950</v>
      </c>
      <c r="K447" s="732" t="s">
        <v>951</v>
      </c>
      <c r="L447" s="735">
        <v>406.89666666666659</v>
      </c>
      <c r="M447" s="735">
        <v>6</v>
      </c>
      <c r="N447" s="736">
        <v>2441.3799999999997</v>
      </c>
    </row>
    <row r="448" spans="1:14" ht="14.45" customHeight="1" x14ac:dyDescent="0.2">
      <c r="A448" s="730" t="s">
        <v>575</v>
      </c>
      <c r="B448" s="731" t="s">
        <v>576</v>
      </c>
      <c r="C448" s="732" t="s">
        <v>597</v>
      </c>
      <c r="D448" s="733" t="s">
        <v>598</v>
      </c>
      <c r="E448" s="734">
        <v>50113001</v>
      </c>
      <c r="F448" s="733" t="s">
        <v>609</v>
      </c>
      <c r="G448" s="732" t="s">
        <v>610</v>
      </c>
      <c r="H448" s="732">
        <v>194241</v>
      </c>
      <c r="I448" s="732">
        <v>194241</v>
      </c>
      <c r="J448" s="732" t="s">
        <v>1286</v>
      </c>
      <c r="K448" s="732" t="s">
        <v>1287</v>
      </c>
      <c r="L448" s="735">
        <v>31148.270312500001</v>
      </c>
      <c r="M448" s="735">
        <v>20</v>
      </c>
      <c r="N448" s="736">
        <v>622965.40625</v>
      </c>
    </row>
    <row r="449" spans="1:14" ht="14.45" customHeight="1" x14ac:dyDescent="0.2">
      <c r="A449" s="730" t="s">
        <v>575</v>
      </c>
      <c r="B449" s="731" t="s">
        <v>576</v>
      </c>
      <c r="C449" s="732" t="s">
        <v>597</v>
      </c>
      <c r="D449" s="733" t="s">
        <v>598</v>
      </c>
      <c r="E449" s="734">
        <v>50113001</v>
      </c>
      <c r="F449" s="733" t="s">
        <v>609</v>
      </c>
      <c r="G449" s="732" t="s">
        <v>625</v>
      </c>
      <c r="H449" s="732">
        <v>187607</v>
      </c>
      <c r="I449" s="732">
        <v>187607</v>
      </c>
      <c r="J449" s="732" t="s">
        <v>1288</v>
      </c>
      <c r="K449" s="732" t="s">
        <v>1289</v>
      </c>
      <c r="L449" s="735">
        <v>273.89999999999998</v>
      </c>
      <c r="M449" s="735">
        <v>5</v>
      </c>
      <c r="N449" s="736">
        <v>1369.5</v>
      </c>
    </row>
    <row r="450" spans="1:14" ht="14.45" customHeight="1" x14ac:dyDescent="0.2">
      <c r="A450" s="730" t="s">
        <v>575</v>
      </c>
      <c r="B450" s="731" t="s">
        <v>576</v>
      </c>
      <c r="C450" s="732" t="s">
        <v>597</v>
      </c>
      <c r="D450" s="733" t="s">
        <v>598</v>
      </c>
      <c r="E450" s="734">
        <v>50113001</v>
      </c>
      <c r="F450" s="733" t="s">
        <v>609</v>
      </c>
      <c r="G450" s="732" t="s">
        <v>610</v>
      </c>
      <c r="H450" s="732">
        <v>100874</v>
      </c>
      <c r="I450" s="732">
        <v>874</v>
      </c>
      <c r="J450" s="732" t="s">
        <v>1290</v>
      </c>
      <c r="K450" s="732" t="s">
        <v>1291</v>
      </c>
      <c r="L450" s="735">
        <v>79.947500000000005</v>
      </c>
      <c r="M450" s="735">
        <v>16</v>
      </c>
      <c r="N450" s="736">
        <v>1279.1600000000001</v>
      </c>
    </row>
    <row r="451" spans="1:14" ht="14.45" customHeight="1" x14ac:dyDescent="0.2">
      <c r="A451" s="730" t="s">
        <v>575</v>
      </c>
      <c r="B451" s="731" t="s">
        <v>576</v>
      </c>
      <c r="C451" s="732" t="s">
        <v>597</v>
      </c>
      <c r="D451" s="733" t="s">
        <v>598</v>
      </c>
      <c r="E451" s="734">
        <v>50113001</v>
      </c>
      <c r="F451" s="733" t="s">
        <v>609</v>
      </c>
      <c r="G451" s="732" t="s">
        <v>610</v>
      </c>
      <c r="H451" s="732">
        <v>200863</v>
      </c>
      <c r="I451" s="732">
        <v>200863</v>
      </c>
      <c r="J451" s="732" t="s">
        <v>952</v>
      </c>
      <c r="K451" s="732" t="s">
        <v>953</v>
      </c>
      <c r="L451" s="735">
        <v>85.3707142857143</v>
      </c>
      <c r="M451" s="735">
        <v>28</v>
      </c>
      <c r="N451" s="736">
        <v>2390.3800000000006</v>
      </c>
    </row>
    <row r="452" spans="1:14" ht="14.45" customHeight="1" x14ac:dyDescent="0.2">
      <c r="A452" s="730" t="s">
        <v>575</v>
      </c>
      <c r="B452" s="731" t="s">
        <v>576</v>
      </c>
      <c r="C452" s="732" t="s">
        <v>597</v>
      </c>
      <c r="D452" s="733" t="s">
        <v>598</v>
      </c>
      <c r="E452" s="734">
        <v>50113001</v>
      </c>
      <c r="F452" s="733" t="s">
        <v>609</v>
      </c>
      <c r="G452" s="732" t="s">
        <v>610</v>
      </c>
      <c r="H452" s="732">
        <v>232954</v>
      </c>
      <c r="I452" s="732">
        <v>232954</v>
      </c>
      <c r="J452" s="732" t="s">
        <v>1292</v>
      </c>
      <c r="K452" s="732" t="s">
        <v>1293</v>
      </c>
      <c r="L452" s="735">
        <v>111.63</v>
      </c>
      <c r="M452" s="735">
        <v>2</v>
      </c>
      <c r="N452" s="736">
        <v>223.26</v>
      </c>
    </row>
    <row r="453" spans="1:14" ht="14.45" customHeight="1" x14ac:dyDescent="0.2">
      <c r="A453" s="730" t="s">
        <v>575</v>
      </c>
      <c r="B453" s="731" t="s">
        <v>576</v>
      </c>
      <c r="C453" s="732" t="s">
        <v>597</v>
      </c>
      <c r="D453" s="733" t="s">
        <v>598</v>
      </c>
      <c r="E453" s="734">
        <v>50113001</v>
      </c>
      <c r="F453" s="733" t="s">
        <v>609</v>
      </c>
      <c r="G453" s="732" t="s">
        <v>625</v>
      </c>
      <c r="H453" s="732">
        <v>850729</v>
      </c>
      <c r="I453" s="732">
        <v>157875</v>
      </c>
      <c r="J453" s="732" t="s">
        <v>957</v>
      </c>
      <c r="K453" s="732" t="s">
        <v>958</v>
      </c>
      <c r="L453" s="735">
        <v>154</v>
      </c>
      <c r="M453" s="735">
        <v>5</v>
      </c>
      <c r="N453" s="736">
        <v>770</v>
      </c>
    </row>
    <row r="454" spans="1:14" ht="14.45" customHeight="1" x14ac:dyDescent="0.2">
      <c r="A454" s="730" t="s">
        <v>575</v>
      </c>
      <c r="B454" s="731" t="s">
        <v>576</v>
      </c>
      <c r="C454" s="732" t="s">
        <v>597</v>
      </c>
      <c r="D454" s="733" t="s">
        <v>598</v>
      </c>
      <c r="E454" s="734">
        <v>50113001</v>
      </c>
      <c r="F454" s="733" t="s">
        <v>609</v>
      </c>
      <c r="G454" s="732" t="s">
        <v>610</v>
      </c>
      <c r="H454" s="732">
        <v>207820</v>
      </c>
      <c r="I454" s="732">
        <v>207820</v>
      </c>
      <c r="J454" s="732" t="s">
        <v>959</v>
      </c>
      <c r="K454" s="732" t="s">
        <v>960</v>
      </c>
      <c r="L454" s="735">
        <v>31.149999999999991</v>
      </c>
      <c r="M454" s="735">
        <v>2</v>
      </c>
      <c r="N454" s="736">
        <v>62.299999999999983</v>
      </c>
    </row>
    <row r="455" spans="1:14" ht="14.45" customHeight="1" x14ac:dyDescent="0.2">
      <c r="A455" s="730" t="s">
        <v>575</v>
      </c>
      <c r="B455" s="731" t="s">
        <v>576</v>
      </c>
      <c r="C455" s="732" t="s">
        <v>597</v>
      </c>
      <c r="D455" s="733" t="s">
        <v>598</v>
      </c>
      <c r="E455" s="734">
        <v>50113001</v>
      </c>
      <c r="F455" s="733" t="s">
        <v>609</v>
      </c>
      <c r="G455" s="732" t="s">
        <v>610</v>
      </c>
      <c r="H455" s="732">
        <v>207819</v>
      </c>
      <c r="I455" s="732">
        <v>207819</v>
      </c>
      <c r="J455" s="732" t="s">
        <v>961</v>
      </c>
      <c r="K455" s="732" t="s">
        <v>962</v>
      </c>
      <c r="L455" s="735">
        <v>22.3</v>
      </c>
      <c r="M455" s="735">
        <v>6</v>
      </c>
      <c r="N455" s="736">
        <v>133.80000000000001</v>
      </c>
    </row>
    <row r="456" spans="1:14" ht="14.45" customHeight="1" x14ac:dyDescent="0.2">
      <c r="A456" s="730" t="s">
        <v>575</v>
      </c>
      <c r="B456" s="731" t="s">
        <v>576</v>
      </c>
      <c r="C456" s="732" t="s">
        <v>597</v>
      </c>
      <c r="D456" s="733" t="s">
        <v>598</v>
      </c>
      <c r="E456" s="734">
        <v>50113001</v>
      </c>
      <c r="F456" s="733" t="s">
        <v>609</v>
      </c>
      <c r="G456" s="732" t="s">
        <v>610</v>
      </c>
      <c r="H456" s="732">
        <v>232603</v>
      </c>
      <c r="I456" s="732">
        <v>232603</v>
      </c>
      <c r="J456" s="732" t="s">
        <v>1294</v>
      </c>
      <c r="K456" s="732" t="s">
        <v>1295</v>
      </c>
      <c r="L456" s="735">
        <v>116.53000000000002</v>
      </c>
      <c r="M456" s="735">
        <v>7</v>
      </c>
      <c r="N456" s="736">
        <v>815.71000000000015</v>
      </c>
    </row>
    <row r="457" spans="1:14" ht="14.45" customHeight="1" x14ac:dyDescent="0.2">
      <c r="A457" s="730" t="s">
        <v>575</v>
      </c>
      <c r="B457" s="731" t="s">
        <v>576</v>
      </c>
      <c r="C457" s="732" t="s">
        <v>597</v>
      </c>
      <c r="D457" s="733" t="s">
        <v>598</v>
      </c>
      <c r="E457" s="734">
        <v>50113001</v>
      </c>
      <c r="F457" s="733" t="s">
        <v>609</v>
      </c>
      <c r="G457" s="732" t="s">
        <v>610</v>
      </c>
      <c r="H457" s="732">
        <v>846338</v>
      </c>
      <c r="I457" s="732">
        <v>122685</v>
      </c>
      <c r="J457" s="732" t="s">
        <v>968</v>
      </c>
      <c r="K457" s="732" t="s">
        <v>1030</v>
      </c>
      <c r="L457" s="735">
        <v>115.94000000000001</v>
      </c>
      <c r="M457" s="735">
        <v>1</v>
      </c>
      <c r="N457" s="736">
        <v>115.94000000000001</v>
      </c>
    </row>
    <row r="458" spans="1:14" ht="14.45" customHeight="1" x14ac:dyDescent="0.2">
      <c r="A458" s="730" t="s">
        <v>575</v>
      </c>
      <c r="B458" s="731" t="s">
        <v>576</v>
      </c>
      <c r="C458" s="732" t="s">
        <v>597</v>
      </c>
      <c r="D458" s="733" t="s">
        <v>598</v>
      </c>
      <c r="E458" s="734">
        <v>50113001</v>
      </c>
      <c r="F458" s="733" t="s">
        <v>609</v>
      </c>
      <c r="G458" s="732" t="s">
        <v>625</v>
      </c>
      <c r="H458" s="732">
        <v>118167</v>
      </c>
      <c r="I458" s="732">
        <v>18167</v>
      </c>
      <c r="J458" s="732" t="s">
        <v>969</v>
      </c>
      <c r="K458" s="732" t="s">
        <v>970</v>
      </c>
      <c r="L458" s="735">
        <v>65.78</v>
      </c>
      <c r="M458" s="735">
        <v>10</v>
      </c>
      <c r="N458" s="736">
        <v>657.8</v>
      </c>
    </row>
    <row r="459" spans="1:14" ht="14.45" customHeight="1" x14ac:dyDescent="0.2">
      <c r="A459" s="730" t="s">
        <v>575</v>
      </c>
      <c r="B459" s="731" t="s">
        <v>576</v>
      </c>
      <c r="C459" s="732" t="s">
        <v>597</v>
      </c>
      <c r="D459" s="733" t="s">
        <v>598</v>
      </c>
      <c r="E459" s="734">
        <v>50113001</v>
      </c>
      <c r="F459" s="733" t="s">
        <v>609</v>
      </c>
      <c r="G459" s="732" t="s">
        <v>625</v>
      </c>
      <c r="H459" s="732">
        <v>118172</v>
      </c>
      <c r="I459" s="732">
        <v>18172</v>
      </c>
      <c r="J459" s="732" t="s">
        <v>969</v>
      </c>
      <c r="K459" s="732" t="s">
        <v>1296</v>
      </c>
      <c r="L459" s="735">
        <v>390.5</v>
      </c>
      <c r="M459" s="735">
        <v>17</v>
      </c>
      <c r="N459" s="736">
        <v>6638.5</v>
      </c>
    </row>
    <row r="460" spans="1:14" ht="14.45" customHeight="1" x14ac:dyDescent="0.2">
      <c r="A460" s="730" t="s">
        <v>575</v>
      </c>
      <c r="B460" s="731" t="s">
        <v>576</v>
      </c>
      <c r="C460" s="732" t="s">
        <v>597</v>
      </c>
      <c r="D460" s="733" t="s">
        <v>598</v>
      </c>
      <c r="E460" s="734">
        <v>50113001</v>
      </c>
      <c r="F460" s="733" t="s">
        <v>609</v>
      </c>
      <c r="G460" s="732" t="s">
        <v>625</v>
      </c>
      <c r="H460" s="732">
        <v>118175</v>
      </c>
      <c r="I460" s="732">
        <v>18175</v>
      </c>
      <c r="J460" s="732" t="s">
        <v>969</v>
      </c>
      <c r="K460" s="732" t="s">
        <v>1297</v>
      </c>
      <c r="L460" s="735">
        <v>627</v>
      </c>
      <c r="M460" s="735">
        <v>20</v>
      </c>
      <c r="N460" s="736">
        <v>12540</v>
      </c>
    </row>
    <row r="461" spans="1:14" ht="14.45" customHeight="1" x14ac:dyDescent="0.2">
      <c r="A461" s="730" t="s">
        <v>575</v>
      </c>
      <c r="B461" s="731" t="s">
        <v>576</v>
      </c>
      <c r="C461" s="732" t="s">
        <v>597</v>
      </c>
      <c r="D461" s="733" t="s">
        <v>598</v>
      </c>
      <c r="E461" s="734">
        <v>50113001</v>
      </c>
      <c r="F461" s="733" t="s">
        <v>609</v>
      </c>
      <c r="G461" s="732" t="s">
        <v>610</v>
      </c>
      <c r="H461" s="732">
        <v>207776</v>
      </c>
      <c r="I461" s="732">
        <v>207776</v>
      </c>
      <c r="J461" s="732" t="s">
        <v>1298</v>
      </c>
      <c r="K461" s="732" t="s">
        <v>1299</v>
      </c>
      <c r="L461" s="735">
        <v>257.65000000000003</v>
      </c>
      <c r="M461" s="735">
        <v>21</v>
      </c>
      <c r="N461" s="736">
        <v>5410.6500000000005</v>
      </c>
    </row>
    <row r="462" spans="1:14" ht="14.45" customHeight="1" x14ac:dyDescent="0.2">
      <c r="A462" s="730" t="s">
        <v>575</v>
      </c>
      <c r="B462" s="731" t="s">
        <v>576</v>
      </c>
      <c r="C462" s="732" t="s">
        <v>597</v>
      </c>
      <c r="D462" s="733" t="s">
        <v>598</v>
      </c>
      <c r="E462" s="734">
        <v>50113001</v>
      </c>
      <c r="F462" s="733" t="s">
        <v>609</v>
      </c>
      <c r="G462" s="732" t="s">
        <v>610</v>
      </c>
      <c r="H462" s="732">
        <v>241679</v>
      </c>
      <c r="I462" s="732">
        <v>241679</v>
      </c>
      <c r="J462" s="732" t="s">
        <v>971</v>
      </c>
      <c r="K462" s="732" t="s">
        <v>972</v>
      </c>
      <c r="L462" s="735">
        <v>59.39</v>
      </c>
      <c r="M462" s="735">
        <v>2</v>
      </c>
      <c r="N462" s="736">
        <v>118.78</v>
      </c>
    </row>
    <row r="463" spans="1:14" ht="14.45" customHeight="1" x14ac:dyDescent="0.2">
      <c r="A463" s="730" t="s">
        <v>575</v>
      </c>
      <c r="B463" s="731" t="s">
        <v>576</v>
      </c>
      <c r="C463" s="732" t="s">
        <v>597</v>
      </c>
      <c r="D463" s="733" t="s">
        <v>598</v>
      </c>
      <c r="E463" s="734">
        <v>50113001</v>
      </c>
      <c r="F463" s="733" t="s">
        <v>609</v>
      </c>
      <c r="G463" s="732" t="s">
        <v>610</v>
      </c>
      <c r="H463" s="732">
        <v>144357</v>
      </c>
      <c r="I463" s="732">
        <v>44357</v>
      </c>
      <c r="J463" s="732" t="s">
        <v>1300</v>
      </c>
      <c r="K463" s="732" t="s">
        <v>1301</v>
      </c>
      <c r="L463" s="735">
        <v>3228.1899999999996</v>
      </c>
      <c r="M463" s="735">
        <v>1</v>
      </c>
      <c r="N463" s="736">
        <v>3228.1899999999996</v>
      </c>
    </row>
    <row r="464" spans="1:14" ht="14.45" customHeight="1" x14ac:dyDescent="0.2">
      <c r="A464" s="730" t="s">
        <v>575</v>
      </c>
      <c r="B464" s="731" t="s">
        <v>576</v>
      </c>
      <c r="C464" s="732" t="s">
        <v>597</v>
      </c>
      <c r="D464" s="733" t="s">
        <v>598</v>
      </c>
      <c r="E464" s="734">
        <v>50113001</v>
      </c>
      <c r="F464" s="733" t="s">
        <v>609</v>
      </c>
      <c r="G464" s="732" t="s">
        <v>610</v>
      </c>
      <c r="H464" s="732">
        <v>118305</v>
      </c>
      <c r="I464" s="732">
        <v>18305</v>
      </c>
      <c r="J464" s="732" t="s">
        <v>973</v>
      </c>
      <c r="K464" s="732" t="s">
        <v>974</v>
      </c>
      <c r="L464" s="735">
        <v>242</v>
      </c>
      <c r="M464" s="735">
        <v>129</v>
      </c>
      <c r="N464" s="736">
        <v>31218</v>
      </c>
    </row>
    <row r="465" spans="1:14" ht="14.45" customHeight="1" x14ac:dyDescent="0.2">
      <c r="A465" s="730" t="s">
        <v>575</v>
      </c>
      <c r="B465" s="731" t="s">
        <v>576</v>
      </c>
      <c r="C465" s="732" t="s">
        <v>597</v>
      </c>
      <c r="D465" s="733" t="s">
        <v>598</v>
      </c>
      <c r="E465" s="734">
        <v>50113001</v>
      </c>
      <c r="F465" s="733" t="s">
        <v>609</v>
      </c>
      <c r="G465" s="732" t="s">
        <v>610</v>
      </c>
      <c r="H465" s="732">
        <v>159357</v>
      </c>
      <c r="I465" s="732">
        <v>59357</v>
      </c>
      <c r="J465" s="732" t="s">
        <v>975</v>
      </c>
      <c r="K465" s="732" t="s">
        <v>976</v>
      </c>
      <c r="L465" s="735">
        <v>188.88</v>
      </c>
      <c r="M465" s="735">
        <v>4</v>
      </c>
      <c r="N465" s="736">
        <v>755.52</v>
      </c>
    </row>
    <row r="466" spans="1:14" ht="14.45" customHeight="1" x14ac:dyDescent="0.2">
      <c r="A466" s="730" t="s">
        <v>575</v>
      </c>
      <c r="B466" s="731" t="s">
        <v>576</v>
      </c>
      <c r="C466" s="732" t="s">
        <v>597</v>
      </c>
      <c r="D466" s="733" t="s">
        <v>598</v>
      </c>
      <c r="E466" s="734">
        <v>50113001</v>
      </c>
      <c r="F466" s="733" t="s">
        <v>609</v>
      </c>
      <c r="G466" s="732" t="s">
        <v>625</v>
      </c>
      <c r="H466" s="732">
        <v>220105</v>
      </c>
      <c r="I466" s="732">
        <v>220105</v>
      </c>
      <c r="J466" s="732" t="s">
        <v>1302</v>
      </c>
      <c r="K466" s="732" t="s">
        <v>1303</v>
      </c>
      <c r="L466" s="735">
        <v>495.00000000000006</v>
      </c>
      <c r="M466" s="735">
        <v>4</v>
      </c>
      <c r="N466" s="736">
        <v>1980.0000000000002</v>
      </c>
    </row>
    <row r="467" spans="1:14" ht="14.45" customHeight="1" x14ac:dyDescent="0.2">
      <c r="A467" s="730" t="s">
        <v>575</v>
      </c>
      <c r="B467" s="731" t="s">
        <v>576</v>
      </c>
      <c r="C467" s="732" t="s">
        <v>597</v>
      </c>
      <c r="D467" s="733" t="s">
        <v>598</v>
      </c>
      <c r="E467" s="734">
        <v>50113001</v>
      </c>
      <c r="F467" s="733" t="s">
        <v>609</v>
      </c>
      <c r="G467" s="732" t="s">
        <v>610</v>
      </c>
      <c r="H467" s="732">
        <v>192086</v>
      </c>
      <c r="I467" s="732">
        <v>92086</v>
      </c>
      <c r="J467" s="732" t="s">
        <v>980</v>
      </c>
      <c r="K467" s="732" t="s">
        <v>981</v>
      </c>
      <c r="L467" s="735">
        <v>134.11500000000001</v>
      </c>
      <c r="M467" s="735">
        <v>2</v>
      </c>
      <c r="N467" s="736">
        <v>268.23</v>
      </c>
    </row>
    <row r="468" spans="1:14" ht="14.45" customHeight="1" x14ac:dyDescent="0.2">
      <c r="A468" s="730" t="s">
        <v>575</v>
      </c>
      <c r="B468" s="731" t="s">
        <v>576</v>
      </c>
      <c r="C468" s="732" t="s">
        <v>597</v>
      </c>
      <c r="D468" s="733" t="s">
        <v>598</v>
      </c>
      <c r="E468" s="734">
        <v>50113001</v>
      </c>
      <c r="F468" s="733" t="s">
        <v>609</v>
      </c>
      <c r="G468" s="732" t="s">
        <v>610</v>
      </c>
      <c r="H468" s="732">
        <v>172564</v>
      </c>
      <c r="I468" s="732">
        <v>72564</v>
      </c>
      <c r="J468" s="732" t="s">
        <v>1304</v>
      </c>
      <c r="K468" s="732" t="s">
        <v>1305</v>
      </c>
      <c r="L468" s="735">
        <v>472.87333333333328</v>
      </c>
      <c r="M468" s="735">
        <v>3</v>
      </c>
      <c r="N468" s="736">
        <v>1418.62</v>
      </c>
    </row>
    <row r="469" spans="1:14" ht="14.45" customHeight="1" x14ac:dyDescent="0.2">
      <c r="A469" s="730" t="s">
        <v>575</v>
      </c>
      <c r="B469" s="731" t="s">
        <v>576</v>
      </c>
      <c r="C469" s="732" t="s">
        <v>597</v>
      </c>
      <c r="D469" s="733" t="s">
        <v>598</v>
      </c>
      <c r="E469" s="734">
        <v>50113001</v>
      </c>
      <c r="F469" s="733" t="s">
        <v>609</v>
      </c>
      <c r="G469" s="732" t="s">
        <v>610</v>
      </c>
      <c r="H469" s="732">
        <v>847940</v>
      </c>
      <c r="I469" s="732">
        <v>155338</v>
      </c>
      <c r="J469" s="732" t="s">
        <v>1306</v>
      </c>
      <c r="K469" s="732" t="s">
        <v>1307</v>
      </c>
      <c r="L469" s="735">
        <v>18356.480000000003</v>
      </c>
      <c r="M469" s="735">
        <v>10</v>
      </c>
      <c r="N469" s="736">
        <v>183564.80000000005</v>
      </c>
    </row>
    <row r="470" spans="1:14" ht="14.45" customHeight="1" x14ac:dyDescent="0.2">
      <c r="A470" s="730" t="s">
        <v>575</v>
      </c>
      <c r="B470" s="731" t="s">
        <v>576</v>
      </c>
      <c r="C470" s="732" t="s">
        <v>597</v>
      </c>
      <c r="D470" s="733" t="s">
        <v>598</v>
      </c>
      <c r="E470" s="734">
        <v>50113001</v>
      </c>
      <c r="F470" s="733" t="s">
        <v>609</v>
      </c>
      <c r="G470" s="732" t="s">
        <v>625</v>
      </c>
      <c r="H470" s="732">
        <v>208204</v>
      </c>
      <c r="I470" s="732">
        <v>208204</v>
      </c>
      <c r="J470" s="732" t="s">
        <v>988</v>
      </c>
      <c r="K470" s="732" t="s">
        <v>989</v>
      </c>
      <c r="L470" s="735">
        <v>48.929999999999993</v>
      </c>
      <c r="M470" s="735">
        <v>1</v>
      </c>
      <c r="N470" s="736">
        <v>48.929999999999993</v>
      </c>
    </row>
    <row r="471" spans="1:14" ht="14.45" customHeight="1" x14ac:dyDescent="0.2">
      <c r="A471" s="730" t="s">
        <v>575</v>
      </c>
      <c r="B471" s="731" t="s">
        <v>576</v>
      </c>
      <c r="C471" s="732" t="s">
        <v>597</v>
      </c>
      <c r="D471" s="733" t="s">
        <v>598</v>
      </c>
      <c r="E471" s="734">
        <v>50113001</v>
      </c>
      <c r="F471" s="733" t="s">
        <v>609</v>
      </c>
      <c r="G471" s="732" t="s">
        <v>610</v>
      </c>
      <c r="H471" s="732">
        <v>159941</v>
      </c>
      <c r="I471" s="732">
        <v>59941</v>
      </c>
      <c r="J471" s="732" t="s">
        <v>1308</v>
      </c>
      <c r="K471" s="732" t="s">
        <v>1309</v>
      </c>
      <c r="L471" s="735">
        <v>238.67999999999995</v>
      </c>
      <c r="M471" s="735">
        <v>1</v>
      </c>
      <c r="N471" s="736">
        <v>238.67999999999995</v>
      </c>
    </row>
    <row r="472" spans="1:14" ht="14.45" customHeight="1" x14ac:dyDescent="0.2">
      <c r="A472" s="730" t="s">
        <v>575</v>
      </c>
      <c r="B472" s="731" t="s">
        <v>576</v>
      </c>
      <c r="C472" s="732" t="s">
        <v>597</v>
      </c>
      <c r="D472" s="733" t="s">
        <v>598</v>
      </c>
      <c r="E472" s="734">
        <v>50113001</v>
      </c>
      <c r="F472" s="733" t="s">
        <v>609</v>
      </c>
      <c r="G472" s="732" t="s">
        <v>625</v>
      </c>
      <c r="H472" s="732">
        <v>109710</v>
      </c>
      <c r="I472" s="732">
        <v>9710</v>
      </c>
      <c r="J472" s="732" t="s">
        <v>993</v>
      </c>
      <c r="K472" s="732" t="s">
        <v>1310</v>
      </c>
      <c r="L472" s="735">
        <v>70.330000000000013</v>
      </c>
      <c r="M472" s="735">
        <v>1</v>
      </c>
      <c r="N472" s="736">
        <v>70.330000000000013</v>
      </c>
    </row>
    <row r="473" spans="1:14" ht="14.45" customHeight="1" x14ac:dyDescent="0.2">
      <c r="A473" s="730" t="s">
        <v>575</v>
      </c>
      <c r="B473" s="731" t="s">
        <v>576</v>
      </c>
      <c r="C473" s="732" t="s">
        <v>597</v>
      </c>
      <c r="D473" s="733" t="s">
        <v>598</v>
      </c>
      <c r="E473" s="734">
        <v>50113001</v>
      </c>
      <c r="F473" s="733" t="s">
        <v>609</v>
      </c>
      <c r="G473" s="732" t="s">
        <v>625</v>
      </c>
      <c r="H473" s="732">
        <v>109711</v>
      </c>
      <c r="I473" s="732">
        <v>9711</v>
      </c>
      <c r="J473" s="732" t="s">
        <v>993</v>
      </c>
      <c r="K473" s="732" t="s">
        <v>1311</v>
      </c>
      <c r="L473" s="735">
        <v>170.34</v>
      </c>
      <c r="M473" s="735">
        <v>12</v>
      </c>
      <c r="N473" s="736">
        <v>2044.0800000000002</v>
      </c>
    </row>
    <row r="474" spans="1:14" ht="14.45" customHeight="1" x14ac:dyDescent="0.2">
      <c r="A474" s="730" t="s">
        <v>575</v>
      </c>
      <c r="B474" s="731" t="s">
        <v>576</v>
      </c>
      <c r="C474" s="732" t="s">
        <v>597</v>
      </c>
      <c r="D474" s="733" t="s">
        <v>598</v>
      </c>
      <c r="E474" s="734">
        <v>50113001</v>
      </c>
      <c r="F474" s="733" t="s">
        <v>609</v>
      </c>
      <c r="G474" s="732" t="s">
        <v>625</v>
      </c>
      <c r="H474" s="732">
        <v>848251</v>
      </c>
      <c r="I474" s="732">
        <v>122632</v>
      </c>
      <c r="J474" s="732" t="s">
        <v>1312</v>
      </c>
      <c r="K474" s="732" t="s">
        <v>1313</v>
      </c>
      <c r="L474" s="735">
        <v>163.99</v>
      </c>
      <c r="M474" s="735">
        <v>1</v>
      </c>
      <c r="N474" s="736">
        <v>163.99</v>
      </c>
    </row>
    <row r="475" spans="1:14" ht="14.45" customHeight="1" x14ac:dyDescent="0.2">
      <c r="A475" s="730" t="s">
        <v>575</v>
      </c>
      <c r="B475" s="731" t="s">
        <v>576</v>
      </c>
      <c r="C475" s="732" t="s">
        <v>597</v>
      </c>
      <c r="D475" s="733" t="s">
        <v>598</v>
      </c>
      <c r="E475" s="734">
        <v>50113001</v>
      </c>
      <c r="F475" s="733" t="s">
        <v>609</v>
      </c>
      <c r="G475" s="732" t="s">
        <v>610</v>
      </c>
      <c r="H475" s="732">
        <v>230920</v>
      </c>
      <c r="I475" s="732">
        <v>230920</v>
      </c>
      <c r="J475" s="732" t="s">
        <v>1314</v>
      </c>
      <c r="K475" s="732" t="s">
        <v>1315</v>
      </c>
      <c r="L475" s="735">
        <v>686.22333333333336</v>
      </c>
      <c r="M475" s="735">
        <v>18</v>
      </c>
      <c r="N475" s="736">
        <v>12352.02</v>
      </c>
    </row>
    <row r="476" spans="1:14" ht="14.45" customHeight="1" x14ac:dyDescent="0.2">
      <c r="A476" s="730" t="s">
        <v>575</v>
      </c>
      <c r="B476" s="731" t="s">
        <v>576</v>
      </c>
      <c r="C476" s="732" t="s">
        <v>597</v>
      </c>
      <c r="D476" s="733" t="s">
        <v>598</v>
      </c>
      <c r="E476" s="734">
        <v>50113001</v>
      </c>
      <c r="F476" s="733" t="s">
        <v>609</v>
      </c>
      <c r="G476" s="732" t="s">
        <v>610</v>
      </c>
      <c r="H476" s="732">
        <v>230918</v>
      </c>
      <c r="I476" s="732">
        <v>230918</v>
      </c>
      <c r="J476" s="732" t="s">
        <v>1316</v>
      </c>
      <c r="K476" s="732" t="s">
        <v>1317</v>
      </c>
      <c r="L476" s="735">
        <v>147.62</v>
      </c>
      <c r="M476" s="735">
        <v>20</v>
      </c>
      <c r="N476" s="736">
        <v>2952.4</v>
      </c>
    </row>
    <row r="477" spans="1:14" ht="14.45" customHeight="1" x14ac:dyDescent="0.2">
      <c r="A477" s="730" t="s">
        <v>575</v>
      </c>
      <c r="B477" s="731" t="s">
        <v>576</v>
      </c>
      <c r="C477" s="732" t="s">
        <v>597</v>
      </c>
      <c r="D477" s="733" t="s">
        <v>598</v>
      </c>
      <c r="E477" s="734">
        <v>50113001</v>
      </c>
      <c r="F477" s="733" t="s">
        <v>609</v>
      </c>
      <c r="G477" s="732" t="s">
        <v>610</v>
      </c>
      <c r="H477" s="732">
        <v>225261</v>
      </c>
      <c r="I477" s="732">
        <v>225261</v>
      </c>
      <c r="J477" s="732" t="s">
        <v>1007</v>
      </c>
      <c r="K477" s="732" t="s">
        <v>1008</v>
      </c>
      <c r="L477" s="735">
        <v>57.68181818181818</v>
      </c>
      <c r="M477" s="735">
        <v>11</v>
      </c>
      <c r="N477" s="736">
        <v>634.5</v>
      </c>
    </row>
    <row r="478" spans="1:14" ht="14.45" customHeight="1" x14ac:dyDescent="0.2">
      <c r="A478" s="730" t="s">
        <v>575</v>
      </c>
      <c r="B478" s="731" t="s">
        <v>576</v>
      </c>
      <c r="C478" s="732" t="s">
        <v>597</v>
      </c>
      <c r="D478" s="733" t="s">
        <v>598</v>
      </c>
      <c r="E478" s="734">
        <v>50113001</v>
      </c>
      <c r="F478" s="733" t="s">
        <v>609</v>
      </c>
      <c r="G478" s="732" t="s">
        <v>610</v>
      </c>
      <c r="H478" s="732">
        <v>216573</v>
      </c>
      <c r="I478" s="732">
        <v>216573</v>
      </c>
      <c r="J478" s="732" t="s">
        <v>1318</v>
      </c>
      <c r="K478" s="732" t="s">
        <v>1319</v>
      </c>
      <c r="L478" s="735">
        <v>61.7</v>
      </c>
      <c r="M478" s="735">
        <v>4</v>
      </c>
      <c r="N478" s="736">
        <v>246.8</v>
      </c>
    </row>
    <row r="479" spans="1:14" ht="14.45" customHeight="1" x14ac:dyDescent="0.2">
      <c r="A479" s="730" t="s">
        <v>575</v>
      </c>
      <c r="B479" s="731" t="s">
        <v>576</v>
      </c>
      <c r="C479" s="732" t="s">
        <v>597</v>
      </c>
      <c r="D479" s="733" t="s">
        <v>598</v>
      </c>
      <c r="E479" s="734">
        <v>50113001</v>
      </c>
      <c r="F479" s="733" t="s">
        <v>609</v>
      </c>
      <c r="G479" s="732" t="s">
        <v>610</v>
      </c>
      <c r="H479" s="732">
        <v>100610</v>
      </c>
      <c r="I479" s="732">
        <v>610</v>
      </c>
      <c r="J479" s="732" t="s">
        <v>1009</v>
      </c>
      <c r="K479" s="732" t="s">
        <v>1010</v>
      </c>
      <c r="L479" s="735">
        <v>72.42</v>
      </c>
      <c r="M479" s="735">
        <v>43</v>
      </c>
      <c r="N479" s="736">
        <v>3114.06</v>
      </c>
    </row>
    <row r="480" spans="1:14" ht="14.45" customHeight="1" x14ac:dyDescent="0.2">
      <c r="A480" s="730" t="s">
        <v>575</v>
      </c>
      <c r="B480" s="731" t="s">
        <v>576</v>
      </c>
      <c r="C480" s="732" t="s">
        <v>597</v>
      </c>
      <c r="D480" s="733" t="s">
        <v>598</v>
      </c>
      <c r="E480" s="734">
        <v>50113001</v>
      </c>
      <c r="F480" s="733" t="s">
        <v>609</v>
      </c>
      <c r="G480" s="732" t="s">
        <v>610</v>
      </c>
      <c r="H480" s="732">
        <v>100612</v>
      </c>
      <c r="I480" s="732">
        <v>612</v>
      </c>
      <c r="J480" s="732" t="s">
        <v>1011</v>
      </c>
      <c r="K480" s="732" t="s">
        <v>651</v>
      </c>
      <c r="L480" s="735">
        <v>67.58</v>
      </c>
      <c r="M480" s="735">
        <v>4</v>
      </c>
      <c r="N480" s="736">
        <v>270.32</v>
      </c>
    </row>
    <row r="481" spans="1:14" ht="14.45" customHeight="1" x14ac:dyDescent="0.2">
      <c r="A481" s="730" t="s">
        <v>575</v>
      </c>
      <c r="B481" s="731" t="s">
        <v>576</v>
      </c>
      <c r="C481" s="732" t="s">
        <v>597</v>
      </c>
      <c r="D481" s="733" t="s">
        <v>598</v>
      </c>
      <c r="E481" s="734">
        <v>50113001</v>
      </c>
      <c r="F481" s="733" t="s">
        <v>609</v>
      </c>
      <c r="G481" s="732" t="s">
        <v>610</v>
      </c>
      <c r="H481" s="732">
        <v>171615</v>
      </c>
      <c r="I481" s="732">
        <v>171615</v>
      </c>
      <c r="J481" s="732" t="s">
        <v>1320</v>
      </c>
      <c r="K481" s="732" t="s">
        <v>1216</v>
      </c>
      <c r="L481" s="735">
        <v>284.8900000000001</v>
      </c>
      <c r="M481" s="735">
        <v>5</v>
      </c>
      <c r="N481" s="736">
        <v>1424.4500000000005</v>
      </c>
    </row>
    <row r="482" spans="1:14" ht="14.45" customHeight="1" x14ac:dyDescent="0.2">
      <c r="A482" s="730" t="s">
        <v>575</v>
      </c>
      <c r="B482" s="731" t="s">
        <v>576</v>
      </c>
      <c r="C482" s="732" t="s">
        <v>597</v>
      </c>
      <c r="D482" s="733" t="s">
        <v>598</v>
      </c>
      <c r="E482" s="734">
        <v>50113001</v>
      </c>
      <c r="F482" s="733" t="s">
        <v>609</v>
      </c>
      <c r="G482" s="732" t="s">
        <v>610</v>
      </c>
      <c r="H482" s="732">
        <v>395294</v>
      </c>
      <c r="I482" s="732">
        <v>180306</v>
      </c>
      <c r="J482" s="732" t="s">
        <v>1012</v>
      </c>
      <c r="K482" s="732" t="s">
        <v>1013</v>
      </c>
      <c r="L482" s="735">
        <v>203.53666666666672</v>
      </c>
      <c r="M482" s="735">
        <v>24</v>
      </c>
      <c r="N482" s="736">
        <v>4884.880000000001</v>
      </c>
    </row>
    <row r="483" spans="1:14" ht="14.45" customHeight="1" x14ac:dyDescent="0.2">
      <c r="A483" s="730" t="s">
        <v>575</v>
      </c>
      <c r="B483" s="731" t="s">
        <v>576</v>
      </c>
      <c r="C483" s="732" t="s">
        <v>597</v>
      </c>
      <c r="D483" s="733" t="s">
        <v>598</v>
      </c>
      <c r="E483" s="734">
        <v>50113001</v>
      </c>
      <c r="F483" s="733" t="s">
        <v>609</v>
      </c>
      <c r="G483" s="732" t="s">
        <v>610</v>
      </c>
      <c r="H483" s="732">
        <v>100616</v>
      </c>
      <c r="I483" s="732">
        <v>616</v>
      </c>
      <c r="J483" s="732" t="s">
        <v>1018</v>
      </c>
      <c r="K483" s="732" t="s">
        <v>1019</v>
      </c>
      <c r="L483" s="735">
        <v>121.57</v>
      </c>
      <c r="M483" s="735">
        <v>1</v>
      </c>
      <c r="N483" s="736">
        <v>121.57</v>
      </c>
    </row>
    <row r="484" spans="1:14" ht="14.45" customHeight="1" x14ac:dyDescent="0.2">
      <c r="A484" s="730" t="s">
        <v>575</v>
      </c>
      <c r="B484" s="731" t="s">
        <v>576</v>
      </c>
      <c r="C484" s="732" t="s">
        <v>597</v>
      </c>
      <c r="D484" s="733" t="s">
        <v>598</v>
      </c>
      <c r="E484" s="734">
        <v>50113001</v>
      </c>
      <c r="F484" s="733" t="s">
        <v>609</v>
      </c>
      <c r="G484" s="732" t="s">
        <v>610</v>
      </c>
      <c r="H484" s="732">
        <v>152225</v>
      </c>
      <c r="I484" s="732">
        <v>52225</v>
      </c>
      <c r="J484" s="732" t="s">
        <v>1321</v>
      </c>
      <c r="K484" s="732" t="s">
        <v>1322</v>
      </c>
      <c r="L484" s="735">
        <v>610.98666666666657</v>
      </c>
      <c r="M484" s="735">
        <v>6</v>
      </c>
      <c r="N484" s="736">
        <v>3665.9199999999996</v>
      </c>
    </row>
    <row r="485" spans="1:14" ht="14.45" customHeight="1" x14ac:dyDescent="0.2">
      <c r="A485" s="730" t="s">
        <v>575</v>
      </c>
      <c r="B485" s="731" t="s">
        <v>576</v>
      </c>
      <c r="C485" s="732" t="s">
        <v>597</v>
      </c>
      <c r="D485" s="733" t="s">
        <v>598</v>
      </c>
      <c r="E485" s="734">
        <v>50113001</v>
      </c>
      <c r="F485" s="733" t="s">
        <v>609</v>
      </c>
      <c r="G485" s="732" t="s">
        <v>610</v>
      </c>
      <c r="H485" s="732">
        <v>848632</v>
      </c>
      <c r="I485" s="732">
        <v>125315</v>
      </c>
      <c r="J485" s="732" t="s">
        <v>1020</v>
      </c>
      <c r="K485" s="732" t="s">
        <v>1021</v>
      </c>
      <c r="L485" s="735">
        <v>58.149999999999991</v>
      </c>
      <c r="M485" s="735">
        <v>79</v>
      </c>
      <c r="N485" s="736">
        <v>4593.8499999999995</v>
      </c>
    </row>
    <row r="486" spans="1:14" ht="14.45" customHeight="1" x14ac:dyDescent="0.2">
      <c r="A486" s="730" t="s">
        <v>575</v>
      </c>
      <c r="B486" s="731" t="s">
        <v>576</v>
      </c>
      <c r="C486" s="732" t="s">
        <v>597</v>
      </c>
      <c r="D486" s="733" t="s">
        <v>598</v>
      </c>
      <c r="E486" s="734">
        <v>50113001</v>
      </c>
      <c r="F486" s="733" t="s">
        <v>609</v>
      </c>
      <c r="G486" s="732" t="s">
        <v>610</v>
      </c>
      <c r="H486" s="732">
        <v>225172</v>
      </c>
      <c r="I486" s="732">
        <v>225172</v>
      </c>
      <c r="J486" s="732" t="s">
        <v>1323</v>
      </c>
      <c r="K486" s="732" t="s">
        <v>1324</v>
      </c>
      <c r="L486" s="735">
        <v>58.77</v>
      </c>
      <c r="M486" s="735">
        <v>2</v>
      </c>
      <c r="N486" s="736">
        <v>117.54</v>
      </c>
    </row>
    <row r="487" spans="1:14" ht="14.45" customHeight="1" x14ac:dyDescent="0.2">
      <c r="A487" s="730" t="s">
        <v>575</v>
      </c>
      <c r="B487" s="731" t="s">
        <v>576</v>
      </c>
      <c r="C487" s="732" t="s">
        <v>597</v>
      </c>
      <c r="D487" s="733" t="s">
        <v>598</v>
      </c>
      <c r="E487" s="734">
        <v>50113001</v>
      </c>
      <c r="F487" s="733" t="s">
        <v>609</v>
      </c>
      <c r="G487" s="732" t="s">
        <v>610</v>
      </c>
      <c r="H487" s="732">
        <v>191836</v>
      </c>
      <c r="I487" s="732">
        <v>91836</v>
      </c>
      <c r="J487" s="732" t="s">
        <v>1022</v>
      </c>
      <c r="K487" s="732" t="s">
        <v>1023</v>
      </c>
      <c r="L487" s="735">
        <v>44.61</v>
      </c>
      <c r="M487" s="735">
        <v>2</v>
      </c>
      <c r="N487" s="736">
        <v>89.22</v>
      </c>
    </row>
    <row r="488" spans="1:14" ht="14.45" customHeight="1" x14ac:dyDescent="0.2">
      <c r="A488" s="730" t="s">
        <v>575</v>
      </c>
      <c r="B488" s="731" t="s">
        <v>576</v>
      </c>
      <c r="C488" s="732" t="s">
        <v>597</v>
      </c>
      <c r="D488" s="733" t="s">
        <v>598</v>
      </c>
      <c r="E488" s="734">
        <v>50113001</v>
      </c>
      <c r="F488" s="733" t="s">
        <v>609</v>
      </c>
      <c r="G488" s="732" t="s">
        <v>610</v>
      </c>
      <c r="H488" s="732">
        <v>226000</v>
      </c>
      <c r="I488" s="732">
        <v>226000</v>
      </c>
      <c r="J488" s="732" t="s">
        <v>1325</v>
      </c>
      <c r="K488" s="732" t="s">
        <v>1326</v>
      </c>
      <c r="L488" s="735">
        <v>312.14</v>
      </c>
      <c r="M488" s="735">
        <v>5</v>
      </c>
      <c r="N488" s="736">
        <v>1560.6999999999998</v>
      </c>
    </row>
    <row r="489" spans="1:14" ht="14.45" customHeight="1" x14ac:dyDescent="0.2">
      <c r="A489" s="730" t="s">
        <v>575</v>
      </c>
      <c r="B489" s="731" t="s">
        <v>576</v>
      </c>
      <c r="C489" s="732" t="s">
        <v>597</v>
      </c>
      <c r="D489" s="733" t="s">
        <v>598</v>
      </c>
      <c r="E489" s="734">
        <v>50113001</v>
      </c>
      <c r="F489" s="733" t="s">
        <v>609</v>
      </c>
      <c r="G489" s="732" t="s">
        <v>610</v>
      </c>
      <c r="H489" s="732">
        <v>215851</v>
      </c>
      <c r="I489" s="732">
        <v>215851</v>
      </c>
      <c r="J489" s="732" t="s">
        <v>1327</v>
      </c>
      <c r="K489" s="732" t="s">
        <v>1328</v>
      </c>
      <c r="L489" s="735">
        <v>290.06</v>
      </c>
      <c r="M489" s="735">
        <v>3</v>
      </c>
      <c r="N489" s="736">
        <v>870.18000000000006</v>
      </c>
    </row>
    <row r="490" spans="1:14" ht="14.45" customHeight="1" x14ac:dyDescent="0.2">
      <c r="A490" s="730" t="s">
        <v>575</v>
      </c>
      <c r="B490" s="731" t="s">
        <v>576</v>
      </c>
      <c r="C490" s="732" t="s">
        <v>597</v>
      </c>
      <c r="D490" s="733" t="s">
        <v>598</v>
      </c>
      <c r="E490" s="734">
        <v>50113001</v>
      </c>
      <c r="F490" s="733" t="s">
        <v>609</v>
      </c>
      <c r="G490" s="732" t="s">
        <v>610</v>
      </c>
      <c r="H490" s="732">
        <v>502132</v>
      </c>
      <c r="I490" s="732">
        <v>9999999</v>
      </c>
      <c r="J490" s="732" t="s">
        <v>1329</v>
      </c>
      <c r="K490" s="732" t="s">
        <v>1330</v>
      </c>
      <c r="L490" s="735">
        <v>335.20043478260862</v>
      </c>
      <c r="M490" s="735">
        <v>23</v>
      </c>
      <c r="N490" s="736">
        <v>7709.6099999999988</v>
      </c>
    </row>
    <row r="491" spans="1:14" ht="14.45" customHeight="1" x14ac:dyDescent="0.2">
      <c r="A491" s="730" t="s">
        <v>575</v>
      </c>
      <c r="B491" s="731" t="s">
        <v>576</v>
      </c>
      <c r="C491" s="732" t="s">
        <v>597</v>
      </c>
      <c r="D491" s="733" t="s">
        <v>598</v>
      </c>
      <c r="E491" s="734">
        <v>50113001</v>
      </c>
      <c r="F491" s="733" t="s">
        <v>609</v>
      </c>
      <c r="G491" s="732" t="s">
        <v>610</v>
      </c>
      <c r="H491" s="732">
        <v>154094</v>
      </c>
      <c r="I491" s="732">
        <v>54094</v>
      </c>
      <c r="J491" s="732" t="s">
        <v>1035</v>
      </c>
      <c r="K491" s="732" t="s">
        <v>1036</v>
      </c>
      <c r="L491" s="735">
        <v>111.23999999999998</v>
      </c>
      <c r="M491" s="735">
        <v>1</v>
      </c>
      <c r="N491" s="736">
        <v>111.23999999999998</v>
      </c>
    </row>
    <row r="492" spans="1:14" ht="14.45" customHeight="1" x14ac:dyDescent="0.2">
      <c r="A492" s="730" t="s">
        <v>575</v>
      </c>
      <c r="B492" s="731" t="s">
        <v>576</v>
      </c>
      <c r="C492" s="732" t="s">
        <v>597</v>
      </c>
      <c r="D492" s="733" t="s">
        <v>598</v>
      </c>
      <c r="E492" s="734">
        <v>50113001</v>
      </c>
      <c r="F492" s="733" t="s">
        <v>609</v>
      </c>
      <c r="G492" s="732" t="s">
        <v>295</v>
      </c>
      <c r="H492" s="732">
        <v>132638</v>
      </c>
      <c r="I492" s="732">
        <v>132638</v>
      </c>
      <c r="J492" s="732" t="s">
        <v>1331</v>
      </c>
      <c r="K492" s="732" t="s">
        <v>1332</v>
      </c>
      <c r="L492" s="735">
        <v>77.769999999999982</v>
      </c>
      <c r="M492" s="735">
        <v>2</v>
      </c>
      <c r="N492" s="736">
        <v>155.53999999999996</v>
      </c>
    </row>
    <row r="493" spans="1:14" ht="14.45" customHeight="1" x14ac:dyDescent="0.2">
      <c r="A493" s="730" t="s">
        <v>575</v>
      </c>
      <c r="B493" s="731" t="s">
        <v>576</v>
      </c>
      <c r="C493" s="732" t="s">
        <v>597</v>
      </c>
      <c r="D493" s="733" t="s">
        <v>598</v>
      </c>
      <c r="E493" s="734">
        <v>50113001</v>
      </c>
      <c r="F493" s="733" t="s">
        <v>609</v>
      </c>
      <c r="G493" s="732" t="s">
        <v>625</v>
      </c>
      <c r="H493" s="732">
        <v>237705</v>
      </c>
      <c r="I493" s="732">
        <v>237705</v>
      </c>
      <c r="J493" s="732" t="s">
        <v>1041</v>
      </c>
      <c r="K493" s="732" t="s">
        <v>1042</v>
      </c>
      <c r="L493" s="735">
        <v>81.099999999999994</v>
      </c>
      <c r="M493" s="735">
        <v>7</v>
      </c>
      <c r="N493" s="736">
        <v>567.69999999999993</v>
      </c>
    </row>
    <row r="494" spans="1:14" ht="14.45" customHeight="1" x14ac:dyDescent="0.2">
      <c r="A494" s="730" t="s">
        <v>575</v>
      </c>
      <c r="B494" s="731" t="s">
        <v>576</v>
      </c>
      <c r="C494" s="732" t="s">
        <v>597</v>
      </c>
      <c r="D494" s="733" t="s">
        <v>598</v>
      </c>
      <c r="E494" s="734">
        <v>50113001</v>
      </c>
      <c r="F494" s="733" t="s">
        <v>609</v>
      </c>
      <c r="G494" s="732" t="s">
        <v>610</v>
      </c>
      <c r="H494" s="732">
        <v>221884</v>
      </c>
      <c r="I494" s="732">
        <v>221884</v>
      </c>
      <c r="J494" s="732" t="s">
        <v>1333</v>
      </c>
      <c r="K494" s="732" t="s">
        <v>1334</v>
      </c>
      <c r="L494" s="735">
        <v>1980</v>
      </c>
      <c r="M494" s="735">
        <v>2</v>
      </c>
      <c r="N494" s="736">
        <v>3960</v>
      </c>
    </row>
    <row r="495" spans="1:14" ht="14.45" customHeight="1" x14ac:dyDescent="0.2">
      <c r="A495" s="730" t="s">
        <v>575</v>
      </c>
      <c r="B495" s="731" t="s">
        <v>576</v>
      </c>
      <c r="C495" s="732" t="s">
        <v>597</v>
      </c>
      <c r="D495" s="733" t="s">
        <v>598</v>
      </c>
      <c r="E495" s="734">
        <v>50113001</v>
      </c>
      <c r="F495" s="733" t="s">
        <v>609</v>
      </c>
      <c r="G495" s="732" t="s">
        <v>610</v>
      </c>
      <c r="H495" s="732">
        <v>184325</v>
      </c>
      <c r="I495" s="732">
        <v>84325</v>
      </c>
      <c r="J495" s="732" t="s">
        <v>1335</v>
      </c>
      <c r="K495" s="732" t="s">
        <v>1336</v>
      </c>
      <c r="L495" s="735">
        <v>76.65000000000002</v>
      </c>
      <c r="M495" s="735">
        <v>1</v>
      </c>
      <c r="N495" s="736">
        <v>76.65000000000002</v>
      </c>
    </row>
    <row r="496" spans="1:14" ht="14.45" customHeight="1" x14ac:dyDescent="0.2">
      <c r="A496" s="730" t="s">
        <v>575</v>
      </c>
      <c r="B496" s="731" t="s">
        <v>576</v>
      </c>
      <c r="C496" s="732" t="s">
        <v>597</v>
      </c>
      <c r="D496" s="733" t="s">
        <v>598</v>
      </c>
      <c r="E496" s="734">
        <v>50113001</v>
      </c>
      <c r="F496" s="733" t="s">
        <v>609</v>
      </c>
      <c r="G496" s="732" t="s">
        <v>625</v>
      </c>
      <c r="H496" s="732">
        <v>500570</v>
      </c>
      <c r="I496" s="732">
        <v>500570</v>
      </c>
      <c r="J496" s="732" t="s">
        <v>1337</v>
      </c>
      <c r="K496" s="732" t="s">
        <v>1338</v>
      </c>
      <c r="L496" s="735">
        <v>533.62000000000012</v>
      </c>
      <c r="M496" s="735">
        <v>1</v>
      </c>
      <c r="N496" s="736">
        <v>533.62000000000012</v>
      </c>
    </row>
    <row r="497" spans="1:14" ht="14.45" customHeight="1" x14ac:dyDescent="0.2">
      <c r="A497" s="730" t="s">
        <v>575</v>
      </c>
      <c r="B497" s="731" t="s">
        <v>576</v>
      </c>
      <c r="C497" s="732" t="s">
        <v>597</v>
      </c>
      <c r="D497" s="733" t="s">
        <v>598</v>
      </c>
      <c r="E497" s="734">
        <v>50113001</v>
      </c>
      <c r="F497" s="733" t="s">
        <v>609</v>
      </c>
      <c r="G497" s="732" t="s">
        <v>625</v>
      </c>
      <c r="H497" s="732">
        <v>105496</v>
      </c>
      <c r="I497" s="732">
        <v>5496</v>
      </c>
      <c r="J497" s="732" t="s">
        <v>1061</v>
      </c>
      <c r="K497" s="732" t="s">
        <v>1063</v>
      </c>
      <c r="L497" s="735">
        <v>75.185000000000002</v>
      </c>
      <c r="M497" s="735">
        <v>2</v>
      </c>
      <c r="N497" s="736">
        <v>150.37</v>
      </c>
    </row>
    <row r="498" spans="1:14" ht="14.45" customHeight="1" x14ac:dyDescent="0.2">
      <c r="A498" s="730" t="s">
        <v>575</v>
      </c>
      <c r="B498" s="731" t="s">
        <v>576</v>
      </c>
      <c r="C498" s="732" t="s">
        <v>597</v>
      </c>
      <c r="D498" s="733" t="s">
        <v>598</v>
      </c>
      <c r="E498" s="734">
        <v>50113001</v>
      </c>
      <c r="F498" s="733" t="s">
        <v>609</v>
      </c>
      <c r="G498" s="732" t="s">
        <v>625</v>
      </c>
      <c r="H498" s="732">
        <v>233360</v>
      </c>
      <c r="I498" s="732">
        <v>233360</v>
      </c>
      <c r="J498" s="732" t="s">
        <v>1066</v>
      </c>
      <c r="K498" s="732" t="s">
        <v>1339</v>
      </c>
      <c r="L498" s="735">
        <v>21.959999999999997</v>
      </c>
      <c r="M498" s="735">
        <v>3</v>
      </c>
      <c r="N498" s="736">
        <v>65.88</v>
      </c>
    </row>
    <row r="499" spans="1:14" ht="14.45" customHeight="1" x14ac:dyDescent="0.2">
      <c r="A499" s="730" t="s">
        <v>575</v>
      </c>
      <c r="B499" s="731" t="s">
        <v>576</v>
      </c>
      <c r="C499" s="732" t="s">
        <v>597</v>
      </c>
      <c r="D499" s="733" t="s">
        <v>598</v>
      </c>
      <c r="E499" s="734">
        <v>50113001</v>
      </c>
      <c r="F499" s="733" t="s">
        <v>609</v>
      </c>
      <c r="G499" s="732" t="s">
        <v>625</v>
      </c>
      <c r="H499" s="732">
        <v>233366</v>
      </c>
      <c r="I499" s="732">
        <v>233366</v>
      </c>
      <c r="J499" s="732" t="s">
        <v>1066</v>
      </c>
      <c r="K499" s="732" t="s">
        <v>1067</v>
      </c>
      <c r="L499" s="735">
        <v>45.22</v>
      </c>
      <c r="M499" s="735">
        <v>2</v>
      </c>
      <c r="N499" s="736">
        <v>90.44</v>
      </c>
    </row>
    <row r="500" spans="1:14" ht="14.45" customHeight="1" x14ac:dyDescent="0.2">
      <c r="A500" s="730" t="s">
        <v>575</v>
      </c>
      <c r="B500" s="731" t="s">
        <v>576</v>
      </c>
      <c r="C500" s="732" t="s">
        <v>597</v>
      </c>
      <c r="D500" s="733" t="s">
        <v>598</v>
      </c>
      <c r="E500" s="734">
        <v>50113001</v>
      </c>
      <c r="F500" s="733" t="s">
        <v>609</v>
      </c>
      <c r="G500" s="732" t="s">
        <v>625</v>
      </c>
      <c r="H500" s="732">
        <v>149483</v>
      </c>
      <c r="I500" s="732">
        <v>149483</v>
      </c>
      <c r="J500" s="732" t="s">
        <v>1068</v>
      </c>
      <c r="K500" s="732" t="s">
        <v>1070</v>
      </c>
      <c r="L500" s="735">
        <v>138.94999999999996</v>
      </c>
      <c r="M500" s="735">
        <v>1</v>
      </c>
      <c r="N500" s="736">
        <v>138.94999999999996</v>
      </c>
    </row>
    <row r="501" spans="1:14" ht="14.45" customHeight="1" x14ac:dyDescent="0.2">
      <c r="A501" s="730" t="s">
        <v>575</v>
      </c>
      <c r="B501" s="731" t="s">
        <v>576</v>
      </c>
      <c r="C501" s="732" t="s">
        <v>597</v>
      </c>
      <c r="D501" s="733" t="s">
        <v>598</v>
      </c>
      <c r="E501" s="734">
        <v>50113002</v>
      </c>
      <c r="F501" s="733" t="s">
        <v>1071</v>
      </c>
      <c r="G501" s="732" t="s">
        <v>610</v>
      </c>
      <c r="H501" s="732">
        <v>149415</v>
      </c>
      <c r="I501" s="732">
        <v>49415</v>
      </c>
      <c r="J501" s="732" t="s">
        <v>1340</v>
      </c>
      <c r="K501" s="732" t="s">
        <v>1341</v>
      </c>
      <c r="L501" s="735">
        <v>1728.25</v>
      </c>
      <c r="M501" s="735">
        <v>1</v>
      </c>
      <c r="N501" s="736">
        <v>1728.25</v>
      </c>
    </row>
    <row r="502" spans="1:14" ht="14.45" customHeight="1" x14ac:dyDescent="0.2">
      <c r="A502" s="730" t="s">
        <v>575</v>
      </c>
      <c r="B502" s="731" t="s">
        <v>576</v>
      </c>
      <c r="C502" s="732" t="s">
        <v>597</v>
      </c>
      <c r="D502" s="733" t="s">
        <v>598</v>
      </c>
      <c r="E502" s="734">
        <v>50113002</v>
      </c>
      <c r="F502" s="733" t="s">
        <v>1071</v>
      </c>
      <c r="G502" s="732" t="s">
        <v>610</v>
      </c>
      <c r="H502" s="732">
        <v>149409</v>
      </c>
      <c r="I502" s="732">
        <v>49409</v>
      </c>
      <c r="J502" s="732" t="s">
        <v>1342</v>
      </c>
      <c r="K502" s="732" t="s">
        <v>1341</v>
      </c>
      <c r="L502" s="735">
        <v>1366.6100000000004</v>
      </c>
      <c r="M502" s="735">
        <v>23</v>
      </c>
      <c r="N502" s="736">
        <v>31432.03000000001</v>
      </c>
    </row>
    <row r="503" spans="1:14" ht="14.45" customHeight="1" x14ac:dyDescent="0.2">
      <c r="A503" s="730" t="s">
        <v>575</v>
      </c>
      <c r="B503" s="731" t="s">
        <v>576</v>
      </c>
      <c r="C503" s="732" t="s">
        <v>597</v>
      </c>
      <c r="D503" s="733" t="s">
        <v>598</v>
      </c>
      <c r="E503" s="734">
        <v>50113002</v>
      </c>
      <c r="F503" s="733" t="s">
        <v>1071</v>
      </c>
      <c r="G503" s="732" t="s">
        <v>610</v>
      </c>
      <c r="H503" s="732">
        <v>142003</v>
      </c>
      <c r="I503" s="732">
        <v>142003</v>
      </c>
      <c r="J503" s="732" t="s">
        <v>1343</v>
      </c>
      <c r="K503" s="732" t="s">
        <v>1341</v>
      </c>
      <c r="L503" s="735">
        <v>3751.0000000000005</v>
      </c>
      <c r="M503" s="735">
        <v>2</v>
      </c>
      <c r="N503" s="736">
        <v>7502.0000000000009</v>
      </c>
    </row>
    <row r="504" spans="1:14" ht="14.45" customHeight="1" x14ac:dyDescent="0.2">
      <c r="A504" s="730" t="s">
        <v>575</v>
      </c>
      <c r="B504" s="731" t="s">
        <v>576</v>
      </c>
      <c r="C504" s="732" t="s">
        <v>597</v>
      </c>
      <c r="D504" s="733" t="s">
        <v>598</v>
      </c>
      <c r="E504" s="734">
        <v>50113002</v>
      </c>
      <c r="F504" s="733" t="s">
        <v>1071</v>
      </c>
      <c r="G504" s="732" t="s">
        <v>610</v>
      </c>
      <c r="H504" s="732">
        <v>213103</v>
      </c>
      <c r="I504" s="732">
        <v>213103</v>
      </c>
      <c r="J504" s="732" t="s">
        <v>1072</v>
      </c>
      <c r="K504" s="732" t="s">
        <v>1073</v>
      </c>
      <c r="L504" s="735">
        <v>3625.3700000000003</v>
      </c>
      <c r="M504" s="735">
        <v>13</v>
      </c>
      <c r="N504" s="736">
        <v>47129.810000000005</v>
      </c>
    </row>
    <row r="505" spans="1:14" ht="14.45" customHeight="1" x14ac:dyDescent="0.2">
      <c r="A505" s="730" t="s">
        <v>575</v>
      </c>
      <c r="B505" s="731" t="s">
        <v>576</v>
      </c>
      <c r="C505" s="732" t="s">
        <v>597</v>
      </c>
      <c r="D505" s="733" t="s">
        <v>598</v>
      </c>
      <c r="E505" s="734">
        <v>50113002</v>
      </c>
      <c r="F505" s="733" t="s">
        <v>1071</v>
      </c>
      <c r="G505" s="732" t="s">
        <v>610</v>
      </c>
      <c r="H505" s="732">
        <v>394774</v>
      </c>
      <c r="I505" s="732">
        <v>157118</v>
      </c>
      <c r="J505" s="732" t="s">
        <v>1344</v>
      </c>
      <c r="K505" s="732" t="s">
        <v>1345</v>
      </c>
      <c r="L505" s="735">
        <v>3141.6</v>
      </c>
      <c r="M505" s="735">
        <v>3</v>
      </c>
      <c r="N505" s="736">
        <v>9424.7999999999993</v>
      </c>
    </row>
    <row r="506" spans="1:14" ht="14.45" customHeight="1" x14ac:dyDescent="0.2">
      <c r="A506" s="730" t="s">
        <v>575</v>
      </c>
      <c r="B506" s="731" t="s">
        <v>576</v>
      </c>
      <c r="C506" s="732" t="s">
        <v>597</v>
      </c>
      <c r="D506" s="733" t="s">
        <v>598</v>
      </c>
      <c r="E506" s="734">
        <v>50113006</v>
      </c>
      <c r="F506" s="733" t="s">
        <v>1074</v>
      </c>
      <c r="G506" s="732" t="s">
        <v>625</v>
      </c>
      <c r="H506" s="732">
        <v>217108</v>
      </c>
      <c r="I506" s="732">
        <v>217108</v>
      </c>
      <c r="J506" s="732" t="s">
        <v>1346</v>
      </c>
      <c r="K506" s="732" t="s">
        <v>1080</v>
      </c>
      <c r="L506" s="735">
        <v>131.14999999999998</v>
      </c>
      <c r="M506" s="735">
        <v>1</v>
      </c>
      <c r="N506" s="736">
        <v>131.14999999999998</v>
      </c>
    </row>
    <row r="507" spans="1:14" ht="14.45" customHeight="1" x14ac:dyDescent="0.2">
      <c r="A507" s="730" t="s">
        <v>575</v>
      </c>
      <c r="B507" s="731" t="s">
        <v>576</v>
      </c>
      <c r="C507" s="732" t="s">
        <v>597</v>
      </c>
      <c r="D507" s="733" t="s">
        <v>598</v>
      </c>
      <c r="E507" s="734">
        <v>50113006</v>
      </c>
      <c r="F507" s="733" t="s">
        <v>1074</v>
      </c>
      <c r="G507" s="732" t="s">
        <v>625</v>
      </c>
      <c r="H507" s="732">
        <v>217110</v>
      </c>
      <c r="I507" s="732">
        <v>217110</v>
      </c>
      <c r="J507" s="732" t="s">
        <v>1347</v>
      </c>
      <c r="K507" s="732" t="s">
        <v>1080</v>
      </c>
      <c r="L507" s="735">
        <v>131.15</v>
      </c>
      <c r="M507" s="735">
        <v>1</v>
      </c>
      <c r="N507" s="736">
        <v>131.15</v>
      </c>
    </row>
    <row r="508" spans="1:14" ht="14.45" customHeight="1" x14ac:dyDescent="0.2">
      <c r="A508" s="730" t="s">
        <v>575</v>
      </c>
      <c r="B508" s="731" t="s">
        <v>576</v>
      </c>
      <c r="C508" s="732" t="s">
        <v>597</v>
      </c>
      <c r="D508" s="733" t="s">
        <v>598</v>
      </c>
      <c r="E508" s="734">
        <v>50113006</v>
      </c>
      <c r="F508" s="733" t="s">
        <v>1074</v>
      </c>
      <c r="G508" s="732" t="s">
        <v>625</v>
      </c>
      <c r="H508" s="732">
        <v>33833</v>
      </c>
      <c r="I508" s="732">
        <v>33833</v>
      </c>
      <c r="J508" s="732" t="s">
        <v>1348</v>
      </c>
      <c r="K508" s="732" t="s">
        <v>1080</v>
      </c>
      <c r="L508" s="735">
        <v>167.22</v>
      </c>
      <c r="M508" s="735">
        <v>7</v>
      </c>
      <c r="N508" s="736">
        <v>1170.54</v>
      </c>
    </row>
    <row r="509" spans="1:14" ht="14.45" customHeight="1" x14ac:dyDescent="0.2">
      <c r="A509" s="730" t="s">
        <v>575</v>
      </c>
      <c r="B509" s="731" t="s">
        <v>576</v>
      </c>
      <c r="C509" s="732" t="s">
        <v>597</v>
      </c>
      <c r="D509" s="733" t="s">
        <v>598</v>
      </c>
      <c r="E509" s="734">
        <v>50113006</v>
      </c>
      <c r="F509" s="733" t="s">
        <v>1074</v>
      </c>
      <c r="G509" s="732" t="s">
        <v>625</v>
      </c>
      <c r="H509" s="732">
        <v>133339</v>
      </c>
      <c r="I509" s="732">
        <v>33339</v>
      </c>
      <c r="J509" s="732" t="s">
        <v>1349</v>
      </c>
      <c r="K509" s="732" t="s">
        <v>1078</v>
      </c>
      <c r="L509" s="735">
        <v>41.8</v>
      </c>
      <c r="M509" s="735">
        <v>26</v>
      </c>
      <c r="N509" s="736">
        <v>1086.8</v>
      </c>
    </row>
    <row r="510" spans="1:14" ht="14.45" customHeight="1" x14ac:dyDescent="0.2">
      <c r="A510" s="730" t="s">
        <v>575</v>
      </c>
      <c r="B510" s="731" t="s">
        <v>576</v>
      </c>
      <c r="C510" s="732" t="s">
        <v>597</v>
      </c>
      <c r="D510" s="733" t="s">
        <v>598</v>
      </c>
      <c r="E510" s="734">
        <v>50113006</v>
      </c>
      <c r="F510" s="733" t="s">
        <v>1074</v>
      </c>
      <c r="G510" s="732" t="s">
        <v>610</v>
      </c>
      <c r="H510" s="732">
        <v>217088</v>
      </c>
      <c r="I510" s="732">
        <v>217088</v>
      </c>
      <c r="J510" s="732" t="s">
        <v>1350</v>
      </c>
      <c r="K510" s="732" t="s">
        <v>1080</v>
      </c>
      <c r="L510" s="735">
        <v>164.59000000000003</v>
      </c>
      <c r="M510" s="735">
        <v>2</v>
      </c>
      <c r="N510" s="736">
        <v>329.18000000000006</v>
      </c>
    </row>
    <row r="511" spans="1:14" ht="14.45" customHeight="1" x14ac:dyDescent="0.2">
      <c r="A511" s="730" t="s">
        <v>575</v>
      </c>
      <c r="B511" s="731" t="s">
        <v>576</v>
      </c>
      <c r="C511" s="732" t="s">
        <v>597</v>
      </c>
      <c r="D511" s="733" t="s">
        <v>598</v>
      </c>
      <c r="E511" s="734">
        <v>50113006</v>
      </c>
      <c r="F511" s="733" t="s">
        <v>1074</v>
      </c>
      <c r="G511" s="732" t="s">
        <v>625</v>
      </c>
      <c r="H511" s="732">
        <v>133340</v>
      </c>
      <c r="I511" s="732">
        <v>33340</v>
      </c>
      <c r="J511" s="732" t="s">
        <v>1350</v>
      </c>
      <c r="K511" s="732" t="s">
        <v>1078</v>
      </c>
      <c r="L511" s="735">
        <v>41.7</v>
      </c>
      <c r="M511" s="735">
        <v>26</v>
      </c>
      <c r="N511" s="736">
        <v>1084.2</v>
      </c>
    </row>
    <row r="512" spans="1:14" ht="14.45" customHeight="1" x14ac:dyDescent="0.2">
      <c r="A512" s="730" t="s">
        <v>575</v>
      </c>
      <c r="B512" s="731" t="s">
        <v>576</v>
      </c>
      <c r="C512" s="732" t="s">
        <v>597</v>
      </c>
      <c r="D512" s="733" t="s">
        <v>598</v>
      </c>
      <c r="E512" s="734">
        <v>50113006</v>
      </c>
      <c r="F512" s="733" t="s">
        <v>1074</v>
      </c>
      <c r="G512" s="732" t="s">
        <v>610</v>
      </c>
      <c r="H512" s="732">
        <v>502019</v>
      </c>
      <c r="I512" s="732">
        <v>0</v>
      </c>
      <c r="J512" s="732" t="s">
        <v>1351</v>
      </c>
      <c r="K512" s="732" t="s">
        <v>1352</v>
      </c>
      <c r="L512" s="735">
        <v>180.33166666666662</v>
      </c>
      <c r="M512" s="735">
        <v>12</v>
      </c>
      <c r="N512" s="736">
        <v>2163.9799999999996</v>
      </c>
    </row>
    <row r="513" spans="1:14" ht="14.45" customHeight="1" x14ac:dyDescent="0.2">
      <c r="A513" s="730" t="s">
        <v>575</v>
      </c>
      <c r="B513" s="731" t="s">
        <v>576</v>
      </c>
      <c r="C513" s="732" t="s">
        <v>597</v>
      </c>
      <c r="D513" s="733" t="s">
        <v>598</v>
      </c>
      <c r="E513" s="734">
        <v>50113006</v>
      </c>
      <c r="F513" s="733" t="s">
        <v>1074</v>
      </c>
      <c r="G513" s="732" t="s">
        <v>625</v>
      </c>
      <c r="H513" s="732">
        <v>33855</v>
      </c>
      <c r="I513" s="732">
        <v>33855</v>
      </c>
      <c r="J513" s="732" t="s">
        <v>1353</v>
      </c>
      <c r="K513" s="732" t="s">
        <v>1354</v>
      </c>
      <c r="L513" s="735">
        <v>183.15</v>
      </c>
      <c r="M513" s="735">
        <v>5</v>
      </c>
      <c r="N513" s="736">
        <v>915.75</v>
      </c>
    </row>
    <row r="514" spans="1:14" ht="14.45" customHeight="1" x14ac:dyDescent="0.2">
      <c r="A514" s="730" t="s">
        <v>575</v>
      </c>
      <c r="B514" s="731" t="s">
        <v>576</v>
      </c>
      <c r="C514" s="732" t="s">
        <v>597</v>
      </c>
      <c r="D514" s="733" t="s">
        <v>598</v>
      </c>
      <c r="E514" s="734">
        <v>50113006</v>
      </c>
      <c r="F514" s="733" t="s">
        <v>1074</v>
      </c>
      <c r="G514" s="732" t="s">
        <v>625</v>
      </c>
      <c r="H514" s="732">
        <v>33898</v>
      </c>
      <c r="I514" s="732">
        <v>33898</v>
      </c>
      <c r="J514" s="732" t="s">
        <v>1355</v>
      </c>
      <c r="K514" s="732" t="s">
        <v>1356</v>
      </c>
      <c r="L514" s="735">
        <v>138.54</v>
      </c>
      <c r="M514" s="735">
        <v>4</v>
      </c>
      <c r="N514" s="736">
        <v>554.16</v>
      </c>
    </row>
    <row r="515" spans="1:14" ht="14.45" customHeight="1" x14ac:dyDescent="0.2">
      <c r="A515" s="730" t="s">
        <v>575</v>
      </c>
      <c r="B515" s="731" t="s">
        <v>576</v>
      </c>
      <c r="C515" s="732" t="s">
        <v>597</v>
      </c>
      <c r="D515" s="733" t="s">
        <v>598</v>
      </c>
      <c r="E515" s="734">
        <v>50113006</v>
      </c>
      <c r="F515" s="733" t="s">
        <v>1074</v>
      </c>
      <c r="G515" s="732" t="s">
        <v>625</v>
      </c>
      <c r="H515" s="732">
        <v>33751</v>
      </c>
      <c r="I515" s="732">
        <v>33751</v>
      </c>
      <c r="J515" s="732" t="s">
        <v>1357</v>
      </c>
      <c r="K515" s="732" t="s">
        <v>1076</v>
      </c>
      <c r="L515" s="735">
        <v>96.55</v>
      </c>
      <c r="M515" s="735">
        <v>3</v>
      </c>
      <c r="N515" s="736">
        <v>289.64999999999998</v>
      </c>
    </row>
    <row r="516" spans="1:14" ht="14.45" customHeight="1" x14ac:dyDescent="0.2">
      <c r="A516" s="730" t="s">
        <v>575</v>
      </c>
      <c r="B516" s="731" t="s">
        <v>576</v>
      </c>
      <c r="C516" s="732" t="s">
        <v>597</v>
      </c>
      <c r="D516" s="733" t="s">
        <v>598</v>
      </c>
      <c r="E516" s="734">
        <v>50113006</v>
      </c>
      <c r="F516" s="733" t="s">
        <v>1074</v>
      </c>
      <c r="G516" s="732" t="s">
        <v>625</v>
      </c>
      <c r="H516" s="732">
        <v>33750</v>
      </c>
      <c r="I516" s="732">
        <v>33750</v>
      </c>
      <c r="J516" s="732" t="s">
        <v>1358</v>
      </c>
      <c r="K516" s="732" t="s">
        <v>1076</v>
      </c>
      <c r="L516" s="735">
        <v>96.55</v>
      </c>
      <c r="M516" s="735">
        <v>4</v>
      </c>
      <c r="N516" s="736">
        <v>386.2</v>
      </c>
    </row>
    <row r="517" spans="1:14" ht="14.45" customHeight="1" x14ac:dyDescent="0.2">
      <c r="A517" s="730" t="s">
        <v>575</v>
      </c>
      <c r="B517" s="731" t="s">
        <v>576</v>
      </c>
      <c r="C517" s="732" t="s">
        <v>597</v>
      </c>
      <c r="D517" s="733" t="s">
        <v>598</v>
      </c>
      <c r="E517" s="734">
        <v>50113006</v>
      </c>
      <c r="F517" s="733" t="s">
        <v>1074</v>
      </c>
      <c r="G517" s="732" t="s">
        <v>625</v>
      </c>
      <c r="H517" s="732">
        <v>33859</v>
      </c>
      <c r="I517" s="732">
        <v>33859</v>
      </c>
      <c r="J517" s="732" t="s">
        <v>1359</v>
      </c>
      <c r="K517" s="732" t="s">
        <v>1080</v>
      </c>
      <c r="L517" s="735">
        <v>141.41999999999999</v>
      </c>
      <c r="M517" s="735">
        <v>4</v>
      </c>
      <c r="N517" s="736">
        <v>565.67999999999995</v>
      </c>
    </row>
    <row r="518" spans="1:14" ht="14.45" customHeight="1" x14ac:dyDescent="0.2">
      <c r="A518" s="730" t="s">
        <v>575</v>
      </c>
      <c r="B518" s="731" t="s">
        <v>576</v>
      </c>
      <c r="C518" s="732" t="s">
        <v>597</v>
      </c>
      <c r="D518" s="733" t="s">
        <v>598</v>
      </c>
      <c r="E518" s="734">
        <v>50113006</v>
      </c>
      <c r="F518" s="733" t="s">
        <v>1074</v>
      </c>
      <c r="G518" s="732" t="s">
        <v>625</v>
      </c>
      <c r="H518" s="732">
        <v>33858</v>
      </c>
      <c r="I518" s="732">
        <v>33858</v>
      </c>
      <c r="J518" s="732" t="s">
        <v>1360</v>
      </c>
      <c r="K518" s="732" t="s">
        <v>1080</v>
      </c>
      <c r="L518" s="735">
        <v>141.41999999999999</v>
      </c>
      <c r="M518" s="735">
        <v>6</v>
      </c>
      <c r="N518" s="736">
        <v>848.51999999999987</v>
      </c>
    </row>
    <row r="519" spans="1:14" ht="14.45" customHeight="1" x14ac:dyDescent="0.2">
      <c r="A519" s="730" t="s">
        <v>575</v>
      </c>
      <c r="B519" s="731" t="s">
        <v>576</v>
      </c>
      <c r="C519" s="732" t="s">
        <v>597</v>
      </c>
      <c r="D519" s="733" t="s">
        <v>598</v>
      </c>
      <c r="E519" s="734">
        <v>50113006</v>
      </c>
      <c r="F519" s="733" t="s">
        <v>1074</v>
      </c>
      <c r="G519" s="732" t="s">
        <v>625</v>
      </c>
      <c r="H519" s="732">
        <v>33848</v>
      </c>
      <c r="I519" s="732">
        <v>33848</v>
      </c>
      <c r="J519" s="732" t="s">
        <v>1361</v>
      </c>
      <c r="K519" s="732" t="s">
        <v>1080</v>
      </c>
      <c r="L519" s="735">
        <v>125.36000000000001</v>
      </c>
      <c r="M519" s="735">
        <v>2</v>
      </c>
      <c r="N519" s="736">
        <v>250.72000000000003</v>
      </c>
    </row>
    <row r="520" spans="1:14" ht="14.45" customHeight="1" x14ac:dyDescent="0.2">
      <c r="A520" s="730" t="s">
        <v>575</v>
      </c>
      <c r="B520" s="731" t="s">
        <v>576</v>
      </c>
      <c r="C520" s="732" t="s">
        <v>597</v>
      </c>
      <c r="D520" s="733" t="s">
        <v>598</v>
      </c>
      <c r="E520" s="734">
        <v>50113006</v>
      </c>
      <c r="F520" s="733" t="s">
        <v>1074</v>
      </c>
      <c r="G520" s="732" t="s">
        <v>625</v>
      </c>
      <c r="H520" s="732">
        <v>33856</v>
      </c>
      <c r="I520" s="732">
        <v>33856</v>
      </c>
      <c r="J520" s="732" t="s">
        <v>1362</v>
      </c>
      <c r="K520" s="732" t="s">
        <v>1080</v>
      </c>
      <c r="L520" s="735">
        <v>132.79000000000002</v>
      </c>
      <c r="M520" s="735">
        <v>1</v>
      </c>
      <c r="N520" s="736">
        <v>132.79000000000002</v>
      </c>
    </row>
    <row r="521" spans="1:14" ht="14.45" customHeight="1" x14ac:dyDescent="0.2">
      <c r="A521" s="730" t="s">
        <v>575</v>
      </c>
      <c r="B521" s="731" t="s">
        <v>576</v>
      </c>
      <c r="C521" s="732" t="s">
        <v>597</v>
      </c>
      <c r="D521" s="733" t="s">
        <v>598</v>
      </c>
      <c r="E521" s="734">
        <v>50113006</v>
      </c>
      <c r="F521" s="733" t="s">
        <v>1074</v>
      </c>
      <c r="G521" s="732" t="s">
        <v>625</v>
      </c>
      <c r="H521" s="732">
        <v>33857</v>
      </c>
      <c r="I521" s="732">
        <v>33857</v>
      </c>
      <c r="J521" s="732" t="s">
        <v>1363</v>
      </c>
      <c r="K521" s="732" t="s">
        <v>1080</v>
      </c>
      <c r="L521" s="735">
        <v>132.79</v>
      </c>
      <c r="M521" s="735">
        <v>1</v>
      </c>
      <c r="N521" s="736">
        <v>132.79</v>
      </c>
    </row>
    <row r="522" spans="1:14" ht="14.45" customHeight="1" x14ac:dyDescent="0.2">
      <c r="A522" s="730" t="s">
        <v>575</v>
      </c>
      <c r="B522" s="731" t="s">
        <v>576</v>
      </c>
      <c r="C522" s="732" t="s">
        <v>597</v>
      </c>
      <c r="D522" s="733" t="s">
        <v>598</v>
      </c>
      <c r="E522" s="734">
        <v>50113006</v>
      </c>
      <c r="F522" s="733" t="s">
        <v>1074</v>
      </c>
      <c r="G522" s="732" t="s">
        <v>625</v>
      </c>
      <c r="H522" s="732">
        <v>33424</v>
      </c>
      <c r="I522" s="732">
        <v>33424</v>
      </c>
      <c r="J522" s="732" t="s">
        <v>1364</v>
      </c>
      <c r="K522" s="732" t="s">
        <v>1365</v>
      </c>
      <c r="L522" s="735">
        <v>324.61</v>
      </c>
      <c r="M522" s="735">
        <v>8</v>
      </c>
      <c r="N522" s="736">
        <v>2596.88</v>
      </c>
    </row>
    <row r="523" spans="1:14" ht="14.45" customHeight="1" x14ac:dyDescent="0.2">
      <c r="A523" s="730" t="s">
        <v>575</v>
      </c>
      <c r="B523" s="731" t="s">
        <v>576</v>
      </c>
      <c r="C523" s="732" t="s">
        <v>597</v>
      </c>
      <c r="D523" s="733" t="s">
        <v>598</v>
      </c>
      <c r="E523" s="734">
        <v>50113006</v>
      </c>
      <c r="F523" s="733" t="s">
        <v>1074</v>
      </c>
      <c r="G523" s="732" t="s">
        <v>625</v>
      </c>
      <c r="H523" s="732">
        <v>848250</v>
      </c>
      <c r="I523" s="732">
        <v>33423</v>
      </c>
      <c r="J523" s="732" t="s">
        <v>1366</v>
      </c>
      <c r="K523" s="732" t="s">
        <v>1367</v>
      </c>
      <c r="L523" s="735">
        <v>296.86999999999995</v>
      </c>
      <c r="M523" s="735">
        <v>7</v>
      </c>
      <c r="N523" s="736">
        <v>2078.0899999999997</v>
      </c>
    </row>
    <row r="524" spans="1:14" ht="14.45" customHeight="1" x14ac:dyDescent="0.2">
      <c r="A524" s="730" t="s">
        <v>575</v>
      </c>
      <c r="B524" s="731" t="s">
        <v>576</v>
      </c>
      <c r="C524" s="732" t="s">
        <v>597</v>
      </c>
      <c r="D524" s="733" t="s">
        <v>598</v>
      </c>
      <c r="E524" s="734">
        <v>50113006</v>
      </c>
      <c r="F524" s="733" t="s">
        <v>1074</v>
      </c>
      <c r="G524" s="732" t="s">
        <v>610</v>
      </c>
      <c r="H524" s="732">
        <v>994230</v>
      </c>
      <c r="I524" s="732">
        <v>0</v>
      </c>
      <c r="J524" s="732" t="s">
        <v>1368</v>
      </c>
      <c r="K524" s="732" t="s">
        <v>1369</v>
      </c>
      <c r="L524" s="735">
        <v>160.11000000000004</v>
      </c>
      <c r="M524" s="735">
        <v>28</v>
      </c>
      <c r="N524" s="736">
        <v>4483.0800000000008</v>
      </c>
    </row>
    <row r="525" spans="1:14" ht="14.45" customHeight="1" x14ac:dyDescent="0.2">
      <c r="A525" s="730" t="s">
        <v>575</v>
      </c>
      <c r="B525" s="731" t="s">
        <v>576</v>
      </c>
      <c r="C525" s="732" t="s">
        <v>597</v>
      </c>
      <c r="D525" s="733" t="s">
        <v>598</v>
      </c>
      <c r="E525" s="734">
        <v>50113006</v>
      </c>
      <c r="F525" s="733" t="s">
        <v>1074</v>
      </c>
      <c r="G525" s="732" t="s">
        <v>610</v>
      </c>
      <c r="H525" s="732">
        <v>841761</v>
      </c>
      <c r="I525" s="732">
        <v>0</v>
      </c>
      <c r="J525" s="732" t="s">
        <v>1081</v>
      </c>
      <c r="K525" s="732" t="s">
        <v>329</v>
      </c>
      <c r="L525" s="735">
        <v>137.25</v>
      </c>
      <c r="M525" s="735">
        <v>4</v>
      </c>
      <c r="N525" s="736">
        <v>549</v>
      </c>
    </row>
    <row r="526" spans="1:14" ht="14.45" customHeight="1" x14ac:dyDescent="0.2">
      <c r="A526" s="730" t="s">
        <v>575</v>
      </c>
      <c r="B526" s="731" t="s">
        <v>576</v>
      </c>
      <c r="C526" s="732" t="s">
        <v>597</v>
      </c>
      <c r="D526" s="733" t="s">
        <v>598</v>
      </c>
      <c r="E526" s="734">
        <v>50113008</v>
      </c>
      <c r="F526" s="733" t="s">
        <v>1370</v>
      </c>
      <c r="G526" s="732"/>
      <c r="H526" s="732"/>
      <c r="I526" s="732">
        <v>230458</v>
      </c>
      <c r="J526" s="732" t="s">
        <v>1371</v>
      </c>
      <c r="K526" s="732" t="s">
        <v>1372</v>
      </c>
      <c r="L526" s="735">
        <v>2168.56005859375</v>
      </c>
      <c r="M526" s="735">
        <v>29</v>
      </c>
      <c r="N526" s="736">
        <v>62888.24169921875</v>
      </c>
    </row>
    <row r="527" spans="1:14" ht="14.45" customHeight="1" x14ac:dyDescent="0.2">
      <c r="A527" s="730" t="s">
        <v>575</v>
      </c>
      <c r="B527" s="731" t="s">
        <v>576</v>
      </c>
      <c r="C527" s="732" t="s">
        <v>597</v>
      </c>
      <c r="D527" s="733" t="s">
        <v>598</v>
      </c>
      <c r="E527" s="734">
        <v>50113008</v>
      </c>
      <c r="F527" s="733" t="s">
        <v>1370</v>
      </c>
      <c r="G527" s="732"/>
      <c r="H527" s="732"/>
      <c r="I527" s="732">
        <v>62465</v>
      </c>
      <c r="J527" s="732" t="s">
        <v>1373</v>
      </c>
      <c r="K527" s="732" t="s">
        <v>1374</v>
      </c>
      <c r="L527" s="735">
        <v>17457.19921875</v>
      </c>
      <c r="M527" s="735">
        <v>1</v>
      </c>
      <c r="N527" s="736">
        <v>17457.19921875</v>
      </c>
    </row>
    <row r="528" spans="1:14" ht="14.45" customHeight="1" x14ac:dyDescent="0.2">
      <c r="A528" s="730" t="s">
        <v>575</v>
      </c>
      <c r="B528" s="731" t="s">
        <v>576</v>
      </c>
      <c r="C528" s="732" t="s">
        <v>597</v>
      </c>
      <c r="D528" s="733" t="s">
        <v>598</v>
      </c>
      <c r="E528" s="734">
        <v>50113008</v>
      </c>
      <c r="F528" s="733" t="s">
        <v>1370</v>
      </c>
      <c r="G528" s="732"/>
      <c r="H528" s="732"/>
      <c r="I528" s="732">
        <v>62464</v>
      </c>
      <c r="J528" s="732" t="s">
        <v>1373</v>
      </c>
      <c r="K528" s="732" t="s">
        <v>1375</v>
      </c>
      <c r="L528" s="735">
        <v>9157.8381911057695</v>
      </c>
      <c r="M528" s="735">
        <v>39</v>
      </c>
      <c r="N528" s="736">
        <v>357155.689453125</v>
      </c>
    </row>
    <row r="529" spans="1:14" ht="14.45" customHeight="1" x14ac:dyDescent="0.2">
      <c r="A529" s="730" t="s">
        <v>575</v>
      </c>
      <c r="B529" s="731" t="s">
        <v>576</v>
      </c>
      <c r="C529" s="732" t="s">
        <v>597</v>
      </c>
      <c r="D529" s="733" t="s">
        <v>598</v>
      </c>
      <c r="E529" s="734">
        <v>50113008</v>
      </c>
      <c r="F529" s="733" t="s">
        <v>1370</v>
      </c>
      <c r="G529" s="732"/>
      <c r="H529" s="732"/>
      <c r="I529" s="732">
        <v>205966</v>
      </c>
      <c r="J529" s="732" t="s">
        <v>1376</v>
      </c>
      <c r="K529" s="732" t="s">
        <v>1086</v>
      </c>
      <c r="L529" s="735">
        <v>912.989990234375</v>
      </c>
      <c r="M529" s="735">
        <v>4</v>
      </c>
      <c r="N529" s="736">
        <v>3651.9599609375</v>
      </c>
    </row>
    <row r="530" spans="1:14" ht="14.45" customHeight="1" x14ac:dyDescent="0.2">
      <c r="A530" s="730" t="s">
        <v>575</v>
      </c>
      <c r="B530" s="731" t="s">
        <v>576</v>
      </c>
      <c r="C530" s="732" t="s">
        <v>597</v>
      </c>
      <c r="D530" s="733" t="s">
        <v>598</v>
      </c>
      <c r="E530" s="734">
        <v>50113008</v>
      </c>
      <c r="F530" s="733" t="s">
        <v>1370</v>
      </c>
      <c r="G530" s="732"/>
      <c r="H530" s="732"/>
      <c r="I530" s="732">
        <v>230686</v>
      </c>
      <c r="J530" s="732" t="s">
        <v>1377</v>
      </c>
      <c r="K530" s="732" t="s">
        <v>1378</v>
      </c>
      <c r="L530" s="735">
        <v>8610.7998046875</v>
      </c>
      <c r="M530" s="735">
        <v>11</v>
      </c>
      <c r="N530" s="736">
        <v>94718.7978515625</v>
      </c>
    </row>
    <row r="531" spans="1:14" ht="14.45" customHeight="1" x14ac:dyDescent="0.2">
      <c r="A531" s="730" t="s">
        <v>575</v>
      </c>
      <c r="B531" s="731" t="s">
        <v>576</v>
      </c>
      <c r="C531" s="732" t="s">
        <v>597</v>
      </c>
      <c r="D531" s="733" t="s">
        <v>598</v>
      </c>
      <c r="E531" s="734">
        <v>50113008</v>
      </c>
      <c r="F531" s="733" t="s">
        <v>1370</v>
      </c>
      <c r="G531" s="732"/>
      <c r="H531" s="732"/>
      <c r="I531" s="732">
        <v>230687</v>
      </c>
      <c r="J531" s="732" t="s">
        <v>1377</v>
      </c>
      <c r="K531" s="732" t="s">
        <v>1379</v>
      </c>
      <c r="L531" s="735">
        <v>4305.39990234375</v>
      </c>
      <c r="M531" s="735">
        <v>19</v>
      </c>
      <c r="N531" s="736">
        <v>81802.59814453125</v>
      </c>
    </row>
    <row r="532" spans="1:14" ht="14.45" customHeight="1" x14ac:dyDescent="0.2">
      <c r="A532" s="730" t="s">
        <v>575</v>
      </c>
      <c r="B532" s="731" t="s">
        <v>576</v>
      </c>
      <c r="C532" s="732" t="s">
        <v>597</v>
      </c>
      <c r="D532" s="733" t="s">
        <v>598</v>
      </c>
      <c r="E532" s="734">
        <v>50113011</v>
      </c>
      <c r="F532" s="733" t="s">
        <v>1084</v>
      </c>
      <c r="G532" s="732"/>
      <c r="H532" s="732"/>
      <c r="I532" s="732">
        <v>158152</v>
      </c>
      <c r="J532" s="732" t="s">
        <v>1085</v>
      </c>
      <c r="K532" s="732" t="s">
        <v>1086</v>
      </c>
      <c r="L532" s="735">
        <v>912.99000352093958</v>
      </c>
      <c r="M532" s="735">
        <v>147</v>
      </c>
      <c r="N532" s="736">
        <v>134209.53051757813</v>
      </c>
    </row>
    <row r="533" spans="1:14" ht="14.45" customHeight="1" x14ac:dyDescent="0.2">
      <c r="A533" s="730" t="s">
        <v>575</v>
      </c>
      <c r="B533" s="731" t="s">
        <v>576</v>
      </c>
      <c r="C533" s="732" t="s">
        <v>597</v>
      </c>
      <c r="D533" s="733" t="s">
        <v>598</v>
      </c>
      <c r="E533" s="734">
        <v>50113013</v>
      </c>
      <c r="F533" s="733" t="s">
        <v>1087</v>
      </c>
      <c r="G533" s="732" t="s">
        <v>625</v>
      </c>
      <c r="H533" s="732">
        <v>195147</v>
      </c>
      <c r="I533" s="732">
        <v>195147</v>
      </c>
      <c r="J533" s="732" t="s">
        <v>1380</v>
      </c>
      <c r="K533" s="732" t="s">
        <v>1381</v>
      </c>
      <c r="L533" s="735">
        <v>544.39</v>
      </c>
      <c r="M533" s="735">
        <v>1</v>
      </c>
      <c r="N533" s="736">
        <v>544.39</v>
      </c>
    </row>
    <row r="534" spans="1:14" ht="14.45" customHeight="1" x14ac:dyDescent="0.2">
      <c r="A534" s="730" t="s">
        <v>575</v>
      </c>
      <c r="B534" s="731" t="s">
        <v>576</v>
      </c>
      <c r="C534" s="732" t="s">
        <v>597</v>
      </c>
      <c r="D534" s="733" t="s">
        <v>598</v>
      </c>
      <c r="E534" s="734">
        <v>50113013</v>
      </c>
      <c r="F534" s="733" t="s">
        <v>1087</v>
      </c>
      <c r="G534" s="732" t="s">
        <v>610</v>
      </c>
      <c r="H534" s="732">
        <v>201961</v>
      </c>
      <c r="I534" s="732">
        <v>201961</v>
      </c>
      <c r="J534" s="732" t="s">
        <v>1092</v>
      </c>
      <c r="K534" s="732" t="s">
        <v>1093</v>
      </c>
      <c r="L534" s="735">
        <v>319.64999999999998</v>
      </c>
      <c r="M534" s="735">
        <v>2</v>
      </c>
      <c r="N534" s="736">
        <v>639.29999999999995</v>
      </c>
    </row>
    <row r="535" spans="1:14" ht="14.45" customHeight="1" x14ac:dyDescent="0.2">
      <c r="A535" s="730" t="s">
        <v>575</v>
      </c>
      <c r="B535" s="731" t="s">
        <v>576</v>
      </c>
      <c r="C535" s="732" t="s">
        <v>597</v>
      </c>
      <c r="D535" s="733" t="s">
        <v>598</v>
      </c>
      <c r="E535" s="734">
        <v>50113013</v>
      </c>
      <c r="F535" s="733" t="s">
        <v>1087</v>
      </c>
      <c r="G535" s="732" t="s">
        <v>610</v>
      </c>
      <c r="H535" s="732">
        <v>136083</v>
      </c>
      <c r="I535" s="732">
        <v>136083</v>
      </c>
      <c r="J535" s="732" t="s">
        <v>1094</v>
      </c>
      <c r="K535" s="732" t="s">
        <v>1095</v>
      </c>
      <c r="L535" s="735">
        <v>457.75095238095236</v>
      </c>
      <c r="M535" s="735">
        <v>12.599999999999998</v>
      </c>
      <c r="N535" s="736">
        <v>5767.6619999999984</v>
      </c>
    </row>
    <row r="536" spans="1:14" ht="14.45" customHeight="1" x14ac:dyDescent="0.2">
      <c r="A536" s="730" t="s">
        <v>575</v>
      </c>
      <c r="B536" s="731" t="s">
        <v>576</v>
      </c>
      <c r="C536" s="732" t="s">
        <v>597</v>
      </c>
      <c r="D536" s="733" t="s">
        <v>598</v>
      </c>
      <c r="E536" s="734">
        <v>50113013</v>
      </c>
      <c r="F536" s="733" t="s">
        <v>1087</v>
      </c>
      <c r="G536" s="732" t="s">
        <v>610</v>
      </c>
      <c r="H536" s="732">
        <v>498791</v>
      </c>
      <c r="I536" s="732">
        <v>9999999</v>
      </c>
      <c r="J536" s="732" t="s">
        <v>1096</v>
      </c>
      <c r="K536" s="732" t="s">
        <v>1097</v>
      </c>
      <c r="L536" s="735">
        <v>1316.8649999999989</v>
      </c>
      <c r="M536" s="735">
        <v>9.2400000000000055</v>
      </c>
      <c r="N536" s="736">
        <v>12167.832599999998</v>
      </c>
    </row>
    <row r="537" spans="1:14" ht="14.45" customHeight="1" x14ac:dyDescent="0.2">
      <c r="A537" s="730" t="s">
        <v>575</v>
      </c>
      <c r="B537" s="731" t="s">
        <v>576</v>
      </c>
      <c r="C537" s="732" t="s">
        <v>597</v>
      </c>
      <c r="D537" s="733" t="s">
        <v>598</v>
      </c>
      <c r="E537" s="734">
        <v>50113013</v>
      </c>
      <c r="F537" s="733" t="s">
        <v>1087</v>
      </c>
      <c r="G537" s="732" t="s">
        <v>625</v>
      </c>
      <c r="H537" s="732">
        <v>164831</v>
      </c>
      <c r="I537" s="732">
        <v>64831</v>
      </c>
      <c r="J537" s="732" t="s">
        <v>1098</v>
      </c>
      <c r="K537" s="732" t="s">
        <v>1099</v>
      </c>
      <c r="L537" s="735">
        <v>196.02</v>
      </c>
      <c r="M537" s="735">
        <v>1.5</v>
      </c>
      <c r="N537" s="736">
        <v>294.03000000000003</v>
      </c>
    </row>
    <row r="538" spans="1:14" ht="14.45" customHeight="1" x14ac:dyDescent="0.2">
      <c r="A538" s="730" t="s">
        <v>575</v>
      </c>
      <c r="B538" s="731" t="s">
        <v>576</v>
      </c>
      <c r="C538" s="732" t="s">
        <v>597</v>
      </c>
      <c r="D538" s="733" t="s">
        <v>598</v>
      </c>
      <c r="E538" s="734">
        <v>50113013</v>
      </c>
      <c r="F538" s="733" t="s">
        <v>1087</v>
      </c>
      <c r="G538" s="732" t="s">
        <v>610</v>
      </c>
      <c r="H538" s="732">
        <v>183926</v>
      </c>
      <c r="I538" s="732">
        <v>183926</v>
      </c>
      <c r="J538" s="732" t="s">
        <v>1100</v>
      </c>
      <c r="K538" s="732" t="s">
        <v>1101</v>
      </c>
      <c r="L538" s="735">
        <v>129.53153191489361</v>
      </c>
      <c r="M538" s="735">
        <v>23.500000000000014</v>
      </c>
      <c r="N538" s="736">
        <v>3043.9910000000013</v>
      </c>
    </row>
    <row r="539" spans="1:14" ht="14.45" customHeight="1" x14ac:dyDescent="0.2">
      <c r="A539" s="730" t="s">
        <v>575</v>
      </c>
      <c r="B539" s="731" t="s">
        <v>576</v>
      </c>
      <c r="C539" s="732" t="s">
        <v>597</v>
      </c>
      <c r="D539" s="733" t="s">
        <v>598</v>
      </c>
      <c r="E539" s="734">
        <v>50113013</v>
      </c>
      <c r="F539" s="733" t="s">
        <v>1087</v>
      </c>
      <c r="G539" s="732" t="s">
        <v>625</v>
      </c>
      <c r="H539" s="732">
        <v>145010</v>
      </c>
      <c r="I539" s="732">
        <v>45010</v>
      </c>
      <c r="J539" s="732" t="s">
        <v>1382</v>
      </c>
      <c r="K539" s="732" t="s">
        <v>1383</v>
      </c>
      <c r="L539" s="735">
        <v>41.715714285714284</v>
      </c>
      <c r="M539" s="735">
        <v>7</v>
      </c>
      <c r="N539" s="736">
        <v>292.01</v>
      </c>
    </row>
    <row r="540" spans="1:14" ht="14.45" customHeight="1" x14ac:dyDescent="0.2">
      <c r="A540" s="730" t="s">
        <v>575</v>
      </c>
      <c r="B540" s="731" t="s">
        <v>576</v>
      </c>
      <c r="C540" s="732" t="s">
        <v>597</v>
      </c>
      <c r="D540" s="733" t="s">
        <v>598</v>
      </c>
      <c r="E540" s="734">
        <v>50113013</v>
      </c>
      <c r="F540" s="733" t="s">
        <v>1087</v>
      </c>
      <c r="G540" s="732" t="s">
        <v>610</v>
      </c>
      <c r="H540" s="732">
        <v>111706</v>
      </c>
      <c r="I540" s="732">
        <v>11706</v>
      </c>
      <c r="J540" s="732" t="s">
        <v>1384</v>
      </c>
      <c r="K540" s="732" t="s">
        <v>1385</v>
      </c>
      <c r="L540" s="735">
        <v>524.04</v>
      </c>
      <c r="M540" s="735">
        <v>10</v>
      </c>
      <c r="N540" s="736">
        <v>5240.3999999999996</v>
      </c>
    </row>
    <row r="541" spans="1:14" ht="14.45" customHeight="1" x14ac:dyDescent="0.2">
      <c r="A541" s="730" t="s">
        <v>575</v>
      </c>
      <c r="B541" s="731" t="s">
        <v>576</v>
      </c>
      <c r="C541" s="732" t="s">
        <v>597</v>
      </c>
      <c r="D541" s="733" t="s">
        <v>598</v>
      </c>
      <c r="E541" s="734">
        <v>50113013</v>
      </c>
      <c r="F541" s="733" t="s">
        <v>1087</v>
      </c>
      <c r="G541" s="732" t="s">
        <v>610</v>
      </c>
      <c r="H541" s="732">
        <v>131656</v>
      </c>
      <c r="I541" s="732">
        <v>131656</v>
      </c>
      <c r="J541" s="732" t="s">
        <v>1104</v>
      </c>
      <c r="K541" s="732" t="s">
        <v>1105</v>
      </c>
      <c r="L541" s="735">
        <v>517</v>
      </c>
      <c r="M541" s="735">
        <v>1</v>
      </c>
      <c r="N541" s="736">
        <v>517</v>
      </c>
    </row>
    <row r="542" spans="1:14" ht="14.45" customHeight="1" x14ac:dyDescent="0.2">
      <c r="A542" s="730" t="s">
        <v>575</v>
      </c>
      <c r="B542" s="731" t="s">
        <v>576</v>
      </c>
      <c r="C542" s="732" t="s">
        <v>597</v>
      </c>
      <c r="D542" s="733" t="s">
        <v>598</v>
      </c>
      <c r="E542" s="734">
        <v>50113013</v>
      </c>
      <c r="F542" s="733" t="s">
        <v>1087</v>
      </c>
      <c r="G542" s="732" t="s">
        <v>329</v>
      </c>
      <c r="H542" s="732">
        <v>121240</v>
      </c>
      <c r="I542" s="732">
        <v>121240</v>
      </c>
      <c r="J542" s="732" t="s">
        <v>1106</v>
      </c>
      <c r="K542" s="732" t="s">
        <v>1107</v>
      </c>
      <c r="L542" s="735">
        <v>374</v>
      </c>
      <c r="M542" s="735">
        <v>1</v>
      </c>
      <c r="N542" s="736">
        <v>374</v>
      </c>
    </row>
    <row r="543" spans="1:14" ht="14.45" customHeight="1" x14ac:dyDescent="0.2">
      <c r="A543" s="730" t="s">
        <v>575</v>
      </c>
      <c r="B543" s="731" t="s">
        <v>576</v>
      </c>
      <c r="C543" s="732" t="s">
        <v>597</v>
      </c>
      <c r="D543" s="733" t="s">
        <v>598</v>
      </c>
      <c r="E543" s="734">
        <v>50113013</v>
      </c>
      <c r="F543" s="733" t="s">
        <v>1087</v>
      </c>
      <c r="G543" s="732" t="s">
        <v>610</v>
      </c>
      <c r="H543" s="732">
        <v>162180</v>
      </c>
      <c r="I543" s="732">
        <v>162180</v>
      </c>
      <c r="J543" s="732" t="s">
        <v>1108</v>
      </c>
      <c r="K543" s="732" t="s">
        <v>1109</v>
      </c>
      <c r="L543" s="735">
        <v>341</v>
      </c>
      <c r="M543" s="735">
        <v>0.6</v>
      </c>
      <c r="N543" s="736">
        <v>204.6</v>
      </c>
    </row>
    <row r="544" spans="1:14" ht="14.45" customHeight="1" x14ac:dyDescent="0.2">
      <c r="A544" s="730" t="s">
        <v>575</v>
      </c>
      <c r="B544" s="731" t="s">
        <v>576</v>
      </c>
      <c r="C544" s="732" t="s">
        <v>597</v>
      </c>
      <c r="D544" s="733" t="s">
        <v>598</v>
      </c>
      <c r="E544" s="734">
        <v>50113013</v>
      </c>
      <c r="F544" s="733" t="s">
        <v>1087</v>
      </c>
      <c r="G544" s="732" t="s">
        <v>610</v>
      </c>
      <c r="H544" s="732">
        <v>162187</v>
      </c>
      <c r="I544" s="732">
        <v>162187</v>
      </c>
      <c r="J544" s="732" t="s">
        <v>1110</v>
      </c>
      <c r="K544" s="732" t="s">
        <v>1111</v>
      </c>
      <c r="L544" s="735">
        <v>705.28936170212762</v>
      </c>
      <c r="M544" s="735">
        <v>4.7</v>
      </c>
      <c r="N544" s="736">
        <v>3314.86</v>
      </c>
    </row>
    <row r="545" spans="1:14" ht="14.45" customHeight="1" x14ac:dyDescent="0.2">
      <c r="A545" s="730" t="s">
        <v>575</v>
      </c>
      <c r="B545" s="731" t="s">
        <v>576</v>
      </c>
      <c r="C545" s="732" t="s">
        <v>597</v>
      </c>
      <c r="D545" s="733" t="s">
        <v>598</v>
      </c>
      <c r="E545" s="734">
        <v>50113013</v>
      </c>
      <c r="F545" s="733" t="s">
        <v>1087</v>
      </c>
      <c r="G545" s="732" t="s">
        <v>610</v>
      </c>
      <c r="H545" s="732">
        <v>218400</v>
      </c>
      <c r="I545" s="732">
        <v>218400</v>
      </c>
      <c r="J545" s="732" t="s">
        <v>1386</v>
      </c>
      <c r="K545" s="732" t="s">
        <v>1387</v>
      </c>
      <c r="L545" s="735">
        <v>686.48400000000004</v>
      </c>
      <c r="M545" s="735">
        <v>5</v>
      </c>
      <c r="N545" s="736">
        <v>3432.42</v>
      </c>
    </row>
    <row r="546" spans="1:14" ht="14.45" customHeight="1" x14ac:dyDescent="0.2">
      <c r="A546" s="730" t="s">
        <v>575</v>
      </c>
      <c r="B546" s="731" t="s">
        <v>576</v>
      </c>
      <c r="C546" s="732" t="s">
        <v>597</v>
      </c>
      <c r="D546" s="733" t="s">
        <v>598</v>
      </c>
      <c r="E546" s="734">
        <v>50113013</v>
      </c>
      <c r="F546" s="733" t="s">
        <v>1087</v>
      </c>
      <c r="G546" s="732" t="s">
        <v>610</v>
      </c>
      <c r="H546" s="732">
        <v>207280</v>
      </c>
      <c r="I546" s="732">
        <v>207280</v>
      </c>
      <c r="J546" s="732" t="s">
        <v>1117</v>
      </c>
      <c r="K546" s="732" t="s">
        <v>1118</v>
      </c>
      <c r="L546" s="735">
        <v>129.86000000000001</v>
      </c>
      <c r="M546" s="735">
        <v>2</v>
      </c>
      <c r="N546" s="736">
        <v>259.72000000000003</v>
      </c>
    </row>
    <row r="547" spans="1:14" ht="14.45" customHeight="1" x14ac:dyDescent="0.2">
      <c r="A547" s="730" t="s">
        <v>575</v>
      </c>
      <c r="B547" s="731" t="s">
        <v>576</v>
      </c>
      <c r="C547" s="732" t="s">
        <v>597</v>
      </c>
      <c r="D547" s="733" t="s">
        <v>598</v>
      </c>
      <c r="E547" s="734">
        <v>50113013</v>
      </c>
      <c r="F547" s="733" t="s">
        <v>1087</v>
      </c>
      <c r="G547" s="732" t="s">
        <v>610</v>
      </c>
      <c r="H547" s="732">
        <v>208820</v>
      </c>
      <c r="I547" s="732">
        <v>208820</v>
      </c>
      <c r="J547" s="732" t="s">
        <v>1388</v>
      </c>
      <c r="K547" s="732" t="s">
        <v>1389</v>
      </c>
      <c r="L547" s="735">
        <v>1932.7599999999998</v>
      </c>
      <c r="M547" s="735">
        <v>2</v>
      </c>
      <c r="N547" s="736">
        <v>3865.5199999999995</v>
      </c>
    </row>
    <row r="548" spans="1:14" ht="14.45" customHeight="1" x14ac:dyDescent="0.2">
      <c r="A548" s="730" t="s">
        <v>575</v>
      </c>
      <c r="B548" s="731" t="s">
        <v>576</v>
      </c>
      <c r="C548" s="732" t="s">
        <v>597</v>
      </c>
      <c r="D548" s="733" t="s">
        <v>598</v>
      </c>
      <c r="E548" s="734">
        <v>50113013</v>
      </c>
      <c r="F548" s="733" t="s">
        <v>1087</v>
      </c>
      <c r="G548" s="732" t="s">
        <v>610</v>
      </c>
      <c r="H548" s="732">
        <v>847476</v>
      </c>
      <c r="I548" s="732">
        <v>112782</v>
      </c>
      <c r="J548" s="732" t="s">
        <v>1119</v>
      </c>
      <c r="K548" s="732" t="s">
        <v>1120</v>
      </c>
      <c r="L548" s="735">
        <v>728.75</v>
      </c>
      <c r="M548" s="735">
        <v>0.5</v>
      </c>
      <c r="N548" s="736">
        <v>364.375</v>
      </c>
    </row>
    <row r="549" spans="1:14" ht="14.45" customHeight="1" x14ac:dyDescent="0.2">
      <c r="A549" s="730" t="s">
        <v>575</v>
      </c>
      <c r="B549" s="731" t="s">
        <v>576</v>
      </c>
      <c r="C549" s="732" t="s">
        <v>597</v>
      </c>
      <c r="D549" s="733" t="s">
        <v>598</v>
      </c>
      <c r="E549" s="734">
        <v>50113013</v>
      </c>
      <c r="F549" s="733" t="s">
        <v>1087</v>
      </c>
      <c r="G549" s="732" t="s">
        <v>610</v>
      </c>
      <c r="H549" s="732">
        <v>394618</v>
      </c>
      <c r="I549" s="732">
        <v>112786</v>
      </c>
      <c r="J549" s="732" t="s">
        <v>1121</v>
      </c>
      <c r="K549" s="732" t="s">
        <v>1122</v>
      </c>
      <c r="L549" s="735">
        <v>328.87800000000004</v>
      </c>
      <c r="M549" s="735">
        <v>0.5</v>
      </c>
      <c r="N549" s="736">
        <v>164.43900000000002</v>
      </c>
    </row>
    <row r="550" spans="1:14" ht="14.45" customHeight="1" x14ac:dyDescent="0.2">
      <c r="A550" s="730" t="s">
        <v>575</v>
      </c>
      <c r="B550" s="731" t="s">
        <v>576</v>
      </c>
      <c r="C550" s="732" t="s">
        <v>597</v>
      </c>
      <c r="D550" s="733" t="s">
        <v>598</v>
      </c>
      <c r="E550" s="734">
        <v>50113013</v>
      </c>
      <c r="F550" s="733" t="s">
        <v>1087</v>
      </c>
      <c r="G550" s="732" t="s">
        <v>610</v>
      </c>
      <c r="H550" s="732">
        <v>235812</v>
      </c>
      <c r="I550" s="732">
        <v>235812</v>
      </c>
      <c r="J550" s="732" t="s">
        <v>1390</v>
      </c>
      <c r="K550" s="732" t="s">
        <v>1207</v>
      </c>
      <c r="L550" s="735">
        <v>248.45999999999998</v>
      </c>
      <c r="M550" s="735">
        <v>49</v>
      </c>
      <c r="N550" s="736">
        <v>12174.539999999999</v>
      </c>
    </row>
    <row r="551" spans="1:14" ht="14.45" customHeight="1" x14ac:dyDescent="0.2">
      <c r="A551" s="730" t="s">
        <v>575</v>
      </c>
      <c r="B551" s="731" t="s">
        <v>576</v>
      </c>
      <c r="C551" s="732" t="s">
        <v>597</v>
      </c>
      <c r="D551" s="733" t="s">
        <v>598</v>
      </c>
      <c r="E551" s="734">
        <v>50113013</v>
      </c>
      <c r="F551" s="733" t="s">
        <v>1087</v>
      </c>
      <c r="G551" s="732" t="s">
        <v>610</v>
      </c>
      <c r="H551" s="732">
        <v>216199</v>
      </c>
      <c r="I551" s="732">
        <v>216199</v>
      </c>
      <c r="J551" s="732" t="s">
        <v>884</v>
      </c>
      <c r="K551" s="732" t="s">
        <v>885</v>
      </c>
      <c r="L551" s="735">
        <v>86.66</v>
      </c>
      <c r="M551" s="735">
        <v>1</v>
      </c>
      <c r="N551" s="736">
        <v>86.66</v>
      </c>
    </row>
    <row r="552" spans="1:14" ht="14.45" customHeight="1" x14ac:dyDescent="0.2">
      <c r="A552" s="730" t="s">
        <v>575</v>
      </c>
      <c r="B552" s="731" t="s">
        <v>576</v>
      </c>
      <c r="C552" s="732" t="s">
        <v>597</v>
      </c>
      <c r="D552" s="733" t="s">
        <v>598</v>
      </c>
      <c r="E552" s="734">
        <v>50113013</v>
      </c>
      <c r="F552" s="733" t="s">
        <v>1087</v>
      </c>
      <c r="G552" s="732" t="s">
        <v>610</v>
      </c>
      <c r="H552" s="732">
        <v>192490</v>
      </c>
      <c r="I552" s="732">
        <v>92490</v>
      </c>
      <c r="J552" s="732" t="s">
        <v>1391</v>
      </c>
      <c r="K552" s="732" t="s">
        <v>1392</v>
      </c>
      <c r="L552" s="735">
        <v>121.02</v>
      </c>
      <c r="M552" s="735">
        <v>1</v>
      </c>
      <c r="N552" s="736">
        <v>121.02</v>
      </c>
    </row>
    <row r="553" spans="1:14" ht="14.45" customHeight="1" x14ac:dyDescent="0.2">
      <c r="A553" s="730" t="s">
        <v>575</v>
      </c>
      <c r="B553" s="731" t="s">
        <v>576</v>
      </c>
      <c r="C553" s="732" t="s">
        <v>597</v>
      </c>
      <c r="D553" s="733" t="s">
        <v>598</v>
      </c>
      <c r="E553" s="734">
        <v>50113013</v>
      </c>
      <c r="F553" s="733" t="s">
        <v>1087</v>
      </c>
      <c r="G553" s="732" t="s">
        <v>295</v>
      </c>
      <c r="H553" s="732">
        <v>134595</v>
      </c>
      <c r="I553" s="732">
        <v>134595</v>
      </c>
      <c r="J553" s="732" t="s">
        <v>1127</v>
      </c>
      <c r="K553" s="732" t="s">
        <v>1128</v>
      </c>
      <c r="L553" s="735">
        <v>416.78000000000003</v>
      </c>
      <c r="M553" s="735">
        <v>5</v>
      </c>
      <c r="N553" s="736">
        <v>2083.9</v>
      </c>
    </row>
    <row r="554" spans="1:14" ht="14.45" customHeight="1" x14ac:dyDescent="0.2">
      <c r="A554" s="730" t="s">
        <v>575</v>
      </c>
      <c r="B554" s="731" t="s">
        <v>576</v>
      </c>
      <c r="C554" s="732" t="s">
        <v>597</v>
      </c>
      <c r="D554" s="733" t="s">
        <v>598</v>
      </c>
      <c r="E554" s="734">
        <v>50113013</v>
      </c>
      <c r="F554" s="733" t="s">
        <v>1087</v>
      </c>
      <c r="G554" s="732" t="s">
        <v>625</v>
      </c>
      <c r="H554" s="732">
        <v>173750</v>
      </c>
      <c r="I554" s="732">
        <v>173750</v>
      </c>
      <c r="J554" s="732" t="s">
        <v>1129</v>
      </c>
      <c r="K554" s="732" t="s">
        <v>1130</v>
      </c>
      <c r="L554" s="735">
        <v>825.08000000000015</v>
      </c>
      <c r="M554" s="735">
        <v>8</v>
      </c>
      <c r="N554" s="736">
        <v>6600.6400000000012</v>
      </c>
    </row>
    <row r="555" spans="1:14" ht="14.45" customHeight="1" x14ac:dyDescent="0.2">
      <c r="A555" s="730" t="s">
        <v>575</v>
      </c>
      <c r="B555" s="731" t="s">
        <v>576</v>
      </c>
      <c r="C555" s="732" t="s">
        <v>597</v>
      </c>
      <c r="D555" s="733" t="s">
        <v>598</v>
      </c>
      <c r="E555" s="734">
        <v>50113013</v>
      </c>
      <c r="F555" s="733" t="s">
        <v>1087</v>
      </c>
      <c r="G555" s="732" t="s">
        <v>329</v>
      </c>
      <c r="H555" s="732">
        <v>224407</v>
      </c>
      <c r="I555" s="732">
        <v>224407</v>
      </c>
      <c r="J555" s="732" t="s">
        <v>1131</v>
      </c>
      <c r="K555" s="732" t="s">
        <v>1132</v>
      </c>
      <c r="L555" s="735">
        <v>188.46</v>
      </c>
      <c r="M555" s="735">
        <v>1</v>
      </c>
      <c r="N555" s="736">
        <v>188.46</v>
      </c>
    </row>
    <row r="556" spans="1:14" ht="14.45" customHeight="1" x14ac:dyDescent="0.2">
      <c r="A556" s="730" t="s">
        <v>575</v>
      </c>
      <c r="B556" s="731" t="s">
        <v>576</v>
      </c>
      <c r="C556" s="732" t="s">
        <v>597</v>
      </c>
      <c r="D556" s="733" t="s">
        <v>598</v>
      </c>
      <c r="E556" s="734">
        <v>50113013</v>
      </c>
      <c r="F556" s="733" t="s">
        <v>1087</v>
      </c>
      <c r="G556" s="732" t="s">
        <v>610</v>
      </c>
      <c r="H556" s="732">
        <v>207116</v>
      </c>
      <c r="I556" s="732">
        <v>207116</v>
      </c>
      <c r="J556" s="732" t="s">
        <v>1393</v>
      </c>
      <c r="K556" s="732" t="s">
        <v>1394</v>
      </c>
      <c r="L556" s="735">
        <v>419.1</v>
      </c>
      <c r="M556" s="735">
        <v>1</v>
      </c>
      <c r="N556" s="736">
        <v>419.1</v>
      </c>
    </row>
    <row r="557" spans="1:14" ht="14.45" customHeight="1" x14ac:dyDescent="0.2">
      <c r="A557" s="730" t="s">
        <v>575</v>
      </c>
      <c r="B557" s="731" t="s">
        <v>576</v>
      </c>
      <c r="C557" s="732" t="s">
        <v>597</v>
      </c>
      <c r="D557" s="733" t="s">
        <v>598</v>
      </c>
      <c r="E557" s="734">
        <v>50113013</v>
      </c>
      <c r="F557" s="733" t="s">
        <v>1087</v>
      </c>
      <c r="G557" s="732" t="s">
        <v>610</v>
      </c>
      <c r="H557" s="732">
        <v>113424</v>
      </c>
      <c r="I557" s="732">
        <v>9999999</v>
      </c>
      <c r="J557" s="732" t="s">
        <v>1395</v>
      </c>
      <c r="K557" s="732" t="s">
        <v>1396</v>
      </c>
      <c r="L557" s="735">
        <v>2393.2599999999998</v>
      </c>
      <c r="M557" s="735">
        <v>1</v>
      </c>
      <c r="N557" s="736">
        <v>2393.2599999999998</v>
      </c>
    </row>
    <row r="558" spans="1:14" ht="14.45" customHeight="1" x14ac:dyDescent="0.2">
      <c r="A558" s="730" t="s">
        <v>575</v>
      </c>
      <c r="B558" s="731" t="s">
        <v>576</v>
      </c>
      <c r="C558" s="732" t="s">
        <v>597</v>
      </c>
      <c r="D558" s="733" t="s">
        <v>598</v>
      </c>
      <c r="E558" s="734">
        <v>50113013</v>
      </c>
      <c r="F558" s="733" t="s">
        <v>1087</v>
      </c>
      <c r="G558" s="732" t="s">
        <v>610</v>
      </c>
      <c r="H558" s="732">
        <v>192359</v>
      </c>
      <c r="I558" s="732">
        <v>92359</v>
      </c>
      <c r="J558" s="732" t="s">
        <v>1139</v>
      </c>
      <c r="K558" s="732" t="s">
        <v>1140</v>
      </c>
      <c r="L558" s="735">
        <v>43.639999999999993</v>
      </c>
      <c r="M558" s="735">
        <v>20</v>
      </c>
      <c r="N558" s="736">
        <v>872.79999999999984</v>
      </c>
    </row>
    <row r="559" spans="1:14" ht="14.45" customHeight="1" x14ac:dyDescent="0.2">
      <c r="A559" s="730" t="s">
        <v>575</v>
      </c>
      <c r="B559" s="731" t="s">
        <v>576</v>
      </c>
      <c r="C559" s="732" t="s">
        <v>597</v>
      </c>
      <c r="D559" s="733" t="s">
        <v>598</v>
      </c>
      <c r="E559" s="734">
        <v>50113013</v>
      </c>
      <c r="F559" s="733" t="s">
        <v>1087</v>
      </c>
      <c r="G559" s="732" t="s">
        <v>329</v>
      </c>
      <c r="H559" s="732">
        <v>201030</v>
      </c>
      <c r="I559" s="732">
        <v>201030</v>
      </c>
      <c r="J559" s="732" t="s">
        <v>1141</v>
      </c>
      <c r="K559" s="732" t="s">
        <v>1142</v>
      </c>
      <c r="L559" s="735">
        <v>33.4</v>
      </c>
      <c r="M559" s="735">
        <v>50</v>
      </c>
      <c r="N559" s="736">
        <v>1670</v>
      </c>
    </row>
    <row r="560" spans="1:14" ht="14.45" customHeight="1" x14ac:dyDescent="0.2">
      <c r="A560" s="730" t="s">
        <v>575</v>
      </c>
      <c r="B560" s="731" t="s">
        <v>576</v>
      </c>
      <c r="C560" s="732" t="s">
        <v>597</v>
      </c>
      <c r="D560" s="733" t="s">
        <v>598</v>
      </c>
      <c r="E560" s="734">
        <v>50113013</v>
      </c>
      <c r="F560" s="733" t="s">
        <v>1087</v>
      </c>
      <c r="G560" s="732" t="s">
        <v>610</v>
      </c>
      <c r="H560" s="732">
        <v>106264</v>
      </c>
      <c r="I560" s="732">
        <v>6264</v>
      </c>
      <c r="J560" s="732" t="s">
        <v>1143</v>
      </c>
      <c r="K560" s="732" t="s">
        <v>1144</v>
      </c>
      <c r="L560" s="735">
        <v>31.674999999999997</v>
      </c>
      <c r="M560" s="735">
        <v>4</v>
      </c>
      <c r="N560" s="736">
        <v>126.69999999999999</v>
      </c>
    </row>
    <row r="561" spans="1:14" ht="14.45" customHeight="1" x14ac:dyDescent="0.2">
      <c r="A561" s="730" t="s">
        <v>575</v>
      </c>
      <c r="B561" s="731" t="s">
        <v>576</v>
      </c>
      <c r="C561" s="732" t="s">
        <v>597</v>
      </c>
      <c r="D561" s="733" t="s">
        <v>598</v>
      </c>
      <c r="E561" s="734">
        <v>50113013</v>
      </c>
      <c r="F561" s="733" t="s">
        <v>1087</v>
      </c>
      <c r="G561" s="732" t="s">
        <v>610</v>
      </c>
      <c r="H561" s="732">
        <v>105113</v>
      </c>
      <c r="I561" s="732">
        <v>5113</v>
      </c>
      <c r="J561" s="732" t="s">
        <v>1397</v>
      </c>
      <c r="K561" s="732" t="s">
        <v>1398</v>
      </c>
      <c r="L561" s="735">
        <v>128.68999999999994</v>
      </c>
      <c r="M561" s="735">
        <v>4</v>
      </c>
      <c r="N561" s="736">
        <v>514.75999999999976</v>
      </c>
    </row>
    <row r="562" spans="1:14" ht="14.45" customHeight="1" x14ac:dyDescent="0.2">
      <c r="A562" s="730" t="s">
        <v>575</v>
      </c>
      <c r="B562" s="731" t="s">
        <v>576</v>
      </c>
      <c r="C562" s="732" t="s">
        <v>597</v>
      </c>
      <c r="D562" s="733" t="s">
        <v>598</v>
      </c>
      <c r="E562" s="734">
        <v>50113013</v>
      </c>
      <c r="F562" s="733" t="s">
        <v>1087</v>
      </c>
      <c r="G562" s="732" t="s">
        <v>610</v>
      </c>
      <c r="H562" s="732">
        <v>225175</v>
      </c>
      <c r="I562" s="732">
        <v>225175</v>
      </c>
      <c r="J562" s="732" t="s">
        <v>1399</v>
      </c>
      <c r="K562" s="732" t="s">
        <v>1400</v>
      </c>
      <c r="L562" s="735">
        <v>45.61</v>
      </c>
      <c r="M562" s="735">
        <v>1</v>
      </c>
      <c r="N562" s="736">
        <v>45.61</v>
      </c>
    </row>
    <row r="563" spans="1:14" ht="14.45" customHeight="1" x14ac:dyDescent="0.2">
      <c r="A563" s="730" t="s">
        <v>575</v>
      </c>
      <c r="B563" s="731" t="s">
        <v>576</v>
      </c>
      <c r="C563" s="732" t="s">
        <v>597</v>
      </c>
      <c r="D563" s="733" t="s">
        <v>598</v>
      </c>
      <c r="E563" s="734">
        <v>50113013</v>
      </c>
      <c r="F563" s="733" t="s">
        <v>1087</v>
      </c>
      <c r="G563" s="732" t="s">
        <v>625</v>
      </c>
      <c r="H563" s="732">
        <v>166269</v>
      </c>
      <c r="I563" s="732">
        <v>166269</v>
      </c>
      <c r="J563" s="732" t="s">
        <v>1149</v>
      </c>
      <c r="K563" s="732" t="s">
        <v>1150</v>
      </c>
      <c r="L563" s="735">
        <v>52.88000000000001</v>
      </c>
      <c r="M563" s="735">
        <v>10</v>
      </c>
      <c r="N563" s="736">
        <v>528.80000000000007</v>
      </c>
    </row>
    <row r="564" spans="1:14" ht="14.45" customHeight="1" x14ac:dyDescent="0.2">
      <c r="A564" s="730" t="s">
        <v>575</v>
      </c>
      <c r="B564" s="731" t="s">
        <v>576</v>
      </c>
      <c r="C564" s="732" t="s">
        <v>597</v>
      </c>
      <c r="D564" s="733" t="s">
        <v>598</v>
      </c>
      <c r="E564" s="734">
        <v>50113013</v>
      </c>
      <c r="F564" s="733" t="s">
        <v>1087</v>
      </c>
      <c r="G564" s="732" t="s">
        <v>625</v>
      </c>
      <c r="H564" s="732">
        <v>166265</v>
      </c>
      <c r="I564" s="732">
        <v>166265</v>
      </c>
      <c r="J564" s="732" t="s">
        <v>1151</v>
      </c>
      <c r="K564" s="732" t="s">
        <v>1152</v>
      </c>
      <c r="L564" s="735">
        <v>31.163999999999998</v>
      </c>
      <c r="M564" s="735">
        <v>15</v>
      </c>
      <c r="N564" s="736">
        <v>467.46</v>
      </c>
    </row>
    <row r="565" spans="1:14" ht="14.45" customHeight="1" x14ac:dyDescent="0.2">
      <c r="A565" s="730" t="s">
        <v>575</v>
      </c>
      <c r="B565" s="731" t="s">
        <v>576</v>
      </c>
      <c r="C565" s="732" t="s">
        <v>597</v>
      </c>
      <c r="D565" s="733" t="s">
        <v>598</v>
      </c>
      <c r="E565" s="734">
        <v>50113013</v>
      </c>
      <c r="F565" s="733" t="s">
        <v>1087</v>
      </c>
      <c r="G565" s="732" t="s">
        <v>625</v>
      </c>
      <c r="H565" s="732">
        <v>103708</v>
      </c>
      <c r="I565" s="732">
        <v>3708</v>
      </c>
      <c r="J565" s="732" t="s">
        <v>1401</v>
      </c>
      <c r="K565" s="732" t="s">
        <v>1402</v>
      </c>
      <c r="L565" s="735">
        <v>1134.8800000000001</v>
      </c>
      <c r="M565" s="735">
        <v>0.4</v>
      </c>
      <c r="N565" s="736">
        <v>453.95200000000006</v>
      </c>
    </row>
    <row r="566" spans="1:14" ht="14.45" customHeight="1" x14ac:dyDescent="0.2">
      <c r="A566" s="730" t="s">
        <v>575</v>
      </c>
      <c r="B566" s="731" t="s">
        <v>576</v>
      </c>
      <c r="C566" s="732" t="s">
        <v>597</v>
      </c>
      <c r="D566" s="733" t="s">
        <v>598</v>
      </c>
      <c r="E566" s="734">
        <v>50113014</v>
      </c>
      <c r="F566" s="733" t="s">
        <v>1153</v>
      </c>
      <c r="G566" s="732" t="s">
        <v>625</v>
      </c>
      <c r="H566" s="732">
        <v>850734</v>
      </c>
      <c r="I566" s="732">
        <v>149384</v>
      </c>
      <c r="J566" s="732" t="s">
        <v>1403</v>
      </c>
      <c r="K566" s="732" t="s">
        <v>1404</v>
      </c>
      <c r="L566" s="735">
        <v>1101.21</v>
      </c>
      <c r="M566" s="735">
        <v>3</v>
      </c>
      <c r="N566" s="736">
        <v>3303.63</v>
      </c>
    </row>
    <row r="567" spans="1:14" ht="14.45" customHeight="1" x14ac:dyDescent="0.2">
      <c r="A567" s="730" t="s">
        <v>575</v>
      </c>
      <c r="B567" s="731" t="s">
        <v>576</v>
      </c>
      <c r="C567" s="732" t="s">
        <v>597</v>
      </c>
      <c r="D567" s="733" t="s">
        <v>598</v>
      </c>
      <c r="E567" s="734">
        <v>50113014</v>
      </c>
      <c r="F567" s="733" t="s">
        <v>1153</v>
      </c>
      <c r="G567" s="732" t="s">
        <v>625</v>
      </c>
      <c r="H567" s="732">
        <v>164401</v>
      </c>
      <c r="I567" s="732">
        <v>164401</v>
      </c>
      <c r="J567" s="732" t="s">
        <v>1158</v>
      </c>
      <c r="K567" s="732" t="s">
        <v>1405</v>
      </c>
      <c r="L567" s="735">
        <v>319</v>
      </c>
      <c r="M567" s="735">
        <v>1</v>
      </c>
      <c r="N567" s="736">
        <v>319</v>
      </c>
    </row>
    <row r="568" spans="1:14" ht="14.45" customHeight="1" x14ac:dyDescent="0.2">
      <c r="A568" s="730" t="s">
        <v>575</v>
      </c>
      <c r="B568" s="731" t="s">
        <v>576</v>
      </c>
      <c r="C568" s="732" t="s">
        <v>597</v>
      </c>
      <c r="D568" s="733" t="s">
        <v>598</v>
      </c>
      <c r="E568" s="734">
        <v>50113014</v>
      </c>
      <c r="F568" s="733" t="s">
        <v>1153</v>
      </c>
      <c r="G568" s="732" t="s">
        <v>610</v>
      </c>
      <c r="H568" s="732">
        <v>126902</v>
      </c>
      <c r="I568" s="732">
        <v>26902</v>
      </c>
      <c r="J568" s="732" t="s">
        <v>1406</v>
      </c>
      <c r="K568" s="732" t="s">
        <v>1407</v>
      </c>
      <c r="L568" s="735">
        <v>333.9</v>
      </c>
      <c r="M568" s="735">
        <v>20</v>
      </c>
      <c r="N568" s="736">
        <v>6678</v>
      </c>
    </row>
    <row r="569" spans="1:14" ht="14.45" customHeight="1" x14ac:dyDescent="0.2">
      <c r="A569" s="730" t="s">
        <v>575</v>
      </c>
      <c r="B569" s="731" t="s">
        <v>576</v>
      </c>
      <c r="C569" s="732" t="s">
        <v>600</v>
      </c>
      <c r="D569" s="733" t="s">
        <v>601</v>
      </c>
      <c r="E569" s="734">
        <v>50113001</v>
      </c>
      <c r="F569" s="733" t="s">
        <v>609</v>
      </c>
      <c r="G569" s="732" t="s">
        <v>610</v>
      </c>
      <c r="H569" s="732">
        <v>192730</v>
      </c>
      <c r="I569" s="732">
        <v>92730</v>
      </c>
      <c r="J569" s="732" t="s">
        <v>1163</v>
      </c>
      <c r="K569" s="732" t="s">
        <v>1408</v>
      </c>
      <c r="L569" s="735">
        <v>448.41500000000013</v>
      </c>
      <c r="M569" s="735">
        <v>12</v>
      </c>
      <c r="N569" s="736">
        <v>5380.9800000000014</v>
      </c>
    </row>
    <row r="570" spans="1:14" ht="14.45" customHeight="1" x14ac:dyDescent="0.2">
      <c r="A570" s="730" t="s">
        <v>575</v>
      </c>
      <c r="B570" s="731" t="s">
        <v>576</v>
      </c>
      <c r="C570" s="732" t="s">
        <v>600</v>
      </c>
      <c r="D570" s="733" t="s">
        <v>601</v>
      </c>
      <c r="E570" s="734">
        <v>50113001</v>
      </c>
      <c r="F570" s="733" t="s">
        <v>609</v>
      </c>
      <c r="G570" s="732" t="s">
        <v>610</v>
      </c>
      <c r="H570" s="732">
        <v>221862</v>
      </c>
      <c r="I570" s="732">
        <v>221862</v>
      </c>
      <c r="J570" s="732" t="s">
        <v>1409</v>
      </c>
      <c r="K570" s="732" t="s">
        <v>1410</v>
      </c>
      <c r="L570" s="735">
        <v>112.06000000000003</v>
      </c>
      <c r="M570" s="735">
        <v>5</v>
      </c>
      <c r="N570" s="736">
        <v>560.30000000000018</v>
      </c>
    </row>
    <row r="571" spans="1:14" ht="14.45" customHeight="1" x14ac:dyDescent="0.2">
      <c r="A571" s="730" t="s">
        <v>575</v>
      </c>
      <c r="B571" s="731" t="s">
        <v>576</v>
      </c>
      <c r="C571" s="732" t="s">
        <v>600</v>
      </c>
      <c r="D571" s="733" t="s">
        <v>601</v>
      </c>
      <c r="E571" s="734">
        <v>50113001</v>
      </c>
      <c r="F571" s="733" t="s">
        <v>609</v>
      </c>
      <c r="G571" s="732" t="s">
        <v>610</v>
      </c>
      <c r="H571" s="732">
        <v>100362</v>
      </c>
      <c r="I571" s="732">
        <v>362</v>
      </c>
      <c r="J571" s="732" t="s">
        <v>615</v>
      </c>
      <c r="K571" s="732" t="s">
        <v>616</v>
      </c>
      <c r="L571" s="735">
        <v>72.220000000000013</v>
      </c>
      <c r="M571" s="735">
        <v>8</v>
      </c>
      <c r="N571" s="736">
        <v>577.7600000000001</v>
      </c>
    </row>
    <row r="572" spans="1:14" ht="14.45" customHeight="1" x14ac:dyDescent="0.2">
      <c r="A572" s="730" t="s">
        <v>575</v>
      </c>
      <c r="B572" s="731" t="s">
        <v>576</v>
      </c>
      <c r="C572" s="732" t="s">
        <v>600</v>
      </c>
      <c r="D572" s="733" t="s">
        <v>601</v>
      </c>
      <c r="E572" s="734">
        <v>50113001</v>
      </c>
      <c r="F572" s="733" t="s">
        <v>609</v>
      </c>
      <c r="G572" s="732" t="s">
        <v>610</v>
      </c>
      <c r="H572" s="732">
        <v>196610</v>
      </c>
      <c r="I572" s="732">
        <v>96610</v>
      </c>
      <c r="J572" s="732" t="s">
        <v>646</v>
      </c>
      <c r="K572" s="732" t="s">
        <v>647</v>
      </c>
      <c r="L572" s="735">
        <v>51.29999999999999</v>
      </c>
      <c r="M572" s="735">
        <v>1</v>
      </c>
      <c r="N572" s="736">
        <v>51.29999999999999</v>
      </c>
    </row>
    <row r="573" spans="1:14" ht="14.45" customHeight="1" x14ac:dyDescent="0.2">
      <c r="A573" s="730" t="s">
        <v>575</v>
      </c>
      <c r="B573" s="731" t="s">
        <v>576</v>
      </c>
      <c r="C573" s="732" t="s">
        <v>600</v>
      </c>
      <c r="D573" s="733" t="s">
        <v>601</v>
      </c>
      <c r="E573" s="734">
        <v>50113001</v>
      </c>
      <c r="F573" s="733" t="s">
        <v>609</v>
      </c>
      <c r="G573" s="732" t="s">
        <v>610</v>
      </c>
      <c r="H573" s="732">
        <v>189244</v>
      </c>
      <c r="I573" s="732">
        <v>89244</v>
      </c>
      <c r="J573" s="732" t="s">
        <v>648</v>
      </c>
      <c r="K573" s="732" t="s">
        <v>649</v>
      </c>
      <c r="L573" s="735">
        <v>20.759550000000004</v>
      </c>
      <c r="M573" s="735">
        <v>200</v>
      </c>
      <c r="N573" s="736">
        <v>4151.9100000000008</v>
      </c>
    </row>
    <row r="574" spans="1:14" ht="14.45" customHeight="1" x14ac:dyDescent="0.2">
      <c r="A574" s="730" t="s">
        <v>575</v>
      </c>
      <c r="B574" s="731" t="s">
        <v>576</v>
      </c>
      <c r="C574" s="732" t="s">
        <v>600</v>
      </c>
      <c r="D574" s="733" t="s">
        <v>601</v>
      </c>
      <c r="E574" s="734">
        <v>50113001</v>
      </c>
      <c r="F574" s="733" t="s">
        <v>609</v>
      </c>
      <c r="G574" s="732" t="s">
        <v>610</v>
      </c>
      <c r="H574" s="732">
        <v>173321</v>
      </c>
      <c r="I574" s="732">
        <v>173321</v>
      </c>
      <c r="J574" s="732" t="s">
        <v>1173</v>
      </c>
      <c r="K574" s="732" t="s">
        <v>1174</v>
      </c>
      <c r="L574" s="735">
        <v>605.43999999999994</v>
      </c>
      <c r="M574" s="735">
        <v>7.0000000000000018</v>
      </c>
      <c r="N574" s="736">
        <v>4238.0800000000008</v>
      </c>
    </row>
    <row r="575" spans="1:14" ht="14.45" customHeight="1" x14ac:dyDescent="0.2">
      <c r="A575" s="730" t="s">
        <v>575</v>
      </c>
      <c r="B575" s="731" t="s">
        <v>576</v>
      </c>
      <c r="C575" s="732" t="s">
        <v>600</v>
      </c>
      <c r="D575" s="733" t="s">
        <v>601</v>
      </c>
      <c r="E575" s="734">
        <v>50113001</v>
      </c>
      <c r="F575" s="733" t="s">
        <v>609</v>
      </c>
      <c r="G575" s="732" t="s">
        <v>610</v>
      </c>
      <c r="H575" s="732">
        <v>173394</v>
      </c>
      <c r="I575" s="732">
        <v>173394</v>
      </c>
      <c r="J575" s="732" t="s">
        <v>1179</v>
      </c>
      <c r="K575" s="732" t="s">
        <v>1411</v>
      </c>
      <c r="L575" s="735">
        <v>423.72</v>
      </c>
      <c r="M575" s="735">
        <v>18</v>
      </c>
      <c r="N575" s="736">
        <v>7626.9600000000009</v>
      </c>
    </row>
    <row r="576" spans="1:14" ht="14.45" customHeight="1" x14ac:dyDescent="0.2">
      <c r="A576" s="730" t="s">
        <v>575</v>
      </c>
      <c r="B576" s="731" t="s">
        <v>576</v>
      </c>
      <c r="C576" s="732" t="s">
        <v>600</v>
      </c>
      <c r="D576" s="733" t="s">
        <v>601</v>
      </c>
      <c r="E576" s="734">
        <v>50113001</v>
      </c>
      <c r="F576" s="733" t="s">
        <v>609</v>
      </c>
      <c r="G576" s="732" t="s">
        <v>610</v>
      </c>
      <c r="H576" s="732">
        <v>100392</v>
      </c>
      <c r="I576" s="732">
        <v>392</v>
      </c>
      <c r="J576" s="732" t="s">
        <v>650</v>
      </c>
      <c r="K576" s="732" t="s">
        <v>651</v>
      </c>
      <c r="L576" s="735">
        <v>57.631999999999991</v>
      </c>
      <c r="M576" s="735">
        <v>5</v>
      </c>
      <c r="N576" s="736">
        <v>288.15999999999997</v>
      </c>
    </row>
    <row r="577" spans="1:14" ht="14.45" customHeight="1" x14ac:dyDescent="0.2">
      <c r="A577" s="730" t="s">
        <v>575</v>
      </c>
      <c r="B577" s="731" t="s">
        <v>576</v>
      </c>
      <c r="C577" s="732" t="s">
        <v>600</v>
      </c>
      <c r="D577" s="733" t="s">
        <v>601</v>
      </c>
      <c r="E577" s="734">
        <v>50113001</v>
      </c>
      <c r="F577" s="733" t="s">
        <v>609</v>
      </c>
      <c r="G577" s="732" t="s">
        <v>625</v>
      </c>
      <c r="H577" s="732">
        <v>231703</v>
      </c>
      <c r="I577" s="732">
        <v>231703</v>
      </c>
      <c r="J577" s="732" t="s">
        <v>660</v>
      </c>
      <c r="K577" s="732" t="s">
        <v>661</v>
      </c>
      <c r="L577" s="735">
        <v>94.01</v>
      </c>
      <c r="M577" s="735">
        <v>1</v>
      </c>
      <c r="N577" s="736">
        <v>94.01</v>
      </c>
    </row>
    <row r="578" spans="1:14" ht="14.45" customHeight="1" x14ac:dyDescent="0.2">
      <c r="A578" s="730" t="s">
        <v>575</v>
      </c>
      <c r="B578" s="731" t="s">
        <v>576</v>
      </c>
      <c r="C578" s="732" t="s">
        <v>600</v>
      </c>
      <c r="D578" s="733" t="s">
        <v>601</v>
      </c>
      <c r="E578" s="734">
        <v>50113001</v>
      </c>
      <c r="F578" s="733" t="s">
        <v>609</v>
      </c>
      <c r="G578" s="732" t="s">
        <v>610</v>
      </c>
      <c r="H578" s="732">
        <v>212884</v>
      </c>
      <c r="I578" s="732">
        <v>212884</v>
      </c>
      <c r="J578" s="732" t="s">
        <v>1412</v>
      </c>
      <c r="K578" s="732" t="s">
        <v>1413</v>
      </c>
      <c r="L578" s="735">
        <v>47.120000000000005</v>
      </c>
      <c r="M578" s="735">
        <v>5</v>
      </c>
      <c r="N578" s="736">
        <v>235.60000000000002</v>
      </c>
    </row>
    <row r="579" spans="1:14" ht="14.45" customHeight="1" x14ac:dyDescent="0.2">
      <c r="A579" s="730" t="s">
        <v>575</v>
      </c>
      <c r="B579" s="731" t="s">
        <v>576</v>
      </c>
      <c r="C579" s="732" t="s">
        <v>600</v>
      </c>
      <c r="D579" s="733" t="s">
        <v>601</v>
      </c>
      <c r="E579" s="734">
        <v>50113001</v>
      </c>
      <c r="F579" s="733" t="s">
        <v>609</v>
      </c>
      <c r="G579" s="732" t="s">
        <v>610</v>
      </c>
      <c r="H579" s="732">
        <v>100407</v>
      </c>
      <c r="I579" s="732">
        <v>407</v>
      </c>
      <c r="J579" s="732" t="s">
        <v>685</v>
      </c>
      <c r="K579" s="732" t="s">
        <v>686</v>
      </c>
      <c r="L579" s="735">
        <v>185.03999999999996</v>
      </c>
      <c r="M579" s="735">
        <v>1</v>
      </c>
      <c r="N579" s="736">
        <v>185.03999999999996</v>
      </c>
    </row>
    <row r="580" spans="1:14" ht="14.45" customHeight="1" x14ac:dyDescent="0.2">
      <c r="A580" s="730" t="s">
        <v>575</v>
      </c>
      <c r="B580" s="731" t="s">
        <v>576</v>
      </c>
      <c r="C580" s="732" t="s">
        <v>600</v>
      </c>
      <c r="D580" s="733" t="s">
        <v>601</v>
      </c>
      <c r="E580" s="734">
        <v>50113001</v>
      </c>
      <c r="F580" s="733" t="s">
        <v>609</v>
      </c>
      <c r="G580" s="732" t="s">
        <v>610</v>
      </c>
      <c r="H580" s="732">
        <v>100409</v>
      </c>
      <c r="I580" s="732">
        <v>409</v>
      </c>
      <c r="J580" s="732" t="s">
        <v>1190</v>
      </c>
      <c r="K580" s="732" t="s">
        <v>1191</v>
      </c>
      <c r="L580" s="735">
        <v>79.67</v>
      </c>
      <c r="M580" s="735">
        <v>16</v>
      </c>
      <c r="N580" s="736">
        <v>1274.72</v>
      </c>
    </row>
    <row r="581" spans="1:14" ht="14.45" customHeight="1" x14ac:dyDescent="0.2">
      <c r="A581" s="730" t="s">
        <v>575</v>
      </c>
      <c r="B581" s="731" t="s">
        <v>576</v>
      </c>
      <c r="C581" s="732" t="s">
        <v>600</v>
      </c>
      <c r="D581" s="733" t="s">
        <v>601</v>
      </c>
      <c r="E581" s="734">
        <v>50113001</v>
      </c>
      <c r="F581" s="733" t="s">
        <v>609</v>
      </c>
      <c r="G581" s="732" t="s">
        <v>610</v>
      </c>
      <c r="H581" s="732">
        <v>187814</v>
      </c>
      <c r="I581" s="732">
        <v>87814</v>
      </c>
      <c r="J581" s="732" t="s">
        <v>1192</v>
      </c>
      <c r="K581" s="732" t="s">
        <v>1193</v>
      </c>
      <c r="L581" s="735">
        <v>535.03</v>
      </c>
      <c r="M581" s="735">
        <v>2</v>
      </c>
      <c r="N581" s="736">
        <v>1070.06</v>
      </c>
    </row>
    <row r="582" spans="1:14" ht="14.45" customHeight="1" x14ac:dyDescent="0.2">
      <c r="A582" s="730" t="s">
        <v>575</v>
      </c>
      <c r="B582" s="731" t="s">
        <v>576</v>
      </c>
      <c r="C582" s="732" t="s">
        <v>600</v>
      </c>
      <c r="D582" s="733" t="s">
        <v>601</v>
      </c>
      <c r="E582" s="734">
        <v>50113001</v>
      </c>
      <c r="F582" s="733" t="s">
        <v>609</v>
      </c>
      <c r="G582" s="732" t="s">
        <v>610</v>
      </c>
      <c r="H582" s="732">
        <v>102132</v>
      </c>
      <c r="I582" s="732">
        <v>2132</v>
      </c>
      <c r="J582" s="732" t="s">
        <v>1194</v>
      </c>
      <c r="K582" s="732" t="s">
        <v>1195</v>
      </c>
      <c r="L582" s="735">
        <v>153.30600000000004</v>
      </c>
      <c r="M582" s="735">
        <v>10</v>
      </c>
      <c r="N582" s="736">
        <v>1533.0600000000004</v>
      </c>
    </row>
    <row r="583" spans="1:14" ht="14.45" customHeight="1" x14ac:dyDescent="0.2">
      <c r="A583" s="730" t="s">
        <v>575</v>
      </c>
      <c r="B583" s="731" t="s">
        <v>576</v>
      </c>
      <c r="C583" s="732" t="s">
        <v>600</v>
      </c>
      <c r="D583" s="733" t="s">
        <v>601</v>
      </c>
      <c r="E583" s="734">
        <v>50113001</v>
      </c>
      <c r="F583" s="733" t="s">
        <v>609</v>
      </c>
      <c r="G583" s="732" t="s">
        <v>625</v>
      </c>
      <c r="H583" s="732">
        <v>848765</v>
      </c>
      <c r="I583" s="732">
        <v>107938</v>
      </c>
      <c r="J583" s="732" t="s">
        <v>712</v>
      </c>
      <c r="K583" s="732" t="s">
        <v>715</v>
      </c>
      <c r="L583" s="735">
        <v>128.28000000000003</v>
      </c>
      <c r="M583" s="735">
        <v>1</v>
      </c>
      <c r="N583" s="736">
        <v>128.28000000000003</v>
      </c>
    </row>
    <row r="584" spans="1:14" ht="14.45" customHeight="1" x14ac:dyDescent="0.2">
      <c r="A584" s="730" t="s">
        <v>575</v>
      </c>
      <c r="B584" s="731" t="s">
        <v>576</v>
      </c>
      <c r="C584" s="732" t="s">
        <v>600</v>
      </c>
      <c r="D584" s="733" t="s">
        <v>601</v>
      </c>
      <c r="E584" s="734">
        <v>50113001</v>
      </c>
      <c r="F584" s="733" t="s">
        <v>609</v>
      </c>
      <c r="G584" s="732" t="s">
        <v>610</v>
      </c>
      <c r="H584" s="732">
        <v>184090</v>
      </c>
      <c r="I584" s="732">
        <v>84090</v>
      </c>
      <c r="J584" s="732" t="s">
        <v>729</v>
      </c>
      <c r="K584" s="732" t="s">
        <v>730</v>
      </c>
      <c r="L584" s="735">
        <v>60.08</v>
      </c>
      <c r="M584" s="735">
        <v>2</v>
      </c>
      <c r="N584" s="736">
        <v>120.16</v>
      </c>
    </row>
    <row r="585" spans="1:14" ht="14.45" customHeight="1" x14ac:dyDescent="0.2">
      <c r="A585" s="730" t="s">
        <v>575</v>
      </c>
      <c r="B585" s="731" t="s">
        <v>576</v>
      </c>
      <c r="C585" s="732" t="s">
        <v>600</v>
      </c>
      <c r="D585" s="733" t="s">
        <v>601</v>
      </c>
      <c r="E585" s="734">
        <v>50113001</v>
      </c>
      <c r="F585" s="733" t="s">
        <v>609</v>
      </c>
      <c r="G585" s="732" t="s">
        <v>610</v>
      </c>
      <c r="H585" s="732">
        <v>117011</v>
      </c>
      <c r="I585" s="732">
        <v>17011</v>
      </c>
      <c r="J585" s="732" t="s">
        <v>741</v>
      </c>
      <c r="K585" s="732" t="s">
        <v>742</v>
      </c>
      <c r="L585" s="735">
        <v>144.99999999999997</v>
      </c>
      <c r="M585" s="735">
        <v>1</v>
      </c>
      <c r="N585" s="736">
        <v>144.99999999999997</v>
      </c>
    </row>
    <row r="586" spans="1:14" ht="14.45" customHeight="1" x14ac:dyDescent="0.2">
      <c r="A586" s="730" t="s">
        <v>575</v>
      </c>
      <c r="B586" s="731" t="s">
        <v>576</v>
      </c>
      <c r="C586" s="732" t="s">
        <v>600</v>
      </c>
      <c r="D586" s="733" t="s">
        <v>601</v>
      </c>
      <c r="E586" s="734">
        <v>50113001</v>
      </c>
      <c r="F586" s="733" t="s">
        <v>609</v>
      </c>
      <c r="G586" s="732" t="s">
        <v>610</v>
      </c>
      <c r="H586" s="732">
        <v>844831</v>
      </c>
      <c r="I586" s="732">
        <v>9999999</v>
      </c>
      <c r="J586" s="732" t="s">
        <v>743</v>
      </c>
      <c r="K586" s="732" t="s">
        <v>744</v>
      </c>
      <c r="L586" s="735">
        <v>2920.0099999999998</v>
      </c>
      <c r="M586" s="735">
        <v>1</v>
      </c>
      <c r="N586" s="736">
        <v>2920.0099999999998</v>
      </c>
    </row>
    <row r="587" spans="1:14" ht="14.45" customHeight="1" x14ac:dyDescent="0.2">
      <c r="A587" s="730" t="s">
        <v>575</v>
      </c>
      <c r="B587" s="731" t="s">
        <v>576</v>
      </c>
      <c r="C587" s="732" t="s">
        <v>600</v>
      </c>
      <c r="D587" s="733" t="s">
        <v>601</v>
      </c>
      <c r="E587" s="734">
        <v>50113001</v>
      </c>
      <c r="F587" s="733" t="s">
        <v>609</v>
      </c>
      <c r="G587" s="732" t="s">
        <v>610</v>
      </c>
      <c r="H587" s="732">
        <v>846599</v>
      </c>
      <c r="I587" s="732">
        <v>107754</v>
      </c>
      <c r="J587" s="732" t="s">
        <v>752</v>
      </c>
      <c r="K587" s="732" t="s">
        <v>329</v>
      </c>
      <c r="L587" s="735">
        <v>131.26944444444445</v>
      </c>
      <c r="M587" s="735">
        <v>36</v>
      </c>
      <c r="N587" s="736">
        <v>4725.7</v>
      </c>
    </row>
    <row r="588" spans="1:14" ht="14.45" customHeight="1" x14ac:dyDescent="0.2">
      <c r="A588" s="730" t="s">
        <v>575</v>
      </c>
      <c r="B588" s="731" t="s">
        <v>576</v>
      </c>
      <c r="C588" s="732" t="s">
        <v>600</v>
      </c>
      <c r="D588" s="733" t="s">
        <v>601</v>
      </c>
      <c r="E588" s="734">
        <v>50113001</v>
      </c>
      <c r="F588" s="733" t="s">
        <v>609</v>
      </c>
      <c r="G588" s="732" t="s">
        <v>610</v>
      </c>
      <c r="H588" s="732">
        <v>154539</v>
      </c>
      <c r="I588" s="732">
        <v>54539</v>
      </c>
      <c r="J588" s="732" t="s">
        <v>1414</v>
      </c>
      <c r="K588" s="732" t="s">
        <v>1415</v>
      </c>
      <c r="L588" s="735">
        <v>60.153333333333336</v>
      </c>
      <c r="M588" s="735">
        <v>3</v>
      </c>
      <c r="N588" s="736">
        <v>180.46</v>
      </c>
    </row>
    <row r="589" spans="1:14" ht="14.45" customHeight="1" x14ac:dyDescent="0.2">
      <c r="A589" s="730" t="s">
        <v>575</v>
      </c>
      <c r="B589" s="731" t="s">
        <v>576</v>
      </c>
      <c r="C589" s="732" t="s">
        <v>600</v>
      </c>
      <c r="D589" s="733" t="s">
        <v>601</v>
      </c>
      <c r="E589" s="734">
        <v>50113001</v>
      </c>
      <c r="F589" s="733" t="s">
        <v>609</v>
      </c>
      <c r="G589" s="732" t="s">
        <v>610</v>
      </c>
      <c r="H589" s="732">
        <v>905098</v>
      </c>
      <c r="I589" s="732">
        <v>23989</v>
      </c>
      <c r="J589" s="732" t="s">
        <v>1416</v>
      </c>
      <c r="K589" s="732" t="s">
        <v>329</v>
      </c>
      <c r="L589" s="735">
        <v>398.86100000000005</v>
      </c>
      <c r="M589" s="735">
        <v>12</v>
      </c>
      <c r="N589" s="736">
        <v>4786.3320000000003</v>
      </c>
    </row>
    <row r="590" spans="1:14" ht="14.45" customHeight="1" x14ac:dyDescent="0.2">
      <c r="A590" s="730" t="s">
        <v>575</v>
      </c>
      <c r="B590" s="731" t="s">
        <v>576</v>
      </c>
      <c r="C590" s="732" t="s">
        <v>600</v>
      </c>
      <c r="D590" s="733" t="s">
        <v>601</v>
      </c>
      <c r="E590" s="734">
        <v>50113001</v>
      </c>
      <c r="F590" s="733" t="s">
        <v>609</v>
      </c>
      <c r="G590" s="732" t="s">
        <v>610</v>
      </c>
      <c r="H590" s="732">
        <v>447</v>
      </c>
      <c r="I590" s="732">
        <v>447</v>
      </c>
      <c r="J590" s="732" t="s">
        <v>1230</v>
      </c>
      <c r="K590" s="732" t="s">
        <v>1231</v>
      </c>
      <c r="L590" s="735">
        <v>179.22499999999997</v>
      </c>
      <c r="M590" s="735">
        <v>10</v>
      </c>
      <c r="N590" s="736">
        <v>1792.2499999999998</v>
      </c>
    </row>
    <row r="591" spans="1:14" ht="14.45" customHeight="1" x14ac:dyDescent="0.2">
      <c r="A591" s="730" t="s">
        <v>575</v>
      </c>
      <c r="B591" s="731" t="s">
        <v>576</v>
      </c>
      <c r="C591" s="732" t="s">
        <v>600</v>
      </c>
      <c r="D591" s="733" t="s">
        <v>601</v>
      </c>
      <c r="E591" s="734">
        <v>50113001</v>
      </c>
      <c r="F591" s="733" t="s">
        <v>609</v>
      </c>
      <c r="G591" s="732" t="s">
        <v>329</v>
      </c>
      <c r="H591" s="732">
        <v>226690</v>
      </c>
      <c r="I591" s="732">
        <v>226690</v>
      </c>
      <c r="J591" s="732" t="s">
        <v>1417</v>
      </c>
      <c r="K591" s="732" t="s">
        <v>1303</v>
      </c>
      <c r="L591" s="735">
        <v>942.40000000000009</v>
      </c>
      <c r="M591" s="735">
        <v>12</v>
      </c>
      <c r="N591" s="736">
        <v>11308.800000000001</v>
      </c>
    </row>
    <row r="592" spans="1:14" ht="14.45" customHeight="1" x14ac:dyDescent="0.2">
      <c r="A592" s="730" t="s">
        <v>575</v>
      </c>
      <c r="B592" s="731" t="s">
        <v>576</v>
      </c>
      <c r="C592" s="732" t="s">
        <v>600</v>
      </c>
      <c r="D592" s="733" t="s">
        <v>601</v>
      </c>
      <c r="E592" s="734">
        <v>50113001</v>
      </c>
      <c r="F592" s="733" t="s">
        <v>609</v>
      </c>
      <c r="G592" s="732" t="s">
        <v>610</v>
      </c>
      <c r="H592" s="732">
        <v>849971</v>
      </c>
      <c r="I592" s="732">
        <v>137494</v>
      </c>
      <c r="J592" s="732" t="s">
        <v>1418</v>
      </c>
      <c r="K592" s="732" t="s">
        <v>329</v>
      </c>
      <c r="L592" s="735">
        <v>790.56000000000017</v>
      </c>
      <c r="M592" s="735">
        <v>1</v>
      </c>
      <c r="N592" s="736">
        <v>790.56000000000017</v>
      </c>
    </row>
    <row r="593" spans="1:14" ht="14.45" customHeight="1" x14ac:dyDescent="0.2">
      <c r="A593" s="730" t="s">
        <v>575</v>
      </c>
      <c r="B593" s="731" t="s">
        <v>576</v>
      </c>
      <c r="C593" s="732" t="s">
        <v>600</v>
      </c>
      <c r="D593" s="733" t="s">
        <v>601</v>
      </c>
      <c r="E593" s="734">
        <v>50113001</v>
      </c>
      <c r="F593" s="733" t="s">
        <v>609</v>
      </c>
      <c r="G593" s="732" t="s">
        <v>610</v>
      </c>
      <c r="H593" s="732">
        <v>149990</v>
      </c>
      <c r="I593" s="732">
        <v>49990</v>
      </c>
      <c r="J593" s="732" t="s">
        <v>792</v>
      </c>
      <c r="K593" s="732" t="s">
        <v>1236</v>
      </c>
      <c r="L593" s="735">
        <v>170.24395313250761</v>
      </c>
      <c r="M593" s="735">
        <v>86</v>
      </c>
      <c r="N593" s="736">
        <v>14640.979969395656</v>
      </c>
    </row>
    <row r="594" spans="1:14" ht="14.45" customHeight="1" x14ac:dyDescent="0.2">
      <c r="A594" s="730" t="s">
        <v>575</v>
      </c>
      <c r="B594" s="731" t="s">
        <v>576</v>
      </c>
      <c r="C594" s="732" t="s">
        <v>600</v>
      </c>
      <c r="D594" s="733" t="s">
        <v>601</v>
      </c>
      <c r="E594" s="734">
        <v>50113001</v>
      </c>
      <c r="F594" s="733" t="s">
        <v>609</v>
      </c>
      <c r="G594" s="732" t="s">
        <v>625</v>
      </c>
      <c r="H594" s="732">
        <v>214036</v>
      </c>
      <c r="I594" s="732">
        <v>214036</v>
      </c>
      <c r="J594" s="732" t="s">
        <v>813</v>
      </c>
      <c r="K594" s="732" t="s">
        <v>814</v>
      </c>
      <c r="L594" s="735">
        <v>40.366</v>
      </c>
      <c r="M594" s="735">
        <v>5</v>
      </c>
      <c r="N594" s="736">
        <v>201.83</v>
      </c>
    </row>
    <row r="595" spans="1:14" ht="14.45" customHeight="1" x14ac:dyDescent="0.2">
      <c r="A595" s="730" t="s">
        <v>575</v>
      </c>
      <c r="B595" s="731" t="s">
        <v>576</v>
      </c>
      <c r="C595" s="732" t="s">
        <v>600</v>
      </c>
      <c r="D595" s="733" t="s">
        <v>601</v>
      </c>
      <c r="E595" s="734">
        <v>50113001</v>
      </c>
      <c r="F595" s="733" t="s">
        <v>609</v>
      </c>
      <c r="G595" s="732" t="s">
        <v>610</v>
      </c>
      <c r="H595" s="732">
        <v>198880</v>
      </c>
      <c r="I595" s="732">
        <v>98880</v>
      </c>
      <c r="J595" s="732" t="s">
        <v>1419</v>
      </c>
      <c r="K595" s="732" t="s">
        <v>1420</v>
      </c>
      <c r="L595" s="735">
        <v>201.30000051608801</v>
      </c>
      <c r="M595" s="735">
        <v>59</v>
      </c>
      <c r="N595" s="736">
        <v>11876.700030449192</v>
      </c>
    </row>
    <row r="596" spans="1:14" ht="14.45" customHeight="1" x14ac:dyDescent="0.2">
      <c r="A596" s="730" t="s">
        <v>575</v>
      </c>
      <c r="B596" s="731" t="s">
        <v>576</v>
      </c>
      <c r="C596" s="732" t="s">
        <v>600</v>
      </c>
      <c r="D596" s="733" t="s">
        <v>601</v>
      </c>
      <c r="E596" s="734">
        <v>50113001</v>
      </c>
      <c r="F596" s="733" t="s">
        <v>609</v>
      </c>
      <c r="G596" s="732" t="s">
        <v>610</v>
      </c>
      <c r="H596" s="732">
        <v>165633</v>
      </c>
      <c r="I596" s="732">
        <v>165751</v>
      </c>
      <c r="J596" s="732" t="s">
        <v>1238</v>
      </c>
      <c r="K596" s="732" t="s">
        <v>1239</v>
      </c>
      <c r="L596" s="735">
        <v>3951.6399999999994</v>
      </c>
      <c r="M596" s="735">
        <v>11</v>
      </c>
      <c r="N596" s="736">
        <v>43468.039999999994</v>
      </c>
    </row>
    <row r="597" spans="1:14" ht="14.45" customHeight="1" x14ac:dyDescent="0.2">
      <c r="A597" s="730" t="s">
        <v>575</v>
      </c>
      <c r="B597" s="731" t="s">
        <v>576</v>
      </c>
      <c r="C597" s="732" t="s">
        <v>600</v>
      </c>
      <c r="D597" s="733" t="s">
        <v>601</v>
      </c>
      <c r="E597" s="734">
        <v>50113001</v>
      </c>
      <c r="F597" s="733" t="s">
        <v>609</v>
      </c>
      <c r="G597" s="732" t="s">
        <v>610</v>
      </c>
      <c r="H597" s="732">
        <v>47249</v>
      </c>
      <c r="I597" s="732">
        <v>47249</v>
      </c>
      <c r="J597" s="732" t="s">
        <v>823</v>
      </c>
      <c r="K597" s="732" t="s">
        <v>1244</v>
      </c>
      <c r="L597" s="735">
        <v>126.5</v>
      </c>
      <c r="M597" s="735">
        <v>19</v>
      </c>
      <c r="N597" s="736">
        <v>2403.5</v>
      </c>
    </row>
    <row r="598" spans="1:14" ht="14.45" customHeight="1" x14ac:dyDescent="0.2">
      <c r="A598" s="730" t="s">
        <v>575</v>
      </c>
      <c r="B598" s="731" t="s">
        <v>576</v>
      </c>
      <c r="C598" s="732" t="s">
        <v>600</v>
      </c>
      <c r="D598" s="733" t="s">
        <v>601</v>
      </c>
      <c r="E598" s="734">
        <v>50113001</v>
      </c>
      <c r="F598" s="733" t="s">
        <v>609</v>
      </c>
      <c r="G598" s="732" t="s">
        <v>610</v>
      </c>
      <c r="H598" s="732">
        <v>193746</v>
      </c>
      <c r="I598" s="732">
        <v>93746</v>
      </c>
      <c r="J598" s="732" t="s">
        <v>836</v>
      </c>
      <c r="K598" s="732" t="s">
        <v>837</v>
      </c>
      <c r="L598" s="735">
        <v>366.21999999999991</v>
      </c>
      <c r="M598" s="735">
        <v>210</v>
      </c>
      <c r="N598" s="736">
        <v>76906.199999999983</v>
      </c>
    </row>
    <row r="599" spans="1:14" ht="14.45" customHeight="1" x14ac:dyDescent="0.2">
      <c r="A599" s="730" t="s">
        <v>575</v>
      </c>
      <c r="B599" s="731" t="s">
        <v>576</v>
      </c>
      <c r="C599" s="732" t="s">
        <v>600</v>
      </c>
      <c r="D599" s="733" t="s">
        <v>601</v>
      </c>
      <c r="E599" s="734">
        <v>50113001</v>
      </c>
      <c r="F599" s="733" t="s">
        <v>609</v>
      </c>
      <c r="G599" s="732" t="s">
        <v>610</v>
      </c>
      <c r="H599" s="732">
        <v>214355</v>
      </c>
      <c r="I599" s="732">
        <v>214355</v>
      </c>
      <c r="J599" s="732" t="s">
        <v>843</v>
      </c>
      <c r="K599" s="732" t="s">
        <v>842</v>
      </c>
      <c r="L599" s="735">
        <v>215.41</v>
      </c>
      <c r="M599" s="735">
        <v>5</v>
      </c>
      <c r="N599" s="736">
        <v>1077.05</v>
      </c>
    </row>
    <row r="600" spans="1:14" ht="14.45" customHeight="1" x14ac:dyDescent="0.2">
      <c r="A600" s="730" t="s">
        <v>575</v>
      </c>
      <c r="B600" s="731" t="s">
        <v>576</v>
      </c>
      <c r="C600" s="732" t="s">
        <v>600</v>
      </c>
      <c r="D600" s="733" t="s">
        <v>601</v>
      </c>
      <c r="E600" s="734">
        <v>50113001</v>
      </c>
      <c r="F600" s="733" t="s">
        <v>609</v>
      </c>
      <c r="G600" s="732" t="s">
        <v>610</v>
      </c>
      <c r="H600" s="732">
        <v>51384</v>
      </c>
      <c r="I600" s="732">
        <v>51384</v>
      </c>
      <c r="J600" s="732" t="s">
        <v>850</v>
      </c>
      <c r="K600" s="732" t="s">
        <v>851</v>
      </c>
      <c r="L600" s="735">
        <v>192.5</v>
      </c>
      <c r="M600" s="735">
        <v>29</v>
      </c>
      <c r="N600" s="736">
        <v>5582.5</v>
      </c>
    </row>
    <row r="601" spans="1:14" ht="14.45" customHeight="1" x14ac:dyDescent="0.2">
      <c r="A601" s="730" t="s">
        <v>575</v>
      </c>
      <c r="B601" s="731" t="s">
        <v>576</v>
      </c>
      <c r="C601" s="732" t="s">
        <v>600</v>
      </c>
      <c r="D601" s="733" t="s">
        <v>601</v>
      </c>
      <c r="E601" s="734">
        <v>50113001</v>
      </c>
      <c r="F601" s="733" t="s">
        <v>609</v>
      </c>
      <c r="G601" s="732" t="s">
        <v>610</v>
      </c>
      <c r="H601" s="732">
        <v>51366</v>
      </c>
      <c r="I601" s="732">
        <v>51366</v>
      </c>
      <c r="J601" s="732" t="s">
        <v>850</v>
      </c>
      <c r="K601" s="732" t="s">
        <v>853</v>
      </c>
      <c r="L601" s="735">
        <v>171.6</v>
      </c>
      <c r="M601" s="735">
        <v>24</v>
      </c>
      <c r="N601" s="736">
        <v>4118.3999999999996</v>
      </c>
    </row>
    <row r="602" spans="1:14" ht="14.45" customHeight="1" x14ac:dyDescent="0.2">
      <c r="A602" s="730" t="s">
        <v>575</v>
      </c>
      <c r="B602" s="731" t="s">
        <v>576</v>
      </c>
      <c r="C602" s="732" t="s">
        <v>600</v>
      </c>
      <c r="D602" s="733" t="s">
        <v>601</v>
      </c>
      <c r="E602" s="734">
        <v>50113001</v>
      </c>
      <c r="F602" s="733" t="s">
        <v>609</v>
      </c>
      <c r="G602" s="732" t="s">
        <v>610</v>
      </c>
      <c r="H602" s="732">
        <v>51383</v>
      </c>
      <c r="I602" s="732">
        <v>51383</v>
      </c>
      <c r="J602" s="732" t="s">
        <v>850</v>
      </c>
      <c r="K602" s="732" t="s">
        <v>852</v>
      </c>
      <c r="L602" s="735">
        <v>93.5</v>
      </c>
      <c r="M602" s="735">
        <v>29</v>
      </c>
      <c r="N602" s="736">
        <v>2711.5</v>
      </c>
    </row>
    <row r="603" spans="1:14" ht="14.45" customHeight="1" x14ac:dyDescent="0.2">
      <c r="A603" s="730" t="s">
        <v>575</v>
      </c>
      <c r="B603" s="731" t="s">
        <v>576</v>
      </c>
      <c r="C603" s="732" t="s">
        <v>600</v>
      </c>
      <c r="D603" s="733" t="s">
        <v>601</v>
      </c>
      <c r="E603" s="734">
        <v>50113001</v>
      </c>
      <c r="F603" s="733" t="s">
        <v>609</v>
      </c>
      <c r="G603" s="732" t="s">
        <v>610</v>
      </c>
      <c r="H603" s="732">
        <v>157608</v>
      </c>
      <c r="I603" s="732">
        <v>57608</v>
      </c>
      <c r="J603" s="732" t="s">
        <v>862</v>
      </c>
      <c r="K603" s="732" t="s">
        <v>863</v>
      </c>
      <c r="L603" s="735">
        <v>109.55500000000001</v>
      </c>
      <c r="M603" s="735">
        <v>2</v>
      </c>
      <c r="N603" s="736">
        <v>219.11</v>
      </c>
    </row>
    <row r="604" spans="1:14" ht="14.45" customHeight="1" x14ac:dyDescent="0.2">
      <c r="A604" s="730" t="s">
        <v>575</v>
      </c>
      <c r="B604" s="731" t="s">
        <v>576</v>
      </c>
      <c r="C604" s="732" t="s">
        <v>600</v>
      </c>
      <c r="D604" s="733" t="s">
        <v>601</v>
      </c>
      <c r="E604" s="734">
        <v>50113001</v>
      </c>
      <c r="F604" s="733" t="s">
        <v>609</v>
      </c>
      <c r="G604" s="732" t="s">
        <v>610</v>
      </c>
      <c r="H604" s="732">
        <v>394712</v>
      </c>
      <c r="I604" s="732">
        <v>0</v>
      </c>
      <c r="J604" s="732" t="s">
        <v>1254</v>
      </c>
      <c r="K604" s="732" t="s">
        <v>1255</v>
      </c>
      <c r="L604" s="735">
        <v>28.75</v>
      </c>
      <c r="M604" s="735">
        <v>468</v>
      </c>
      <c r="N604" s="736">
        <v>13455</v>
      </c>
    </row>
    <row r="605" spans="1:14" ht="14.45" customHeight="1" x14ac:dyDescent="0.2">
      <c r="A605" s="730" t="s">
        <v>575</v>
      </c>
      <c r="B605" s="731" t="s">
        <v>576</v>
      </c>
      <c r="C605" s="732" t="s">
        <v>600</v>
      </c>
      <c r="D605" s="733" t="s">
        <v>601</v>
      </c>
      <c r="E605" s="734">
        <v>50113001</v>
      </c>
      <c r="F605" s="733" t="s">
        <v>609</v>
      </c>
      <c r="G605" s="732" t="s">
        <v>610</v>
      </c>
      <c r="H605" s="732">
        <v>231686</v>
      </c>
      <c r="I605" s="732">
        <v>231686</v>
      </c>
      <c r="J605" s="732" t="s">
        <v>1421</v>
      </c>
      <c r="K605" s="732" t="s">
        <v>1422</v>
      </c>
      <c r="L605" s="735">
        <v>290.54000000000002</v>
      </c>
      <c r="M605" s="735">
        <v>7</v>
      </c>
      <c r="N605" s="736">
        <v>2033.7800000000002</v>
      </c>
    </row>
    <row r="606" spans="1:14" ht="14.45" customHeight="1" x14ac:dyDescent="0.2">
      <c r="A606" s="730" t="s">
        <v>575</v>
      </c>
      <c r="B606" s="731" t="s">
        <v>576</v>
      </c>
      <c r="C606" s="732" t="s">
        <v>600</v>
      </c>
      <c r="D606" s="733" t="s">
        <v>601</v>
      </c>
      <c r="E606" s="734">
        <v>50113001</v>
      </c>
      <c r="F606" s="733" t="s">
        <v>609</v>
      </c>
      <c r="G606" s="732" t="s">
        <v>610</v>
      </c>
      <c r="H606" s="732">
        <v>134824</v>
      </c>
      <c r="I606" s="732">
        <v>134824</v>
      </c>
      <c r="J606" s="732" t="s">
        <v>1423</v>
      </c>
      <c r="K606" s="732" t="s">
        <v>1424</v>
      </c>
      <c r="L606" s="735">
        <v>326.47444444444449</v>
      </c>
      <c r="M606" s="735">
        <v>9</v>
      </c>
      <c r="N606" s="736">
        <v>2938.2700000000004</v>
      </c>
    </row>
    <row r="607" spans="1:14" ht="14.45" customHeight="1" x14ac:dyDescent="0.2">
      <c r="A607" s="730" t="s">
        <v>575</v>
      </c>
      <c r="B607" s="731" t="s">
        <v>576</v>
      </c>
      <c r="C607" s="732" t="s">
        <v>600</v>
      </c>
      <c r="D607" s="733" t="s">
        <v>601</v>
      </c>
      <c r="E607" s="734">
        <v>50113001</v>
      </c>
      <c r="F607" s="733" t="s">
        <v>609</v>
      </c>
      <c r="G607" s="732" t="s">
        <v>610</v>
      </c>
      <c r="H607" s="732">
        <v>102486</v>
      </c>
      <c r="I607" s="732">
        <v>2486</v>
      </c>
      <c r="J607" s="732" t="s">
        <v>1425</v>
      </c>
      <c r="K607" s="732" t="s">
        <v>1426</v>
      </c>
      <c r="L607" s="735">
        <v>123.37333333333335</v>
      </c>
      <c r="M607" s="735">
        <v>18</v>
      </c>
      <c r="N607" s="736">
        <v>2220.7200000000003</v>
      </c>
    </row>
    <row r="608" spans="1:14" ht="14.45" customHeight="1" x14ac:dyDescent="0.2">
      <c r="A608" s="730" t="s">
        <v>575</v>
      </c>
      <c r="B608" s="731" t="s">
        <v>576</v>
      </c>
      <c r="C608" s="732" t="s">
        <v>600</v>
      </c>
      <c r="D608" s="733" t="s">
        <v>601</v>
      </c>
      <c r="E608" s="734">
        <v>50113001</v>
      </c>
      <c r="F608" s="733" t="s">
        <v>609</v>
      </c>
      <c r="G608" s="732" t="s">
        <v>610</v>
      </c>
      <c r="H608" s="732">
        <v>107678</v>
      </c>
      <c r="I608" s="732">
        <v>107678</v>
      </c>
      <c r="J608" s="732" t="s">
        <v>868</v>
      </c>
      <c r="K608" s="732" t="s">
        <v>1427</v>
      </c>
      <c r="L608" s="735">
        <v>487.80590393209872</v>
      </c>
      <c r="M608" s="735">
        <v>2</v>
      </c>
      <c r="N608" s="736">
        <v>975.61180786419743</v>
      </c>
    </row>
    <row r="609" spans="1:14" ht="14.45" customHeight="1" x14ac:dyDescent="0.2">
      <c r="A609" s="730" t="s">
        <v>575</v>
      </c>
      <c r="B609" s="731" t="s">
        <v>576</v>
      </c>
      <c r="C609" s="732" t="s">
        <v>600</v>
      </c>
      <c r="D609" s="733" t="s">
        <v>601</v>
      </c>
      <c r="E609" s="734">
        <v>50113001</v>
      </c>
      <c r="F609" s="733" t="s">
        <v>609</v>
      </c>
      <c r="G609" s="732" t="s">
        <v>610</v>
      </c>
      <c r="H609" s="732">
        <v>900881</v>
      </c>
      <c r="I609" s="732">
        <v>0</v>
      </c>
      <c r="J609" s="732" t="s">
        <v>1428</v>
      </c>
      <c r="K609" s="732" t="s">
        <v>329</v>
      </c>
      <c r="L609" s="735">
        <v>152.8176501931643</v>
      </c>
      <c r="M609" s="735">
        <v>1</v>
      </c>
      <c r="N609" s="736">
        <v>152.8176501931643</v>
      </c>
    </row>
    <row r="610" spans="1:14" ht="14.45" customHeight="1" x14ac:dyDescent="0.2">
      <c r="A610" s="730" t="s">
        <v>575</v>
      </c>
      <c r="B610" s="731" t="s">
        <v>576</v>
      </c>
      <c r="C610" s="732" t="s">
        <v>600</v>
      </c>
      <c r="D610" s="733" t="s">
        <v>601</v>
      </c>
      <c r="E610" s="734">
        <v>50113001</v>
      </c>
      <c r="F610" s="733" t="s">
        <v>609</v>
      </c>
      <c r="G610" s="732" t="s">
        <v>610</v>
      </c>
      <c r="H610" s="732">
        <v>900441</v>
      </c>
      <c r="I610" s="732">
        <v>0</v>
      </c>
      <c r="J610" s="732" t="s">
        <v>1260</v>
      </c>
      <c r="K610" s="732" t="s">
        <v>1261</v>
      </c>
      <c r="L610" s="735">
        <v>425.63417269237624</v>
      </c>
      <c r="M610" s="735">
        <v>2</v>
      </c>
      <c r="N610" s="736">
        <v>851.26834538475248</v>
      </c>
    </row>
    <row r="611" spans="1:14" ht="14.45" customHeight="1" x14ac:dyDescent="0.2">
      <c r="A611" s="730" t="s">
        <v>575</v>
      </c>
      <c r="B611" s="731" t="s">
        <v>576</v>
      </c>
      <c r="C611" s="732" t="s">
        <v>600</v>
      </c>
      <c r="D611" s="733" t="s">
        <v>601</v>
      </c>
      <c r="E611" s="734">
        <v>50113001</v>
      </c>
      <c r="F611" s="733" t="s">
        <v>609</v>
      </c>
      <c r="G611" s="732" t="s">
        <v>610</v>
      </c>
      <c r="H611" s="732">
        <v>500989</v>
      </c>
      <c r="I611" s="732">
        <v>0</v>
      </c>
      <c r="J611" s="732" t="s">
        <v>1429</v>
      </c>
      <c r="K611" s="732" t="s">
        <v>329</v>
      </c>
      <c r="L611" s="735">
        <v>89.484120990799468</v>
      </c>
      <c r="M611" s="735">
        <v>41</v>
      </c>
      <c r="N611" s="736">
        <v>3668.8489606227781</v>
      </c>
    </row>
    <row r="612" spans="1:14" ht="14.45" customHeight="1" x14ac:dyDescent="0.2">
      <c r="A612" s="730" t="s">
        <v>575</v>
      </c>
      <c r="B612" s="731" t="s">
        <v>576</v>
      </c>
      <c r="C612" s="732" t="s">
        <v>600</v>
      </c>
      <c r="D612" s="733" t="s">
        <v>601</v>
      </c>
      <c r="E612" s="734">
        <v>50113001</v>
      </c>
      <c r="F612" s="733" t="s">
        <v>609</v>
      </c>
      <c r="G612" s="732" t="s">
        <v>610</v>
      </c>
      <c r="H612" s="732">
        <v>500979</v>
      </c>
      <c r="I612" s="732">
        <v>0</v>
      </c>
      <c r="J612" s="732" t="s">
        <v>1430</v>
      </c>
      <c r="K612" s="732" t="s">
        <v>329</v>
      </c>
      <c r="L612" s="735">
        <v>112.46927839856929</v>
      </c>
      <c r="M612" s="735">
        <v>4</v>
      </c>
      <c r="N612" s="736">
        <v>449.87711359427715</v>
      </c>
    </row>
    <row r="613" spans="1:14" ht="14.45" customHeight="1" x14ac:dyDescent="0.2">
      <c r="A613" s="730" t="s">
        <v>575</v>
      </c>
      <c r="B613" s="731" t="s">
        <v>576</v>
      </c>
      <c r="C613" s="732" t="s">
        <v>600</v>
      </c>
      <c r="D613" s="733" t="s">
        <v>601</v>
      </c>
      <c r="E613" s="734">
        <v>50113001</v>
      </c>
      <c r="F613" s="733" t="s">
        <v>609</v>
      </c>
      <c r="G613" s="732" t="s">
        <v>610</v>
      </c>
      <c r="H613" s="732">
        <v>237970</v>
      </c>
      <c r="I613" s="732">
        <v>237970</v>
      </c>
      <c r="J613" s="732" t="s">
        <v>1431</v>
      </c>
      <c r="K613" s="732" t="s">
        <v>1432</v>
      </c>
      <c r="L613" s="735">
        <v>79.78</v>
      </c>
      <c r="M613" s="735">
        <v>9</v>
      </c>
      <c r="N613" s="736">
        <v>718.02</v>
      </c>
    </row>
    <row r="614" spans="1:14" ht="14.45" customHeight="1" x14ac:dyDescent="0.2">
      <c r="A614" s="730" t="s">
        <v>575</v>
      </c>
      <c r="B614" s="731" t="s">
        <v>576</v>
      </c>
      <c r="C614" s="732" t="s">
        <v>600</v>
      </c>
      <c r="D614" s="733" t="s">
        <v>601</v>
      </c>
      <c r="E614" s="734">
        <v>50113001</v>
      </c>
      <c r="F614" s="733" t="s">
        <v>609</v>
      </c>
      <c r="G614" s="732" t="s">
        <v>610</v>
      </c>
      <c r="H614" s="732">
        <v>237330</v>
      </c>
      <c r="I614" s="732">
        <v>237330</v>
      </c>
      <c r="J614" s="732" t="s">
        <v>907</v>
      </c>
      <c r="K614" s="732" t="s">
        <v>908</v>
      </c>
      <c r="L614" s="735">
        <v>113.05999999999999</v>
      </c>
      <c r="M614" s="735">
        <v>19</v>
      </c>
      <c r="N614" s="736">
        <v>2148.14</v>
      </c>
    </row>
    <row r="615" spans="1:14" ht="14.45" customHeight="1" x14ac:dyDescent="0.2">
      <c r="A615" s="730" t="s">
        <v>575</v>
      </c>
      <c r="B615" s="731" t="s">
        <v>576</v>
      </c>
      <c r="C615" s="732" t="s">
        <v>600</v>
      </c>
      <c r="D615" s="733" t="s">
        <v>601</v>
      </c>
      <c r="E615" s="734">
        <v>50113001</v>
      </c>
      <c r="F615" s="733" t="s">
        <v>609</v>
      </c>
      <c r="G615" s="732" t="s">
        <v>610</v>
      </c>
      <c r="H615" s="732">
        <v>102684</v>
      </c>
      <c r="I615" s="732">
        <v>2684</v>
      </c>
      <c r="J615" s="732" t="s">
        <v>914</v>
      </c>
      <c r="K615" s="732" t="s">
        <v>915</v>
      </c>
      <c r="L615" s="735">
        <v>109.75</v>
      </c>
      <c r="M615" s="735">
        <v>22</v>
      </c>
      <c r="N615" s="736">
        <v>2414.5</v>
      </c>
    </row>
    <row r="616" spans="1:14" ht="14.45" customHeight="1" x14ac:dyDescent="0.2">
      <c r="A616" s="730" t="s">
        <v>575</v>
      </c>
      <c r="B616" s="731" t="s">
        <v>576</v>
      </c>
      <c r="C616" s="732" t="s">
        <v>600</v>
      </c>
      <c r="D616" s="733" t="s">
        <v>601</v>
      </c>
      <c r="E616" s="734">
        <v>50113001</v>
      </c>
      <c r="F616" s="733" t="s">
        <v>609</v>
      </c>
      <c r="G616" s="732" t="s">
        <v>625</v>
      </c>
      <c r="H616" s="732">
        <v>239964</v>
      </c>
      <c r="I616" s="732">
        <v>239964</v>
      </c>
      <c r="J616" s="732" t="s">
        <v>919</v>
      </c>
      <c r="K616" s="732" t="s">
        <v>920</v>
      </c>
      <c r="L616" s="735">
        <v>236.78</v>
      </c>
      <c r="M616" s="735">
        <v>4</v>
      </c>
      <c r="N616" s="736">
        <v>947.12</v>
      </c>
    </row>
    <row r="617" spans="1:14" ht="14.45" customHeight="1" x14ac:dyDescent="0.2">
      <c r="A617" s="730" t="s">
        <v>575</v>
      </c>
      <c r="B617" s="731" t="s">
        <v>576</v>
      </c>
      <c r="C617" s="732" t="s">
        <v>600</v>
      </c>
      <c r="D617" s="733" t="s">
        <v>601</v>
      </c>
      <c r="E617" s="734">
        <v>50113001</v>
      </c>
      <c r="F617" s="733" t="s">
        <v>609</v>
      </c>
      <c r="G617" s="732" t="s">
        <v>625</v>
      </c>
      <c r="H617" s="732">
        <v>239965</v>
      </c>
      <c r="I617" s="732">
        <v>239965</v>
      </c>
      <c r="J617" s="732" t="s">
        <v>919</v>
      </c>
      <c r="K617" s="732" t="s">
        <v>1276</v>
      </c>
      <c r="L617" s="735">
        <v>466.68</v>
      </c>
      <c r="M617" s="735">
        <v>3</v>
      </c>
      <c r="N617" s="736">
        <v>1400.04</v>
      </c>
    </row>
    <row r="618" spans="1:14" ht="14.45" customHeight="1" x14ac:dyDescent="0.2">
      <c r="A618" s="730" t="s">
        <v>575</v>
      </c>
      <c r="B618" s="731" t="s">
        <v>576</v>
      </c>
      <c r="C618" s="732" t="s">
        <v>600</v>
      </c>
      <c r="D618" s="733" t="s">
        <v>601</v>
      </c>
      <c r="E618" s="734">
        <v>50113001</v>
      </c>
      <c r="F618" s="733" t="s">
        <v>609</v>
      </c>
      <c r="G618" s="732" t="s">
        <v>625</v>
      </c>
      <c r="H618" s="732">
        <v>127737</v>
      </c>
      <c r="I618" s="732">
        <v>127737</v>
      </c>
      <c r="J618" s="732" t="s">
        <v>919</v>
      </c>
      <c r="K618" s="732" t="s">
        <v>920</v>
      </c>
      <c r="L618" s="735">
        <v>67.39</v>
      </c>
      <c r="M618" s="735">
        <v>2</v>
      </c>
      <c r="N618" s="736">
        <v>134.78</v>
      </c>
    </row>
    <row r="619" spans="1:14" ht="14.45" customHeight="1" x14ac:dyDescent="0.2">
      <c r="A619" s="730" t="s">
        <v>575</v>
      </c>
      <c r="B619" s="731" t="s">
        <v>576</v>
      </c>
      <c r="C619" s="732" t="s">
        <v>600</v>
      </c>
      <c r="D619" s="733" t="s">
        <v>601</v>
      </c>
      <c r="E619" s="734">
        <v>50113001</v>
      </c>
      <c r="F619" s="733" t="s">
        <v>609</v>
      </c>
      <c r="G619" s="732" t="s">
        <v>625</v>
      </c>
      <c r="H619" s="732">
        <v>127738</v>
      </c>
      <c r="I619" s="732">
        <v>127738</v>
      </c>
      <c r="J619" s="732" t="s">
        <v>919</v>
      </c>
      <c r="K619" s="732" t="s">
        <v>1276</v>
      </c>
      <c r="L619" s="735">
        <v>466.67999999999995</v>
      </c>
      <c r="M619" s="735">
        <v>14</v>
      </c>
      <c r="N619" s="736">
        <v>6533.5199999999995</v>
      </c>
    </row>
    <row r="620" spans="1:14" ht="14.45" customHeight="1" x14ac:dyDescent="0.2">
      <c r="A620" s="730" t="s">
        <v>575</v>
      </c>
      <c r="B620" s="731" t="s">
        <v>576</v>
      </c>
      <c r="C620" s="732" t="s">
        <v>600</v>
      </c>
      <c r="D620" s="733" t="s">
        <v>601</v>
      </c>
      <c r="E620" s="734">
        <v>50113001</v>
      </c>
      <c r="F620" s="733" t="s">
        <v>609</v>
      </c>
      <c r="G620" s="732" t="s">
        <v>329</v>
      </c>
      <c r="H620" s="732">
        <v>224479</v>
      </c>
      <c r="I620" s="732">
        <v>224479</v>
      </c>
      <c r="J620" s="732" t="s">
        <v>1433</v>
      </c>
      <c r="K620" s="732" t="s">
        <v>1434</v>
      </c>
      <c r="L620" s="735">
        <v>222.99</v>
      </c>
      <c r="M620" s="735">
        <v>2</v>
      </c>
      <c r="N620" s="736">
        <v>445.98</v>
      </c>
    </row>
    <row r="621" spans="1:14" ht="14.45" customHeight="1" x14ac:dyDescent="0.2">
      <c r="A621" s="730" t="s">
        <v>575</v>
      </c>
      <c r="B621" s="731" t="s">
        <v>576</v>
      </c>
      <c r="C621" s="732" t="s">
        <v>600</v>
      </c>
      <c r="D621" s="733" t="s">
        <v>601</v>
      </c>
      <c r="E621" s="734">
        <v>50113001</v>
      </c>
      <c r="F621" s="733" t="s">
        <v>609</v>
      </c>
      <c r="G621" s="732" t="s">
        <v>610</v>
      </c>
      <c r="H621" s="732">
        <v>194763</v>
      </c>
      <c r="I621" s="732">
        <v>94763</v>
      </c>
      <c r="J621" s="732" t="s">
        <v>1435</v>
      </c>
      <c r="K621" s="732" t="s">
        <v>1436</v>
      </c>
      <c r="L621" s="735">
        <v>212.52</v>
      </c>
      <c r="M621" s="735">
        <v>1</v>
      </c>
      <c r="N621" s="736">
        <v>212.52</v>
      </c>
    </row>
    <row r="622" spans="1:14" ht="14.45" customHeight="1" x14ac:dyDescent="0.2">
      <c r="A622" s="730" t="s">
        <v>575</v>
      </c>
      <c r="B622" s="731" t="s">
        <v>576</v>
      </c>
      <c r="C622" s="732" t="s">
        <v>600</v>
      </c>
      <c r="D622" s="733" t="s">
        <v>601</v>
      </c>
      <c r="E622" s="734">
        <v>50113001</v>
      </c>
      <c r="F622" s="733" t="s">
        <v>609</v>
      </c>
      <c r="G622" s="732" t="s">
        <v>610</v>
      </c>
      <c r="H622" s="732">
        <v>104307</v>
      </c>
      <c r="I622" s="732">
        <v>4307</v>
      </c>
      <c r="J622" s="732" t="s">
        <v>943</v>
      </c>
      <c r="K622" s="732" t="s">
        <v>944</v>
      </c>
      <c r="L622" s="735">
        <v>347.78</v>
      </c>
      <c r="M622" s="735">
        <v>1</v>
      </c>
      <c r="N622" s="736">
        <v>347.78</v>
      </c>
    </row>
    <row r="623" spans="1:14" ht="14.45" customHeight="1" x14ac:dyDescent="0.2">
      <c r="A623" s="730" t="s">
        <v>575</v>
      </c>
      <c r="B623" s="731" t="s">
        <v>576</v>
      </c>
      <c r="C623" s="732" t="s">
        <v>600</v>
      </c>
      <c r="D623" s="733" t="s">
        <v>601</v>
      </c>
      <c r="E623" s="734">
        <v>50113001</v>
      </c>
      <c r="F623" s="733" t="s">
        <v>609</v>
      </c>
      <c r="G623" s="732" t="s">
        <v>625</v>
      </c>
      <c r="H623" s="732">
        <v>100536</v>
      </c>
      <c r="I623" s="732">
        <v>536</v>
      </c>
      <c r="J623" s="732" t="s">
        <v>945</v>
      </c>
      <c r="K623" s="732" t="s">
        <v>616</v>
      </c>
      <c r="L623" s="735">
        <v>49.320000000000007</v>
      </c>
      <c r="M623" s="735">
        <v>176</v>
      </c>
      <c r="N623" s="736">
        <v>8680.3200000000015</v>
      </c>
    </row>
    <row r="624" spans="1:14" ht="14.45" customHeight="1" x14ac:dyDescent="0.2">
      <c r="A624" s="730" t="s">
        <v>575</v>
      </c>
      <c r="B624" s="731" t="s">
        <v>576</v>
      </c>
      <c r="C624" s="732" t="s">
        <v>600</v>
      </c>
      <c r="D624" s="733" t="s">
        <v>601</v>
      </c>
      <c r="E624" s="734">
        <v>50113001</v>
      </c>
      <c r="F624" s="733" t="s">
        <v>609</v>
      </c>
      <c r="G624" s="732" t="s">
        <v>625</v>
      </c>
      <c r="H624" s="732">
        <v>187607</v>
      </c>
      <c r="I624" s="732">
        <v>187607</v>
      </c>
      <c r="J624" s="732" t="s">
        <v>1288</v>
      </c>
      <c r="K624" s="732" t="s">
        <v>1289</v>
      </c>
      <c r="L624" s="735">
        <v>273.89999999999998</v>
      </c>
      <c r="M624" s="735">
        <v>2</v>
      </c>
      <c r="N624" s="736">
        <v>547.79999999999995</v>
      </c>
    </row>
    <row r="625" spans="1:14" ht="14.45" customHeight="1" x14ac:dyDescent="0.2">
      <c r="A625" s="730" t="s">
        <v>575</v>
      </c>
      <c r="B625" s="731" t="s">
        <v>576</v>
      </c>
      <c r="C625" s="732" t="s">
        <v>600</v>
      </c>
      <c r="D625" s="733" t="s">
        <v>601</v>
      </c>
      <c r="E625" s="734">
        <v>50113001</v>
      </c>
      <c r="F625" s="733" t="s">
        <v>609</v>
      </c>
      <c r="G625" s="732" t="s">
        <v>610</v>
      </c>
      <c r="H625" s="732">
        <v>100874</v>
      </c>
      <c r="I625" s="732">
        <v>874</v>
      </c>
      <c r="J625" s="732" t="s">
        <v>1290</v>
      </c>
      <c r="K625" s="732" t="s">
        <v>1291</v>
      </c>
      <c r="L625" s="735">
        <v>79.697272727272718</v>
      </c>
      <c r="M625" s="735">
        <v>22</v>
      </c>
      <c r="N625" s="736">
        <v>1753.34</v>
      </c>
    </row>
    <row r="626" spans="1:14" ht="14.45" customHeight="1" x14ac:dyDescent="0.2">
      <c r="A626" s="730" t="s">
        <v>575</v>
      </c>
      <c r="B626" s="731" t="s">
        <v>576</v>
      </c>
      <c r="C626" s="732" t="s">
        <v>600</v>
      </c>
      <c r="D626" s="733" t="s">
        <v>601</v>
      </c>
      <c r="E626" s="734">
        <v>50113001</v>
      </c>
      <c r="F626" s="733" t="s">
        <v>609</v>
      </c>
      <c r="G626" s="732" t="s">
        <v>610</v>
      </c>
      <c r="H626" s="732">
        <v>100876</v>
      </c>
      <c r="I626" s="732">
        <v>876</v>
      </c>
      <c r="J626" s="732" t="s">
        <v>952</v>
      </c>
      <c r="K626" s="732" t="s">
        <v>1291</v>
      </c>
      <c r="L626" s="735">
        <v>73.609999999999985</v>
      </c>
      <c r="M626" s="735">
        <v>1</v>
      </c>
      <c r="N626" s="736">
        <v>73.609999999999985</v>
      </c>
    </row>
    <row r="627" spans="1:14" ht="14.45" customHeight="1" x14ac:dyDescent="0.2">
      <c r="A627" s="730" t="s">
        <v>575</v>
      </c>
      <c r="B627" s="731" t="s">
        <v>576</v>
      </c>
      <c r="C627" s="732" t="s">
        <v>600</v>
      </c>
      <c r="D627" s="733" t="s">
        <v>601</v>
      </c>
      <c r="E627" s="734">
        <v>50113001</v>
      </c>
      <c r="F627" s="733" t="s">
        <v>609</v>
      </c>
      <c r="G627" s="732" t="s">
        <v>610</v>
      </c>
      <c r="H627" s="732">
        <v>200863</v>
      </c>
      <c r="I627" s="732">
        <v>200863</v>
      </c>
      <c r="J627" s="732" t="s">
        <v>952</v>
      </c>
      <c r="K627" s="732" t="s">
        <v>953</v>
      </c>
      <c r="L627" s="735">
        <v>85.45</v>
      </c>
      <c r="M627" s="735">
        <v>2</v>
      </c>
      <c r="N627" s="736">
        <v>170.9</v>
      </c>
    </row>
    <row r="628" spans="1:14" ht="14.45" customHeight="1" x14ac:dyDescent="0.2">
      <c r="A628" s="730" t="s">
        <v>575</v>
      </c>
      <c r="B628" s="731" t="s">
        <v>576</v>
      </c>
      <c r="C628" s="732" t="s">
        <v>600</v>
      </c>
      <c r="D628" s="733" t="s">
        <v>601</v>
      </c>
      <c r="E628" s="734">
        <v>50113001</v>
      </c>
      <c r="F628" s="733" t="s">
        <v>609</v>
      </c>
      <c r="G628" s="732" t="s">
        <v>625</v>
      </c>
      <c r="H628" s="732">
        <v>118172</v>
      </c>
      <c r="I628" s="732">
        <v>18172</v>
      </c>
      <c r="J628" s="732" t="s">
        <v>969</v>
      </c>
      <c r="K628" s="732" t="s">
        <v>1296</v>
      </c>
      <c r="L628" s="735">
        <v>390.5</v>
      </c>
      <c r="M628" s="735">
        <v>14</v>
      </c>
      <c r="N628" s="736">
        <v>5467</v>
      </c>
    </row>
    <row r="629" spans="1:14" ht="14.45" customHeight="1" x14ac:dyDescent="0.2">
      <c r="A629" s="730" t="s">
        <v>575</v>
      </c>
      <c r="B629" s="731" t="s">
        <v>576</v>
      </c>
      <c r="C629" s="732" t="s">
        <v>600</v>
      </c>
      <c r="D629" s="733" t="s">
        <v>601</v>
      </c>
      <c r="E629" s="734">
        <v>50113001</v>
      </c>
      <c r="F629" s="733" t="s">
        <v>609</v>
      </c>
      <c r="G629" s="732" t="s">
        <v>625</v>
      </c>
      <c r="H629" s="732">
        <v>118175</v>
      </c>
      <c r="I629" s="732">
        <v>18175</v>
      </c>
      <c r="J629" s="732" t="s">
        <v>969</v>
      </c>
      <c r="K629" s="732" t="s">
        <v>1297</v>
      </c>
      <c r="L629" s="735">
        <v>627</v>
      </c>
      <c r="M629" s="735">
        <v>7</v>
      </c>
      <c r="N629" s="736">
        <v>4389</v>
      </c>
    </row>
    <row r="630" spans="1:14" ht="14.45" customHeight="1" x14ac:dyDescent="0.2">
      <c r="A630" s="730" t="s">
        <v>575</v>
      </c>
      <c r="B630" s="731" t="s">
        <v>576</v>
      </c>
      <c r="C630" s="732" t="s">
        <v>600</v>
      </c>
      <c r="D630" s="733" t="s">
        <v>601</v>
      </c>
      <c r="E630" s="734">
        <v>50113001</v>
      </c>
      <c r="F630" s="733" t="s">
        <v>609</v>
      </c>
      <c r="G630" s="732" t="s">
        <v>610</v>
      </c>
      <c r="H630" s="732">
        <v>207776</v>
      </c>
      <c r="I630" s="732">
        <v>207776</v>
      </c>
      <c r="J630" s="732" t="s">
        <v>1298</v>
      </c>
      <c r="K630" s="732" t="s">
        <v>1299</v>
      </c>
      <c r="L630" s="735">
        <v>257.64999999999998</v>
      </c>
      <c r="M630" s="735">
        <v>319</v>
      </c>
      <c r="N630" s="736">
        <v>82190.349999999991</v>
      </c>
    </row>
    <row r="631" spans="1:14" ht="14.45" customHeight="1" x14ac:dyDescent="0.2">
      <c r="A631" s="730" t="s">
        <v>575</v>
      </c>
      <c r="B631" s="731" t="s">
        <v>576</v>
      </c>
      <c r="C631" s="732" t="s">
        <v>600</v>
      </c>
      <c r="D631" s="733" t="s">
        <v>601</v>
      </c>
      <c r="E631" s="734">
        <v>50113001</v>
      </c>
      <c r="F631" s="733" t="s">
        <v>609</v>
      </c>
      <c r="G631" s="732" t="s">
        <v>610</v>
      </c>
      <c r="H631" s="732">
        <v>241679</v>
      </c>
      <c r="I631" s="732">
        <v>241679</v>
      </c>
      <c r="J631" s="732" t="s">
        <v>971</v>
      </c>
      <c r="K631" s="732" t="s">
        <v>972</v>
      </c>
      <c r="L631" s="735">
        <v>59.390000000000008</v>
      </c>
      <c r="M631" s="735">
        <v>6</v>
      </c>
      <c r="N631" s="736">
        <v>356.34000000000003</v>
      </c>
    </row>
    <row r="632" spans="1:14" ht="14.45" customHeight="1" x14ac:dyDescent="0.2">
      <c r="A632" s="730" t="s">
        <v>575</v>
      </c>
      <c r="B632" s="731" t="s">
        <v>576</v>
      </c>
      <c r="C632" s="732" t="s">
        <v>600</v>
      </c>
      <c r="D632" s="733" t="s">
        <v>601</v>
      </c>
      <c r="E632" s="734">
        <v>50113001</v>
      </c>
      <c r="F632" s="733" t="s">
        <v>609</v>
      </c>
      <c r="G632" s="732" t="s">
        <v>610</v>
      </c>
      <c r="H632" s="732">
        <v>161489</v>
      </c>
      <c r="I632" s="732">
        <v>161489</v>
      </c>
      <c r="J632" s="732" t="s">
        <v>1437</v>
      </c>
      <c r="K632" s="732" t="s">
        <v>1438</v>
      </c>
      <c r="L632" s="735">
        <v>784.14600000000019</v>
      </c>
      <c r="M632" s="735">
        <v>1</v>
      </c>
      <c r="N632" s="736">
        <v>784.14600000000019</v>
      </c>
    </row>
    <row r="633" spans="1:14" ht="14.45" customHeight="1" x14ac:dyDescent="0.2">
      <c r="A633" s="730" t="s">
        <v>575</v>
      </c>
      <c r="B633" s="731" t="s">
        <v>576</v>
      </c>
      <c r="C633" s="732" t="s">
        <v>600</v>
      </c>
      <c r="D633" s="733" t="s">
        <v>601</v>
      </c>
      <c r="E633" s="734">
        <v>50113001</v>
      </c>
      <c r="F633" s="733" t="s">
        <v>609</v>
      </c>
      <c r="G633" s="732" t="s">
        <v>610</v>
      </c>
      <c r="H633" s="732">
        <v>118304</v>
      </c>
      <c r="I633" s="732">
        <v>18304</v>
      </c>
      <c r="J633" s="732" t="s">
        <v>973</v>
      </c>
      <c r="K633" s="732" t="s">
        <v>1439</v>
      </c>
      <c r="L633" s="735">
        <v>185.61</v>
      </c>
      <c r="M633" s="735">
        <v>62</v>
      </c>
      <c r="N633" s="736">
        <v>11507.820000000002</v>
      </c>
    </row>
    <row r="634" spans="1:14" ht="14.45" customHeight="1" x14ac:dyDescent="0.2">
      <c r="A634" s="730" t="s">
        <v>575</v>
      </c>
      <c r="B634" s="731" t="s">
        <v>576</v>
      </c>
      <c r="C634" s="732" t="s">
        <v>600</v>
      </c>
      <c r="D634" s="733" t="s">
        <v>601</v>
      </c>
      <c r="E634" s="734">
        <v>50113001</v>
      </c>
      <c r="F634" s="733" t="s">
        <v>609</v>
      </c>
      <c r="G634" s="732" t="s">
        <v>610</v>
      </c>
      <c r="H634" s="732">
        <v>118305</v>
      </c>
      <c r="I634" s="732">
        <v>18305</v>
      </c>
      <c r="J634" s="732" t="s">
        <v>973</v>
      </c>
      <c r="K634" s="732" t="s">
        <v>974</v>
      </c>
      <c r="L634" s="735">
        <v>242</v>
      </c>
      <c r="M634" s="735">
        <v>44</v>
      </c>
      <c r="N634" s="736">
        <v>10648</v>
      </c>
    </row>
    <row r="635" spans="1:14" ht="14.45" customHeight="1" x14ac:dyDescent="0.2">
      <c r="A635" s="730" t="s">
        <v>575</v>
      </c>
      <c r="B635" s="731" t="s">
        <v>576</v>
      </c>
      <c r="C635" s="732" t="s">
        <v>600</v>
      </c>
      <c r="D635" s="733" t="s">
        <v>601</v>
      </c>
      <c r="E635" s="734">
        <v>50113001</v>
      </c>
      <c r="F635" s="733" t="s">
        <v>609</v>
      </c>
      <c r="G635" s="732" t="s">
        <v>610</v>
      </c>
      <c r="H635" s="732">
        <v>159357</v>
      </c>
      <c r="I635" s="732">
        <v>59357</v>
      </c>
      <c r="J635" s="732" t="s">
        <v>975</v>
      </c>
      <c r="K635" s="732" t="s">
        <v>976</v>
      </c>
      <c r="L635" s="735">
        <v>188.88000000000005</v>
      </c>
      <c r="M635" s="735">
        <v>34</v>
      </c>
      <c r="N635" s="736">
        <v>6421.9200000000019</v>
      </c>
    </row>
    <row r="636" spans="1:14" ht="14.45" customHeight="1" x14ac:dyDescent="0.2">
      <c r="A636" s="730" t="s">
        <v>575</v>
      </c>
      <c r="B636" s="731" t="s">
        <v>576</v>
      </c>
      <c r="C636" s="732" t="s">
        <v>600</v>
      </c>
      <c r="D636" s="733" t="s">
        <v>601</v>
      </c>
      <c r="E636" s="734">
        <v>50113001</v>
      </c>
      <c r="F636" s="733" t="s">
        <v>609</v>
      </c>
      <c r="G636" s="732" t="s">
        <v>329</v>
      </c>
      <c r="H636" s="732">
        <v>235904</v>
      </c>
      <c r="I636" s="732">
        <v>235904</v>
      </c>
      <c r="J636" s="732" t="s">
        <v>1440</v>
      </c>
      <c r="K636" s="732" t="s">
        <v>1441</v>
      </c>
      <c r="L636" s="735">
        <v>1430</v>
      </c>
      <c r="M636" s="735">
        <v>4</v>
      </c>
      <c r="N636" s="736">
        <v>5720</v>
      </c>
    </row>
    <row r="637" spans="1:14" ht="14.45" customHeight="1" x14ac:dyDescent="0.2">
      <c r="A637" s="730" t="s">
        <v>575</v>
      </c>
      <c r="B637" s="731" t="s">
        <v>576</v>
      </c>
      <c r="C637" s="732" t="s">
        <v>600</v>
      </c>
      <c r="D637" s="733" t="s">
        <v>601</v>
      </c>
      <c r="E637" s="734">
        <v>50113001</v>
      </c>
      <c r="F637" s="733" t="s">
        <v>609</v>
      </c>
      <c r="G637" s="732" t="s">
        <v>329</v>
      </c>
      <c r="H637" s="732">
        <v>846853</v>
      </c>
      <c r="I637" s="732">
        <v>124418</v>
      </c>
      <c r="J637" s="732" t="s">
        <v>1440</v>
      </c>
      <c r="K637" s="732" t="s">
        <v>918</v>
      </c>
      <c r="L637" s="735">
        <v>715</v>
      </c>
      <c r="M637" s="735">
        <v>15</v>
      </c>
      <c r="N637" s="736">
        <v>10725</v>
      </c>
    </row>
    <row r="638" spans="1:14" ht="14.45" customHeight="1" x14ac:dyDescent="0.2">
      <c r="A638" s="730" t="s">
        <v>575</v>
      </c>
      <c r="B638" s="731" t="s">
        <v>576</v>
      </c>
      <c r="C638" s="732" t="s">
        <v>600</v>
      </c>
      <c r="D638" s="733" t="s">
        <v>601</v>
      </c>
      <c r="E638" s="734">
        <v>50113001</v>
      </c>
      <c r="F638" s="733" t="s">
        <v>609</v>
      </c>
      <c r="G638" s="732" t="s">
        <v>625</v>
      </c>
      <c r="H638" s="732">
        <v>220105</v>
      </c>
      <c r="I638" s="732">
        <v>220105</v>
      </c>
      <c r="J638" s="732" t="s">
        <v>1302</v>
      </c>
      <c r="K638" s="732" t="s">
        <v>1303</v>
      </c>
      <c r="L638" s="735">
        <v>507.5</v>
      </c>
      <c r="M638" s="735">
        <v>44</v>
      </c>
      <c r="N638" s="736">
        <v>22330</v>
      </c>
    </row>
    <row r="639" spans="1:14" ht="14.45" customHeight="1" x14ac:dyDescent="0.2">
      <c r="A639" s="730" t="s">
        <v>575</v>
      </c>
      <c r="B639" s="731" t="s">
        <v>576</v>
      </c>
      <c r="C639" s="732" t="s">
        <v>600</v>
      </c>
      <c r="D639" s="733" t="s">
        <v>601</v>
      </c>
      <c r="E639" s="734">
        <v>50113001</v>
      </c>
      <c r="F639" s="733" t="s">
        <v>609</v>
      </c>
      <c r="G639" s="732" t="s">
        <v>625</v>
      </c>
      <c r="H639" s="732">
        <v>160320</v>
      </c>
      <c r="I639" s="732">
        <v>160320</v>
      </c>
      <c r="J639" s="732" t="s">
        <v>1442</v>
      </c>
      <c r="K639" s="732" t="s">
        <v>1443</v>
      </c>
      <c r="L639" s="735">
        <v>14907.588643533125</v>
      </c>
      <c r="M639" s="735">
        <v>3.17</v>
      </c>
      <c r="N639" s="736">
        <v>47257.056000000004</v>
      </c>
    </row>
    <row r="640" spans="1:14" ht="14.45" customHeight="1" x14ac:dyDescent="0.2">
      <c r="A640" s="730" t="s">
        <v>575</v>
      </c>
      <c r="B640" s="731" t="s">
        <v>576</v>
      </c>
      <c r="C640" s="732" t="s">
        <v>600</v>
      </c>
      <c r="D640" s="733" t="s">
        <v>601</v>
      </c>
      <c r="E640" s="734">
        <v>50113001</v>
      </c>
      <c r="F640" s="733" t="s">
        <v>609</v>
      </c>
      <c r="G640" s="732" t="s">
        <v>610</v>
      </c>
      <c r="H640" s="732">
        <v>200240</v>
      </c>
      <c r="I640" s="732">
        <v>200240</v>
      </c>
      <c r="J640" s="732" t="s">
        <v>1444</v>
      </c>
      <c r="K640" s="732" t="s">
        <v>1445</v>
      </c>
      <c r="L640" s="735">
        <v>0</v>
      </c>
      <c r="M640" s="735">
        <v>0</v>
      </c>
      <c r="N640" s="736">
        <v>0</v>
      </c>
    </row>
    <row r="641" spans="1:14" ht="14.45" customHeight="1" x14ac:dyDescent="0.2">
      <c r="A641" s="730" t="s">
        <v>575</v>
      </c>
      <c r="B641" s="731" t="s">
        <v>576</v>
      </c>
      <c r="C641" s="732" t="s">
        <v>600</v>
      </c>
      <c r="D641" s="733" t="s">
        <v>601</v>
      </c>
      <c r="E641" s="734">
        <v>50113001</v>
      </c>
      <c r="F641" s="733" t="s">
        <v>609</v>
      </c>
      <c r="G641" s="732" t="s">
        <v>625</v>
      </c>
      <c r="H641" s="732">
        <v>109711</v>
      </c>
      <c r="I641" s="732">
        <v>9711</v>
      </c>
      <c r="J641" s="732" t="s">
        <v>993</v>
      </c>
      <c r="K641" s="732" t="s">
        <v>1311</v>
      </c>
      <c r="L641" s="735">
        <v>171.17499999999998</v>
      </c>
      <c r="M641" s="735">
        <v>6</v>
      </c>
      <c r="N641" s="736">
        <v>1027.05</v>
      </c>
    </row>
    <row r="642" spans="1:14" ht="14.45" customHeight="1" x14ac:dyDescent="0.2">
      <c r="A642" s="730" t="s">
        <v>575</v>
      </c>
      <c r="B642" s="731" t="s">
        <v>576</v>
      </c>
      <c r="C642" s="732" t="s">
        <v>600</v>
      </c>
      <c r="D642" s="733" t="s">
        <v>601</v>
      </c>
      <c r="E642" s="734">
        <v>50113001</v>
      </c>
      <c r="F642" s="733" t="s">
        <v>609</v>
      </c>
      <c r="G642" s="732" t="s">
        <v>610</v>
      </c>
      <c r="H642" s="732">
        <v>173399</v>
      </c>
      <c r="I642" s="732">
        <v>173399</v>
      </c>
      <c r="J642" s="732" t="s">
        <v>1446</v>
      </c>
      <c r="K642" s="732" t="s">
        <v>1447</v>
      </c>
      <c r="L642" s="735">
        <v>12297.11</v>
      </c>
      <c r="M642" s="735">
        <v>17</v>
      </c>
      <c r="N642" s="736">
        <v>209050.87</v>
      </c>
    </row>
    <row r="643" spans="1:14" ht="14.45" customHeight="1" x14ac:dyDescent="0.2">
      <c r="A643" s="730" t="s">
        <v>575</v>
      </c>
      <c r="B643" s="731" t="s">
        <v>576</v>
      </c>
      <c r="C643" s="732" t="s">
        <v>600</v>
      </c>
      <c r="D643" s="733" t="s">
        <v>601</v>
      </c>
      <c r="E643" s="734">
        <v>50113001</v>
      </c>
      <c r="F643" s="733" t="s">
        <v>609</v>
      </c>
      <c r="G643" s="732" t="s">
        <v>610</v>
      </c>
      <c r="H643" s="732">
        <v>230920</v>
      </c>
      <c r="I643" s="732">
        <v>230920</v>
      </c>
      <c r="J643" s="732" t="s">
        <v>1314</v>
      </c>
      <c r="K643" s="732" t="s">
        <v>1315</v>
      </c>
      <c r="L643" s="735">
        <v>685.57</v>
      </c>
      <c r="M643" s="735">
        <v>48</v>
      </c>
      <c r="N643" s="736">
        <v>32907.360000000001</v>
      </c>
    </row>
    <row r="644" spans="1:14" ht="14.45" customHeight="1" x14ac:dyDescent="0.2">
      <c r="A644" s="730" t="s">
        <v>575</v>
      </c>
      <c r="B644" s="731" t="s">
        <v>576</v>
      </c>
      <c r="C644" s="732" t="s">
        <v>600</v>
      </c>
      <c r="D644" s="733" t="s">
        <v>601</v>
      </c>
      <c r="E644" s="734">
        <v>50113001</v>
      </c>
      <c r="F644" s="733" t="s">
        <v>609</v>
      </c>
      <c r="G644" s="732" t="s">
        <v>610</v>
      </c>
      <c r="H644" s="732">
        <v>230918</v>
      </c>
      <c r="I644" s="732">
        <v>230918</v>
      </c>
      <c r="J644" s="732" t="s">
        <v>1316</v>
      </c>
      <c r="K644" s="732" t="s">
        <v>1317</v>
      </c>
      <c r="L644" s="735">
        <v>147.62</v>
      </c>
      <c r="M644" s="735">
        <v>12</v>
      </c>
      <c r="N644" s="736">
        <v>1771.44</v>
      </c>
    </row>
    <row r="645" spans="1:14" ht="14.45" customHeight="1" x14ac:dyDescent="0.2">
      <c r="A645" s="730" t="s">
        <v>575</v>
      </c>
      <c r="B645" s="731" t="s">
        <v>576</v>
      </c>
      <c r="C645" s="732" t="s">
        <v>600</v>
      </c>
      <c r="D645" s="733" t="s">
        <v>601</v>
      </c>
      <c r="E645" s="734">
        <v>50113001</v>
      </c>
      <c r="F645" s="733" t="s">
        <v>609</v>
      </c>
      <c r="G645" s="732" t="s">
        <v>610</v>
      </c>
      <c r="H645" s="732">
        <v>216573</v>
      </c>
      <c r="I645" s="732">
        <v>216573</v>
      </c>
      <c r="J645" s="732" t="s">
        <v>1318</v>
      </c>
      <c r="K645" s="732" t="s">
        <v>1319</v>
      </c>
      <c r="L645" s="735">
        <v>61.700000000000017</v>
      </c>
      <c r="M645" s="735">
        <v>3</v>
      </c>
      <c r="N645" s="736">
        <v>185.10000000000005</v>
      </c>
    </row>
    <row r="646" spans="1:14" ht="14.45" customHeight="1" x14ac:dyDescent="0.2">
      <c r="A646" s="730" t="s">
        <v>575</v>
      </c>
      <c r="B646" s="731" t="s">
        <v>576</v>
      </c>
      <c r="C646" s="732" t="s">
        <v>600</v>
      </c>
      <c r="D646" s="733" t="s">
        <v>601</v>
      </c>
      <c r="E646" s="734">
        <v>50113001</v>
      </c>
      <c r="F646" s="733" t="s">
        <v>609</v>
      </c>
      <c r="G646" s="732" t="s">
        <v>610</v>
      </c>
      <c r="H646" s="732">
        <v>100612</v>
      </c>
      <c r="I646" s="732">
        <v>612</v>
      </c>
      <c r="J646" s="732" t="s">
        <v>1011</v>
      </c>
      <c r="K646" s="732" t="s">
        <v>651</v>
      </c>
      <c r="L646" s="735">
        <v>67.580000000000013</v>
      </c>
      <c r="M646" s="735">
        <v>1</v>
      </c>
      <c r="N646" s="736">
        <v>67.580000000000013</v>
      </c>
    </row>
    <row r="647" spans="1:14" ht="14.45" customHeight="1" x14ac:dyDescent="0.2">
      <c r="A647" s="730" t="s">
        <v>575</v>
      </c>
      <c r="B647" s="731" t="s">
        <v>576</v>
      </c>
      <c r="C647" s="732" t="s">
        <v>600</v>
      </c>
      <c r="D647" s="733" t="s">
        <v>601</v>
      </c>
      <c r="E647" s="734">
        <v>50113001</v>
      </c>
      <c r="F647" s="733" t="s">
        <v>609</v>
      </c>
      <c r="G647" s="732" t="s">
        <v>610</v>
      </c>
      <c r="H647" s="732">
        <v>128176</v>
      </c>
      <c r="I647" s="732">
        <v>28176</v>
      </c>
      <c r="J647" s="732" t="s">
        <v>1448</v>
      </c>
      <c r="K647" s="732" t="s">
        <v>1449</v>
      </c>
      <c r="L647" s="735">
        <v>6775.76</v>
      </c>
      <c r="M647" s="735">
        <v>5</v>
      </c>
      <c r="N647" s="736">
        <v>33878.800000000003</v>
      </c>
    </row>
    <row r="648" spans="1:14" ht="14.45" customHeight="1" x14ac:dyDescent="0.2">
      <c r="A648" s="730" t="s">
        <v>575</v>
      </c>
      <c r="B648" s="731" t="s">
        <v>576</v>
      </c>
      <c r="C648" s="732" t="s">
        <v>600</v>
      </c>
      <c r="D648" s="733" t="s">
        <v>601</v>
      </c>
      <c r="E648" s="734">
        <v>50113001</v>
      </c>
      <c r="F648" s="733" t="s">
        <v>609</v>
      </c>
      <c r="G648" s="732" t="s">
        <v>610</v>
      </c>
      <c r="H648" s="732">
        <v>128178</v>
      </c>
      <c r="I648" s="732">
        <v>28178</v>
      </c>
      <c r="J648" s="732" t="s">
        <v>1448</v>
      </c>
      <c r="K648" s="732" t="s">
        <v>1450</v>
      </c>
      <c r="L648" s="735">
        <v>1292.5200000000002</v>
      </c>
      <c r="M648" s="735">
        <v>26</v>
      </c>
      <c r="N648" s="736">
        <v>33605.520000000004</v>
      </c>
    </row>
    <row r="649" spans="1:14" ht="14.45" customHeight="1" x14ac:dyDescent="0.2">
      <c r="A649" s="730" t="s">
        <v>575</v>
      </c>
      <c r="B649" s="731" t="s">
        <v>576</v>
      </c>
      <c r="C649" s="732" t="s">
        <v>600</v>
      </c>
      <c r="D649" s="733" t="s">
        <v>601</v>
      </c>
      <c r="E649" s="734">
        <v>50113001</v>
      </c>
      <c r="F649" s="733" t="s">
        <v>609</v>
      </c>
      <c r="G649" s="732" t="s">
        <v>610</v>
      </c>
      <c r="H649" s="732">
        <v>850095</v>
      </c>
      <c r="I649" s="732">
        <v>120406</v>
      </c>
      <c r="J649" s="732" t="s">
        <v>1451</v>
      </c>
      <c r="K649" s="732" t="s">
        <v>1452</v>
      </c>
      <c r="L649" s="735">
        <v>58.393846153846155</v>
      </c>
      <c r="M649" s="735">
        <v>26</v>
      </c>
      <c r="N649" s="736">
        <v>1518.24</v>
      </c>
    </row>
    <row r="650" spans="1:14" ht="14.45" customHeight="1" x14ac:dyDescent="0.2">
      <c r="A650" s="730" t="s">
        <v>575</v>
      </c>
      <c r="B650" s="731" t="s">
        <v>576</v>
      </c>
      <c r="C650" s="732" t="s">
        <v>600</v>
      </c>
      <c r="D650" s="733" t="s">
        <v>601</v>
      </c>
      <c r="E650" s="734">
        <v>50113001</v>
      </c>
      <c r="F650" s="733" t="s">
        <v>609</v>
      </c>
      <c r="G650" s="732" t="s">
        <v>610</v>
      </c>
      <c r="H650" s="732">
        <v>226000</v>
      </c>
      <c r="I650" s="732">
        <v>226000</v>
      </c>
      <c r="J650" s="732" t="s">
        <v>1325</v>
      </c>
      <c r="K650" s="732" t="s">
        <v>1326</v>
      </c>
      <c r="L650" s="735">
        <v>312.14</v>
      </c>
      <c r="M650" s="735">
        <v>2</v>
      </c>
      <c r="N650" s="736">
        <v>624.28</v>
      </c>
    </row>
    <row r="651" spans="1:14" ht="14.45" customHeight="1" x14ac:dyDescent="0.2">
      <c r="A651" s="730" t="s">
        <v>575</v>
      </c>
      <c r="B651" s="731" t="s">
        <v>576</v>
      </c>
      <c r="C651" s="732" t="s">
        <v>600</v>
      </c>
      <c r="D651" s="733" t="s">
        <v>601</v>
      </c>
      <c r="E651" s="734">
        <v>50113013</v>
      </c>
      <c r="F651" s="733" t="s">
        <v>1087</v>
      </c>
      <c r="G651" s="732" t="s">
        <v>610</v>
      </c>
      <c r="H651" s="732">
        <v>208820</v>
      </c>
      <c r="I651" s="732">
        <v>208820</v>
      </c>
      <c r="J651" s="732" t="s">
        <v>1388</v>
      </c>
      <c r="K651" s="732" t="s">
        <v>1389</v>
      </c>
      <c r="L651" s="735">
        <v>1932.76</v>
      </c>
      <c r="M651" s="735">
        <v>9</v>
      </c>
      <c r="N651" s="736">
        <v>17394.84</v>
      </c>
    </row>
    <row r="652" spans="1:14" ht="14.45" customHeight="1" thickBot="1" x14ac:dyDescent="0.25">
      <c r="A652" s="737" t="s">
        <v>575</v>
      </c>
      <c r="B652" s="738" t="s">
        <v>576</v>
      </c>
      <c r="C652" s="739" t="s">
        <v>606</v>
      </c>
      <c r="D652" s="740" t="s">
        <v>607</v>
      </c>
      <c r="E652" s="741">
        <v>50113001</v>
      </c>
      <c r="F652" s="740" t="s">
        <v>609</v>
      </c>
      <c r="G652" s="739" t="s">
        <v>610</v>
      </c>
      <c r="H652" s="739">
        <v>23987</v>
      </c>
      <c r="I652" s="739">
        <v>23987</v>
      </c>
      <c r="J652" s="739" t="s">
        <v>764</v>
      </c>
      <c r="K652" s="739" t="s">
        <v>765</v>
      </c>
      <c r="L652" s="742">
        <v>169.70300000000003</v>
      </c>
      <c r="M652" s="742">
        <v>10</v>
      </c>
      <c r="N652" s="743">
        <v>1697.0300000000002</v>
      </c>
    </row>
  </sheetData>
  <autoFilter ref="A4:N4" xr:uid="{00000000-0009-0000-0000-000009000000}"/>
  <mergeCells count="3">
    <mergeCell ref="C3:I3"/>
    <mergeCell ref="J3:K3"/>
    <mergeCell ref="A1:N1"/>
  </mergeCells>
  <hyperlinks>
    <hyperlink ref="A2" location="Obsah!A1" display="Zpět na Obsah  KL 01  1.-4.měsíc" xr:uid="{515640D4-B852-4ABA-92BB-6C707BF95D8E}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List8">
    <tabColor theme="0" tint="-0.249977111117893"/>
    <pageSetUpPr fitToPage="1"/>
  </sheetPr>
  <dimension ref="A1:F75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ColWidth="8.85546875" defaultRowHeight="14.45" customHeight="1" x14ac:dyDescent="0.2"/>
  <cols>
    <col min="1" max="1" width="46.7109375" style="247" customWidth="1"/>
    <col min="2" max="2" width="10" style="329" customWidth="1"/>
    <col min="3" max="3" width="5.5703125" style="332" customWidth="1"/>
    <col min="4" max="4" width="10.85546875" style="329" customWidth="1"/>
    <col min="5" max="5" width="5.5703125" style="332" customWidth="1"/>
    <col min="6" max="6" width="10.85546875" style="329" customWidth="1"/>
    <col min="7" max="16384" width="8.85546875" style="247"/>
  </cols>
  <sheetData>
    <row r="1" spans="1:6" ht="37.15" customHeight="1" thickBot="1" x14ac:dyDescent="0.35">
      <c r="A1" s="554" t="s">
        <v>205</v>
      </c>
      <c r="B1" s="555"/>
      <c r="C1" s="555"/>
      <c r="D1" s="555"/>
      <c r="E1" s="555"/>
      <c r="F1" s="555"/>
    </row>
    <row r="2" spans="1:6" ht="14.45" customHeight="1" thickBot="1" x14ac:dyDescent="0.25">
      <c r="A2" s="705" t="s">
        <v>328</v>
      </c>
      <c r="B2" s="67"/>
      <c r="C2" s="68"/>
      <c r="D2" s="69"/>
      <c r="E2" s="68"/>
      <c r="F2" s="69"/>
    </row>
    <row r="3" spans="1:6" ht="14.45" customHeight="1" thickBot="1" x14ac:dyDescent="0.25">
      <c r="A3" s="205"/>
      <c r="B3" s="556" t="s">
        <v>160</v>
      </c>
      <c r="C3" s="557"/>
      <c r="D3" s="558" t="s">
        <v>159</v>
      </c>
      <c r="E3" s="557"/>
      <c r="F3" s="105" t="s">
        <v>3</v>
      </c>
    </row>
    <row r="4" spans="1:6" ht="14.45" customHeight="1" thickBot="1" x14ac:dyDescent="0.25">
      <c r="A4" s="744" t="s">
        <v>184</v>
      </c>
      <c r="B4" s="745" t="s">
        <v>14</v>
      </c>
      <c r="C4" s="746" t="s">
        <v>2</v>
      </c>
      <c r="D4" s="745" t="s">
        <v>14</v>
      </c>
      <c r="E4" s="746" t="s">
        <v>2</v>
      </c>
      <c r="F4" s="747" t="s">
        <v>14</v>
      </c>
    </row>
    <row r="5" spans="1:6" ht="14.45" customHeight="1" x14ac:dyDescent="0.2">
      <c r="A5" s="758" t="s">
        <v>1453</v>
      </c>
      <c r="B5" s="728">
        <v>12373.769999999999</v>
      </c>
      <c r="C5" s="748">
        <v>7.3374269714158488E-2</v>
      </c>
      <c r="D5" s="728">
        <v>156265.3189913324</v>
      </c>
      <c r="E5" s="748">
        <v>0.92662573028584161</v>
      </c>
      <c r="F5" s="729">
        <v>168639.08899133239</v>
      </c>
    </row>
    <row r="6" spans="1:6" ht="14.45" customHeight="1" x14ac:dyDescent="0.2">
      <c r="A6" s="759" t="s">
        <v>1454</v>
      </c>
      <c r="B6" s="735">
        <v>4580.8999999999996</v>
      </c>
      <c r="C6" s="749">
        <v>2.1499026196463961E-2</v>
      </c>
      <c r="D6" s="735">
        <v>208493.86711449566</v>
      </c>
      <c r="E6" s="749">
        <v>0.97850097380353607</v>
      </c>
      <c r="F6" s="736">
        <v>213074.76711449565</v>
      </c>
    </row>
    <row r="7" spans="1:6" ht="14.45" customHeight="1" x14ac:dyDescent="0.2">
      <c r="A7" s="759" t="s">
        <v>1455</v>
      </c>
      <c r="B7" s="735">
        <v>28199.78</v>
      </c>
      <c r="C7" s="749">
        <v>0.22145684464286922</v>
      </c>
      <c r="D7" s="735">
        <v>99137.805999999997</v>
      </c>
      <c r="E7" s="749">
        <v>0.77854315535713081</v>
      </c>
      <c r="F7" s="736">
        <v>127337.586</v>
      </c>
    </row>
    <row r="8" spans="1:6" ht="14.45" customHeight="1" thickBot="1" x14ac:dyDescent="0.25">
      <c r="A8" s="760" t="s">
        <v>1456</v>
      </c>
      <c r="B8" s="751">
        <v>50.27</v>
      </c>
      <c r="C8" s="752">
        <v>1</v>
      </c>
      <c r="D8" s="751"/>
      <c r="E8" s="752">
        <v>0</v>
      </c>
      <c r="F8" s="753">
        <v>50.27</v>
      </c>
    </row>
    <row r="9" spans="1:6" ht="14.45" customHeight="1" thickBot="1" x14ac:dyDescent="0.25">
      <c r="A9" s="754" t="s">
        <v>3</v>
      </c>
      <c r="B9" s="755">
        <v>45204.719999999994</v>
      </c>
      <c r="C9" s="756">
        <v>8.8793101506213723E-2</v>
      </c>
      <c r="D9" s="755">
        <v>463896.99210582802</v>
      </c>
      <c r="E9" s="756">
        <v>0.91120689849378611</v>
      </c>
      <c r="F9" s="757">
        <v>509101.7121058281</v>
      </c>
    </row>
    <row r="10" spans="1:6" ht="14.45" customHeight="1" thickBot="1" x14ac:dyDescent="0.25"/>
    <row r="11" spans="1:6" ht="14.45" customHeight="1" x14ac:dyDescent="0.2">
      <c r="A11" s="758" t="s">
        <v>1457</v>
      </c>
      <c r="B11" s="728"/>
      <c r="C11" s="748">
        <v>0</v>
      </c>
      <c r="D11" s="728">
        <v>4823.47</v>
      </c>
      <c r="E11" s="748">
        <v>1</v>
      </c>
      <c r="F11" s="729">
        <v>4823.47</v>
      </c>
    </row>
    <row r="12" spans="1:6" ht="14.45" customHeight="1" x14ac:dyDescent="0.2">
      <c r="A12" s="759" t="s">
        <v>1458</v>
      </c>
      <c r="B12" s="735"/>
      <c r="C12" s="749">
        <v>0</v>
      </c>
      <c r="D12" s="735">
        <v>1917.3</v>
      </c>
      <c r="E12" s="749">
        <v>1</v>
      </c>
      <c r="F12" s="736">
        <v>1917.3</v>
      </c>
    </row>
    <row r="13" spans="1:6" ht="14.45" customHeight="1" x14ac:dyDescent="0.2">
      <c r="A13" s="759" t="s">
        <v>1459</v>
      </c>
      <c r="B13" s="735"/>
      <c r="C13" s="749">
        <v>0</v>
      </c>
      <c r="D13" s="735">
        <v>887.39999999999986</v>
      </c>
      <c r="E13" s="749">
        <v>1</v>
      </c>
      <c r="F13" s="736">
        <v>887.39999999999986</v>
      </c>
    </row>
    <row r="14" spans="1:6" ht="14.45" customHeight="1" x14ac:dyDescent="0.2">
      <c r="A14" s="759" t="s">
        <v>1460</v>
      </c>
      <c r="B14" s="735"/>
      <c r="C14" s="749">
        <v>0</v>
      </c>
      <c r="D14" s="735">
        <v>77.419999999999987</v>
      </c>
      <c r="E14" s="749">
        <v>1</v>
      </c>
      <c r="F14" s="736">
        <v>77.419999999999987</v>
      </c>
    </row>
    <row r="15" spans="1:6" ht="14.45" customHeight="1" x14ac:dyDescent="0.2">
      <c r="A15" s="759" t="s">
        <v>1461</v>
      </c>
      <c r="B15" s="735"/>
      <c r="C15" s="749">
        <v>0</v>
      </c>
      <c r="D15" s="735">
        <v>358.59</v>
      </c>
      <c r="E15" s="749">
        <v>1</v>
      </c>
      <c r="F15" s="736">
        <v>358.59</v>
      </c>
    </row>
    <row r="16" spans="1:6" ht="14.45" customHeight="1" x14ac:dyDescent="0.2">
      <c r="A16" s="759" t="s">
        <v>1462</v>
      </c>
      <c r="B16" s="735"/>
      <c r="C16" s="749">
        <v>0</v>
      </c>
      <c r="D16" s="735">
        <v>130427.94000000002</v>
      </c>
      <c r="E16" s="749">
        <v>1</v>
      </c>
      <c r="F16" s="736">
        <v>130427.94000000002</v>
      </c>
    </row>
    <row r="17" spans="1:6" ht="14.45" customHeight="1" x14ac:dyDescent="0.2">
      <c r="A17" s="759" t="s">
        <v>1463</v>
      </c>
      <c r="B17" s="735"/>
      <c r="C17" s="749">
        <v>0</v>
      </c>
      <c r="D17" s="735">
        <v>1104</v>
      </c>
      <c r="E17" s="749">
        <v>1</v>
      </c>
      <c r="F17" s="736">
        <v>1104</v>
      </c>
    </row>
    <row r="18" spans="1:6" ht="14.45" customHeight="1" x14ac:dyDescent="0.2">
      <c r="A18" s="759" t="s">
        <v>1464</v>
      </c>
      <c r="B18" s="735"/>
      <c r="C18" s="749">
        <v>0</v>
      </c>
      <c r="D18" s="735">
        <v>14463.880000000001</v>
      </c>
      <c r="E18" s="749">
        <v>1</v>
      </c>
      <c r="F18" s="736">
        <v>14463.880000000001</v>
      </c>
    </row>
    <row r="19" spans="1:6" ht="14.45" customHeight="1" x14ac:dyDescent="0.2">
      <c r="A19" s="759" t="s">
        <v>1465</v>
      </c>
      <c r="B19" s="735"/>
      <c r="C19" s="749">
        <v>0</v>
      </c>
      <c r="D19" s="735">
        <v>13201.890000000001</v>
      </c>
      <c r="E19" s="749">
        <v>1</v>
      </c>
      <c r="F19" s="736">
        <v>13201.890000000001</v>
      </c>
    </row>
    <row r="20" spans="1:6" ht="14.45" customHeight="1" x14ac:dyDescent="0.2">
      <c r="A20" s="759" t="s">
        <v>1466</v>
      </c>
      <c r="B20" s="735"/>
      <c r="C20" s="749">
        <v>0</v>
      </c>
      <c r="D20" s="735">
        <v>509.57999999999993</v>
      </c>
      <c r="E20" s="749">
        <v>1</v>
      </c>
      <c r="F20" s="736">
        <v>509.57999999999993</v>
      </c>
    </row>
    <row r="21" spans="1:6" ht="14.45" customHeight="1" x14ac:dyDescent="0.2">
      <c r="A21" s="759" t="s">
        <v>1467</v>
      </c>
      <c r="B21" s="735">
        <v>264.53999999999996</v>
      </c>
      <c r="C21" s="749">
        <v>0.19101326420829931</v>
      </c>
      <c r="D21" s="735">
        <v>1120.3900000000001</v>
      </c>
      <c r="E21" s="749">
        <v>0.80898673579170066</v>
      </c>
      <c r="F21" s="736">
        <v>1384.93</v>
      </c>
    </row>
    <row r="22" spans="1:6" ht="14.45" customHeight="1" x14ac:dyDescent="0.2">
      <c r="A22" s="759" t="s">
        <v>1468</v>
      </c>
      <c r="B22" s="735"/>
      <c r="C22" s="749">
        <v>0</v>
      </c>
      <c r="D22" s="735">
        <v>98.469999999999956</v>
      </c>
      <c r="E22" s="749">
        <v>1</v>
      </c>
      <c r="F22" s="736">
        <v>98.469999999999956</v>
      </c>
    </row>
    <row r="23" spans="1:6" ht="14.45" customHeight="1" x14ac:dyDescent="0.2">
      <c r="A23" s="759" t="s">
        <v>1469</v>
      </c>
      <c r="B23" s="735">
        <v>110.12</v>
      </c>
      <c r="C23" s="749">
        <v>8.5333250676110264E-2</v>
      </c>
      <c r="D23" s="735">
        <v>1180.3499999999999</v>
      </c>
      <c r="E23" s="749">
        <v>0.91466674932388981</v>
      </c>
      <c r="F23" s="736">
        <v>1290.4699999999998</v>
      </c>
    </row>
    <row r="24" spans="1:6" ht="14.45" customHeight="1" x14ac:dyDescent="0.2">
      <c r="A24" s="759" t="s">
        <v>1470</v>
      </c>
      <c r="B24" s="735"/>
      <c r="C24" s="749">
        <v>0</v>
      </c>
      <c r="D24" s="735">
        <v>53.97</v>
      </c>
      <c r="E24" s="749">
        <v>1</v>
      </c>
      <c r="F24" s="736">
        <v>53.97</v>
      </c>
    </row>
    <row r="25" spans="1:6" ht="14.45" customHeight="1" x14ac:dyDescent="0.2">
      <c r="A25" s="759" t="s">
        <v>1471</v>
      </c>
      <c r="B25" s="735"/>
      <c r="C25" s="749">
        <v>0</v>
      </c>
      <c r="D25" s="735">
        <v>141.36000000000004</v>
      </c>
      <c r="E25" s="749">
        <v>1</v>
      </c>
      <c r="F25" s="736">
        <v>141.36000000000004</v>
      </c>
    </row>
    <row r="26" spans="1:6" ht="14.45" customHeight="1" x14ac:dyDescent="0.2">
      <c r="A26" s="759" t="s">
        <v>1472</v>
      </c>
      <c r="B26" s="735"/>
      <c r="C26" s="749">
        <v>0</v>
      </c>
      <c r="D26" s="735">
        <v>944.15</v>
      </c>
      <c r="E26" s="749">
        <v>1</v>
      </c>
      <c r="F26" s="736">
        <v>944.15</v>
      </c>
    </row>
    <row r="27" spans="1:6" ht="14.45" customHeight="1" x14ac:dyDescent="0.2">
      <c r="A27" s="759" t="s">
        <v>1473</v>
      </c>
      <c r="B27" s="735"/>
      <c r="C27" s="749">
        <v>0</v>
      </c>
      <c r="D27" s="735">
        <v>59.150000000000006</v>
      </c>
      <c r="E27" s="749">
        <v>1</v>
      </c>
      <c r="F27" s="736">
        <v>59.150000000000006</v>
      </c>
    </row>
    <row r="28" spans="1:6" ht="14.45" customHeight="1" x14ac:dyDescent="0.2">
      <c r="A28" s="759" t="s">
        <v>1474</v>
      </c>
      <c r="B28" s="735">
        <v>197.27</v>
      </c>
      <c r="C28" s="749">
        <v>1</v>
      </c>
      <c r="D28" s="735"/>
      <c r="E28" s="749">
        <v>0</v>
      </c>
      <c r="F28" s="736">
        <v>197.27</v>
      </c>
    </row>
    <row r="29" spans="1:6" ht="14.45" customHeight="1" x14ac:dyDescent="0.2">
      <c r="A29" s="759" t="s">
        <v>1475</v>
      </c>
      <c r="B29" s="735">
        <v>213.24</v>
      </c>
      <c r="C29" s="749">
        <v>0.36482463644140295</v>
      </c>
      <c r="D29" s="735">
        <v>371.26</v>
      </c>
      <c r="E29" s="749">
        <v>0.63517536355859705</v>
      </c>
      <c r="F29" s="736">
        <v>584.5</v>
      </c>
    </row>
    <row r="30" spans="1:6" ht="14.45" customHeight="1" x14ac:dyDescent="0.2">
      <c r="A30" s="759" t="s">
        <v>1476</v>
      </c>
      <c r="B30" s="735"/>
      <c r="C30" s="749">
        <v>0</v>
      </c>
      <c r="D30" s="735">
        <v>522.44000000000005</v>
      </c>
      <c r="E30" s="749">
        <v>1</v>
      </c>
      <c r="F30" s="736">
        <v>522.44000000000005</v>
      </c>
    </row>
    <row r="31" spans="1:6" ht="14.45" customHeight="1" x14ac:dyDescent="0.2">
      <c r="A31" s="759" t="s">
        <v>1477</v>
      </c>
      <c r="B31" s="735"/>
      <c r="C31" s="749">
        <v>0</v>
      </c>
      <c r="D31" s="735">
        <v>4003.98</v>
      </c>
      <c r="E31" s="749">
        <v>1</v>
      </c>
      <c r="F31" s="736">
        <v>4003.98</v>
      </c>
    </row>
    <row r="32" spans="1:6" ht="14.45" customHeight="1" x14ac:dyDescent="0.2">
      <c r="A32" s="759" t="s">
        <v>1478</v>
      </c>
      <c r="B32" s="735"/>
      <c r="C32" s="749">
        <v>0</v>
      </c>
      <c r="D32" s="735">
        <v>8950.92</v>
      </c>
      <c r="E32" s="749">
        <v>1</v>
      </c>
      <c r="F32" s="736">
        <v>8950.92</v>
      </c>
    </row>
    <row r="33" spans="1:6" ht="14.45" customHeight="1" x14ac:dyDescent="0.2">
      <c r="A33" s="759" t="s">
        <v>1479</v>
      </c>
      <c r="B33" s="735"/>
      <c r="C33" s="749">
        <v>0</v>
      </c>
      <c r="D33" s="735">
        <v>1078.1100000000001</v>
      </c>
      <c r="E33" s="749">
        <v>1</v>
      </c>
      <c r="F33" s="736">
        <v>1078.1100000000001</v>
      </c>
    </row>
    <row r="34" spans="1:6" ht="14.45" customHeight="1" x14ac:dyDescent="0.2">
      <c r="A34" s="759" t="s">
        <v>1480</v>
      </c>
      <c r="B34" s="735">
        <v>7014</v>
      </c>
      <c r="C34" s="749">
        <v>1</v>
      </c>
      <c r="D34" s="735"/>
      <c r="E34" s="749">
        <v>0</v>
      </c>
      <c r="F34" s="736">
        <v>7014</v>
      </c>
    </row>
    <row r="35" spans="1:6" ht="14.45" customHeight="1" x14ac:dyDescent="0.2">
      <c r="A35" s="759" t="s">
        <v>1481</v>
      </c>
      <c r="B35" s="735">
        <v>5236</v>
      </c>
      <c r="C35" s="749">
        <v>1</v>
      </c>
      <c r="D35" s="735"/>
      <c r="E35" s="749">
        <v>0</v>
      </c>
      <c r="F35" s="736">
        <v>5236</v>
      </c>
    </row>
    <row r="36" spans="1:6" ht="14.45" customHeight="1" x14ac:dyDescent="0.2">
      <c r="A36" s="759" t="s">
        <v>1482</v>
      </c>
      <c r="B36" s="735"/>
      <c r="C36" s="749">
        <v>0</v>
      </c>
      <c r="D36" s="735">
        <v>11551.12</v>
      </c>
      <c r="E36" s="749">
        <v>1</v>
      </c>
      <c r="F36" s="736">
        <v>11551.12</v>
      </c>
    </row>
    <row r="37" spans="1:6" ht="14.45" customHeight="1" x14ac:dyDescent="0.2">
      <c r="A37" s="759" t="s">
        <v>1483</v>
      </c>
      <c r="B37" s="735">
        <v>207.16</v>
      </c>
      <c r="C37" s="749">
        <v>1</v>
      </c>
      <c r="D37" s="735"/>
      <c r="E37" s="749">
        <v>0</v>
      </c>
      <c r="F37" s="736">
        <v>207.16</v>
      </c>
    </row>
    <row r="38" spans="1:6" ht="14.45" customHeight="1" x14ac:dyDescent="0.2">
      <c r="A38" s="759" t="s">
        <v>1484</v>
      </c>
      <c r="B38" s="735"/>
      <c r="C38" s="749">
        <v>0</v>
      </c>
      <c r="D38" s="735">
        <v>292.01</v>
      </c>
      <c r="E38" s="749">
        <v>1</v>
      </c>
      <c r="F38" s="736">
        <v>292.01</v>
      </c>
    </row>
    <row r="39" spans="1:6" ht="14.45" customHeight="1" x14ac:dyDescent="0.2">
      <c r="A39" s="759" t="s">
        <v>1485</v>
      </c>
      <c r="B39" s="735"/>
      <c r="C39" s="749">
        <v>0</v>
      </c>
      <c r="D39" s="735">
        <v>3845.6</v>
      </c>
      <c r="E39" s="749">
        <v>1</v>
      </c>
      <c r="F39" s="736">
        <v>3845.6</v>
      </c>
    </row>
    <row r="40" spans="1:6" ht="14.45" customHeight="1" x14ac:dyDescent="0.2">
      <c r="A40" s="759" t="s">
        <v>1486</v>
      </c>
      <c r="B40" s="735"/>
      <c r="C40" s="749">
        <v>0</v>
      </c>
      <c r="D40" s="735">
        <v>544.39</v>
      </c>
      <c r="E40" s="749">
        <v>1</v>
      </c>
      <c r="F40" s="736">
        <v>544.39</v>
      </c>
    </row>
    <row r="41" spans="1:6" ht="14.45" customHeight="1" x14ac:dyDescent="0.2">
      <c r="A41" s="759" t="s">
        <v>1487</v>
      </c>
      <c r="B41" s="735"/>
      <c r="C41" s="749">
        <v>0</v>
      </c>
      <c r="D41" s="735">
        <v>6367.2600000000011</v>
      </c>
      <c r="E41" s="749">
        <v>1</v>
      </c>
      <c r="F41" s="736">
        <v>6367.2600000000011</v>
      </c>
    </row>
    <row r="42" spans="1:6" ht="14.45" customHeight="1" x14ac:dyDescent="0.2">
      <c r="A42" s="759" t="s">
        <v>1488</v>
      </c>
      <c r="B42" s="735">
        <v>753.83999999999992</v>
      </c>
      <c r="C42" s="749">
        <v>1</v>
      </c>
      <c r="D42" s="735"/>
      <c r="E42" s="749">
        <v>0</v>
      </c>
      <c r="F42" s="736">
        <v>753.83999999999992</v>
      </c>
    </row>
    <row r="43" spans="1:6" ht="14.45" customHeight="1" x14ac:dyDescent="0.2">
      <c r="A43" s="759" t="s">
        <v>1489</v>
      </c>
      <c r="B43" s="735"/>
      <c r="C43" s="749">
        <v>0</v>
      </c>
      <c r="D43" s="735">
        <v>453.95200000000006</v>
      </c>
      <c r="E43" s="749">
        <v>1</v>
      </c>
      <c r="F43" s="736">
        <v>453.95200000000006</v>
      </c>
    </row>
    <row r="44" spans="1:6" ht="14.45" customHeight="1" x14ac:dyDescent="0.2">
      <c r="A44" s="759" t="s">
        <v>1490</v>
      </c>
      <c r="B44" s="735"/>
      <c r="C44" s="749">
        <v>0</v>
      </c>
      <c r="D44" s="735">
        <v>319</v>
      </c>
      <c r="E44" s="749">
        <v>1</v>
      </c>
      <c r="F44" s="736">
        <v>319</v>
      </c>
    </row>
    <row r="45" spans="1:6" ht="14.45" customHeight="1" x14ac:dyDescent="0.2">
      <c r="A45" s="759" t="s">
        <v>1491</v>
      </c>
      <c r="B45" s="735"/>
      <c r="C45" s="749">
        <v>0</v>
      </c>
      <c r="D45" s="735">
        <v>3303.63</v>
      </c>
      <c r="E45" s="749">
        <v>1</v>
      </c>
      <c r="F45" s="736">
        <v>3303.63</v>
      </c>
    </row>
    <row r="46" spans="1:6" ht="14.45" customHeight="1" x14ac:dyDescent="0.2">
      <c r="A46" s="759" t="s">
        <v>1492</v>
      </c>
      <c r="B46" s="735"/>
      <c r="C46" s="749">
        <v>0</v>
      </c>
      <c r="D46" s="735">
        <v>1093.6399999999994</v>
      </c>
      <c r="E46" s="749">
        <v>1</v>
      </c>
      <c r="F46" s="736">
        <v>1093.6399999999994</v>
      </c>
    </row>
    <row r="47" spans="1:6" ht="14.45" customHeight="1" x14ac:dyDescent="0.2">
      <c r="A47" s="759" t="s">
        <v>1493</v>
      </c>
      <c r="B47" s="735"/>
      <c r="C47" s="749">
        <v>0</v>
      </c>
      <c r="D47" s="735">
        <v>533.62000000000012</v>
      </c>
      <c r="E47" s="749">
        <v>1</v>
      </c>
      <c r="F47" s="736">
        <v>533.62000000000012</v>
      </c>
    </row>
    <row r="48" spans="1:6" ht="14.45" customHeight="1" x14ac:dyDescent="0.2">
      <c r="A48" s="759" t="s">
        <v>1494</v>
      </c>
      <c r="B48" s="735"/>
      <c r="C48" s="749">
        <v>0</v>
      </c>
      <c r="D48" s="735">
        <v>364.52</v>
      </c>
      <c r="E48" s="749">
        <v>1</v>
      </c>
      <c r="F48" s="736">
        <v>364.52</v>
      </c>
    </row>
    <row r="49" spans="1:6" ht="14.45" customHeight="1" x14ac:dyDescent="0.2">
      <c r="A49" s="759" t="s">
        <v>1495</v>
      </c>
      <c r="B49" s="735">
        <v>27753.800000000003</v>
      </c>
      <c r="C49" s="749">
        <v>0.53307288365428573</v>
      </c>
      <c r="D49" s="735">
        <v>24310</v>
      </c>
      <c r="E49" s="749">
        <v>0.46692711634571427</v>
      </c>
      <c r="F49" s="736">
        <v>52063.8</v>
      </c>
    </row>
    <row r="50" spans="1:6" ht="14.45" customHeight="1" x14ac:dyDescent="0.2">
      <c r="A50" s="759" t="s">
        <v>1496</v>
      </c>
      <c r="B50" s="735"/>
      <c r="C50" s="749">
        <v>0</v>
      </c>
      <c r="D50" s="735">
        <v>209.95000000000002</v>
      </c>
      <c r="E50" s="749">
        <v>1</v>
      </c>
      <c r="F50" s="736">
        <v>209.95000000000002</v>
      </c>
    </row>
    <row r="51" spans="1:6" ht="14.45" customHeight="1" x14ac:dyDescent="0.2">
      <c r="A51" s="759" t="s">
        <v>1497</v>
      </c>
      <c r="B51" s="735"/>
      <c r="C51" s="749">
        <v>0</v>
      </c>
      <c r="D51" s="735">
        <v>47257.056000000004</v>
      </c>
      <c r="E51" s="749">
        <v>1</v>
      </c>
      <c r="F51" s="736">
        <v>47257.056000000004</v>
      </c>
    </row>
    <row r="52" spans="1:6" ht="14.45" customHeight="1" x14ac:dyDescent="0.2">
      <c r="A52" s="759" t="s">
        <v>1498</v>
      </c>
      <c r="B52" s="735"/>
      <c r="C52" s="749">
        <v>0</v>
      </c>
      <c r="D52" s="735">
        <v>30679</v>
      </c>
      <c r="E52" s="749">
        <v>1</v>
      </c>
      <c r="F52" s="736">
        <v>30679</v>
      </c>
    </row>
    <row r="53" spans="1:6" ht="14.45" customHeight="1" x14ac:dyDescent="0.2">
      <c r="A53" s="759" t="s">
        <v>1499</v>
      </c>
      <c r="B53" s="735"/>
      <c r="C53" s="749">
        <v>0</v>
      </c>
      <c r="D53" s="735">
        <v>770</v>
      </c>
      <c r="E53" s="749">
        <v>1</v>
      </c>
      <c r="F53" s="736">
        <v>770</v>
      </c>
    </row>
    <row r="54" spans="1:6" ht="14.45" customHeight="1" x14ac:dyDescent="0.2">
      <c r="A54" s="759" t="s">
        <v>1500</v>
      </c>
      <c r="B54" s="735"/>
      <c r="C54" s="749">
        <v>0</v>
      </c>
      <c r="D54" s="735">
        <v>8242.6479988388528</v>
      </c>
      <c r="E54" s="749">
        <v>1</v>
      </c>
      <c r="F54" s="736">
        <v>8242.6479988388528</v>
      </c>
    </row>
    <row r="55" spans="1:6" ht="14.45" customHeight="1" x14ac:dyDescent="0.2">
      <c r="A55" s="759" t="s">
        <v>1501</v>
      </c>
      <c r="B55" s="735"/>
      <c r="C55" s="749">
        <v>0</v>
      </c>
      <c r="D55" s="735">
        <v>1078</v>
      </c>
      <c r="E55" s="749">
        <v>1</v>
      </c>
      <c r="F55" s="736">
        <v>1078</v>
      </c>
    </row>
    <row r="56" spans="1:6" ht="14.45" customHeight="1" x14ac:dyDescent="0.2">
      <c r="A56" s="759" t="s">
        <v>1502</v>
      </c>
      <c r="B56" s="735"/>
      <c r="C56" s="749">
        <v>0</v>
      </c>
      <c r="D56" s="735">
        <v>422.68</v>
      </c>
      <c r="E56" s="749">
        <v>1</v>
      </c>
      <c r="F56" s="736">
        <v>422.68</v>
      </c>
    </row>
    <row r="57" spans="1:6" ht="14.45" customHeight="1" x14ac:dyDescent="0.2">
      <c r="A57" s="759" t="s">
        <v>1503</v>
      </c>
      <c r="B57" s="735"/>
      <c r="C57" s="749">
        <v>0</v>
      </c>
      <c r="D57" s="735">
        <v>1101</v>
      </c>
      <c r="E57" s="749">
        <v>1</v>
      </c>
      <c r="F57" s="736">
        <v>1101</v>
      </c>
    </row>
    <row r="58" spans="1:6" ht="14.45" customHeight="1" x14ac:dyDescent="0.2">
      <c r="A58" s="759" t="s">
        <v>1504</v>
      </c>
      <c r="B58" s="735"/>
      <c r="C58" s="749">
        <v>0</v>
      </c>
      <c r="D58" s="735">
        <v>156.30000000000001</v>
      </c>
      <c r="E58" s="749">
        <v>1</v>
      </c>
      <c r="F58" s="736">
        <v>156.30000000000001</v>
      </c>
    </row>
    <row r="59" spans="1:6" ht="14.45" customHeight="1" x14ac:dyDescent="0.2">
      <c r="A59" s="759" t="s">
        <v>1505</v>
      </c>
      <c r="B59" s="735">
        <v>445.98</v>
      </c>
      <c r="C59" s="749">
        <v>2.1903977105682988E-2</v>
      </c>
      <c r="D59" s="735">
        <v>19914.705999999995</v>
      </c>
      <c r="E59" s="749">
        <v>0.97809602289431707</v>
      </c>
      <c r="F59" s="736">
        <v>20360.685999999994</v>
      </c>
    </row>
    <row r="60" spans="1:6" ht="14.45" customHeight="1" x14ac:dyDescent="0.2">
      <c r="A60" s="759" t="s">
        <v>1506</v>
      </c>
      <c r="B60" s="735"/>
      <c r="C60" s="749">
        <v>0</v>
      </c>
      <c r="D60" s="735">
        <v>520.5</v>
      </c>
      <c r="E60" s="749">
        <v>1</v>
      </c>
      <c r="F60" s="736">
        <v>520.5</v>
      </c>
    </row>
    <row r="61" spans="1:6" ht="14.45" customHeight="1" x14ac:dyDescent="0.2">
      <c r="A61" s="759" t="s">
        <v>1507</v>
      </c>
      <c r="B61" s="735"/>
      <c r="C61" s="749">
        <v>0</v>
      </c>
      <c r="D61" s="735">
        <v>44431.199999999997</v>
      </c>
      <c r="E61" s="749">
        <v>1</v>
      </c>
      <c r="F61" s="736">
        <v>44431.199999999997</v>
      </c>
    </row>
    <row r="62" spans="1:6" ht="14.45" customHeight="1" x14ac:dyDescent="0.2">
      <c r="A62" s="759" t="s">
        <v>1508</v>
      </c>
      <c r="B62" s="735"/>
      <c r="C62" s="749">
        <v>0</v>
      </c>
      <c r="D62" s="735">
        <v>98.15</v>
      </c>
      <c r="E62" s="749">
        <v>1</v>
      </c>
      <c r="F62" s="736">
        <v>98.15</v>
      </c>
    </row>
    <row r="63" spans="1:6" ht="14.45" customHeight="1" x14ac:dyDescent="0.2">
      <c r="A63" s="759" t="s">
        <v>1509</v>
      </c>
      <c r="B63" s="735"/>
      <c r="C63" s="749">
        <v>0</v>
      </c>
      <c r="D63" s="735">
        <v>91.43</v>
      </c>
      <c r="E63" s="749">
        <v>1</v>
      </c>
      <c r="F63" s="736">
        <v>91.43</v>
      </c>
    </row>
    <row r="64" spans="1:6" ht="14.45" customHeight="1" x14ac:dyDescent="0.2">
      <c r="A64" s="759" t="s">
        <v>1510</v>
      </c>
      <c r="B64" s="735">
        <v>300.60000000000002</v>
      </c>
      <c r="C64" s="749">
        <v>0.13759200263649349</v>
      </c>
      <c r="D64" s="735">
        <v>1884.12</v>
      </c>
      <c r="E64" s="749">
        <v>0.8624079973635066</v>
      </c>
      <c r="F64" s="736">
        <v>2184.7199999999998</v>
      </c>
    </row>
    <row r="65" spans="1:6" ht="14.45" customHeight="1" x14ac:dyDescent="0.2">
      <c r="A65" s="759" t="s">
        <v>1511</v>
      </c>
      <c r="B65" s="735"/>
      <c r="C65" s="749">
        <v>0</v>
      </c>
      <c r="D65" s="735">
        <v>2154.5300000000002</v>
      </c>
      <c r="E65" s="749">
        <v>1</v>
      </c>
      <c r="F65" s="736">
        <v>2154.5300000000002</v>
      </c>
    </row>
    <row r="66" spans="1:6" ht="14.45" customHeight="1" x14ac:dyDescent="0.2">
      <c r="A66" s="759" t="s">
        <v>1512</v>
      </c>
      <c r="B66" s="735"/>
      <c r="C66" s="749">
        <v>0</v>
      </c>
      <c r="D66" s="735">
        <v>500.52000000000004</v>
      </c>
      <c r="E66" s="749">
        <v>1</v>
      </c>
      <c r="F66" s="736">
        <v>500.52000000000004</v>
      </c>
    </row>
    <row r="67" spans="1:6" ht="14.45" customHeight="1" x14ac:dyDescent="0.2">
      <c r="A67" s="759" t="s">
        <v>1513</v>
      </c>
      <c r="B67" s="735"/>
      <c r="C67" s="749">
        <v>0</v>
      </c>
      <c r="D67" s="735">
        <v>5653.17</v>
      </c>
      <c r="E67" s="749">
        <v>1</v>
      </c>
      <c r="F67" s="736">
        <v>5653.17</v>
      </c>
    </row>
    <row r="68" spans="1:6" ht="14.45" customHeight="1" x14ac:dyDescent="0.2">
      <c r="A68" s="759" t="s">
        <v>1514</v>
      </c>
      <c r="B68" s="735">
        <v>207.48999999999995</v>
      </c>
      <c r="C68" s="749">
        <v>1</v>
      </c>
      <c r="D68" s="735"/>
      <c r="E68" s="749">
        <v>0</v>
      </c>
      <c r="F68" s="736">
        <v>207.48999999999995</v>
      </c>
    </row>
    <row r="69" spans="1:6" ht="14.45" customHeight="1" x14ac:dyDescent="0.2">
      <c r="A69" s="759" t="s">
        <v>1515</v>
      </c>
      <c r="B69" s="735"/>
      <c r="C69" s="749">
        <v>0</v>
      </c>
      <c r="D69" s="735">
        <v>122.10999999999999</v>
      </c>
      <c r="E69" s="749">
        <v>1</v>
      </c>
      <c r="F69" s="736">
        <v>122.10999999999999</v>
      </c>
    </row>
    <row r="70" spans="1:6" ht="14.45" customHeight="1" x14ac:dyDescent="0.2">
      <c r="A70" s="759" t="s">
        <v>1516</v>
      </c>
      <c r="B70" s="735">
        <v>2500.6799999999998</v>
      </c>
      <c r="C70" s="749">
        <v>1</v>
      </c>
      <c r="D70" s="735"/>
      <c r="E70" s="749">
        <v>0</v>
      </c>
      <c r="F70" s="736">
        <v>2500.6799999999998</v>
      </c>
    </row>
    <row r="71" spans="1:6" ht="14.45" customHeight="1" x14ac:dyDescent="0.2">
      <c r="A71" s="759" t="s">
        <v>1517</v>
      </c>
      <c r="B71" s="735"/>
      <c r="C71" s="749">
        <v>0</v>
      </c>
      <c r="D71" s="735">
        <v>3260.5600000000004</v>
      </c>
      <c r="E71" s="749">
        <v>1</v>
      </c>
      <c r="F71" s="736">
        <v>3260.5600000000004</v>
      </c>
    </row>
    <row r="72" spans="1:6" ht="14.45" customHeight="1" x14ac:dyDescent="0.2">
      <c r="A72" s="759" t="s">
        <v>1518</v>
      </c>
      <c r="B72" s="735"/>
      <c r="C72" s="749">
        <v>0</v>
      </c>
      <c r="D72" s="735">
        <v>846.53</v>
      </c>
      <c r="E72" s="749">
        <v>1</v>
      </c>
      <c r="F72" s="736">
        <v>846.53</v>
      </c>
    </row>
    <row r="73" spans="1:6" ht="14.45" customHeight="1" x14ac:dyDescent="0.2">
      <c r="A73" s="759" t="s">
        <v>1519</v>
      </c>
      <c r="B73" s="735"/>
      <c r="C73" s="749">
        <v>0</v>
      </c>
      <c r="D73" s="735">
        <v>42267.240105001641</v>
      </c>
      <c r="E73" s="749">
        <v>1</v>
      </c>
      <c r="F73" s="736">
        <v>42267.240105001641</v>
      </c>
    </row>
    <row r="74" spans="1:6" ht="14.45" customHeight="1" thickBot="1" x14ac:dyDescent="0.25">
      <c r="A74" s="760" t="s">
        <v>1520</v>
      </c>
      <c r="B74" s="751"/>
      <c r="C74" s="752">
        <v>0</v>
      </c>
      <c r="D74" s="751">
        <v>12960.830001987657</v>
      </c>
      <c r="E74" s="752">
        <v>1</v>
      </c>
      <c r="F74" s="753">
        <v>12960.830001987657</v>
      </c>
    </row>
    <row r="75" spans="1:6" ht="14.45" customHeight="1" thickBot="1" x14ac:dyDescent="0.25">
      <c r="A75" s="754" t="s">
        <v>3</v>
      </c>
      <c r="B75" s="755">
        <v>45204.72</v>
      </c>
      <c r="C75" s="756">
        <v>8.8793101506213737E-2</v>
      </c>
      <c r="D75" s="755">
        <v>463896.99210582831</v>
      </c>
      <c r="E75" s="756">
        <v>0.91120689849378655</v>
      </c>
      <c r="F75" s="757">
        <v>509101.71210582816</v>
      </c>
    </row>
  </sheetData>
  <mergeCells count="3">
    <mergeCell ref="A1:F1"/>
    <mergeCell ref="B3:C3"/>
    <mergeCell ref="D3:E3"/>
  </mergeCells>
  <conditionalFormatting sqref="C5:C1048576">
    <cfRule type="cellIs" dxfId="59" priority="8" stopIfTrue="1" operator="greaterThan">
      <formula>0.1</formula>
    </cfRule>
  </conditionalFormatting>
  <hyperlinks>
    <hyperlink ref="A2" location="Obsah!A1" display="Zpět na Obsah  KL 01  1.-4.měsíc" xr:uid="{4E9E1779-019D-448A-832E-EB5E84843A24}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32</vt:i4>
      </vt:variant>
      <vt:variant>
        <vt:lpstr>Pojmenované oblasti</vt:lpstr>
      </vt:variant>
      <vt:variant>
        <vt:i4>5</vt:i4>
      </vt:variant>
    </vt:vector>
  </HeadingPairs>
  <TitlesOfParts>
    <vt:vector size="37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Vykáz.-A Det.Lék.</vt:lpstr>
      <vt:lpstr>ZV Vykáz.-H</vt:lpstr>
      <vt:lpstr>ZV Vykáz.-H Detail</vt:lpstr>
      <vt:lpstr>CaseMix</vt:lpstr>
      <vt:lpstr>ALOS</vt:lpstr>
      <vt:lpstr>Total</vt:lpstr>
      <vt:lpstr>ZV Vyžád.</vt:lpstr>
      <vt:lpstr>ZV Vyžád. Detail</vt:lpstr>
      <vt:lpstr>OD TISS</vt:lpstr>
      <vt:lpstr>doměsíce</vt:lpstr>
      <vt:lpstr>'ON Data'!Obdobi</vt:lpstr>
      <vt:lpstr>'Osobní náklady'!Obdobi</vt:lpstr>
      <vt:lpstr>ALOS!Oblast_tisku</vt:lpstr>
      <vt:lpstr>CaseMix!Oblast_tisku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Uživatel systému Windows</cp:lastModifiedBy>
  <cp:lastPrinted>2017-05-31T07:11:02Z</cp:lastPrinted>
  <dcterms:created xsi:type="dcterms:W3CDTF">2013-04-17T20:15:29Z</dcterms:created>
  <dcterms:modified xsi:type="dcterms:W3CDTF">2020-06-22T14:29:22Z</dcterms:modified>
</cp:coreProperties>
</file>