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Léky Žádanky" sheetId="219" r:id="rId6"/>
    <sheet name="LŽ Statim" sheetId="427" r:id="rId7"/>
    <sheet name="Materiál Žádanky" sheetId="420" r:id="rId8"/>
    <sheet name="MŽ Detail" sheetId="403" r:id="rId9"/>
    <sheet name="Osobní náklady" sheetId="419" r:id="rId10"/>
    <sheet name="ON Data" sheetId="418" state="hidden" r:id="rId11"/>
  </sheets>
  <definedNames>
    <definedName name="_xlnm._FilterDatabase" localSheetId="4" hidden="1">HV!$A$5:$A$5</definedName>
    <definedName name="_xlnm._FilterDatabase" localSheetId="5" hidden="1">'Léky Žádanky'!$A$4:$I$4</definedName>
    <definedName name="_xlnm._FilterDatabase" localSheetId="6" hidden="1">'LŽ Statim'!$A$5:$I$5</definedName>
    <definedName name="_xlnm._FilterDatabase" localSheetId="3" hidden="1">'Man Tab'!$A$5:$A$31</definedName>
    <definedName name="_xlnm._FilterDatabase" localSheetId="7" hidden="1">'Materiál Žádanky'!$A$4:$I$4</definedName>
    <definedName name="_xlnm._FilterDatabase" localSheetId="8" hidden="1">'MŽ Detail'!$A$4:$K$4</definedName>
    <definedName name="doměsíce">#REF!</definedName>
  </definedNames>
  <calcPr calcId="152511"/>
</workbook>
</file>

<file path=xl/calcChain.xml><?xml version="1.0" encoding="utf-8"?>
<calcChain xmlns="http://schemas.openxmlformats.org/spreadsheetml/2006/main">
  <c r="AG21" i="419" l="1"/>
  <c r="AF21" i="419"/>
  <c r="AE21" i="419"/>
  <c r="AD21" i="419"/>
  <c r="AC21" i="419"/>
  <c r="AB21" i="419"/>
  <c r="AA21" i="419"/>
  <c r="Z21" i="419"/>
  <c r="Y21" i="419"/>
  <c r="X21" i="419"/>
  <c r="W21" i="419"/>
  <c r="V21" i="419"/>
  <c r="U21" i="419"/>
  <c r="T21" i="419"/>
  <c r="S21" i="419"/>
  <c r="R21" i="419"/>
  <c r="Q21" i="419"/>
  <c r="P21" i="419"/>
  <c r="O21" i="419"/>
  <c r="N21" i="419"/>
  <c r="M21" i="419"/>
  <c r="L21" i="419"/>
  <c r="K21" i="419"/>
  <c r="J21" i="419"/>
  <c r="I21" i="419"/>
  <c r="H21" i="419"/>
  <c r="G21" i="419"/>
  <c r="F21" i="419"/>
  <c r="E21" i="419"/>
  <c r="D21" i="419"/>
  <c r="C21" i="419"/>
  <c r="B21" i="419"/>
  <c r="B22" i="419" l="1"/>
  <c r="I22" i="419"/>
  <c r="M22" i="419"/>
  <c r="Q22" i="419"/>
  <c r="U22" i="419"/>
  <c r="Y22" i="419"/>
  <c r="C22" i="419"/>
  <c r="F22" i="419"/>
  <c r="N22" i="419"/>
  <c r="R22" i="419"/>
  <c r="V22" i="419"/>
  <c r="Z22" i="419"/>
  <c r="AD22" i="419"/>
  <c r="AG22" i="419"/>
  <c r="D22" i="419"/>
  <c r="G22" i="419"/>
  <c r="K22" i="419"/>
  <c r="O22" i="419"/>
  <c r="S22" i="419"/>
  <c r="W22" i="419"/>
  <c r="AA22" i="419"/>
  <c r="AE22" i="419"/>
  <c r="E22" i="419"/>
  <c r="H22" i="419"/>
  <c r="L22" i="419"/>
  <c r="P22" i="419"/>
  <c r="T22" i="419"/>
  <c r="X22" i="419"/>
  <c r="AB22" i="419"/>
  <c r="AF22" i="419"/>
  <c r="J22" i="419"/>
  <c r="AC22" i="419"/>
  <c r="A8" i="414" l="1"/>
  <c r="A11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AG26" i="419" l="1"/>
  <c r="AG25" i="419"/>
  <c r="A12" i="383" l="1"/>
  <c r="A10" i="383"/>
  <c r="AG20" i="419" l="1"/>
  <c r="AG23" i="419" s="1"/>
  <c r="AF20" i="419"/>
  <c r="AF23" i="419" s="1"/>
  <c r="AE20" i="419"/>
  <c r="AE23" i="419" s="1"/>
  <c r="AD20" i="419"/>
  <c r="AD23" i="419" s="1"/>
  <c r="AC20" i="419"/>
  <c r="AC23" i="419" s="1"/>
  <c r="AB20" i="419"/>
  <c r="AB23" i="419" s="1"/>
  <c r="AA20" i="419"/>
  <c r="AA23" i="419" s="1"/>
  <c r="Z20" i="419"/>
  <c r="Z23" i="419" s="1"/>
  <c r="Y20" i="419"/>
  <c r="Y23" i="419" s="1"/>
  <c r="X20" i="419"/>
  <c r="X23" i="419" s="1"/>
  <c r="W20" i="419"/>
  <c r="W23" i="419" s="1"/>
  <c r="V20" i="419"/>
  <c r="V23" i="419" s="1"/>
  <c r="U20" i="419"/>
  <c r="U23" i="419" s="1"/>
  <c r="T20" i="419"/>
  <c r="T23" i="419" s="1"/>
  <c r="S20" i="419"/>
  <c r="S23" i="419" s="1"/>
  <c r="R20" i="419"/>
  <c r="R23" i="419" s="1"/>
  <c r="Q20" i="419"/>
  <c r="Q23" i="419" s="1"/>
  <c r="P20" i="419"/>
  <c r="P23" i="419" s="1"/>
  <c r="O20" i="419"/>
  <c r="O23" i="419" s="1"/>
  <c r="N20" i="419"/>
  <c r="N23" i="419" s="1"/>
  <c r="M20" i="419"/>
  <c r="M23" i="419" s="1"/>
  <c r="L20" i="419"/>
  <c r="L23" i="419" s="1"/>
  <c r="K20" i="419"/>
  <c r="K23" i="419" s="1"/>
  <c r="J20" i="419"/>
  <c r="J23" i="419" s="1"/>
  <c r="I20" i="419"/>
  <c r="I23" i="419" s="1"/>
  <c r="H20" i="419"/>
  <c r="H23" i="419" s="1"/>
  <c r="G20" i="419"/>
  <c r="G23" i="419" s="1"/>
  <c r="F20" i="419"/>
  <c r="F23" i="419" s="1"/>
  <c r="E20" i="419"/>
  <c r="E23" i="419" s="1"/>
  <c r="D20" i="419"/>
  <c r="D23" i="419" s="1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G16" i="419"/>
  <c r="AF16" i="419"/>
  <c r="AE16" i="419"/>
  <c r="AD16" i="419"/>
  <c r="AC16" i="419"/>
  <c r="AB16" i="419"/>
  <c r="AA16" i="419"/>
  <c r="Z16" i="419"/>
  <c r="Y16" i="419"/>
  <c r="X16" i="419"/>
  <c r="W16" i="419"/>
  <c r="V16" i="419"/>
  <c r="U16" i="419"/>
  <c r="T16" i="419"/>
  <c r="S16" i="419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F16" i="419"/>
  <c r="E16" i="419"/>
  <c r="D16" i="419"/>
  <c r="D18" i="419" s="1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G18" i="419" l="1"/>
  <c r="S18" i="419"/>
  <c r="W18" i="419"/>
  <c r="AA18" i="419"/>
  <c r="I18" i="419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C28" i="419"/>
  <c r="F27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B25" i="419" l="1"/>
  <c r="B27" i="419" s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C23" i="419" s="1"/>
  <c r="B20" i="419"/>
  <c r="B23" i="419" s="1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D12" i="414" l="1"/>
  <c r="D7" i="414"/>
  <c r="A15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7" i="414" l="1"/>
  <c r="A16" i="414"/>
  <c r="E11" i="339" l="1"/>
  <c r="B11" i="339"/>
  <c r="F11" i="339" l="1"/>
  <c r="C11" i="339"/>
  <c r="H11" i="339" l="1"/>
  <c r="G11" i="339"/>
  <c r="A12" i="414"/>
  <c r="A7" i="414"/>
  <c r="A13" i="414"/>
  <c r="A4" i="414"/>
  <c r="A6" i="339" l="1"/>
  <c r="A5" i="339"/>
  <c r="D4" i="414"/>
  <c r="D16" i="414"/>
  <c r="D13" i="414"/>
  <c r="C13" i="414"/>
  <c r="C16" i="414"/>
  <c r="C12" i="414" l="1"/>
  <c r="C7" i="414"/>
  <c r="E12" i="414" l="1"/>
  <c r="E7" i="414"/>
  <c r="B15" i="339" l="1"/>
  <c r="K3" i="403" l="1"/>
  <c r="J3" i="403"/>
  <c r="I3" i="403" s="1"/>
  <c r="E12" i="339" l="1"/>
  <c r="C12" i="339"/>
  <c r="B12" i="339"/>
  <c r="F12" i="339" s="1"/>
  <c r="D17" i="414"/>
  <c r="C17" i="414"/>
  <c r="F13" i="339" l="1"/>
  <c r="E13" i="339"/>
  <c r="E15" i="339" s="1"/>
  <c r="H12" i="339"/>
  <c r="G12" i="339"/>
  <c r="A4" i="383"/>
  <c r="A14" i="383"/>
  <c r="A13" i="383"/>
  <c r="A7" i="383"/>
  <c r="A6" i="383"/>
  <c r="A5" i="383"/>
  <c r="C13" i="339"/>
  <c r="C15" i="339" s="1"/>
  <c r="B13" i="339"/>
  <c r="C4" i="414"/>
  <c r="D15" i="414"/>
  <c r="H13" i="339" l="1"/>
  <c r="F15" i="339"/>
  <c r="E13" i="414"/>
  <c r="E4" i="414"/>
  <c r="G13" i="339"/>
  <c r="G15" i="339" l="1"/>
  <c r="H15" i="339"/>
  <c r="E16" i="414"/>
  <c r="E17" i="414"/>
  <c r="C15" i="414"/>
  <c r="E15" i="414" l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<sst xmlns="http://schemas.openxmlformats.org/spreadsheetml/2006/main" count="706" uniqueCount="355">
  <si>
    <t>NS</t>
  </si>
  <si>
    <t>Účet</t>
  </si>
  <si>
    <t>Celkem</t>
  </si>
  <si>
    <t>Č.kl.</t>
  </si>
  <si>
    <t>Klinika</t>
  </si>
  <si>
    <t>Oddělení</t>
  </si>
  <si>
    <t>Č.účtu</t>
  </si>
  <si>
    <t>Název</t>
  </si>
  <si>
    <t>Mn.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</si>
  <si>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</si>
  <si>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</si>
  <si>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</si>
  <si>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</si>
  <si>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</si>
  <si>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</si>
  <si>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</si>
  <si>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</si>
  <si>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</si>
  <si>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</si>
  <si>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</si>
  <si>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</si>
  <si>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</si>
  <si>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</si>
  <si>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</si>
  <si>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</si>
  <si>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</si>
  <si>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</si>
  <si>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</si>
  <si>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</si>
  <si>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</si>
  <si>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</si>
  <si>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</si>
  <si>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</si>
  <si>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</si>
  <si>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</si>
  <si>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</si>
  <si>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</si>
  <si>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</si>
  <si>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</si>
  <si>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</si>
  <si>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</si>
  <si>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</si>
  <si>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</si>
  <si>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</si>
  <si>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</si>
  <si>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</si>
  <si>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</si>
  <si>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</si>
  <si>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</si>
  <si>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</si>
  <si>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Kód</t>
  </si>
  <si>
    <t>Skutečnost</t>
  </si>
  <si>
    <t>Rozpočet</t>
  </si>
  <si>
    <t>Plnění</t>
  </si>
  <si>
    <t>Ostatní (Kč)</t>
  </si>
  <si>
    <t>Náklady celkem</t>
  </si>
  <si>
    <t>Výnosy celkem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</si>
  <si>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</si>
  <si>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</si>
  <si>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</si>
  <si>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</si>
  <si>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</si>
  <si>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</si>
  <si>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Man Tab</t>
  </si>
  <si>
    <t>Léky Žádanky</t>
  </si>
  <si>
    <t>Materiál Žádanky</t>
  </si>
  <si>
    <t>MŽ Detail</t>
  </si>
  <si>
    <t>Osobní náklady</t>
  </si>
  <si>
    <t>Motivační kritéria</t>
  </si>
  <si>
    <t>Motivace</t>
  </si>
  <si>
    <t>Celkem: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</si>
  <si>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</si>
  <si>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</si>
  <si>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</si>
  <si>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</si>
  <si>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</si>
  <si>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</si>
  <si>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</si>
  <si>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</si>
  <si>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</si>
  <si>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</si>
  <si>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</si>
  <si>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</si>
  <si>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</si>
  <si>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</si>
  <si>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</si>
  <si>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</si>
  <si>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</si>
  <si>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</si>
  <si>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</si>
  <si>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</si>
  <si>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</si>
  <si>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</si>
  <si>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</si>
  <si>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</si>
  <si>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</si>
  <si>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</si>
  <si>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</si>
  <si>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</si>
  <si>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</si>
  <si>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</si>
  <si>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</si>
  <si>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</si>
  <si>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</si>
  <si>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</si>
  <si>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</si>
  <si>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</si>
  <si>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</si>
  <si>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</si>
  <si>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POMĚROVÉ  PLNĚNÍ = Rozpočet na rok 2014 celkem a 1/12  ročního rozpočtu, skutečnost daných měsíců a % plnění načítané skutečnosti do data k poměrné části rozpočtu do data.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</si>
  <si>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</si>
  <si>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</si>
  <si>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</si>
  <si>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</si>
  <si>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</si>
  <si>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</si>
  <si>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</si>
  <si>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</si>
  <si>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</si>
  <si>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</si>
  <si>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</si>
  <si>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</si>
  <si>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</si>
  <si>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</si>
  <si>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</si>
  <si>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</si>
  <si>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</si>
  <si>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</si>
  <si>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</si>
  <si>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</si>
  <si>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</si>
  <si>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</si>
  <si>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</si>
  <si>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</si>
  <si>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</si>
  <si>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</si>
  <si>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</si>
  <si>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</si>
  <si>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</si>
  <si>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</si>
  <si>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</si>
  <si>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</si>
  <si>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</si>
  <si>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</si>
  <si>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</si>
  <si>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</si>
  <si>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</si>
  <si>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</si>
  <si>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</si>
  <si>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</si>
  <si>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</si>
  <si>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</si>
  <si>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</si>
  <si>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</si>
  <si>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</si>
  <si>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</si>
  <si>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</si>
  <si>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</si>
  <si>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</si>
  <si>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</si>
  <si>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</si>
  <si>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</si>
  <si>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</si>
  <si>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</si>
  <si>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</si>
  <si>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</si>
  <si>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</si>
  <si>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</si>
  <si>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</si>
  <si>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</si>
  <si>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</si>
  <si>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</si>
  <si>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</si>
  <si>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</si>
  <si>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</si>
  <si>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</si>
  <si>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</si>
  <si>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</si>
  <si>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</si>
  <si>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</si>
  <si>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</si>
  <si>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</si>
  <si>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</si>
  <si>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</si>
  <si>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</si>
  <si>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</si>
  <si>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</si>
  <si>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</si>
  <si>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</si>
  <si>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</si>
  <si>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</si>
  <si>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</si>
  <si>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</si>
  <si>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</si>
  <si>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</si>
  <si>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</si>
  <si>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</si>
  <si>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</si>
  <si>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</si>
  <si>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r>
      <t>Zpět na Obsah</t>
    </r>
    <r>
      <rPr>
        <sz val="9"/>
        <rFont val="Calibri"/>
        <family val="2"/>
        <charset val="238"/>
        <scheme val="minor"/>
      </rPr>
      <t xml:space="preserve"> | 1.-9.měsíc | Oddělení nemocniční hygieny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</si>
  <si>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</si>
  <si>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</si>
  <si>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</si>
  <si>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</si>
  <si>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</si>
  <si>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50113     Léky a léčiva</t>
  </si>
  <si>
    <t>--</t>
  </si>
  <si>
    <t>50113001     léky - paušál+TISS (LEK)</t>
  </si>
  <si>
    <t>50115     Zdravotnické prostředky</t>
  </si>
  <si>
    <t>50115020     diagnostika laboratorní-LEK (sk.Z_501)</t>
  </si>
  <si>
    <t>50115050     obvazový materiál (sk.Z_502)</t>
  </si>
  <si>
    <t>50115067     ostatní ZPr - rukavice (sk.Z_532)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</si>
  <si>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</si>
  <si>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</si>
  <si>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</si>
  <si>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</si>
  <si>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</si>
  <si>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</si>
  <si>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50117011     obalový mat. pro sterilizaci (sk.V20)</t>
  </si>
  <si>
    <t>50117015     IT - spotřební materiál (sk. P37, 48)</t>
  </si>
  <si>
    <t>50117021     všeob.mat. - hosp.přístr.a nářadí (V32) od 1tis do 2999,99</t>
  </si>
  <si>
    <t>50117024     všeob.mat. - ostatní-vyjímky (V44) od 0,01 do 999,99</t>
  </si>
  <si>
    <t>50117190     technické plyny</t>
  </si>
  <si>
    <t>50118     Náhradní díly</t>
  </si>
  <si>
    <t>50118006     ND - ZVIT (sk.B63)</t>
  </si>
  <si>
    <t>50119     DDHM a textil</t>
  </si>
  <si>
    <t>50119077     OOPP a prádlo pro zaměstnance (sk.T14)</t>
  </si>
  <si>
    <t>50210     Spotřeba energie</t>
  </si>
  <si>
    <t>50210071     elektřina</t>
  </si>
  <si>
    <t>50210072     vodné, stočné</t>
  </si>
  <si>
    <t>50210073     pára</t>
  </si>
  <si>
    <t>50210075     plyn</t>
  </si>
  <si>
    <t>51     Služby</t>
  </si>
  <si>
    <t>51101     Budovy</t>
  </si>
  <si>
    <t>51101026     opravy budov - hl.energetik</t>
  </si>
  <si>
    <t>51102     Technika a stavby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</si>
  <si>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</si>
  <si>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</si>
  <si>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</si>
  <si>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</si>
  <si>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</si>
  <si>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</si>
  <si>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</si>
  <si>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</si>
  <si>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</si>
  <si>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</si>
  <si>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</si>
  <si>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</si>
  <si>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51806     Úklid, odpad, desinf., deratizace</t>
  </si>
  <si>
    <t>51806001     úklid pravidelný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</si>
  <si>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</si>
  <si>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</si>
  <si>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</si>
  <si>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</si>
  <si>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</si>
  <si>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</si>
  <si>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51874     Ostatní služby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</si>
  <si>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</si>
  <si>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</si>
  <si>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</si>
  <si>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</si>
  <si>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</si>
  <si>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</si>
  <si>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</si>
  <si>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</si>
  <si>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</si>
  <si>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</si>
  <si>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</si>
  <si>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</si>
  <si>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</si>
  <si>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</si>
  <si>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</si>
  <si>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</si>
  <si>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</si>
  <si>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</si>
  <si>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</si>
  <si>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</si>
  <si>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54910008     školení, kongresové poplatky tuzemské - lékaři</t>
  </si>
  <si>
    <t>54910010     školení - nezdrav.pracov.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</si>
  <si>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</si>
  <si>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</si>
  <si>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</si>
  <si>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</si>
  <si>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</si>
  <si>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</si>
  <si>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</si>
  <si>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</si>
  <si>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</si>
  <si>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</si>
  <si>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</si>
  <si>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558     Náklady z drobného dlouhodobého majetku</t>
  </si>
  <si>
    <t>55805     DDHM - inventář</t>
  </si>
  <si>
    <t>55805002     DDHM - nábytek (sk.V_31)</t>
  </si>
  <si>
    <t>6     Účtová třída 6 - Výnosy</t>
  </si>
  <si>
    <t>64     Jiné provozní výnosy</t>
  </si>
  <si>
    <t>648     Čerpání fondů</t>
  </si>
  <si>
    <t>64804     Čerpání FRM</t>
  </si>
  <si>
    <t>64804126     čerp. FRM - opravy budov OHE</t>
  </si>
  <si>
    <t>64804225     čerp. FRM - údržba OHE</t>
  </si>
  <si>
    <t>649     Ostatní výnosy z činnosti</t>
  </si>
  <si>
    <t>64924     Ostatní služby - mimo zdrav.výkony  FAKTURACE</t>
  </si>
  <si>
    <t>64924442     telekom.služby, soukr. hovory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</si>
  <si>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</si>
  <si>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</si>
  <si>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</si>
  <si>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</si>
  <si>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</si>
  <si>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</si>
  <si>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</si>
  <si>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</si>
  <si>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</si>
  <si>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</si>
  <si>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</si>
  <si>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</si>
  <si>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79950     VPN - správní režie</t>
  </si>
  <si>
    <t>79950001     režie HTS</t>
  </si>
  <si>
    <t>54</t>
  </si>
  <si>
    <t>Oddělení nemocniční hygieny</t>
  </si>
  <si>
    <t/>
  </si>
  <si>
    <t>Oddělení nemocniční hygieny Celkem</t>
  </si>
  <si>
    <t>SumaKL</t>
  </si>
  <si>
    <t>5498</t>
  </si>
  <si>
    <t>SumaNS</t>
  </si>
  <si>
    <t>mezeraNS</t>
  </si>
  <si>
    <t>54 - Oddělení nemocniční hygieny</t>
  </si>
  <si>
    <t>5498 - Oddělení nemocniční hygieny</t>
  </si>
  <si>
    <t>ZA604</t>
  </si>
  <si>
    <t>Tyčinka vatová sterilní jednotlivě balalená bal. á 1000 ks 5100/SG/CS</t>
  </si>
  <si>
    <t>ZI758</t>
  </si>
  <si>
    <t>Rukavice vinyl bez p. M á 100 ks EFEKTVR03</t>
  </si>
  <si>
    <t>DC859</t>
  </si>
  <si>
    <t>COLUMBIA AGAR</t>
  </si>
  <si>
    <t>DD596</t>
  </si>
  <si>
    <t>Sabouraud agar s CMP</t>
  </si>
  <si>
    <t>DD409</t>
  </si>
  <si>
    <t>TRYPTON-SOJOVÝ BUJON</t>
  </si>
  <si>
    <t>DA999</t>
  </si>
  <si>
    <t>Půda s bromkresolem (kontrola sterility)</t>
  </si>
  <si>
    <t>DB001</t>
  </si>
  <si>
    <t>Glukózový bujon (5 ml)</t>
  </si>
  <si>
    <t>DB709</t>
  </si>
  <si>
    <t>ENDO AGAR</t>
  </si>
  <si>
    <t>DD558</t>
  </si>
  <si>
    <t>DE728</t>
  </si>
  <si>
    <t>PASTOREX STAPH PLUS 1x50 testů</t>
  </si>
  <si>
    <t>DG379</t>
  </si>
  <si>
    <t>Doprava 21%</t>
  </si>
  <si>
    <t>50115050</t>
  </si>
  <si>
    <t>502 SZM obvazový (112 02 040)</t>
  </si>
  <si>
    <t>50115067</t>
  </si>
  <si>
    <t>532 SZM Rukavice (112 02 108)</t>
  </si>
  <si>
    <t>50115020</t>
  </si>
  <si>
    <t>Diagnostika (132 03 001)</t>
  </si>
  <si>
    <t>Spotřeba zdravotnického materiálu - orientační přehled</t>
  </si>
  <si>
    <t>ON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</si>
</sst>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71" formatCode="0.000"/>
    <numFmt numFmtId="173" formatCode="#,##0;\-#,##0;"/>
    <numFmt numFmtId="174" formatCode="General;\-General;"/>
    <numFmt numFmtId="175" formatCode="0%;\-0%;"/>
    <numFmt numFmtId="176" formatCode="#,##0%"/>
  </numFmts>
  <fonts count="57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10">
    <xf numFmtId="0" fontId="0" fillId="0" borderId="0" xfId="0"/>
    <xf numFmtId="0" fontId="27" fillId="2" borderId="17" xfId="81" applyFont="1" applyFill="1" applyBorder="1"/>
    <xf numFmtId="0" fontId="28" fillId="2" borderId="18" xfId="81" applyFont="1" applyFill="1" applyBorder="1"/>
    <xf numFmtId="3" fontId="28" fillId="2" borderId="19" xfId="81" applyNumberFormat="1" applyFont="1" applyFill="1" applyBorder="1"/>
    <xf numFmtId="0" fontId="28" fillId="4" borderId="18" xfId="81" applyFont="1" applyFill="1" applyBorder="1"/>
    <xf numFmtId="3" fontId="28" fillId="4" borderId="19" xfId="81" applyNumberFormat="1" applyFont="1" applyFill="1" applyBorder="1"/>
    <xf numFmtId="171" fontId="28" fillId="3" borderId="19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1" applyNumberFormat="1" applyFont="1" applyFill="1" applyBorder="1"/>
    <xf numFmtId="3" fontId="27" fillId="5" borderId="8" xfId="81" applyNumberFormat="1" applyFont="1" applyFill="1" applyBorder="1"/>
    <xf numFmtId="3" fontId="27" fillId="5" borderId="12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1" applyNumberFormat="1" applyFont="1" applyFill="1" applyBorder="1"/>
    <xf numFmtId="3" fontId="27" fillId="5" borderId="29" xfId="81" applyNumberFormat="1" applyFont="1" applyFill="1" applyBorder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0" xfId="81" applyNumberFormat="1" applyFont="1" applyFill="1" applyBorder="1"/>
    <xf numFmtId="3" fontId="27" fillId="5" borderId="13" xfId="81" applyNumberFormat="1" applyFont="1" applyFill="1" applyBorder="1"/>
    <xf numFmtId="3" fontId="27" fillId="5" borderId="14" xfId="81" applyNumberFormat="1" applyFont="1" applyFill="1" applyBorder="1"/>
    <xf numFmtId="3" fontId="28" fillId="2" borderId="27" xfId="81" applyNumberFormat="1" applyFont="1" applyFill="1" applyBorder="1"/>
    <xf numFmtId="3" fontId="28" fillId="2" borderId="20" xfId="81" applyNumberFormat="1" applyFont="1" applyFill="1" applyBorder="1"/>
    <xf numFmtId="3" fontId="28" fillId="4" borderId="27" xfId="81" applyNumberFormat="1" applyFont="1" applyFill="1" applyBorder="1"/>
    <xf numFmtId="3" fontId="28" fillId="4" borderId="20" xfId="81" applyNumberFormat="1" applyFont="1" applyFill="1" applyBorder="1"/>
    <xf numFmtId="171" fontId="28" fillId="3" borderId="27" xfId="81" applyNumberFormat="1" applyFont="1" applyFill="1" applyBorder="1"/>
    <xf numFmtId="171" fontId="28" fillId="3" borderId="20" xfId="81" applyNumberFormat="1" applyFont="1" applyFill="1" applyBorder="1"/>
    <xf numFmtId="0" fontId="31" fillId="2" borderId="25" xfId="81" applyFont="1" applyFill="1" applyBorder="1" applyAlignment="1">
      <alignment horizontal="center"/>
    </xf>
    <xf numFmtId="0" fontId="32" fillId="0" borderId="36" xfId="0" applyFont="1" applyFill="1" applyBorder="1" applyAlignment="1"/>
    <xf numFmtId="0" fontId="40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6" xfId="82" applyFont="1" applyFill="1" applyBorder="1" applyAlignment="1"/>
    <xf numFmtId="0" fontId="29" fillId="0" borderId="0" xfId="49" applyFont="1" applyFill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49" xfId="0" applyFont="1" applyFill="1" applyBorder="1" applyAlignment="1"/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2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3" fontId="31" fillId="0" borderId="29" xfId="53" applyNumberFormat="1" applyFont="1" applyFill="1" applyBorder="1"/>
    <xf numFmtId="3" fontId="31" fillId="0" borderId="25" xfId="53" applyNumberFormat="1" applyFont="1" applyFill="1" applyBorder="1"/>
    <xf numFmtId="0" fontId="31" fillId="2" borderId="38" xfId="74" applyFont="1" applyFill="1" applyBorder="1" applyAlignment="1">
      <alignment horizontal="center"/>
    </xf>
    <xf numFmtId="0" fontId="27" fillId="5" borderId="36" xfId="81" applyFont="1" applyFill="1" applyBorder="1"/>
    <xf numFmtId="0" fontId="31" fillId="2" borderId="23" xfId="81" applyFont="1" applyFill="1" applyBorder="1" applyAlignment="1">
      <alignment horizontal="center"/>
    </xf>
    <xf numFmtId="0" fontId="31" fillId="2" borderId="22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4" fillId="2" borderId="17" xfId="1" applyFont="1" applyFill="1" applyBorder="1"/>
    <xf numFmtId="0" fontId="45" fillId="0" borderId="0" xfId="0" applyFont="1" applyFill="1"/>
    <xf numFmtId="0" fontId="46" fillId="0" borderId="0" xfId="0" applyFont="1" applyFill="1"/>
    <xf numFmtId="0" fontId="46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1" applyNumberFormat="1" applyFont="1" applyFill="1" applyBorder="1"/>
    <xf numFmtId="9" fontId="28" fillId="4" borderId="20" xfId="81" applyNumberFormat="1" applyFont="1" applyFill="1" applyBorder="1"/>
    <xf numFmtId="9" fontId="28" fillId="3" borderId="20" xfId="81" applyNumberFormat="1" applyFont="1" applyFill="1" applyBorder="1"/>
    <xf numFmtId="0" fontId="31" fillId="2" borderId="21" xfId="81" applyFont="1" applyFill="1" applyBorder="1" applyAlignment="1">
      <alignment horizontal="center"/>
    </xf>
    <xf numFmtId="49" fontId="37" fillId="2" borderId="9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2" xfId="0" applyFont="1" applyFill="1" applyBorder="1" applyAlignment="1"/>
    <xf numFmtId="0" fontId="32" fillId="0" borderId="0" xfId="0" applyFont="1" applyFill="1" applyAlignment="1"/>
    <xf numFmtId="0" fontId="44" fillId="4" borderId="33" xfId="1" applyFont="1" applyFill="1" applyBorder="1"/>
    <xf numFmtId="0" fontId="44" fillId="4" borderId="17" xfId="1" applyFont="1" applyFill="1" applyBorder="1"/>
    <xf numFmtId="0" fontId="44" fillId="3" borderId="18" xfId="1" applyFont="1" applyFill="1" applyBorder="1"/>
    <xf numFmtId="0" fontId="47" fillId="0" borderId="0" xfId="0" applyFont="1" applyFill="1" applyBorder="1" applyAlignment="1">
      <alignment vertical="center"/>
    </xf>
    <xf numFmtId="0" fontId="47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4" fontId="31" fillId="2" borderId="24" xfId="53" applyNumberFormat="1" applyFont="1" applyFill="1" applyBorder="1" applyAlignment="1">
      <alignment horizontal="right"/>
    </xf>
    <xf numFmtId="0" fontId="44" fillId="3" borderId="8" xfId="1" applyFont="1" applyFill="1" applyBorder="1"/>
    <xf numFmtId="0" fontId="44" fillId="3" borderId="4" xfId="1" applyFont="1" applyFill="1" applyBorder="1"/>
    <xf numFmtId="0" fontId="44" fillId="6" borderId="4" xfId="1" applyFont="1" applyFill="1" applyBorder="1"/>
    <xf numFmtId="0" fontId="44" fillId="6" borderId="47" xfId="1" applyFont="1" applyFill="1" applyBorder="1"/>
    <xf numFmtId="0" fontId="44" fillId="2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3" xfId="0" applyNumberFormat="1" applyFont="1" applyFill="1" applyBorder="1"/>
    <xf numFmtId="3" fontId="39" fillId="2" borderId="44" xfId="0" applyNumberFormat="1" applyFont="1" applyFill="1" applyBorder="1"/>
    <xf numFmtId="9" fontId="39" fillId="2" borderId="48" xfId="0" applyNumberFormat="1" applyFont="1" applyFill="1" applyBorder="1"/>
    <xf numFmtId="0" fontId="48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5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0" fontId="44" fillId="2" borderId="34" xfId="1" applyFont="1" applyFill="1" applyBorder="1" applyAlignment="1">
      <alignment horizontal="left" indent="4"/>
    </xf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4" fillId="2" borderId="34" xfId="1" applyFont="1" applyFill="1" applyBorder="1" applyAlignment="1">
      <alignment horizontal="left" indent="2"/>
    </xf>
    <xf numFmtId="0" fontId="48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48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48" fillId="4" borderId="45" xfId="1" applyFont="1" applyFill="1" applyBorder="1" applyAlignment="1">
      <alignment horizontal="left"/>
    </xf>
    <xf numFmtId="0" fontId="48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2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7" fillId="0" borderId="0" xfId="81" applyFont="1" applyFill="1"/>
    <xf numFmtId="0" fontId="49" fillId="0" borderId="36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3" fontId="0" fillId="0" borderId="0" xfId="0" applyNumberFormat="1"/>
    <xf numFmtId="3" fontId="0" fillId="7" borderId="52" xfId="0" applyNumberFormat="1" applyFont="1" applyFill="1" applyBorder="1"/>
    <xf numFmtId="3" fontId="51" fillId="8" borderId="53" xfId="0" applyNumberFormat="1" applyFont="1" applyFill="1" applyBorder="1"/>
    <xf numFmtId="3" fontId="51" fillId="8" borderId="52" xfId="0" applyNumberFormat="1" applyFont="1" applyFill="1" applyBorder="1"/>
    <xf numFmtId="0" fontId="52" fillId="0" borderId="0" xfId="1" applyFont="1" applyFill="1"/>
    <xf numFmtId="3" fontId="50" fillId="0" borderId="0" xfId="26" applyNumberFormat="1" applyFont="1" applyFill="1" applyBorder="1" applyAlignment="1"/>
    <xf numFmtId="3" fontId="39" fillId="2" borderId="56" xfId="0" applyNumberFormat="1" applyFont="1" applyFill="1" applyBorder="1" applyAlignment="1">
      <alignment horizontal="center" vertical="center"/>
    </xf>
    <xf numFmtId="0" fontId="39" fillId="2" borderId="57" xfId="0" applyFont="1" applyFill="1" applyBorder="1" applyAlignment="1">
      <alignment horizontal="center" vertical="center"/>
    </xf>
    <xf numFmtId="3" fontId="53" fillId="2" borderId="59" xfId="0" applyNumberFormat="1" applyFont="1" applyFill="1" applyBorder="1" applyAlignment="1">
      <alignment horizontal="center" vertical="center" wrapText="1"/>
    </xf>
    <xf numFmtId="0" fontId="53" fillId="2" borderId="60" xfId="0" applyFont="1" applyFill="1" applyBorder="1" applyAlignment="1">
      <alignment horizontal="center" vertical="center" wrapText="1"/>
    </xf>
    <xf numFmtId="0" fontId="39" fillId="2" borderId="62" xfId="0" applyFont="1" applyFill="1" applyBorder="1" applyAlignment="1"/>
    <xf numFmtId="0" fontId="39" fillId="2" borderId="64" xfId="0" applyFont="1" applyFill="1" applyBorder="1" applyAlignment="1">
      <alignment horizontal="left" indent="1"/>
    </xf>
    <xf numFmtId="0" fontId="39" fillId="2" borderId="70" xfId="0" applyFont="1" applyFill="1" applyBorder="1" applyAlignment="1">
      <alignment horizontal="left" indent="1"/>
    </xf>
    <xf numFmtId="0" fontId="39" fillId="4" borderId="62" xfId="0" applyFont="1" applyFill="1" applyBorder="1" applyAlignment="1"/>
    <xf numFmtId="0" fontId="39" fillId="4" borderId="64" xfId="0" applyFont="1" applyFill="1" applyBorder="1" applyAlignment="1">
      <alignment horizontal="left" indent="1"/>
    </xf>
    <xf numFmtId="0" fontId="39" fillId="4" borderId="75" xfId="0" applyFont="1" applyFill="1" applyBorder="1" applyAlignment="1">
      <alignment horizontal="left" indent="1"/>
    </xf>
    <xf numFmtId="0" fontId="32" fillId="2" borderId="64" xfId="0" quotePrefix="1" applyFont="1" applyFill="1" applyBorder="1" applyAlignment="1">
      <alignment horizontal="left" indent="2"/>
    </xf>
    <xf numFmtId="0" fontId="32" fillId="2" borderId="70" xfId="0" quotePrefix="1" applyFont="1" applyFill="1" applyBorder="1" applyAlignment="1">
      <alignment horizontal="left" indent="2"/>
    </xf>
    <xf numFmtId="0" fontId="39" fillId="2" borderId="62" xfId="0" applyFont="1" applyFill="1" applyBorder="1" applyAlignment="1">
      <alignment horizontal="left" indent="1"/>
    </xf>
    <xf numFmtId="0" fontId="39" fillId="2" borderId="75" xfId="0" applyFont="1" applyFill="1" applyBorder="1" applyAlignment="1">
      <alignment horizontal="left" indent="1"/>
    </xf>
    <xf numFmtId="0" fontId="39" fillId="4" borderId="70" xfId="0" applyFont="1" applyFill="1" applyBorder="1" applyAlignment="1">
      <alignment horizontal="left" indent="1"/>
    </xf>
    <xf numFmtId="0" fontId="32" fillId="0" borderId="80" xfId="0" applyFont="1" applyBorder="1"/>
    <xf numFmtId="3" fontId="32" fillId="0" borderId="80" xfId="0" applyNumberFormat="1" applyFont="1" applyBorder="1"/>
    <xf numFmtId="0" fontId="39" fillId="4" borderId="54" xfId="0" applyFont="1" applyFill="1" applyBorder="1" applyAlignment="1">
      <alignment horizontal="center" vertical="center"/>
    </xf>
    <xf numFmtId="0" fontId="39" fillId="4" borderId="49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79" xfId="0" applyNumberFormat="1" applyFont="1" applyFill="1" applyBorder="1" applyAlignment="1">
      <alignment horizontal="center" vertical="center"/>
    </xf>
    <xf numFmtId="3" fontId="53" fillId="2" borderId="77" xfId="0" applyNumberFormat="1" applyFont="1" applyFill="1" applyBorder="1" applyAlignment="1">
      <alignment horizontal="center" vertical="center" wrapText="1"/>
    </xf>
    <xf numFmtId="173" fontId="39" fillId="4" borderId="63" xfId="0" applyNumberFormat="1" applyFont="1" applyFill="1" applyBorder="1" applyAlignment="1"/>
    <xf numFmtId="173" fontId="39" fillId="4" borderId="56" xfId="0" applyNumberFormat="1" applyFont="1" applyFill="1" applyBorder="1" applyAlignment="1"/>
    <xf numFmtId="173" fontId="39" fillId="4" borderId="57" xfId="0" applyNumberFormat="1" applyFont="1" applyFill="1" applyBorder="1" applyAlignment="1"/>
    <xf numFmtId="173" fontId="39" fillId="0" borderId="65" xfId="0" applyNumberFormat="1" applyFont="1" applyBorder="1"/>
    <xf numFmtId="173" fontId="32" fillId="0" borderId="69" xfId="0" applyNumberFormat="1" applyFont="1" applyBorder="1"/>
    <xf numFmtId="173" fontId="32" fillId="0" borderId="67" xfId="0" applyNumberFormat="1" applyFont="1" applyBorder="1"/>
    <xf numFmtId="173" fontId="39" fillId="0" borderId="76" xfId="0" applyNumberFormat="1" applyFont="1" applyBorder="1"/>
    <xf numFmtId="173" fontId="32" fillId="0" borderId="77" xfId="0" applyNumberFormat="1" applyFont="1" applyBorder="1"/>
    <xf numFmtId="173" fontId="32" fillId="0" borderId="60" xfId="0" applyNumberFormat="1" applyFont="1" applyBorder="1"/>
    <xf numFmtId="173" fontId="39" fillId="2" borderId="78" xfId="0" applyNumberFormat="1" applyFont="1" applyFill="1" applyBorder="1" applyAlignment="1"/>
    <xf numFmtId="173" fontId="39" fillId="2" borderId="56" xfId="0" applyNumberFormat="1" applyFont="1" applyFill="1" applyBorder="1" applyAlignment="1"/>
    <xf numFmtId="173" fontId="39" fillId="2" borderId="57" xfId="0" applyNumberFormat="1" applyFont="1" applyFill="1" applyBorder="1" applyAlignment="1"/>
    <xf numFmtId="173" fontId="39" fillId="0" borderId="71" xfId="0" applyNumberFormat="1" applyFont="1" applyBorder="1"/>
    <xf numFmtId="173" fontId="32" fillId="0" borderId="72" xfId="0" applyNumberFormat="1" applyFont="1" applyBorder="1"/>
    <xf numFmtId="173" fontId="32" fillId="0" borderId="73" xfId="0" applyNumberFormat="1" applyFont="1" applyBorder="1"/>
    <xf numFmtId="173" fontId="39" fillId="0" borderId="63" xfId="0" applyNumberFormat="1" applyFont="1" applyBorder="1"/>
    <xf numFmtId="173" fontId="32" fillId="0" borderId="79" xfId="0" applyNumberFormat="1" applyFont="1" applyBorder="1"/>
    <xf numFmtId="173" fontId="32" fillId="0" borderId="57" xfId="0" applyNumberFormat="1" applyFont="1" applyBorder="1"/>
    <xf numFmtId="174" fontId="39" fillId="2" borderId="63" xfId="0" applyNumberFormat="1" applyFont="1" applyFill="1" applyBorder="1" applyAlignment="1"/>
    <xf numFmtId="174" fontId="32" fillId="2" borderId="56" xfId="0" applyNumberFormat="1" applyFont="1" applyFill="1" applyBorder="1" applyAlignment="1"/>
    <xf numFmtId="174" fontId="32" fillId="2" borderId="57" xfId="0" applyNumberFormat="1" applyFont="1" applyFill="1" applyBorder="1" applyAlignment="1"/>
    <xf numFmtId="174" fontId="39" fillId="0" borderId="65" xfId="0" applyNumberFormat="1" applyFont="1" applyBorder="1"/>
    <xf numFmtId="174" fontId="32" fillId="0" borderId="66" xfId="0" applyNumberFormat="1" applyFont="1" applyBorder="1"/>
    <xf numFmtId="174" fontId="32" fillId="0" borderId="67" xfId="0" applyNumberFormat="1" applyFont="1" applyBorder="1"/>
    <xf numFmtId="174" fontId="32" fillId="0" borderId="69" xfId="0" applyNumberFormat="1" applyFont="1" applyBorder="1"/>
    <xf numFmtId="174" fontId="39" fillId="0" borderId="71" xfId="0" applyNumberFormat="1" applyFont="1" applyBorder="1"/>
    <xf numFmtId="174" fontId="32" fillId="0" borderId="72" xfId="0" applyNumberFormat="1" applyFont="1" applyBorder="1"/>
    <xf numFmtId="174" fontId="32" fillId="0" borderId="73" xfId="0" applyNumberFormat="1" applyFont="1" applyBorder="1"/>
    <xf numFmtId="0" fontId="55" fillId="0" borderId="0" xfId="0" applyFont="1" applyAlignment="1">
      <alignment horizontal="left" vertical="center" indent="1"/>
    </xf>
    <xf numFmtId="0" fontId="55" fillId="0" borderId="0" xfId="0" applyFont="1" applyAlignment="1">
      <alignment vertical="center"/>
    </xf>
    <xf numFmtId="0" fontId="0" fillId="0" borderId="0" xfId="0" applyAlignment="1"/>
    <xf numFmtId="0" fontId="56" fillId="0" borderId="0" xfId="0" applyFont="1"/>
    <xf numFmtId="173" fontId="39" fillId="4" borderId="63" xfId="0" applyNumberFormat="1" applyFont="1" applyFill="1" applyBorder="1" applyAlignment="1">
      <alignment horizontal="center"/>
    </xf>
    <xf numFmtId="175" fontId="39" fillId="0" borderId="71" xfId="0" applyNumberFormat="1" applyFont="1" applyBorder="1"/>
    <xf numFmtId="0" fontId="31" fillId="2" borderId="86" xfId="74" applyFont="1" applyFill="1" applyBorder="1" applyAlignment="1">
      <alignment horizontal="center"/>
    </xf>
    <xf numFmtId="0" fontId="31" fillId="2" borderId="58" xfId="81" applyFont="1" applyFill="1" applyBorder="1" applyAlignment="1">
      <alignment horizontal="center"/>
    </xf>
    <xf numFmtId="0" fontId="31" fillId="2" borderId="59" xfId="81" applyFont="1" applyFill="1" applyBorder="1" applyAlignment="1">
      <alignment horizontal="center"/>
    </xf>
    <xf numFmtId="0" fontId="31" fillId="2" borderId="60" xfId="81" applyFont="1" applyFill="1" applyBorder="1" applyAlignment="1">
      <alignment horizontal="center"/>
    </xf>
    <xf numFmtId="0" fontId="31" fillId="2" borderId="61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2" fillId="0" borderId="27" xfId="0" applyNumberFormat="1" applyFont="1" applyFill="1" applyBorder="1"/>
    <xf numFmtId="9" fontId="32" fillId="0" borderId="20" xfId="0" applyNumberFormat="1" applyFont="1" applyFill="1" applyBorder="1"/>
    <xf numFmtId="9" fontId="32" fillId="0" borderId="28" xfId="0" applyNumberFormat="1" applyFont="1" applyFill="1" applyBorder="1"/>
    <xf numFmtId="3" fontId="6" fillId="0" borderId="19" xfId="78" applyNumberFormat="1" applyFont="1" applyFill="1" applyBorder="1" applyAlignment="1"/>
    <xf numFmtId="3" fontId="6" fillId="0" borderId="27" xfId="78" applyNumberFormat="1" applyFont="1" applyFill="1" applyBorder="1" applyAlignment="1"/>
    <xf numFmtId="3" fontId="6" fillId="0" borderId="20" xfId="78" applyNumberFormat="1" applyFont="1" applyFill="1" applyBorder="1" applyAlignment="1"/>
    <xf numFmtId="0" fontId="32" fillId="5" borderId="68" xfId="0" applyFont="1" applyFill="1" applyBorder="1"/>
    <xf numFmtId="0" fontId="32" fillId="0" borderId="69" xfId="0" applyFont="1" applyBorder="1" applyAlignment="1"/>
    <xf numFmtId="9" fontId="32" fillId="0" borderId="67" xfId="0" applyNumberFormat="1" applyFont="1" applyBorder="1" applyAlignment="1"/>
    <xf numFmtId="0" fontId="25" fillId="2" borderId="34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9" fontId="39" fillId="0" borderId="65" xfId="0" applyNumberFormat="1" applyFont="1" applyBorder="1"/>
    <xf numFmtId="9" fontId="32" fillId="0" borderId="69" xfId="0" applyNumberFormat="1" applyFont="1" applyBorder="1"/>
    <xf numFmtId="9" fontId="32" fillId="0" borderId="67" xfId="0" applyNumberFormat="1" applyFont="1" applyBorder="1"/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1" fillId="0" borderId="1" xfId="0" applyFont="1" applyFill="1" applyBorder="1" applyAlignment="1"/>
    <xf numFmtId="0" fontId="41" fillId="0" borderId="1" xfId="0" applyFont="1" applyBorder="1" applyAlignment="1"/>
    <xf numFmtId="0" fontId="30" fillId="5" borderId="16" xfId="81" applyFont="1" applyFill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31" fillId="2" borderId="40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38" xfId="81" applyFont="1" applyFill="1" applyBorder="1" applyAlignment="1">
      <alignment horizontal="center"/>
    </xf>
    <xf numFmtId="0" fontId="31" fillId="2" borderId="51" xfId="81" applyFont="1" applyFill="1" applyBorder="1" applyAlignment="1">
      <alignment horizontal="center"/>
    </xf>
    <xf numFmtId="0" fontId="31" fillId="2" borderId="39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86" xfId="81" applyFont="1" applyFill="1" applyBorder="1" applyAlignment="1">
      <alignment horizontal="center"/>
    </xf>
    <xf numFmtId="0" fontId="31" fillId="2" borderId="84" xfId="81" applyFont="1" applyFill="1" applyBorder="1" applyAlignment="1">
      <alignment horizontal="center"/>
    </xf>
    <xf numFmtId="0" fontId="31" fillId="2" borderId="63" xfId="81" applyFont="1" applyFill="1" applyBorder="1" applyAlignment="1">
      <alignment horizontal="center"/>
    </xf>
    <xf numFmtId="0" fontId="31" fillId="2" borderId="85" xfId="81" applyFont="1" applyFill="1" applyBorder="1" applyAlignment="1">
      <alignment horizontal="center"/>
    </xf>
    <xf numFmtId="0" fontId="31" fillId="2" borderId="76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1" fillId="0" borderId="1" xfId="14" applyFont="1" applyFill="1" applyBorder="1" applyAlignment="1"/>
    <xf numFmtId="0" fontId="0" fillId="0" borderId="1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42" fillId="0" borderId="1" xfId="14" applyNumberFormat="1" applyFont="1" applyFill="1" applyBorder="1" applyAlignment="1"/>
    <xf numFmtId="0" fontId="5" fillId="0" borderId="1" xfId="14" applyFont="1" applyFill="1" applyBorder="1" applyAlignment="1"/>
    <xf numFmtId="9" fontId="3" fillId="2" borderId="88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87" xfId="80" applyNumberFormat="1" applyFont="1" applyFill="1" applyBorder="1" applyAlignment="1">
      <alignment horizontal="left"/>
    </xf>
    <xf numFmtId="3" fontId="3" fillId="2" borderId="78" xfId="80" applyNumberFormat="1" applyFont="1" applyFill="1" applyBorder="1" applyAlignment="1">
      <alignment horizontal="left"/>
    </xf>
    <xf numFmtId="0" fontId="2" fillId="0" borderId="1" xfId="26" applyFont="1" applyFill="1" applyBorder="1" applyAlignment="1"/>
    <xf numFmtId="166" fontId="39" fillId="2" borderId="55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3" fontId="33" fillId="9" borderId="90" xfId="0" applyNumberFormat="1" applyFont="1" applyFill="1" applyBorder="1" applyAlignment="1">
      <alignment horizontal="right" vertical="top"/>
    </xf>
    <xf numFmtId="3" fontId="33" fillId="9" borderId="91" xfId="0" applyNumberFormat="1" applyFont="1" applyFill="1" applyBorder="1" applyAlignment="1">
      <alignment horizontal="right" vertical="top"/>
    </xf>
    <xf numFmtId="176" fontId="33" fillId="9" borderId="92" xfId="0" applyNumberFormat="1" applyFont="1" applyFill="1" applyBorder="1" applyAlignment="1">
      <alignment horizontal="right" vertical="top"/>
    </xf>
    <xf numFmtId="3" fontId="33" fillId="0" borderId="90" xfId="0" applyNumberFormat="1" applyFont="1" applyBorder="1" applyAlignment="1">
      <alignment horizontal="right" vertical="top"/>
    </xf>
    <xf numFmtId="176" fontId="33" fillId="9" borderId="93" xfId="0" applyNumberFormat="1" applyFont="1" applyFill="1" applyBorder="1" applyAlignment="1">
      <alignment horizontal="right" vertical="top"/>
    </xf>
    <xf numFmtId="3" fontId="35" fillId="9" borderId="95" xfId="0" applyNumberFormat="1" applyFont="1" applyFill="1" applyBorder="1" applyAlignment="1">
      <alignment horizontal="right" vertical="top"/>
    </xf>
    <xf numFmtId="3" fontId="35" fillId="9" borderId="96" xfId="0" applyNumberFormat="1" applyFont="1" applyFill="1" applyBorder="1" applyAlignment="1">
      <alignment horizontal="right" vertical="top"/>
    </xf>
    <xf numFmtId="0" fontId="35" fillId="9" borderId="97" xfId="0" applyFont="1" applyFill="1" applyBorder="1" applyAlignment="1">
      <alignment horizontal="right" vertical="top"/>
    </xf>
    <xf numFmtId="3" fontId="35" fillId="0" borderId="95" xfId="0" applyNumberFormat="1" applyFont="1" applyBorder="1" applyAlignment="1">
      <alignment horizontal="right" vertical="top"/>
    </xf>
    <xf numFmtId="176" fontId="35" fillId="9" borderId="98" xfId="0" applyNumberFormat="1" applyFont="1" applyFill="1" applyBorder="1" applyAlignment="1">
      <alignment horizontal="right" vertical="top"/>
    </xf>
    <xf numFmtId="0" fontId="33" fillId="9" borderId="92" xfId="0" applyFont="1" applyFill="1" applyBorder="1" applyAlignment="1">
      <alignment horizontal="right" vertical="top"/>
    </xf>
    <xf numFmtId="176" fontId="35" fillId="9" borderId="97" xfId="0" applyNumberFormat="1" applyFont="1" applyFill="1" applyBorder="1" applyAlignment="1">
      <alignment horizontal="right" vertical="top"/>
    </xf>
    <xf numFmtId="0" fontId="33" fillId="9" borderId="93" xfId="0" applyFont="1" applyFill="1" applyBorder="1" applyAlignment="1">
      <alignment horizontal="right" vertical="top"/>
    </xf>
    <xf numFmtId="0" fontId="35" fillId="9" borderId="98" xfId="0" applyFont="1" applyFill="1" applyBorder="1" applyAlignment="1">
      <alignment horizontal="right" vertical="top"/>
    </xf>
    <xf numFmtId="3" fontId="35" fillId="0" borderId="99" xfId="0" applyNumberFormat="1" applyFont="1" applyBorder="1" applyAlignment="1">
      <alignment horizontal="right" vertical="top"/>
    </xf>
    <xf numFmtId="3" fontId="35" fillId="0" borderId="100" xfId="0" applyNumberFormat="1" applyFont="1" applyBorder="1" applyAlignment="1">
      <alignment horizontal="right" vertical="top"/>
    </xf>
    <xf numFmtId="3" fontId="35" fillId="0" borderId="101" xfId="0" applyNumberFormat="1" applyFont="1" applyBorder="1" applyAlignment="1">
      <alignment horizontal="right" vertical="top"/>
    </xf>
    <xf numFmtId="176" fontId="35" fillId="9" borderId="102" xfId="0" applyNumberFormat="1" applyFont="1" applyFill="1" applyBorder="1" applyAlignment="1">
      <alignment horizontal="right" vertical="top"/>
    </xf>
    <xf numFmtId="0" fontId="37" fillId="10" borderId="89" xfId="0" applyFont="1" applyFill="1" applyBorder="1" applyAlignment="1">
      <alignment vertical="top"/>
    </xf>
    <xf numFmtId="0" fontId="37" fillId="10" borderId="89" xfId="0" applyFont="1" applyFill="1" applyBorder="1" applyAlignment="1">
      <alignment vertical="top" indent="2"/>
    </xf>
    <xf numFmtId="0" fontId="37" fillId="10" borderId="89" xfId="0" applyFont="1" applyFill="1" applyBorder="1" applyAlignment="1">
      <alignment vertical="top" indent="4"/>
    </xf>
    <xf numFmtId="0" fontId="38" fillId="10" borderId="94" xfId="0" applyFont="1" applyFill="1" applyBorder="1" applyAlignment="1">
      <alignment vertical="top" indent="6"/>
    </xf>
    <xf numFmtId="0" fontId="37" fillId="10" borderId="89" xfId="0" applyFont="1" applyFill="1" applyBorder="1" applyAlignment="1">
      <alignment vertical="top" indent="8"/>
    </xf>
    <xf numFmtId="0" fontId="38" fillId="10" borderId="94" xfId="0" applyFont="1" applyFill="1" applyBorder="1" applyAlignment="1">
      <alignment vertical="top" indent="2"/>
    </xf>
    <xf numFmtId="0" fontId="37" fillId="10" borderId="89" xfId="0" applyFont="1" applyFill="1" applyBorder="1" applyAlignment="1">
      <alignment vertical="top" indent="6"/>
    </xf>
    <xf numFmtId="0" fontId="38" fillId="10" borderId="94" xfId="0" applyFont="1" applyFill="1" applyBorder="1" applyAlignment="1">
      <alignment vertical="top" indent="4"/>
    </xf>
    <xf numFmtId="0" fontId="32" fillId="10" borderId="89" xfId="0" applyFont="1" applyFill="1" applyBorder="1"/>
    <xf numFmtId="0" fontId="38" fillId="10" borderId="18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0" fontId="3" fillId="2" borderId="103" xfId="79" applyFont="1" applyFill="1" applyBorder="1" applyAlignment="1">
      <alignment horizontal="left"/>
    </xf>
    <xf numFmtId="3" fontId="3" fillId="2" borderId="73" xfId="80" applyNumberFormat="1" applyFont="1" applyFill="1" applyBorder="1"/>
    <xf numFmtId="3" fontId="3" fillId="2" borderId="74" xfId="80" applyNumberFormat="1" applyFont="1" applyFill="1" applyBorder="1"/>
    <xf numFmtId="9" fontId="3" fillId="2" borderId="72" xfId="80" applyNumberFormat="1" applyFont="1" applyFill="1" applyBorder="1"/>
    <xf numFmtId="9" fontId="3" fillId="2" borderId="73" xfId="80" applyNumberFormat="1" applyFont="1" applyFill="1" applyBorder="1"/>
    <xf numFmtId="9" fontId="3" fillId="2" borderId="74" xfId="80" applyNumberFormat="1" applyFont="1" applyFill="1" applyBorder="1"/>
    <xf numFmtId="3" fontId="32" fillId="0" borderId="57" xfId="0" applyNumberFormat="1" applyFont="1" applyFill="1" applyBorder="1"/>
    <xf numFmtId="9" fontId="32" fillId="0" borderId="57" xfId="0" applyNumberFormat="1" applyFont="1" applyFill="1" applyBorder="1"/>
    <xf numFmtId="9" fontId="32" fillId="0" borderId="58" xfId="0" applyNumberFormat="1" applyFont="1" applyFill="1" applyBorder="1"/>
    <xf numFmtId="3" fontId="32" fillId="0" borderId="60" xfId="0" applyNumberFormat="1" applyFont="1" applyFill="1" applyBorder="1"/>
    <xf numFmtId="9" fontId="32" fillId="0" borderId="60" xfId="0" applyNumberFormat="1" applyFont="1" applyFill="1" applyBorder="1"/>
    <xf numFmtId="9" fontId="32" fillId="0" borderId="61" xfId="0" applyNumberFormat="1" applyFont="1" applyFill="1" applyBorder="1"/>
    <xf numFmtId="0" fontId="39" fillId="0" borderId="86" xfId="0" applyFont="1" applyFill="1" applyBorder="1"/>
    <xf numFmtId="0" fontId="39" fillId="0" borderId="85" xfId="0" applyFont="1" applyFill="1" applyBorder="1" applyAlignment="1">
      <alignment horizontal="left" indent="1"/>
    </xf>
    <xf numFmtId="9" fontId="32" fillId="0" borderId="79" xfId="0" applyNumberFormat="1" applyFont="1" applyFill="1" applyBorder="1"/>
    <xf numFmtId="9" fontId="32" fillId="0" borderId="77" xfId="0" applyNumberFormat="1" applyFont="1" applyFill="1" applyBorder="1"/>
    <xf numFmtId="3" fontId="32" fillId="0" borderId="56" xfId="0" applyNumberFormat="1" applyFont="1" applyFill="1" applyBorder="1"/>
    <xf numFmtId="3" fontId="32" fillId="0" borderId="59" xfId="0" applyNumberFormat="1" applyFont="1" applyFill="1" applyBorder="1"/>
    <xf numFmtId="3" fontId="32" fillId="0" borderId="58" xfId="0" applyNumberFormat="1" applyFont="1" applyFill="1" applyBorder="1"/>
    <xf numFmtId="3" fontId="32" fillId="0" borderId="61" xfId="0" applyNumberFormat="1" applyFont="1" applyFill="1" applyBorder="1"/>
    <xf numFmtId="9" fontId="32" fillId="0" borderId="83" xfId="0" applyNumberFormat="1" applyFont="1" applyFill="1" applyBorder="1"/>
    <xf numFmtId="9" fontId="32" fillId="0" borderId="82" xfId="0" applyNumberFormat="1" applyFont="1" applyFill="1" applyBorder="1"/>
    <xf numFmtId="164" fontId="31" fillId="2" borderId="103" xfId="53" applyNumberFormat="1" applyFont="1" applyFill="1" applyBorder="1" applyAlignment="1">
      <alignment horizontal="left"/>
    </xf>
    <xf numFmtId="164" fontId="31" fillId="2" borderId="104" xfId="53" applyNumberFormat="1" applyFont="1" applyFill="1" applyBorder="1" applyAlignment="1">
      <alignment horizontal="left"/>
    </xf>
    <xf numFmtId="164" fontId="31" fillId="2" borderId="46" xfId="53" applyNumberFormat="1" applyFont="1" applyFill="1" applyBorder="1" applyAlignment="1">
      <alignment horizontal="left"/>
    </xf>
    <xf numFmtId="3" fontId="31" fillId="2" borderId="46" xfId="53" applyNumberFormat="1" applyFont="1" applyFill="1" applyBorder="1" applyAlignment="1">
      <alignment horizontal="left"/>
    </xf>
    <xf numFmtId="3" fontId="31" fillId="2" borderId="50" xfId="53" applyNumberFormat="1" applyFont="1" applyFill="1" applyBorder="1" applyAlignment="1">
      <alignment horizontal="left"/>
    </xf>
    <xf numFmtId="0" fontId="32" fillId="0" borderId="56" xfId="0" applyFont="1" applyFill="1" applyBorder="1"/>
    <xf numFmtId="0" fontId="32" fillId="0" borderId="57" xfId="0" applyFont="1" applyFill="1" applyBorder="1"/>
    <xf numFmtId="164" fontId="32" fillId="0" borderId="57" xfId="0" applyNumberFormat="1" applyFont="1" applyFill="1" applyBorder="1"/>
    <xf numFmtId="164" fontId="32" fillId="0" borderId="57" xfId="0" applyNumberFormat="1" applyFont="1" applyFill="1" applyBorder="1" applyAlignment="1">
      <alignment horizontal="right"/>
    </xf>
    <xf numFmtId="0" fontId="32" fillId="0" borderId="66" xfId="0" applyFont="1" applyFill="1" applyBorder="1"/>
    <xf numFmtId="0" fontId="32" fillId="0" borderId="67" xfId="0" applyFont="1" applyFill="1" applyBorder="1"/>
    <xf numFmtId="164" fontId="32" fillId="0" borderId="67" xfId="0" applyNumberFormat="1" applyFont="1" applyFill="1" applyBorder="1"/>
    <xf numFmtId="164" fontId="32" fillId="0" borderId="67" xfId="0" applyNumberFormat="1" applyFont="1" applyFill="1" applyBorder="1" applyAlignment="1">
      <alignment horizontal="right"/>
    </xf>
    <xf numFmtId="3" fontId="32" fillId="0" borderId="67" xfId="0" applyNumberFormat="1" applyFont="1" applyFill="1" applyBorder="1"/>
    <xf numFmtId="3" fontId="32" fillId="0" borderId="68" xfId="0" applyNumberFormat="1" applyFont="1" applyFill="1" applyBorder="1"/>
    <xf numFmtId="0" fontId="32" fillId="0" borderId="59" xfId="0" applyFont="1" applyFill="1" applyBorder="1"/>
    <xf numFmtId="0" fontId="32" fillId="0" borderId="60" xfId="0" applyFont="1" applyFill="1" applyBorder="1"/>
    <xf numFmtId="164" fontId="32" fillId="0" borderId="60" xfId="0" applyNumberFormat="1" applyFont="1" applyFill="1" applyBorder="1"/>
    <xf numFmtId="164" fontId="32" fillId="0" borderId="60" xfId="0" applyNumberFormat="1" applyFont="1" applyFill="1" applyBorder="1" applyAlignment="1">
      <alignment horizontal="right"/>
    </xf>
    <xf numFmtId="173" fontId="39" fillId="4" borderId="105" xfId="0" applyNumberFormat="1" applyFont="1" applyFill="1" applyBorder="1" applyAlignment="1">
      <alignment horizontal="center"/>
    </xf>
    <xf numFmtId="173" fontId="39" fillId="4" borderId="106" xfId="0" applyNumberFormat="1" applyFont="1" applyFill="1" applyBorder="1" applyAlignment="1">
      <alignment horizontal="center"/>
    </xf>
    <xf numFmtId="173" fontId="32" fillId="0" borderId="107" xfId="0" applyNumberFormat="1" applyFont="1" applyBorder="1" applyAlignment="1">
      <alignment horizontal="right"/>
    </xf>
    <xf numFmtId="173" fontId="32" fillId="0" borderId="108" xfId="0" applyNumberFormat="1" applyFont="1" applyBorder="1" applyAlignment="1">
      <alignment horizontal="right"/>
    </xf>
    <xf numFmtId="173" fontId="32" fillId="0" borderId="108" xfId="0" applyNumberFormat="1" applyFont="1" applyBorder="1" applyAlignment="1">
      <alignment horizontal="right" wrapText="1"/>
    </xf>
    <xf numFmtId="175" fontId="32" fillId="0" borderId="107" xfId="0" applyNumberFormat="1" applyFont="1" applyBorder="1" applyAlignment="1">
      <alignment horizontal="right"/>
    </xf>
    <xf numFmtId="175" fontId="32" fillId="0" borderId="108" xfId="0" applyNumberFormat="1" applyFont="1" applyBorder="1" applyAlignment="1">
      <alignment horizontal="right"/>
    </xf>
    <xf numFmtId="173" fontId="32" fillId="0" borderId="109" xfId="0" applyNumberFormat="1" applyFont="1" applyBorder="1" applyAlignment="1">
      <alignment horizontal="right"/>
    </xf>
    <xf numFmtId="173" fontId="32" fillId="0" borderId="110" xfId="0" applyNumberFormat="1" applyFont="1" applyBorder="1" applyAlignment="1">
      <alignment horizontal="right"/>
    </xf>
    <xf numFmtId="0" fontId="39" fillId="2" borderId="83" xfId="0" applyFont="1" applyFill="1" applyBorder="1" applyAlignment="1">
      <alignment horizontal="center" vertical="center"/>
    </xf>
    <xf numFmtId="0" fontId="53" fillId="2" borderId="82" xfId="0" applyFont="1" applyFill="1" applyBorder="1" applyAlignment="1">
      <alignment horizontal="center" vertical="center" wrapText="1"/>
    </xf>
    <xf numFmtId="174" fontId="32" fillId="2" borderId="83" xfId="0" applyNumberFormat="1" applyFont="1" applyFill="1" applyBorder="1" applyAlignment="1"/>
    <xf numFmtId="174" fontId="32" fillId="0" borderId="81" xfId="0" applyNumberFormat="1" applyFont="1" applyBorder="1"/>
    <xf numFmtId="174" fontId="32" fillId="0" borderId="111" xfId="0" applyNumberFormat="1" applyFont="1" applyBorder="1"/>
    <xf numFmtId="173" fontId="39" fillId="4" borderId="83" xfId="0" applyNumberFormat="1" applyFont="1" applyFill="1" applyBorder="1" applyAlignment="1"/>
    <xf numFmtId="173" fontId="32" fillId="0" borderId="81" xfId="0" applyNumberFormat="1" applyFont="1" applyBorder="1"/>
    <xf numFmtId="173" fontId="32" fillId="0" borderId="82" xfId="0" applyNumberFormat="1" applyFont="1" applyBorder="1"/>
    <xf numFmtId="173" fontId="39" fillId="2" borderId="83" xfId="0" applyNumberFormat="1" applyFont="1" applyFill="1" applyBorder="1" applyAlignment="1"/>
    <xf numFmtId="173" fontId="32" fillId="0" borderId="111" xfId="0" applyNumberFormat="1" applyFont="1" applyBorder="1"/>
    <xf numFmtId="173" fontId="32" fillId="0" borderId="83" xfId="0" applyNumberFormat="1" applyFont="1" applyBorder="1"/>
    <xf numFmtId="9" fontId="32" fillId="0" borderId="81" xfId="0" applyNumberFormat="1" applyFont="1" applyBorder="1"/>
    <xf numFmtId="173" fontId="39" fillId="4" borderId="112" xfId="0" applyNumberFormat="1" applyFont="1" applyFill="1" applyBorder="1" applyAlignment="1">
      <alignment horizontal="center"/>
    </xf>
    <xf numFmtId="173" fontId="32" fillId="0" borderId="113" xfId="0" applyNumberFormat="1" applyFont="1" applyBorder="1" applyAlignment="1">
      <alignment horizontal="right"/>
    </xf>
    <xf numFmtId="175" fontId="32" fillId="0" borderId="113" xfId="0" applyNumberFormat="1" applyFont="1" applyBorder="1" applyAlignment="1">
      <alignment horizontal="right"/>
    </xf>
    <xf numFmtId="173" fontId="32" fillId="0" borderId="114" xfId="0" applyNumberFormat="1" applyFont="1" applyBorder="1" applyAlignment="1">
      <alignment horizontal="right"/>
    </xf>
    <xf numFmtId="0" fontId="0" fillId="0" borderId="15" xfId="0" applyBorder="1"/>
    <xf numFmtId="173" fontId="39" fillId="4" borderId="62" xfId="0" applyNumberFormat="1" applyFont="1" applyFill="1" applyBorder="1" applyAlignment="1">
      <alignment horizontal="center"/>
    </xf>
    <xf numFmtId="173" fontId="32" fillId="0" borderId="64" xfId="0" applyNumberFormat="1" applyFont="1" applyBorder="1" applyAlignment="1">
      <alignment horizontal="right"/>
    </xf>
    <xf numFmtId="175" fontId="32" fillId="0" borderId="64" xfId="0" applyNumberFormat="1" applyFont="1" applyBorder="1" applyAlignment="1">
      <alignment horizontal="right"/>
    </xf>
    <xf numFmtId="173" fontId="32" fillId="0" borderId="75" xfId="0" applyNumberFormat="1" applyFont="1" applyBorder="1" applyAlignment="1">
      <alignment horizontal="right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50"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1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96" bestFit="1" customWidth="1"/>
    <col min="2" max="2" width="102.21875" style="96" bestFit="1" customWidth="1"/>
    <col min="3" max="3" width="16.109375" style="42" hidden="1" customWidth="1"/>
    <col min="4" max="16384" width="8.88671875" style="96"/>
  </cols>
  <sheetData>
    <row r="1" spans="1:3" ht="18.600000000000001" customHeight="1" thickBot="1" x14ac:dyDescent="0.4">
      <c r="A1" s="261" t="s">
        <v>59</v>
      </c>
      <c r="B1" s="261"/>
    </row>
    <row r="2" spans="1:3" ht="14.4" customHeight="1" thickBot="1" x14ac:dyDescent="0.35">
      <c r="A2" s="175" t="s">
        <v>199</v>
      </c>
      <c r="B2" s="41"/>
    </row>
    <row r="3" spans="1:3" ht="14.4" customHeight="1" thickBot="1" x14ac:dyDescent="0.35">
      <c r="A3" s="257" t="s">
        <v>74</v>
      </c>
      <c r="B3" s="258"/>
    </row>
    <row r="4" spans="1:3" ht="14.4" customHeight="1" x14ac:dyDescent="0.3">
      <c r="A4" s="109" t="str">
        <f t="shared" ref="A4:A7" si="0">HYPERLINK("#'"&amp;C4&amp;"'!A1",C4)</f>
        <v>Motivace</v>
      </c>
      <c r="B4" s="61" t="s">
        <v>68</v>
      </c>
      <c r="C4" s="42" t="s">
        <v>69</v>
      </c>
    </row>
    <row r="5" spans="1:3" ht="14.4" customHeight="1" x14ac:dyDescent="0.3">
      <c r="A5" s="110" t="str">
        <f t="shared" si="0"/>
        <v>HI</v>
      </c>
      <c r="B5" s="62" t="s">
        <v>71</v>
      </c>
      <c r="C5" s="42" t="s">
        <v>62</v>
      </c>
    </row>
    <row r="6" spans="1:3" ht="14.4" customHeight="1" x14ac:dyDescent="0.3">
      <c r="A6" s="111" t="str">
        <f t="shared" si="0"/>
        <v>Man Tab</v>
      </c>
      <c r="B6" s="63" t="s">
        <v>201</v>
      </c>
      <c r="C6" s="42" t="s">
        <v>63</v>
      </c>
    </row>
    <row r="7" spans="1:3" ht="14.4" customHeight="1" thickBot="1" x14ac:dyDescent="0.35">
      <c r="A7" s="112" t="str">
        <f t="shared" si="0"/>
        <v>HV</v>
      </c>
      <c r="B7" s="64" t="s">
        <v>41</v>
      </c>
      <c r="C7" s="42" t="s">
        <v>46</v>
      </c>
    </row>
    <row r="8" spans="1:3" ht="14.4" customHeight="1" thickBot="1" x14ac:dyDescent="0.35">
      <c r="A8" s="65"/>
      <c r="B8" s="65"/>
    </row>
    <row r="9" spans="1:3" ht="14.4" customHeight="1" thickBot="1" x14ac:dyDescent="0.35">
      <c r="A9" s="259" t="s">
        <v>60</v>
      </c>
      <c r="B9" s="258"/>
    </row>
    <row r="10" spans="1:3" ht="14.4" customHeight="1" x14ac:dyDescent="0.3">
      <c r="A10" s="113" t="str">
        <f t="shared" ref="A10" si="1">HYPERLINK("#'"&amp;C10&amp;"'!A1",C10)</f>
        <v>Léky Žádanky</v>
      </c>
      <c r="B10" s="62" t="s">
        <v>72</v>
      </c>
      <c r="C10" s="42" t="s">
        <v>64</v>
      </c>
    </row>
    <row r="11" spans="1:3" ht="14.4" customHeight="1" x14ac:dyDescent="0.3">
      <c r="A11" s="111" t="str">
        <f t="shared" ref="A11:A14" si="2">HYPERLINK("#'"&amp;C11&amp;"'!A1",C11)</f>
        <v>LŽ Statim</v>
      </c>
      <c r="B11" s="249" t="s">
        <v>187</v>
      </c>
      <c r="C11" s="42" t="s">
        <v>197</v>
      </c>
    </row>
    <row r="12" spans="1:3" ht="14.4" customHeight="1" x14ac:dyDescent="0.3">
      <c r="A12" s="113" t="str">
        <f t="shared" ref="A12" si="3">HYPERLINK("#'"&amp;C12&amp;"'!A1",C12)</f>
        <v>Materiál Žádanky</v>
      </c>
      <c r="B12" s="63" t="s">
        <v>73</v>
      </c>
      <c r="C12" s="42" t="s">
        <v>65</v>
      </c>
    </row>
    <row r="13" spans="1:3" ht="14.4" customHeight="1" x14ac:dyDescent="0.3">
      <c r="A13" s="111" t="str">
        <f t="shared" si="2"/>
        <v>MŽ Detail</v>
      </c>
      <c r="B13" s="63" t="s">
        <v>353</v>
      </c>
      <c r="C13" s="42" t="s">
        <v>66</v>
      </c>
    </row>
    <row r="14" spans="1:3" ht="14.4" customHeight="1" thickBot="1" x14ac:dyDescent="0.35">
      <c r="A14" s="113" t="str">
        <f t="shared" si="2"/>
        <v>Osobní náklady</v>
      </c>
      <c r="B14" s="63" t="s">
        <v>57</v>
      </c>
      <c r="C14" s="42" t="s">
        <v>67</v>
      </c>
    </row>
    <row r="15" spans="1:3" ht="14.4" customHeight="1" thickBot="1" x14ac:dyDescent="0.35">
      <c r="A15" s="66"/>
      <c r="B15" s="66"/>
    </row>
    <row r="16" spans="1:3" ht="14.4" customHeight="1" thickBot="1" x14ac:dyDescent="0.35">
      <c r="A16" s="260" t="s">
        <v>61</v>
      </c>
      <c r="B16" s="258"/>
    </row>
  </sheetData>
  <mergeCells count="4">
    <mergeCell ref="A3:B3"/>
    <mergeCell ref="A9:B9"/>
    <mergeCell ref="A16:B16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0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14" bestFit="1" customWidth="1"/>
    <col min="2" max="2" width="11.6640625" style="114" hidden="1" customWidth="1"/>
    <col min="3" max="4" width="11" style="116" customWidth="1"/>
    <col min="5" max="5" width="11" style="117" customWidth="1"/>
    <col min="6" max="16384" width="8.88671875" style="114"/>
  </cols>
  <sheetData>
    <row r="1" spans="1:5" ht="18.600000000000001" thickBot="1" x14ac:dyDescent="0.4">
      <c r="A1" s="261" t="s">
        <v>68</v>
      </c>
      <c r="B1" s="261"/>
      <c r="C1" s="262"/>
      <c r="D1" s="262"/>
      <c r="E1" s="262"/>
    </row>
    <row r="2" spans="1:5" ht="14.4" customHeight="1" thickBot="1" x14ac:dyDescent="0.35">
      <c r="A2" s="175" t="s">
        <v>199</v>
      </c>
      <c r="B2" s="115"/>
    </row>
    <row r="3" spans="1:5" ht="14.4" customHeight="1" thickBot="1" x14ac:dyDescent="0.35">
      <c r="A3" s="118"/>
      <c r="C3" s="119" t="s">
        <v>58</v>
      </c>
      <c r="D3" s="120" t="s">
        <v>51</v>
      </c>
      <c r="E3" s="121" t="s">
        <v>53</v>
      </c>
    </row>
    <row r="4" spans="1:5" ht="14.4" customHeight="1" thickBot="1" x14ac:dyDescent="0.35">
      <c r="A4" s="122" t="str">
        <f>HYPERLINK("#HI!A1","NÁKLADY CELKEM (v tisících Kč)")</f>
        <v>NÁKLADY CELKEM (v tisících Kč)</v>
      </c>
      <c r="B4" s="123"/>
      <c r="C4" s="124">
        <f ca="1">IF(ISERROR(VLOOKUP("Náklady celkem",INDIRECT("HI!$A:$G"),6,0)),0,VLOOKUP("Náklady celkem",INDIRECT("HI!$A:$G"),6,0))</f>
        <v>2267.6745850260149</v>
      </c>
      <c r="D4" s="124">
        <f ca="1">IF(ISERROR(VLOOKUP("Náklady celkem",INDIRECT("HI!$A:$G"),5,0)),0,VLOOKUP("Náklady celkem",INDIRECT("HI!$A:$G"),5,0))</f>
        <v>2347.491050000001</v>
      </c>
      <c r="E4" s="125">
        <f ca="1">IF(C4=0,0,D4/C4)</f>
        <v>1.0351974950467024</v>
      </c>
    </row>
    <row r="5" spans="1:5" ht="14.4" customHeight="1" x14ac:dyDescent="0.3">
      <c r="A5" s="126" t="s">
        <v>77</v>
      </c>
      <c r="B5" s="127"/>
      <c r="C5" s="128"/>
      <c r="D5" s="128"/>
      <c r="E5" s="129"/>
    </row>
    <row r="6" spans="1:5" ht="14.4" customHeight="1" x14ac:dyDescent="0.3">
      <c r="A6" s="130" t="s">
        <v>82</v>
      </c>
      <c r="B6" s="131"/>
      <c r="C6" s="132"/>
      <c r="D6" s="132"/>
      <c r="E6" s="129"/>
    </row>
    <row r="7" spans="1:5" ht="14.4" customHeight="1" x14ac:dyDescent="0.3">
      <c r="A7" s="13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31" t="s">
        <v>62</v>
      </c>
      <c r="C7" s="132">
        <f>IF(ISERROR(HI!F5),"",HI!F5)</f>
        <v>0.57797497926075003</v>
      </c>
      <c r="D7" s="132">
        <f>IF(ISERROR(HI!E5),"",HI!E5)</f>
        <v>0</v>
      </c>
      <c r="E7" s="129">
        <f t="shared" ref="E7:E12" si="0">IF(C7=0,0,D7/C7)</f>
        <v>0</v>
      </c>
    </row>
    <row r="8" spans="1:5" ht="14.4" customHeight="1" x14ac:dyDescent="0.3">
      <c r="A8" s="252" t="str">
        <f>HYPERLINK("#'LŽ Statim'!A1","% podíl statimových žádanek")</f>
        <v>% podíl statimových žádanek</v>
      </c>
      <c r="B8" s="250" t="s">
        <v>197</v>
      </c>
      <c r="C8" s="251">
        <v>0.3</v>
      </c>
      <c r="D8" s="251">
        <f>IF('LŽ Statim'!G3="",0,'LŽ Statim'!G3)</f>
        <v>0</v>
      </c>
      <c r="E8" s="129">
        <f>IF(C8=0,0,D8/C8)</f>
        <v>0</v>
      </c>
    </row>
    <row r="9" spans="1:5" ht="14.4" customHeight="1" x14ac:dyDescent="0.3">
      <c r="A9" s="134" t="s">
        <v>78</v>
      </c>
      <c r="B9" s="131"/>
      <c r="C9" s="132"/>
      <c r="D9" s="132"/>
      <c r="E9" s="129"/>
    </row>
    <row r="10" spans="1:5" ht="14.4" customHeight="1" x14ac:dyDescent="0.3">
      <c r="A10" s="134" t="s">
        <v>79</v>
      </c>
      <c r="B10" s="131"/>
      <c r="C10" s="132"/>
      <c r="D10" s="132"/>
      <c r="E10" s="129"/>
    </row>
    <row r="11" spans="1:5" ht="14.4" customHeight="1" x14ac:dyDescent="0.3">
      <c r="A11" s="135" t="s">
        <v>83</v>
      </c>
      <c r="B11" s="131"/>
      <c r="C11" s="128"/>
      <c r="D11" s="128"/>
      <c r="E11" s="129"/>
    </row>
    <row r="12" spans="1:5" ht="14.4" customHeight="1" x14ac:dyDescent="0.3">
      <c r="A12" s="13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31" t="s">
        <v>62</v>
      </c>
      <c r="C12" s="132">
        <f>IF(ISERROR(HI!F6),"",HI!F6)</f>
        <v>49.299962451962259</v>
      </c>
      <c r="D12" s="132">
        <f>IF(ISERROR(HI!E6),"",HI!E6)</f>
        <v>52.630359999999996</v>
      </c>
      <c r="E12" s="129">
        <f t="shared" si="0"/>
        <v>1.0675537542504798</v>
      </c>
    </row>
    <row r="13" spans="1:5" ht="14.4" customHeight="1" thickBot="1" x14ac:dyDescent="0.35">
      <c r="A13" s="137" t="str">
        <f>HYPERLINK("#HI!A1","Osobní náklady")</f>
        <v>Osobní náklady</v>
      </c>
      <c r="B13" s="131"/>
      <c r="C13" s="128">
        <f ca="1">IF(ISERROR(VLOOKUP("Osobní náklady (Kč) *",INDIRECT("HI!$A:$G"),6,0)),0,VLOOKUP("Osobní náklady (Kč) *",INDIRECT("HI!$A:$G"),6,0))</f>
        <v>1725.7585347712575</v>
      </c>
      <c r="D13" s="128">
        <f ca="1">IF(ISERROR(VLOOKUP("Osobní náklady (Kč) *",INDIRECT("HI!$A:$G"),5,0)),0,VLOOKUP("Osobní náklady (Kč) *",INDIRECT("HI!$A:$G"),5,0))</f>
        <v>1838.1068300000009</v>
      </c>
      <c r="E13" s="129">
        <f ca="1">IF(C13=0,0,D13/C13)</f>
        <v>1.065100819706295</v>
      </c>
    </row>
    <row r="14" spans="1:5" ht="14.4" customHeight="1" thickBot="1" x14ac:dyDescent="0.35">
      <c r="A14" s="141"/>
      <c r="B14" s="142"/>
      <c r="C14" s="143"/>
      <c r="D14" s="143"/>
      <c r="E14" s="144"/>
    </row>
    <row r="15" spans="1:5" ht="14.4" customHeight="1" thickBot="1" x14ac:dyDescent="0.35">
      <c r="A15" s="145" t="str">
        <f>HYPERLINK("#HI!A1","VÝNOSY CELKEM (v tisících)")</f>
        <v>VÝNOSY CELKEM (v tisících)</v>
      </c>
      <c r="B15" s="146"/>
      <c r="C15" s="147">
        <f ca="1">IF(ISERROR(VLOOKUP("Výnosy celkem",INDIRECT("HI!$A:$G"),6,0)),0,VLOOKUP("Výnosy celkem",INDIRECT("HI!$A:$G"),6,0))</f>
        <v>0</v>
      </c>
      <c r="D15" s="147">
        <f ca="1">IF(ISERROR(VLOOKUP("Výnosy celkem",INDIRECT("HI!$A:$G"),5,0)),0,VLOOKUP("Výnosy celkem",INDIRECT("HI!$A:$G"),5,0))</f>
        <v>0</v>
      </c>
      <c r="E15" s="148">
        <f t="shared" ref="E15:E16" ca="1" si="1">IF(C15=0,0,D15/C15)</f>
        <v>0</v>
      </c>
    </row>
    <row r="16" spans="1:5" ht="14.4" customHeight="1" x14ac:dyDescent="0.3">
      <c r="A16" s="149" t="str">
        <f>HYPERLINK("#HI!A1","Ambulance (body za výkony + Kč za ZUM a ZULP)")</f>
        <v>Ambulance (body za výkony + Kč za ZUM a ZULP)</v>
      </c>
      <c r="B16" s="127"/>
      <c r="C16" s="128">
        <f ca="1">IF(ISERROR(VLOOKUP("Ambulance *",INDIRECT("HI!$A:$G"),6,0)),0,VLOOKUP("Ambulance *",INDIRECT("HI!$A:$G"),6,0))</f>
        <v>0</v>
      </c>
      <c r="D16" s="128">
        <f ca="1">IF(ISERROR(VLOOKUP("Ambulance *",INDIRECT("HI!$A:$G"),5,0)),0,VLOOKUP("Ambulance *",INDIRECT("HI!$A:$G"),5,0))</f>
        <v>0</v>
      </c>
      <c r="E16" s="129">
        <f t="shared" ca="1" si="1"/>
        <v>0</v>
      </c>
    </row>
    <row r="17" spans="1:5" ht="14.4" customHeight="1" x14ac:dyDescent="0.3">
      <c r="A17" s="150" t="str">
        <f>HYPERLINK("#HI!A1","Hospitalizace (casemix * 30000)")</f>
        <v>Hospitalizace (casemix * 30000)</v>
      </c>
      <c r="B17" s="131"/>
      <c r="C17" s="128">
        <f ca="1">IF(ISERROR(VLOOKUP("Hospitalizace *",INDIRECT("HI!$A:$G"),6,0)),0,VLOOKUP("Hospitalizace *",INDIRECT("HI!$A:$G"),6,0))</f>
        <v>0</v>
      </c>
      <c r="D17" s="128">
        <f ca="1">IF(ISERROR(VLOOKUP("Hospitalizace *",INDIRECT("HI!$A:$G"),5,0)),0,VLOOKUP("Hospitalizace *",INDIRECT("HI!$A:$G"),5,0))</f>
        <v>0</v>
      </c>
      <c r="E17" s="129">
        <f ca="1">IF(C17=0,0,D17/C17)</f>
        <v>0</v>
      </c>
    </row>
    <row r="18" spans="1:5" ht="14.4" customHeight="1" thickBot="1" x14ac:dyDescent="0.35">
      <c r="A18" s="151" t="s">
        <v>80</v>
      </c>
      <c r="B18" s="138"/>
      <c r="C18" s="139"/>
      <c r="D18" s="139"/>
      <c r="E18" s="140"/>
    </row>
    <row r="19" spans="1:5" ht="14.4" customHeight="1" thickBot="1" x14ac:dyDescent="0.35">
      <c r="A19" s="152"/>
      <c r="B19" s="153"/>
      <c r="C19" s="154"/>
      <c r="D19" s="154"/>
      <c r="E19" s="155"/>
    </row>
    <row r="20" spans="1:5" ht="14.4" customHeight="1" thickBot="1" x14ac:dyDescent="0.35">
      <c r="A20" s="156" t="s">
        <v>81</v>
      </c>
      <c r="B20" s="157"/>
      <c r="C20" s="158"/>
      <c r="D20" s="158"/>
      <c r="E20" s="159"/>
    </row>
  </sheetData>
  <mergeCells count="1">
    <mergeCell ref="A1:E1"/>
  </mergeCells>
  <conditionalFormatting sqref="E5">
    <cfRule type="cellIs" dxfId="4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48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47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46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17">
    <cfRule type="cellIs" dxfId="45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44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43" priority="20" operator="lessThan">
      <formula>1</formula>
    </cfRule>
  </conditionalFormatting>
  <conditionalFormatting sqref="E8">
    <cfRule type="cellIs" dxfId="42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5">
    <cfRule type="iconSet" priority="52">
      <iconSet iconSet="3Symbols2">
        <cfvo type="percent" val="0"/>
        <cfvo type="num" val="1"/>
        <cfvo type="num" val="1"/>
      </iconSet>
    </cfRule>
  </conditionalFormatting>
  <conditionalFormatting sqref="E4 E7 E12">
    <cfRule type="cellIs" dxfId="41" priority="57" operator="greaterThan">
      <formula>1</formula>
    </cfRule>
    <cfRule type="iconSet" priority="58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96" bestFit="1" customWidth="1"/>
    <col min="2" max="3" width="9.5546875" style="96" customWidth="1"/>
    <col min="4" max="4" width="2.21875" style="96" customWidth="1"/>
    <col min="5" max="8" width="9.5546875" style="96" customWidth="1"/>
    <col min="9" max="16384" width="8.88671875" style="96"/>
  </cols>
  <sheetData>
    <row r="1" spans="1:8" ht="18.600000000000001" customHeight="1" thickBot="1" x14ac:dyDescent="0.4">
      <c r="A1" s="261" t="s">
        <v>71</v>
      </c>
      <c r="B1" s="261"/>
      <c r="C1" s="261"/>
      <c r="D1" s="261"/>
      <c r="E1" s="261"/>
      <c r="F1" s="261"/>
      <c r="G1" s="262"/>
      <c r="H1" s="262"/>
    </row>
    <row r="2" spans="1:8" ht="14.4" customHeight="1" thickBot="1" x14ac:dyDescent="0.35">
      <c r="A2" s="175" t="s">
        <v>199</v>
      </c>
      <c r="B2" s="77"/>
      <c r="C2" s="77"/>
      <c r="D2" s="77"/>
      <c r="E2" s="77"/>
      <c r="F2" s="77"/>
    </row>
    <row r="3" spans="1:8" ht="14.4" customHeight="1" x14ac:dyDescent="0.3">
      <c r="A3" s="263"/>
      <c r="B3" s="73">
        <v>2012</v>
      </c>
      <c r="C3" s="40">
        <v>2013</v>
      </c>
      <c r="D3" s="7"/>
      <c r="E3" s="267">
        <v>2014</v>
      </c>
      <c r="F3" s="268"/>
      <c r="G3" s="268"/>
      <c r="H3" s="269"/>
    </row>
    <row r="4" spans="1:8" ht="14.4" customHeight="1" thickBot="1" x14ac:dyDescent="0.35">
      <c r="A4" s="264"/>
      <c r="B4" s="265" t="s">
        <v>51</v>
      </c>
      <c r="C4" s="266"/>
      <c r="D4" s="7"/>
      <c r="E4" s="94" t="s">
        <v>51</v>
      </c>
      <c r="F4" s="75" t="s">
        <v>52</v>
      </c>
      <c r="G4" s="75" t="s">
        <v>48</v>
      </c>
      <c r="H4" s="76" t="s">
        <v>53</v>
      </c>
    </row>
    <row r="5" spans="1:8" ht="14.4" customHeight="1" x14ac:dyDescent="0.3">
      <c r="A5" s="78" t="str">
        <f>HYPERLINK("#'Léky Žádanky'!A1","Léky (Kč)")</f>
        <v>Léky (Kč)</v>
      </c>
      <c r="B5" s="27">
        <v>0</v>
      </c>
      <c r="C5" s="29">
        <v>0.57743</v>
      </c>
      <c r="D5" s="8"/>
      <c r="E5" s="83">
        <v>0</v>
      </c>
      <c r="F5" s="28">
        <v>0.57797497926075003</v>
      </c>
      <c r="G5" s="82">
        <f>E5-F5</f>
        <v>-0.57797497926075003</v>
      </c>
      <c r="H5" s="88">
        <f>IF(F5&lt;0.00000001,"",E5/F5)</f>
        <v>0</v>
      </c>
    </row>
    <row r="6" spans="1:8" ht="14.4" customHeight="1" x14ac:dyDescent="0.3">
      <c r="A6" s="78" t="str">
        <f>HYPERLINK("#'Materiál Žádanky'!A1","Materiál - SZM (Kč)")</f>
        <v>Materiál - SZM (Kč)</v>
      </c>
      <c r="B6" s="10">
        <v>0</v>
      </c>
      <c r="C6" s="31">
        <v>31.324869999999997</v>
      </c>
      <c r="D6" s="8"/>
      <c r="E6" s="84">
        <v>52.630359999999996</v>
      </c>
      <c r="F6" s="30">
        <v>49.299962451962259</v>
      </c>
      <c r="G6" s="85">
        <f>E6-F6</f>
        <v>3.3303975480377375</v>
      </c>
      <c r="H6" s="89">
        <f>IF(F6&lt;0.00000001,"",E6/F6)</f>
        <v>1.0675537542504798</v>
      </c>
    </row>
    <row r="7" spans="1:8" ht="14.4" customHeight="1" x14ac:dyDescent="0.3">
      <c r="A7" s="78" t="str">
        <f>HYPERLINK("#'Osobní náklady'!A1","Osobní náklady (Kč) *")</f>
        <v>Osobní náklady (Kč) *</v>
      </c>
      <c r="B7" s="10">
        <v>0</v>
      </c>
      <c r="C7" s="31">
        <v>1046.2809099999999</v>
      </c>
      <c r="D7" s="8"/>
      <c r="E7" s="84">
        <v>1838.1068300000009</v>
      </c>
      <c r="F7" s="30">
        <v>1725.7585347712575</v>
      </c>
      <c r="G7" s="85">
        <f>E7-F7</f>
        <v>112.34829522874338</v>
      </c>
      <c r="H7" s="89">
        <f>IF(F7&lt;0.00000001,"",E7/F7)</f>
        <v>1.065100819706295</v>
      </c>
    </row>
    <row r="8" spans="1:8" ht="14.4" customHeight="1" thickBot="1" x14ac:dyDescent="0.35">
      <c r="A8" s="1" t="s">
        <v>54</v>
      </c>
      <c r="B8" s="11">
        <v>0</v>
      </c>
      <c r="C8" s="33">
        <v>228.94542000000021</v>
      </c>
      <c r="D8" s="8"/>
      <c r="E8" s="86">
        <v>456.75386000000015</v>
      </c>
      <c r="F8" s="32">
        <v>492.0381128235345</v>
      </c>
      <c r="G8" s="87">
        <f>E8-F8</f>
        <v>-35.284252823534359</v>
      </c>
      <c r="H8" s="90">
        <f>IF(F8&lt;0.00000001,"",E8/F8)</f>
        <v>0.92828959402949995</v>
      </c>
    </row>
    <row r="9" spans="1:8" ht="14.4" customHeight="1" thickBot="1" x14ac:dyDescent="0.35">
      <c r="A9" s="2" t="s">
        <v>55</v>
      </c>
      <c r="B9" s="3">
        <v>0</v>
      </c>
      <c r="C9" s="35">
        <v>1307.1286300000002</v>
      </c>
      <c r="D9" s="8"/>
      <c r="E9" s="3">
        <v>2347.491050000001</v>
      </c>
      <c r="F9" s="34">
        <v>2267.6745850260149</v>
      </c>
      <c r="G9" s="34">
        <f>E9-F9</f>
        <v>79.816464973986058</v>
      </c>
      <c r="H9" s="91">
        <f>IF(F9&lt;0.00000001,"",E9/F9)</f>
        <v>1.0351974950467024</v>
      </c>
    </row>
    <row r="10" spans="1:8" ht="14.4" customHeight="1" thickBot="1" x14ac:dyDescent="0.35">
      <c r="A10" s="12"/>
      <c r="B10" s="12"/>
      <c r="C10" s="74"/>
      <c r="D10" s="8"/>
      <c r="E10" s="12"/>
      <c r="F10" s="13"/>
    </row>
    <row r="11" spans="1:8" ht="14.4" customHeight="1" x14ac:dyDescent="0.3">
      <c r="A11" s="99" t="str">
        <f>HYPERLINK("#'ZV Vykáz.-A'!A1","Ambulance *")</f>
        <v>Ambulance *</v>
      </c>
      <c r="B11" s="9">
        <f>IF(ISERROR(VLOOKUP("Celkem:",#REF!,2,0)),0,VLOOKUP("Celkem:",#REF!,2,0)/1000)</f>
        <v>0</v>
      </c>
      <c r="C11" s="29">
        <f>IF(ISERROR(VLOOKUP("Celkem:",#REF!,4,0)),0,VLOOKUP("Celkem:",#REF!,4,0)/1000)</f>
        <v>0</v>
      </c>
      <c r="D11" s="8"/>
      <c r="E11" s="83">
        <f>IF(ISERROR(VLOOKUP("Celkem:",#REF!,6,0)),0,VLOOKUP("Celkem:",#REF!,6,0)/1000)</f>
        <v>0</v>
      </c>
      <c r="F11" s="28">
        <f>B11</f>
        <v>0</v>
      </c>
      <c r="G11" s="82">
        <f>E11-F11</f>
        <v>0</v>
      </c>
      <c r="H11" s="88" t="str">
        <f>IF(F11&lt;0.00000001,"",E11/F11)</f>
        <v/>
      </c>
    </row>
    <row r="12" spans="1:8" ht="14.4" customHeight="1" thickBot="1" x14ac:dyDescent="0.35">
      <c r="A12" s="100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86">
        <f>IF(ISERROR(VLOOKUP("Celkem",#REF!,4,0)),0,VLOOKUP("Celkem",#REF!,4,0)*30)</f>
        <v>0</v>
      </c>
      <c r="F12" s="32">
        <f>B12</f>
        <v>0</v>
      </c>
      <c r="G12" s="87">
        <f>E12-F12</f>
        <v>0</v>
      </c>
      <c r="H12" s="90" t="str">
        <f>IF(F12&lt;0.00000001,"",E12/F12)</f>
        <v/>
      </c>
    </row>
    <row r="13" spans="1:8" ht="14.4" customHeight="1" thickBot="1" x14ac:dyDescent="0.35">
      <c r="A13" s="4" t="s">
        <v>56</v>
      </c>
      <c r="B13" s="5">
        <f>SUM(B11:B12)</f>
        <v>0</v>
      </c>
      <c r="C13" s="37">
        <f>SUM(C11:C12)</f>
        <v>0</v>
      </c>
      <c r="D13" s="8"/>
      <c r="E13" s="5">
        <f>SUM(E11:E12)</f>
        <v>0</v>
      </c>
      <c r="F13" s="36">
        <f>SUM(F11:F12)</f>
        <v>0</v>
      </c>
      <c r="G13" s="36">
        <f>E13-F13</f>
        <v>0</v>
      </c>
      <c r="H13" s="92" t="str">
        <f>IF(F13&lt;0.00000001,"",E13/F13)</f>
        <v/>
      </c>
    </row>
    <row r="14" spans="1:8" ht="14.4" customHeight="1" thickBot="1" x14ac:dyDescent="0.35">
      <c r="A14" s="12"/>
      <c r="B14" s="12"/>
      <c r="C14" s="74"/>
      <c r="D14" s="8"/>
      <c r="E14" s="12"/>
      <c r="F14" s="13"/>
    </row>
    <row r="15" spans="1:8" ht="14.4" customHeight="1" thickBot="1" x14ac:dyDescent="0.35">
      <c r="A15" s="101" t="str">
        <f>HYPERLINK("#'HI Graf'!A1","Hospodářský index (Výnosy / Náklady) *")</f>
        <v>Hospodářský index (Výnosy / Náklady) *</v>
      </c>
      <c r="B15" s="6" t="str">
        <f>IF(B9=0,"",B13/B9)</f>
        <v/>
      </c>
      <c r="C15" s="39">
        <f>IF(C9=0,"",C13/C9)</f>
        <v>0</v>
      </c>
      <c r="D15" s="8"/>
      <c r="E15" s="6">
        <f>IF(E9=0,"",E13/E9)</f>
        <v>0</v>
      </c>
      <c r="F15" s="38">
        <f>IF(F9=0,"",F13/F9)</f>
        <v>0</v>
      </c>
      <c r="G15" s="38">
        <f>IF(ISERROR(F15-E15),"",E15-F15)</f>
        <v>0</v>
      </c>
      <c r="H15" s="93" t="str">
        <f>IF(ISERROR(F15-E15),"",IF(F15&lt;0.00000001,"",E15/F15))</f>
        <v/>
      </c>
    </row>
    <row r="17" spans="1:8" ht="14.4" customHeight="1" x14ac:dyDescent="0.3">
      <c r="A17" s="79" t="s">
        <v>85</v>
      </c>
    </row>
    <row r="18" spans="1:8" ht="14.4" customHeight="1" x14ac:dyDescent="0.3">
      <c r="A18" s="228" t="s">
        <v>144</v>
      </c>
      <c r="B18" s="229"/>
      <c r="C18" s="229"/>
      <c r="D18" s="229"/>
      <c r="E18" s="229"/>
      <c r="F18" s="229"/>
      <c r="G18" s="229"/>
      <c r="H18" s="229"/>
    </row>
    <row r="19" spans="1:8" x14ac:dyDescent="0.3">
      <c r="A19" s="227" t="s">
        <v>143</v>
      </c>
      <c r="B19" s="229"/>
      <c r="C19" s="229"/>
      <c r="D19" s="229"/>
      <c r="E19" s="229"/>
      <c r="F19" s="229"/>
      <c r="G19" s="229"/>
      <c r="H19" s="229"/>
    </row>
    <row r="20" spans="1:8" ht="14.4" customHeight="1" x14ac:dyDescent="0.3">
      <c r="A20" s="80" t="s">
        <v>198</v>
      </c>
    </row>
    <row r="21" spans="1:8" ht="14.4" customHeight="1" x14ac:dyDescent="0.3">
      <c r="A21" s="80" t="s">
        <v>86</v>
      </c>
    </row>
    <row r="22" spans="1:8" ht="14.4" customHeight="1" x14ac:dyDescent="0.3">
      <c r="A22" s="81" t="s">
        <v>87</v>
      </c>
    </row>
    <row r="23" spans="1:8" ht="14.4" customHeight="1" x14ac:dyDescent="0.3">
      <c r="A23" s="81" t="s">
        <v>88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0" priority="4" operator="greaterThan">
      <formula>0</formula>
    </cfRule>
  </conditionalFormatting>
  <conditionalFormatting sqref="G11:G13 G15">
    <cfRule type="cellIs" dxfId="39" priority="3" operator="lessThan">
      <formula>0</formula>
    </cfRule>
  </conditionalFormatting>
  <conditionalFormatting sqref="H5:H9">
    <cfRule type="cellIs" dxfId="38" priority="2" operator="greaterThan">
      <formula>1</formula>
    </cfRule>
  </conditionalFormatting>
  <conditionalFormatting sqref="H11:H13 H15">
    <cfRule type="cellIs" dxfId="37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96" bestFit="1" customWidth="1"/>
    <col min="2" max="2" width="12.77734375" style="96" bestFit="1" customWidth="1"/>
    <col min="3" max="3" width="13.6640625" style="96" bestFit="1" customWidth="1"/>
    <col min="4" max="15" width="7.77734375" style="96" bestFit="1" customWidth="1"/>
    <col min="16" max="16" width="8.88671875" style="96" customWidth="1"/>
    <col min="17" max="17" width="6.6640625" style="96" bestFit="1" customWidth="1"/>
    <col min="18" max="16384" width="8.88671875" style="96"/>
  </cols>
  <sheetData>
    <row r="1" spans="1:17" s="160" customFormat="1" ht="18.600000000000001" customHeight="1" thickBot="1" x14ac:dyDescent="0.4">
      <c r="A1" s="270" t="s">
        <v>201</v>
      </c>
      <c r="B1" s="270"/>
      <c r="C1" s="270"/>
      <c r="D1" s="270"/>
      <c r="E1" s="270"/>
      <c r="F1" s="270"/>
      <c r="G1" s="270"/>
      <c r="H1" s="261"/>
      <c r="I1" s="261"/>
      <c r="J1" s="261"/>
      <c r="K1" s="261"/>
      <c r="L1" s="261"/>
      <c r="M1" s="261"/>
      <c r="N1" s="261"/>
      <c r="O1" s="261"/>
      <c r="P1" s="261"/>
      <c r="Q1" s="261"/>
    </row>
    <row r="2" spans="1:17" s="160" customFormat="1" ht="14.4" customHeight="1" thickBot="1" x14ac:dyDescent="0.3">
      <c r="A2" s="175" t="s">
        <v>199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</row>
    <row r="3" spans="1:17" ht="14.4" customHeight="1" x14ac:dyDescent="0.3">
      <c r="A3" s="58"/>
      <c r="B3" s="271" t="s">
        <v>9</v>
      </c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104"/>
      <c r="Q3" s="106"/>
    </row>
    <row r="4" spans="1:17" ht="14.4" customHeight="1" x14ac:dyDescent="0.3">
      <c r="A4" s="59"/>
      <c r="B4" s="20">
        <v>2014</v>
      </c>
      <c r="C4" s="105" t="s">
        <v>10</v>
      </c>
      <c r="D4" s="95" t="s">
        <v>89</v>
      </c>
      <c r="E4" s="95" t="s">
        <v>90</v>
      </c>
      <c r="F4" s="95" t="s">
        <v>91</v>
      </c>
      <c r="G4" s="95" t="s">
        <v>92</v>
      </c>
      <c r="H4" s="95" t="s">
        <v>93</v>
      </c>
      <c r="I4" s="95" t="s">
        <v>94</v>
      </c>
      <c r="J4" s="95" t="s">
        <v>95</v>
      </c>
      <c r="K4" s="95" t="s">
        <v>96</v>
      </c>
      <c r="L4" s="95" t="s">
        <v>97</v>
      </c>
      <c r="M4" s="95" t="s">
        <v>98</v>
      </c>
      <c r="N4" s="95" t="s">
        <v>99</v>
      </c>
      <c r="O4" s="95" t="s">
        <v>100</v>
      </c>
      <c r="P4" s="273" t="s">
        <v>2</v>
      </c>
      <c r="Q4" s="274"/>
    </row>
    <row r="5" spans="1:17" ht="14.4" customHeight="1" thickBot="1" x14ac:dyDescent="0.35">
      <c r="A5" s="60"/>
      <c r="B5" s="21" t="s">
        <v>11</v>
      </c>
      <c r="C5" s="22" t="s">
        <v>11</v>
      </c>
      <c r="D5" s="22" t="s">
        <v>12</v>
      </c>
      <c r="E5" s="22" t="s">
        <v>12</v>
      </c>
      <c r="F5" s="22" t="s">
        <v>12</v>
      </c>
      <c r="G5" s="22" t="s">
        <v>12</v>
      </c>
      <c r="H5" s="22" t="s">
        <v>12</v>
      </c>
      <c r="I5" s="22" t="s">
        <v>12</v>
      </c>
      <c r="J5" s="22" t="s">
        <v>12</v>
      </c>
      <c r="K5" s="22" t="s">
        <v>12</v>
      </c>
      <c r="L5" s="22" t="s">
        <v>12</v>
      </c>
      <c r="M5" s="22" t="s">
        <v>12</v>
      </c>
      <c r="N5" s="22" t="s">
        <v>12</v>
      </c>
      <c r="O5" s="22" t="s">
        <v>12</v>
      </c>
      <c r="P5" s="22" t="s">
        <v>12</v>
      </c>
      <c r="Q5" s="23" t="s">
        <v>13</v>
      </c>
    </row>
    <row r="6" spans="1:17" ht="14.4" customHeight="1" x14ac:dyDescent="0.3">
      <c r="A6" s="14" t="s">
        <v>14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67" t="s">
        <v>200</v>
      </c>
    </row>
    <row r="7" spans="1:17" ht="14.4" customHeight="1" x14ac:dyDescent="0.3">
      <c r="A7" s="15" t="s">
        <v>15</v>
      </c>
      <c r="B7" s="46">
        <v>0.77063330568099997</v>
      </c>
      <c r="C7" s="47">
        <v>6.4219442139999999E-2</v>
      </c>
      <c r="D7" s="47">
        <v>0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0</v>
      </c>
      <c r="Q7" s="68">
        <v>0</v>
      </c>
    </row>
    <row r="8" spans="1:17" ht="14.4" customHeight="1" x14ac:dyDescent="0.3">
      <c r="A8" s="15" t="s">
        <v>16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68" t="s">
        <v>200</v>
      </c>
    </row>
    <row r="9" spans="1:17" ht="14.4" customHeight="1" x14ac:dyDescent="0.3">
      <c r="A9" s="15" t="s">
        <v>17</v>
      </c>
      <c r="B9" s="46">
        <v>65.733283269283007</v>
      </c>
      <c r="C9" s="47">
        <v>5.4777736057729998</v>
      </c>
      <c r="D9" s="47">
        <v>5.1352399999999996</v>
      </c>
      <c r="E9" s="47">
        <v>3.4969000000000001</v>
      </c>
      <c r="F9" s="47">
        <v>6.0209599999999996</v>
      </c>
      <c r="G9" s="47">
        <v>9.6388599999999993</v>
      </c>
      <c r="H9" s="47">
        <v>3.6082200000000002</v>
      </c>
      <c r="I9" s="47">
        <v>7.8077699999999997</v>
      </c>
      <c r="J9" s="47">
        <v>6.0573399999999999</v>
      </c>
      <c r="K9" s="47">
        <v>5.27705</v>
      </c>
      <c r="L9" s="47">
        <v>5.5880200000000002</v>
      </c>
      <c r="M9" s="47">
        <v>0</v>
      </c>
      <c r="N9" s="47">
        <v>0</v>
      </c>
      <c r="O9" s="47">
        <v>0</v>
      </c>
      <c r="P9" s="48">
        <v>52.630360000000003</v>
      </c>
      <c r="Q9" s="68">
        <v>1.06755375425</v>
      </c>
    </row>
    <row r="10" spans="1:17" ht="14.4" customHeight="1" x14ac:dyDescent="0.3">
      <c r="A10" s="15" t="s">
        <v>18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68" t="s">
        <v>200</v>
      </c>
    </row>
    <row r="11" spans="1:17" ht="14.4" customHeight="1" x14ac:dyDescent="0.3">
      <c r="A11" s="15" t="s">
        <v>19</v>
      </c>
      <c r="B11" s="46">
        <v>240.20200522550701</v>
      </c>
      <c r="C11" s="47">
        <v>20.016833768792001</v>
      </c>
      <c r="D11" s="47">
        <v>9.1153600000000008</v>
      </c>
      <c r="E11" s="47">
        <v>2.4839500000000001</v>
      </c>
      <c r="F11" s="47">
        <v>44.373930000000001</v>
      </c>
      <c r="G11" s="47">
        <v>53.985480000000003</v>
      </c>
      <c r="H11" s="47">
        <v>3.8070400000000002</v>
      </c>
      <c r="I11" s="47">
        <v>33.288600000000002</v>
      </c>
      <c r="J11" s="47">
        <v>0</v>
      </c>
      <c r="K11" s="47">
        <v>3.44401</v>
      </c>
      <c r="L11" s="47">
        <v>46.454700000000003</v>
      </c>
      <c r="M11" s="47">
        <v>0</v>
      </c>
      <c r="N11" s="47">
        <v>0</v>
      </c>
      <c r="O11" s="47">
        <v>0</v>
      </c>
      <c r="P11" s="48">
        <v>196.95307</v>
      </c>
      <c r="Q11" s="68">
        <v>1.093263534943</v>
      </c>
    </row>
    <row r="12" spans="1:17" ht="14.4" customHeight="1" x14ac:dyDescent="0.3">
      <c r="A12" s="15" t="s">
        <v>20</v>
      </c>
      <c r="B12" s="46">
        <v>1.0001864980149999</v>
      </c>
      <c r="C12" s="47">
        <v>8.3348874833999997E-2</v>
      </c>
      <c r="D12" s="47">
        <v>0</v>
      </c>
      <c r="E12" s="47">
        <v>0</v>
      </c>
      <c r="F12" s="47">
        <v>7.1340000000000001E-2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7.1340000000000001E-2</v>
      </c>
      <c r="Q12" s="68">
        <v>9.5102263615999993E-2</v>
      </c>
    </row>
    <row r="13" spans="1:17" ht="14.4" customHeight="1" x14ac:dyDescent="0.3">
      <c r="A13" s="15" t="s">
        <v>21</v>
      </c>
      <c r="B13" s="46">
        <v>2.9125820172550001</v>
      </c>
      <c r="C13" s="47">
        <v>0.24271516810400001</v>
      </c>
      <c r="D13" s="47">
        <v>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0.42726999999999998</v>
      </c>
      <c r="M13" s="47">
        <v>0</v>
      </c>
      <c r="N13" s="47">
        <v>0</v>
      </c>
      <c r="O13" s="47">
        <v>0</v>
      </c>
      <c r="P13" s="48">
        <v>0.42726999999999998</v>
      </c>
      <c r="Q13" s="68">
        <v>0.19559735312400001</v>
      </c>
    </row>
    <row r="14" spans="1:17" ht="14.4" customHeight="1" x14ac:dyDescent="0.3">
      <c r="A14" s="15" t="s">
        <v>22</v>
      </c>
      <c r="B14" s="46">
        <v>111.19815684896101</v>
      </c>
      <c r="C14" s="47">
        <v>9.2665130707460008</v>
      </c>
      <c r="D14" s="47">
        <v>11.108000000000001</v>
      </c>
      <c r="E14" s="47">
        <v>10.148</v>
      </c>
      <c r="F14" s="47">
        <v>8.1322799999999997</v>
      </c>
      <c r="G14" s="47">
        <v>7.3769999999999998</v>
      </c>
      <c r="H14" s="47">
        <v>6.5</v>
      </c>
      <c r="I14" s="47">
        <v>6.1719999999999997</v>
      </c>
      <c r="J14" s="47">
        <v>5.6210000000000004</v>
      </c>
      <c r="K14" s="47">
        <v>5.5</v>
      </c>
      <c r="L14" s="47">
        <v>5.8079999999999998</v>
      </c>
      <c r="M14" s="47">
        <v>0</v>
      </c>
      <c r="N14" s="47">
        <v>0</v>
      </c>
      <c r="O14" s="47">
        <v>0</v>
      </c>
      <c r="P14" s="48">
        <v>66.366280000000003</v>
      </c>
      <c r="Q14" s="68">
        <v>0.79577194299599996</v>
      </c>
    </row>
    <row r="15" spans="1:17" ht="14.4" customHeight="1" x14ac:dyDescent="0.3">
      <c r="A15" s="15" t="s">
        <v>23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68" t="s">
        <v>200</v>
      </c>
    </row>
    <row r="16" spans="1:17" ht="14.4" customHeight="1" x14ac:dyDescent="0.3">
      <c r="A16" s="15" t="s">
        <v>24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68" t="s">
        <v>200</v>
      </c>
    </row>
    <row r="17" spans="1:17" ht="14.4" customHeight="1" x14ac:dyDescent="0.3">
      <c r="A17" s="15" t="s">
        <v>25</v>
      </c>
      <c r="B17" s="46">
        <v>6.3074241458079996</v>
      </c>
      <c r="C17" s="47">
        <v>0.52561867881699997</v>
      </c>
      <c r="D17" s="47">
        <v>7.32775</v>
      </c>
      <c r="E17" s="47">
        <v>10.565300000000001</v>
      </c>
      <c r="F17" s="47">
        <v>8.3239699999999992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26.217020000000002</v>
      </c>
      <c r="Q17" s="68">
        <v>5.5420447172390004</v>
      </c>
    </row>
    <row r="18" spans="1:17" ht="14.4" customHeight="1" x14ac:dyDescent="0.3">
      <c r="A18" s="15" t="s">
        <v>26</v>
      </c>
      <c r="B18" s="46">
        <v>0</v>
      </c>
      <c r="C18" s="47">
        <v>0</v>
      </c>
      <c r="D18" s="47">
        <v>0.73699999999999999</v>
      </c>
      <c r="E18" s="47">
        <v>0</v>
      </c>
      <c r="F18" s="47">
        <v>0.91400000000000003</v>
      </c>
      <c r="G18" s="47">
        <v>2.2970000000000002</v>
      </c>
      <c r="H18" s="47">
        <v>0</v>
      </c>
      <c r="I18" s="47">
        <v>0</v>
      </c>
      <c r="J18" s="47">
        <v>0</v>
      </c>
      <c r="K18" s="47">
        <v>0</v>
      </c>
      <c r="L18" s="47">
        <v>2.4449999999999998</v>
      </c>
      <c r="M18" s="47">
        <v>0</v>
      </c>
      <c r="N18" s="47">
        <v>0</v>
      </c>
      <c r="O18" s="47">
        <v>0</v>
      </c>
      <c r="P18" s="48">
        <v>6.3929999999999998</v>
      </c>
      <c r="Q18" s="68" t="s">
        <v>200</v>
      </c>
    </row>
    <row r="19" spans="1:17" ht="14.4" customHeight="1" x14ac:dyDescent="0.3">
      <c r="A19" s="15" t="s">
        <v>27</v>
      </c>
      <c r="B19" s="46">
        <v>215.43105830917401</v>
      </c>
      <c r="C19" s="47">
        <v>17.952588192431001</v>
      </c>
      <c r="D19" s="47">
        <v>4.4561999999999999</v>
      </c>
      <c r="E19" s="47">
        <v>18.374680000000001</v>
      </c>
      <c r="F19" s="47">
        <v>22.509070000000001</v>
      </c>
      <c r="G19" s="47">
        <v>9.4175900000000006</v>
      </c>
      <c r="H19" s="47">
        <v>5.7057900000000004</v>
      </c>
      <c r="I19" s="47">
        <v>9.6143099999999997</v>
      </c>
      <c r="J19" s="47">
        <v>14.17661</v>
      </c>
      <c r="K19" s="47">
        <v>3.1810499999999999</v>
      </c>
      <c r="L19" s="47">
        <v>13.637740000000001</v>
      </c>
      <c r="M19" s="47">
        <v>0</v>
      </c>
      <c r="N19" s="47">
        <v>0</v>
      </c>
      <c r="O19" s="47">
        <v>0</v>
      </c>
      <c r="P19" s="48">
        <v>101.07304000000001</v>
      </c>
      <c r="Q19" s="68">
        <v>0.625555360452</v>
      </c>
    </row>
    <row r="20" spans="1:17" ht="14.4" customHeight="1" x14ac:dyDescent="0.3">
      <c r="A20" s="15" t="s">
        <v>28</v>
      </c>
      <c r="B20" s="46">
        <v>2301.01137969501</v>
      </c>
      <c r="C20" s="47">
        <v>191.75094830791801</v>
      </c>
      <c r="D20" s="47">
        <v>187.45870000000099</v>
      </c>
      <c r="E20" s="47">
        <v>185.18833000000001</v>
      </c>
      <c r="F20" s="47">
        <v>185.86451</v>
      </c>
      <c r="G20" s="47">
        <v>197.58544000000001</v>
      </c>
      <c r="H20" s="47">
        <v>197.42367999999999</v>
      </c>
      <c r="I20" s="47">
        <v>196.46800999999999</v>
      </c>
      <c r="J20" s="47">
        <v>289.67728</v>
      </c>
      <c r="K20" s="47">
        <v>198.09073000000001</v>
      </c>
      <c r="L20" s="47">
        <v>200.35015000000001</v>
      </c>
      <c r="M20" s="47">
        <v>0</v>
      </c>
      <c r="N20" s="47">
        <v>0</v>
      </c>
      <c r="O20" s="47">
        <v>0</v>
      </c>
      <c r="P20" s="48">
        <v>1838.1068299999999</v>
      </c>
      <c r="Q20" s="68">
        <v>1.0651008197059999</v>
      </c>
    </row>
    <row r="21" spans="1:17" ht="14.4" customHeight="1" x14ac:dyDescent="0.3">
      <c r="A21" s="16" t="s">
        <v>29</v>
      </c>
      <c r="B21" s="46">
        <v>78.999404053321996</v>
      </c>
      <c r="C21" s="47">
        <v>6.5832836711100002</v>
      </c>
      <c r="D21" s="47">
        <v>6.5640000000000001</v>
      </c>
      <c r="E21" s="47">
        <v>6.5640000000000001</v>
      </c>
      <c r="F21" s="47">
        <v>6.5640000000000001</v>
      </c>
      <c r="G21" s="47">
        <v>6.5640000000000001</v>
      </c>
      <c r="H21" s="47">
        <v>6.5640000000000001</v>
      </c>
      <c r="I21" s="47">
        <v>6.5640000000000001</v>
      </c>
      <c r="J21" s="47">
        <v>6.5640000000000001</v>
      </c>
      <c r="K21" s="47">
        <v>6.5640000000000001</v>
      </c>
      <c r="L21" s="47">
        <v>6.5640000000000001</v>
      </c>
      <c r="M21" s="47">
        <v>0</v>
      </c>
      <c r="N21" s="47">
        <v>0</v>
      </c>
      <c r="O21" s="47">
        <v>0</v>
      </c>
      <c r="P21" s="48">
        <v>59.076000000000001</v>
      </c>
      <c r="Q21" s="68">
        <v>0.99707081267099995</v>
      </c>
    </row>
    <row r="22" spans="1:17" ht="14.4" customHeight="1" x14ac:dyDescent="0.3">
      <c r="A22" s="15" t="s">
        <v>30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0</v>
      </c>
      <c r="Q22" s="68" t="s">
        <v>200</v>
      </c>
    </row>
    <row r="23" spans="1:17" ht="14.4" customHeight="1" x14ac:dyDescent="0.3">
      <c r="A23" s="16" t="s">
        <v>31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68" t="s">
        <v>200</v>
      </c>
    </row>
    <row r="24" spans="1:17" ht="14.4" customHeight="1" x14ac:dyDescent="0.3">
      <c r="A24" s="16" t="s">
        <v>32</v>
      </c>
      <c r="B24" s="46">
        <v>-9.0949470177292804E-13</v>
      </c>
      <c r="C24" s="47">
        <v>-5.6843418860808002E-14</v>
      </c>
      <c r="D24" s="47">
        <v>-2.8421709430404001E-14</v>
      </c>
      <c r="E24" s="47">
        <v>-2.8421709430404001E-14</v>
      </c>
      <c r="F24" s="47">
        <v>9.9999999999E-2</v>
      </c>
      <c r="G24" s="47">
        <v>-1.13686837721616E-13</v>
      </c>
      <c r="H24" s="47">
        <v>2.8421709430404001E-14</v>
      </c>
      <c r="I24" s="47">
        <v>7.6840000000000006E-2</v>
      </c>
      <c r="J24" s="47">
        <v>-5.6843418860808002E-14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8">
        <v>0.17683999999899999</v>
      </c>
      <c r="Q24" s="68"/>
    </row>
    <row r="25" spans="1:17" ht="14.4" customHeight="1" x14ac:dyDescent="0.3">
      <c r="A25" s="17" t="s">
        <v>33</v>
      </c>
      <c r="B25" s="49">
        <v>3023.5661133680201</v>
      </c>
      <c r="C25" s="50">
        <v>251.96384278066799</v>
      </c>
      <c r="D25" s="50">
        <v>231.902250000001</v>
      </c>
      <c r="E25" s="50">
        <v>236.82115999999999</v>
      </c>
      <c r="F25" s="50">
        <v>282.87405999999999</v>
      </c>
      <c r="G25" s="50">
        <v>286.86536999999998</v>
      </c>
      <c r="H25" s="50">
        <v>223.60873000000001</v>
      </c>
      <c r="I25" s="50">
        <v>259.99153000000001</v>
      </c>
      <c r="J25" s="50">
        <v>322.09622999999999</v>
      </c>
      <c r="K25" s="50">
        <v>222.05683999999999</v>
      </c>
      <c r="L25" s="50">
        <v>281.27488</v>
      </c>
      <c r="M25" s="50">
        <v>0</v>
      </c>
      <c r="N25" s="50">
        <v>0</v>
      </c>
      <c r="O25" s="50">
        <v>0</v>
      </c>
      <c r="P25" s="51">
        <v>2347.4910500000001</v>
      </c>
      <c r="Q25" s="69">
        <v>1.0351974950459999</v>
      </c>
    </row>
    <row r="26" spans="1:17" ht="14.4" customHeight="1" x14ac:dyDescent="0.3">
      <c r="A26" s="15" t="s">
        <v>34</v>
      </c>
      <c r="B26" s="46">
        <v>493.00070881769199</v>
      </c>
      <c r="C26" s="47">
        <v>41.083392401474001</v>
      </c>
      <c r="D26" s="47">
        <v>35.72231</v>
      </c>
      <c r="E26" s="47">
        <v>32.013170000000002</v>
      </c>
      <c r="F26" s="47">
        <v>35.911529999999999</v>
      </c>
      <c r="G26" s="47">
        <v>40.12086</v>
      </c>
      <c r="H26" s="47">
        <v>39.024520000000003</v>
      </c>
      <c r="I26" s="47">
        <v>39.293689999999998</v>
      </c>
      <c r="J26" s="47">
        <v>66.483459999999994</v>
      </c>
      <c r="K26" s="47">
        <v>34.12829</v>
      </c>
      <c r="L26" s="47">
        <v>39.801400000000001</v>
      </c>
      <c r="M26" s="47">
        <v>0</v>
      </c>
      <c r="N26" s="47">
        <v>0</v>
      </c>
      <c r="O26" s="47">
        <v>0</v>
      </c>
      <c r="P26" s="48">
        <v>362.49923000000001</v>
      </c>
      <c r="Q26" s="68">
        <v>0.98038866480599995</v>
      </c>
    </row>
    <row r="27" spans="1:17" ht="14.4" customHeight="1" x14ac:dyDescent="0.3">
      <c r="A27" s="18" t="s">
        <v>35</v>
      </c>
      <c r="B27" s="49">
        <v>3516.56682218571</v>
      </c>
      <c r="C27" s="50">
        <v>293.04723518214303</v>
      </c>
      <c r="D27" s="50">
        <v>267.624560000001</v>
      </c>
      <c r="E27" s="50">
        <v>268.83433000000002</v>
      </c>
      <c r="F27" s="50">
        <v>318.78559000000001</v>
      </c>
      <c r="G27" s="50">
        <v>326.98622999999998</v>
      </c>
      <c r="H27" s="50">
        <v>262.63324999999998</v>
      </c>
      <c r="I27" s="50">
        <v>299.28521999999998</v>
      </c>
      <c r="J27" s="50">
        <v>388.57969000000003</v>
      </c>
      <c r="K27" s="50">
        <v>256.18513000000002</v>
      </c>
      <c r="L27" s="50">
        <v>321.07628</v>
      </c>
      <c r="M27" s="50">
        <v>0</v>
      </c>
      <c r="N27" s="50">
        <v>0</v>
      </c>
      <c r="O27" s="50">
        <v>0</v>
      </c>
      <c r="P27" s="51">
        <v>2709.99028</v>
      </c>
      <c r="Q27" s="69">
        <v>1.0275136393069999</v>
      </c>
    </row>
    <row r="28" spans="1:17" ht="14.4" customHeight="1" x14ac:dyDescent="0.3">
      <c r="A28" s="16" t="s">
        <v>36</v>
      </c>
      <c r="B28" s="46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0</v>
      </c>
      <c r="Q28" s="68">
        <v>0</v>
      </c>
    </row>
    <row r="29" spans="1:17" ht="14.4" customHeight="1" x14ac:dyDescent="0.3">
      <c r="A29" s="16" t="s">
        <v>37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68" t="s">
        <v>200</v>
      </c>
    </row>
    <row r="30" spans="1:17" ht="14.4" customHeight="1" x14ac:dyDescent="0.3">
      <c r="A30" s="16" t="s">
        <v>38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68">
        <v>0</v>
      </c>
    </row>
    <row r="31" spans="1:17" ht="14.4" customHeight="1" thickBot="1" x14ac:dyDescent="0.35">
      <c r="A31" s="19" t="s">
        <v>39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0" t="s">
        <v>200</v>
      </c>
    </row>
    <row r="32" spans="1:17" ht="14.4" customHeight="1" x14ac:dyDescent="0.3"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</row>
    <row r="33" spans="1:17" ht="14.4" customHeight="1" x14ac:dyDescent="0.3">
      <c r="A33" s="79" t="s">
        <v>85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</row>
    <row r="34" spans="1:17" ht="14.4" customHeight="1" x14ac:dyDescent="0.3">
      <c r="A34" s="102" t="s">
        <v>109</v>
      </c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</row>
    <row r="35" spans="1:17" ht="14.4" customHeight="1" x14ac:dyDescent="0.3">
      <c r="A35" s="103" t="s">
        <v>40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2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96" customWidth="1"/>
    <col min="2" max="11" width="10" style="96" customWidth="1"/>
    <col min="12" max="16384" width="8.88671875" style="96"/>
  </cols>
  <sheetData>
    <row r="1" spans="1:11" s="55" customFormat="1" ht="18.600000000000001" customHeight="1" thickBot="1" x14ac:dyDescent="0.4">
      <c r="A1" s="270" t="s">
        <v>41</v>
      </c>
      <c r="B1" s="270"/>
      <c r="C1" s="270"/>
      <c r="D1" s="270"/>
      <c r="E1" s="270"/>
      <c r="F1" s="270"/>
      <c r="G1" s="270"/>
      <c r="H1" s="275"/>
      <c r="I1" s="275"/>
      <c r="J1" s="275"/>
      <c r="K1" s="275"/>
    </row>
    <row r="2" spans="1:11" s="55" customFormat="1" ht="14.4" customHeight="1" thickBot="1" x14ac:dyDescent="0.35">
      <c r="A2" s="175" t="s">
        <v>199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58"/>
      <c r="B3" s="271" t="s">
        <v>42</v>
      </c>
      <c r="C3" s="272"/>
      <c r="D3" s="272"/>
      <c r="E3" s="272"/>
      <c r="F3" s="278" t="s">
        <v>43</v>
      </c>
      <c r="G3" s="272"/>
      <c r="H3" s="272"/>
      <c r="I3" s="272"/>
      <c r="J3" s="272"/>
      <c r="K3" s="279"/>
    </row>
    <row r="4" spans="1:11" ht="14.4" customHeight="1" x14ac:dyDescent="0.3">
      <c r="A4" s="59"/>
      <c r="B4" s="276"/>
      <c r="C4" s="277"/>
      <c r="D4" s="277"/>
      <c r="E4" s="277"/>
      <c r="F4" s="280" t="s">
        <v>105</v>
      </c>
      <c r="G4" s="282" t="s">
        <v>44</v>
      </c>
      <c r="H4" s="107" t="s">
        <v>75</v>
      </c>
      <c r="I4" s="280" t="s">
        <v>45</v>
      </c>
      <c r="J4" s="282" t="s">
        <v>107</v>
      </c>
      <c r="K4" s="283" t="s">
        <v>108</v>
      </c>
    </row>
    <row r="5" spans="1:11" ht="42" thickBot="1" x14ac:dyDescent="0.35">
      <c r="A5" s="60"/>
      <c r="B5" s="24" t="s">
        <v>101</v>
      </c>
      <c r="C5" s="25" t="s">
        <v>102</v>
      </c>
      <c r="D5" s="26" t="s">
        <v>103</v>
      </c>
      <c r="E5" s="26" t="s">
        <v>104</v>
      </c>
      <c r="F5" s="281"/>
      <c r="G5" s="281"/>
      <c r="H5" s="25" t="s">
        <v>106</v>
      </c>
      <c r="I5" s="281"/>
      <c r="J5" s="281"/>
      <c r="K5" s="284"/>
    </row>
    <row r="6" spans="1:11" ht="14.4" customHeight="1" thickBot="1" x14ac:dyDescent="0.35">
      <c r="A6" s="324" t="s">
        <v>202</v>
      </c>
      <c r="B6" s="306">
        <v>1871.2519692687799</v>
      </c>
      <c r="C6" s="306">
        <v>2027.59501</v>
      </c>
      <c r="D6" s="307">
        <v>156.34304073122499</v>
      </c>
      <c r="E6" s="308">
        <v>1.08354996724</v>
      </c>
      <c r="F6" s="306">
        <v>3023.5661133680201</v>
      </c>
      <c r="G6" s="307">
        <v>2267.6745850260099</v>
      </c>
      <c r="H6" s="309">
        <v>281.27488</v>
      </c>
      <c r="I6" s="306">
        <v>2347.4910500000001</v>
      </c>
      <c r="J6" s="307">
        <v>79.816464973986001</v>
      </c>
      <c r="K6" s="310">
        <v>0.77639812128499996</v>
      </c>
    </row>
    <row r="7" spans="1:11" ht="14.4" customHeight="1" thickBot="1" x14ac:dyDescent="0.35">
      <c r="A7" s="325" t="s">
        <v>203</v>
      </c>
      <c r="B7" s="306">
        <v>198.15136768125899</v>
      </c>
      <c r="C7" s="306">
        <v>246.56715</v>
      </c>
      <c r="D7" s="307">
        <v>48.415782318741002</v>
      </c>
      <c r="E7" s="308">
        <v>1.2443373613069999</v>
      </c>
      <c r="F7" s="306">
        <v>421.81684716470198</v>
      </c>
      <c r="G7" s="307">
        <v>316.36263537352698</v>
      </c>
      <c r="H7" s="309">
        <v>58.277990000000003</v>
      </c>
      <c r="I7" s="306">
        <v>316.44832000000002</v>
      </c>
      <c r="J7" s="307">
        <v>8.5684626473E-2</v>
      </c>
      <c r="K7" s="310">
        <v>0.75020313230000002</v>
      </c>
    </row>
    <row r="8" spans="1:11" ht="14.4" customHeight="1" thickBot="1" x14ac:dyDescent="0.35">
      <c r="A8" s="326" t="s">
        <v>204</v>
      </c>
      <c r="B8" s="306">
        <v>123.796010889191</v>
      </c>
      <c r="C8" s="306">
        <v>179.73348999999999</v>
      </c>
      <c r="D8" s="307">
        <v>55.937479110807999</v>
      </c>
      <c r="E8" s="308">
        <v>1.4518520322990001</v>
      </c>
      <c r="F8" s="306">
        <v>310.61869031574201</v>
      </c>
      <c r="G8" s="307">
        <v>232.964017736806</v>
      </c>
      <c r="H8" s="309">
        <v>52.469990000000003</v>
      </c>
      <c r="I8" s="306">
        <v>250.08204000000001</v>
      </c>
      <c r="J8" s="307">
        <v>17.118022263193001</v>
      </c>
      <c r="K8" s="310">
        <v>0.80510944059900003</v>
      </c>
    </row>
    <row r="9" spans="1:11" ht="14.4" customHeight="1" thickBot="1" x14ac:dyDescent="0.35">
      <c r="A9" s="327" t="s">
        <v>205</v>
      </c>
      <c r="B9" s="311">
        <v>0</v>
      </c>
      <c r="C9" s="311">
        <v>0.77005000000000001</v>
      </c>
      <c r="D9" s="312">
        <v>0.77005000000000001</v>
      </c>
      <c r="E9" s="313" t="s">
        <v>206</v>
      </c>
      <c r="F9" s="311">
        <v>0.77063330568099997</v>
      </c>
      <c r="G9" s="312">
        <v>0.57797497925999997</v>
      </c>
      <c r="H9" s="314">
        <v>0</v>
      </c>
      <c r="I9" s="311">
        <v>0</v>
      </c>
      <c r="J9" s="312">
        <v>-0.57797497925999997</v>
      </c>
      <c r="K9" s="315">
        <v>0</v>
      </c>
    </row>
    <row r="10" spans="1:11" ht="14.4" customHeight="1" thickBot="1" x14ac:dyDescent="0.35">
      <c r="A10" s="328" t="s">
        <v>207</v>
      </c>
      <c r="B10" s="306">
        <v>0</v>
      </c>
      <c r="C10" s="306">
        <v>0.77005000000000001</v>
      </c>
      <c r="D10" s="307">
        <v>0.77005000000000001</v>
      </c>
      <c r="E10" s="316" t="s">
        <v>206</v>
      </c>
      <c r="F10" s="306">
        <v>0.77063330568099997</v>
      </c>
      <c r="G10" s="307">
        <v>0.57797497925999997</v>
      </c>
      <c r="H10" s="309">
        <v>0</v>
      </c>
      <c r="I10" s="306">
        <v>0</v>
      </c>
      <c r="J10" s="307">
        <v>-0.57797497925999997</v>
      </c>
      <c r="K10" s="310">
        <v>0</v>
      </c>
    </row>
    <row r="11" spans="1:11" ht="14.4" customHeight="1" thickBot="1" x14ac:dyDescent="0.35">
      <c r="A11" s="327" t="s">
        <v>208</v>
      </c>
      <c r="B11" s="311">
        <v>0</v>
      </c>
      <c r="C11" s="311">
        <v>43.093330000000002</v>
      </c>
      <c r="D11" s="312">
        <v>43.093330000000002</v>
      </c>
      <c r="E11" s="313" t="s">
        <v>206</v>
      </c>
      <c r="F11" s="311">
        <v>65.733283269283007</v>
      </c>
      <c r="G11" s="312">
        <v>49.299962451962003</v>
      </c>
      <c r="H11" s="314">
        <v>5.5880200000000002</v>
      </c>
      <c r="I11" s="311">
        <v>52.630360000000003</v>
      </c>
      <c r="J11" s="312">
        <v>3.3303975480369998</v>
      </c>
      <c r="K11" s="315">
        <v>0.80066531568699995</v>
      </c>
    </row>
    <row r="12" spans="1:11" ht="14.4" customHeight="1" thickBot="1" x14ac:dyDescent="0.35">
      <c r="A12" s="328" t="s">
        <v>209</v>
      </c>
      <c r="B12" s="306">
        <v>0</v>
      </c>
      <c r="C12" s="306">
        <v>40.366329999999998</v>
      </c>
      <c r="D12" s="307">
        <v>40.366329999999998</v>
      </c>
      <c r="E12" s="316" t="s">
        <v>206</v>
      </c>
      <c r="F12" s="306">
        <v>58.999903784494002</v>
      </c>
      <c r="G12" s="307">
        <v>44.249927838369999</v>
      </c>
      <c r="H12" s="309">
        <v>5.5880200000000002</v>
      </c>
      <c r="I12" s="306">
        <v>49.822360000000003</v>
      </c>
      <c r="J12" s="307">
        <v>5.572432161629</v>
      </c>
      <c r="K12" s="310">
        <v>0.84444815676200002</v>
      </c>
    </row>
    <row r="13" spans="1:11" ht="14.4" customHeight="1" thickBot="1" x14ac:dyDescent="0.35">
      <c r="A13" s="328" t="s">
        <v>210</v>
      </c>
      <c r="B13" s="306">
        <v>0</v>
      </c>
      <c r="C13" s="306">
        <v>2.7120000000000002</v>
      </c>
      <c r="D13" s="307">
        <v>2.7120000000000002</v>
      </c>
      <c r="E13" s="316" t="s">
        <v>206</v>
      </c>
      <c r="F13" s="306">
        <v>6.7181672275680002</v>
      </c>
      <c r="G13" s="307">
        <v>5.0386254206760004</v>
      </c>
      <c r="H13" s="309">
        <v>0</v>
      </c>
      <c r="I13" s="306">
        <v>2.6619999999999999</v>
      </c>
      <c r="J13" s="307">
        <v>-2.376625420676</v>
      </c>
      <c r="K13" s="310">
        <v>0.39623902023099999</v>
      </c>
    </row>
    <row r="14" spans="1:11" ht="14.4" customHeight="1" thickBot="1" x14ac:dyDescent="0.35">
      <c r="A14" s="328" t="s">
        <v>211</v>
      </c>
      <c r="B14" s="306">
        <v>0</v>
      </c>
      <c r="C14" s="306">
        <v>1.4999999999999999E-2</v>
      </c>
      <c r="D14" s="307">
        <v>1.4999999999999999E-2</v>
      </c>
      <c r="E14" s="316" t="s">
        <v>206</v>
      </c>
      <c r="F14" s="306">
        <v>1.5212257220000001E-2</v>
      </c>
      <c r="G14" s="307">
        <v>1.1409192915E-2</v>
      </c>
      <c r="H14" s="309">
        <v>0</v>
      </c>
      <c r="I14" s="306">
        <v>0.14599999999999999</v>
      </c>
      <c r="J14" s="307">
        <v>0.13459080708400001</v>
      </c>
      <c r="K14" s="310">
        <v>0</v>
      </c>
    </row>
    <row r="15" spans="1:11" ht="14.4" customHeight="1" thickBot="1" x14ac:dyDescent="0.35">
      <c r="A15" s="327" t="s">
        <v>212</v>
      </c>
      <c r="B15" s="311">
        <v>123.281503269052</v>
      </c>
      <c r="C15" s="311">
        <v>132.63751999999999</v>
      </c>
      <c r="D15" s="312">
        <v>9.3560167309469993</v>
      </c>
      <c r="E15" s="317">
        <v>1.0758914880399999</v>
      </c>
      <c r="F15" s="311">
        <v>240.20200522550701</v>
      </c>
      <c r="G15" s="312">
        <v>180.15150391912999</v>
      </c>
      <c r="H15" s="314">
        <v>46.454700000000003</v>
      </c>
      <c r="I15" s="311">
        <v>196.95307</v>
      </c>
      <c r="J15" s="312">
        <v>16.80156608087</v>
      </c>
      <c r="K15" s="315">
        <v>0.81994765120699997</v>
      </c>
    </row>
    <row r="16" spans="1:11" ht="14.4" customHeight="1" thickBot="1" x14ac:dyDescent="0.35">
      <c r="A16" s="328" t="s">
        <v>213</v>
      </c>
      <c r="B16" s="306">
        <v>2.9998876387590001</v>
      </c>
      <c r="C16" s="306">
        <v>0</v>
      </c>
      <c r="D16" s="307">
        <v>-2.9998876387590001</v>
      </c>
      <c r="E16" s="308">
        <v>0</v>
      </c>
      <c r="F16" s="306">
        <v>2.7929345469999999E-3</v>
      </c>
      <c r="G16" s="307">
        <v>2.09470091E-3</v>
      </c>
      <c r="H16" s="309">
        <v>0</v>
      </c>
      <c r="I16" s="306">
        <v>4.077</v>
      </c>
      <c r="J16" s="307">
        <v>4.074905299089</v>
      </c>
      <c r="K16" s="310">
        <v>0</v>
      </c>
    </row>
    <row r="17" spans="1:11" ht="14.4" customHeight="1" thickBot="1" x14ac:dyDescent="0.35">
      <c r="A17" s="328" t="s">
        <v>214</v>
      </c>
      <c r="B17" s="306">
        <v>3.9281288852000003E-2</v>
      </c>
      <c r="C17" s="306">
        <v>0.14355999999999999</v>
      </c>
      <c r="D17" s="307">
        <v>0.10427871114700001</v>
      </c>
      <c r="E17" s="308">
        <v>3.6546662341110001</v>
      </c>
      <c r="F17" s="306">
        <v>0.15283576581300001</v>
      </c>
      <c r="G17" s="307">
        <v>0.11462682436</v>
      </c>
      <c r="H17" s="309">
        <v>0</v>
      </c>
      <c r="I17" s="306">
        <v>9.0880000000000002E-2</v>
      </c>
      <c r="J17" s="307">
        <v>-2.3746824359999998E-2</v>
      </c>
      <c r="K17" s="310">
        <v>0.59462521430100002</v>
      </c>
    </row>
    <row r="18" spans="1:11" ht="14.4" customHeight="1" thickBot="1" x14ac:dyDescent="0.35">
      <c r="A18" s="328" t="s">
        <v>215</v>
      </c>
      <c r="B18" s="306">
        <v>1.9999361160210001</v>
      </c>
      <c r="C18" s="306">
        <v>1.7806299999999999</v>
      </c>
      <c r="D18" s="307">
        <v>-0.219306116021</v>
      </c>
      <c r="E18" s="308">
        <v>0.89034343934000004</v>
      </c>
      <c r="F18" s="306">
        <v>4.6597864094989996</v>
      </c>
      <c r="G18" s="307">
        <v>3.4948398071239999</v>
      </c>
      <c r="H18" s="309">
        <v>0</v>
      </c>
      <c r="I18" s="306">
        <v>0.43992999999999999</v>
      </c>
      <c r="J18" s="307">
        <v>-3.054909807124</v>
      </c>
      <c r="K18" s="310">
        <v>9.4409906665000001E-2</v>
      </c>
    </row>
    <row r="19" spans="1:11" ht="14.4" customHeight="1" thickBot="1" x14ac:dyDescent="0.35">
      <c r="A19" s="328" t="s">
        <v>216</v>
      </c>
      <c r="B19" s="306">
        <v>5.2328590325919997</v>
      </c>
      <c r="C19" s="306">
        <v>3.9340799999999998</v>
      </c>
      <c r="D19" s="307">
        <v>-1.2987790325919999</v>
      </c>
      <c r="E19" s="308">
        <v>0.75180316830500005</v>
      </c>
      <c r="F19" s="306">
        <v>6.1302059320140003</v>
      </c>
      <c r="G19" s="307">
        <v>4.5976544490110003</v>
      </c>
      <c r="H19" s="309">
        <v>0</v>
      </c>
      <c r="I19" s="306">
        <v>3.5941999999999998</v>
      </c>
      <c r="J19" s="307">
        <v>-1.003454449011</v>
      </c>
      <c r="K19" s="310">
        <v>0.58630983034799999</v>
      </c>
    </row>
    <row r="20" spans="1:11" ht="14.4" customHeight="1" thickBot="1" x14ac:dyDescent="0.35">
      <c r="A20" s="328" t="s">
        <v>217</v>
      </c>
      <c r="B20" s="306">
        <v>1.5408379563000001E-2</v>
      </c>
      <c r="C20" s="306">
        <v>0.88505</v>
      </c>
      <c r="D20" s="307">
        <v>0.86964162043600002</v>
      </c>
      <c r="E20" s="308">
        <v>57.439524794099</v>
      </c>
      <c r="F20" s="306">
        <v>0.99991897388999995</v>
      </c>
      <c r="G20" s="307">
        <v>0.74993923041800004</v>
      </c>
      <c r="H20" s="309">
        <v>0</v>
      </c>
      <c r="I20" s="306">
        <v>10.74873</v>
      </c>
      <c r="J20" s="307">
        <v>9.9987907695819995</v>
      </c>
      <c r="K20" s="310">
        <v>10.749600998345</v>
      </c>
    </row>
    <row r="21" spans="1:11" ht="14.4" customHeight="1" thickBot="1" x14ac:dyDescent="0.35">
      <c r="A21" s="328" t="s">
        <v>218</v>
      </c>
      <c r="B21" s="306">
        <v>109.932819535452</v>
      </c>
      <c r="C21" s="306">
        <v>118.61415</v>
      </c>
      <c r="D21" s="307">
        <v>8.6813304645470009</v>
      </c>
      <c r="E21" s="308">
        <v>1.07896941515</v>
      </c>
      <c r="F21" s="306">
        <v>221.008190799711</v>
      </c>
      <c r="G21" s="307">
        <v>165.756143099783</v>
      </c>
      <c r="H21" s="309">
        <v>46.454700000000003</v>
      </c>
      <c r="I21" s="306">
        <v>172.68544</v>
      </c>
      <c r="J21" s="307">
        <v>6.9292969002170004</v>
      </c>
      <c r="K21" s="310">
        <v>0.78135312259300005</v>
      </c>
    </row>
    <row r="22" spans="1:11" ht="14.4" customHeight="1" thickBot="1" x14ac:dyDescent="0.35">
      <c r="A22" s="328" t="s">
        <v>219</v>
      </c>
      <c r="B22" s="306">
        <v>3</v>
      </c>
      <c r="C22" s="306">
        <v>2.4612500000000002</v>
      </c>
      <c r="D22" s="307">
        <v>-0.53874999999899997</v>
      </c>
      <c r="E22" s="308">
        <v>0.82041666666599999</v>
      </c>
      <c r="F22" s="306">
        <v>4.5615312182869996</v>
      </c>
      <c r="G22" s="307">
        <v>3.4211484137150001</v>
      </c>
      <c r="H22" s="309">
        <v>0</v>
      </c>
      <c r="I22" s="306">
        <v>2.4033600000000002</v>
      </c>
      <c r="J22" s="307">
        <v>-1.017788413715</v>
      </c>
      <c r="K22" s="310">
        <v>0.52687571014800005</v>
      </c>
    </row>
    <row r="23" spans="1:11" ht="14.4" customHeight="1" thickBot="1" x14ac:dyDescent="0.35">
      <c r="A23" s="328" t="s">
        <v>220</v>
      </c>
      <c r="B23" s="306">
        <v>0</v>
      </c>
      <c r="C23" s="306">
        <v>2.36</v>
      </c>
      <c r="D23" s="307">
        <v>2.36</v>
      </c>
      <c r="E23" s="316" t="s">
        <v>206</v>
      </c>
      <c r="F23" s="306">
        <v>0</v>
      </c>
      <c r="G23" s="307">
        <v>0</v>
      </c>
      <c r="H23" s="309">
        <v>0</v>
      </c>
      <c r="I23" s="306">
        <v>0</v>
      </c>
      <c r="J23" s="307">
        <v>0</v>
      </c>
      <c r="K23" s="318" t="s">
        <v>200</v>
      </c>
    </row>
    <row r="24" spans="1:11" ht="14.4" customHeight="1" thickBot="1" x14ac:dyDescent="0.35">
      <c r="A24" s="328" t="s">
        <v>221</v>
      </c>
      <c r="B24" s="306">
        <v>0</v>
      </c>
      <c r="C24" s="306">
        <v>2.4588000000000001</v>
      </c>
      <c r="D24" s="307">
        <v>2.4588000000000001</v>
      </c>
      <c r="E24" s="316" t="s">
        <v>206</v>
      </c>
      <c r="F24" s="306">
        <v>2.6867431917419999</v>
      </c>
      <c r="G24" s="307">
        <v>2.0150573938059999</v>
      </c>
      <c r="H24" s="309">
        <v>0</v>
      </c>
      <c r="I24" s="306">
        <v>2.4029099999999999</v>
      </c>
      <c r="J24" s="307">
        <v>0.38785260619299999</v>
      </c>
      <c r="K24" s="310">
        <v>0.89435790044399999</v>
      </c>
    </row>
    <row r="25" spans="1:11" ht="14.4" customHeight="1" thickBot="1" x14ac:dyDescent="0.35">
      <c r="A25" s="328" t="s">
        <v>222</v>
      </c>
      <c r="B25" s="306">
        <v>0</v>
      </c>
      <c r="C25" s="306">
        <v>0</v>
      </c>
      <c r="D25" s="307">
        <v>0</v>
      </c>
      <c r="E25" s="308">
        <v>1</v>
      </c>
      <c r="F25" s="306">
        <v>0</v>
      </c>
      <c r="G25" s="307">
        <v>0</v>
      </c>
      <c r="H25" s="309">
        <v>0</v>
      </c>
      <c r="I25" s="306">
        <v>0.51061999999999996</v>
      </c>
      <c r="J25" s="307">
        <v>0.51061999999999996</v>
      </c>
      <c r="K25" s="318" t="s">
        <v>206</v>
      </c>
    </row>
    <row r="26" spans="1:11" ht="14.4" customHeight="1" thickBot="1" x14ac:dyDescent="0.35">
      <c r="A26" s="327" t="s">
        <v>223</v>
      </c>
      <c r="B26" s="311">
        <v>0.14064514849199999</v>
      </c>
      <c r="C26" s="311">
        <v>9.4200000000000006E-2</v>
      </c>
      <c r="D26" s="312">
        <v>-4.6445148492000002E-2</v>
      </c>
      <c r="E26" s="317">
        <v>0.66977070314800002</v>
      </c>
      <c r="F26" s="311">
        <v>1.0001864980149999</v>
      </c>
      <c r="G26" s="312">
        <v>0.75013987351099998</v>
      </c>
      <c r="H26" s="314">
        <v>0</v>
      </c>
      <c r="I26" s="311">
        <v>7.1340000000000001E-2</v>
      </c>
      <c r="J26" s="312">
        <v>-0.67879987351100002</v>
      </c>
      <c r="K26" s="315">
        <v>7.1326697711999995E-2</v>
      </c>
    </row>
    <row r="27" spans="1:11" ht="14.4" customHeight="1" thickBot="1" x14ac:dyDescent="0.35">
      <c r="A27" s="328" t="s">
        <v>224</v>
      </c>
      <c r="B27" s="306">
        <v>0.14064514849199999</v>
      </c>
      <c r="C27" s="306">
        <v>9.4200000000000006E-2</v>
      </c>
      <c r="D27" s="307">
        <v>-4.6445148492000002E-2</v>
      </c>
      <c r="E27" s="308">
        <v>0.66977070314800002</v>
      </c>
      <c r="F27" s="306">
        <v>1.0001864980149999</v>
      </c>
      <c r="G27" s="307">
        <v>0.75013987351099998</v>
      </c>
      <c r="H27" s="309">
        <v>0</v>
      </c>
      <c r="I27" s="306">
        <v>7.1340000000000001E-2</v>
      </c>
      <c r="J27" s="307">
        <v>-0.67879987351100002</v>
      </c>
      <c r="K27" s="310">
        <v>7.1326697711999995E-2</v>
      </c>
    </row>
    <row r="28" spans="1:11" ht="14.4" customHeight="1" thickBot="1" x14ac:dyDescent="0.35">
      <c r="A28" s="327" t="s">
        <v>225</v>
      </c>
      <c r="B28" s="311">
        <v>0.37386247164600001</v>
      </c>
      <c r="C28" s="311">
        <v>3.1383899999999998</v>
      </c>
      <c r="D28" s="312">
        <v>2.7645275283530002</v>
      </c>
      <c r="E28" s="317">
        <v>8.3945039633890008</v>
      </c>
      <c r="F28" s="311">
        <v>2.9125820172550001</v>
      </c>
      <c r="G28" s="312">
        <v>2.1844365129410002</v>
      </c>
      <c r="H28" s="314">
        <v>0.42726999999999998</v>
      </c>
      <c r="I28" s="311">
        <v>0.42726999999999998</v>
      </c>
      <c r="J28" s="312">
        <v>-1.7571665129409999</v>
      </c>
      <c r="K28" s="315">
        <v>0.14669801484299999</v>
      </c>
    </row>
    <row r="29" spans="1:11" ht="14.4" customHeight="1" thickBot="1" x14ac:dyDescent="0.35">
      <c r="A29" s="328" t="s">
        <v>226</v>
      </c>
      <c r="B29" s="306">
        <v>0.37386247164600001</v>
      </c>
      <c r="C29" s="306">
        <v>3.1383899999999998</v>
      </c>
      <c r="D29" s="307">
        <v>2.7645275283530002</v>
      </c>
      <c r="E29" s="308">
        <v>8.3945039633890008</v>
      </c>
      <c r="F29" s="306">
        <v>2.9125820172550001</v>
      </c>
      <c r="G29" s="307">
        <v>2.1844365129410002</v>
      </c>
      <c r="H29" s="309">
        <v>0.42726999999999998</v>
      </c>
      <c r="I29" s="306">
        <v>0.42726999999999998</v>
      </c>
      <c r="J29" s="307">
        <v>-1.7571665129409999</v>
      </c>
      <c r="K29" s="310">
        <v>0.14669801484299999</v>
      </c>
    </row>
    <row r="30" spans="1:11" ht="14.4" customHeight="1" thickBot="1" x14ac:dyDescent="0.35">
      <c r="A30" s="326" t="s">
        <v>22</v>
      </c>
      <c r="B30" s="306">
        <v>74.355356792066999</v>
      </c>
      <c r="C30" s="306">
        <v>66.833659999999995</v>
      </c>
      <c r="D30" s="307">
        <v>-7.5216967920669999</v>
      </c>
      <c r="E30" s="308">
        <v>0.89884122521099996</v>
      </c>
      <c r="F30" s="306">
        <v>111.19815684896101</v>
      </c>
      <c r="G30" s="307">
        <v>83.398617636720004</v>
      </c>
      <c r="H30" s="309">
        <v>5.8079999999999998</v>
      </c>
      <c r="I30" s="306">
        <v>66.366280000000003</v>
      </c>
      <c r="J30" s="307">
        <v>-17.032337636720001</v>
      </c>
      <c r="K30" s="310">
        <v>0.59682895724700002</v>
      </c>
    </row>
    <row r="31" spans="1:11" ht="14.4" customHeight="1" thickBot="1" x14ac:dyDescent="0.35">
      <c r="A31" s="327" t="s">
        <v>227</v>
      </c>
      <c r="B31" s="311">
        <v>74.355356792066999</v>
      </c>
      <c r="C31" s="311">
        <v>66.833659999999995</v>
      </c>
      <c r="D31" s="312">
        <v>-7.5216967920669999</v>
      </c>
      <c r="E31" s="317">
        <v>0.89884122521099996</v>
      </c>
      <c r="F31" s="311">
        <v>111.19815684896101</v>
      </c>
      <c r="G31" s="312">
        <v>83.398617636720004</v>
      </c>
      <c r="H31" s="314">
        <v>5.8079999999999998</v>
      </c>
      <c r="I31" s="311">
        <v>66.366280000000003</v>
      </c>
      <c r="J31" s="312">
        <v>-17.032337636720001</v>
      </c>
      <c r="K31" s="315">
        <v>0.59682895724700002</v>
      </c>
    </row>
    <row r="32" spans="1:11" ht="14.4" customHeight="1" thickBot="1" x14ac:dyDescent="0.35">
      <c r="A32" s="328" t="s">
        <v>228</v>
      </c>
      <c r="B32" s="306">
        <v>32.685910414113003</v>
      </c>
      <c r="C32" s="306">
        <v>33.655999999999999</v>
      </c>
      <c r="D32" s="307">
        <v>0.97008958588600003</v>
      </c>
      <c r="E32" s="308">
        <v>1.029679136165</v>
      </c>
      <c r="F32" s="306">
        <v>49.202501880671001</v>
      </c>
      <c r="G32" s="307">
        <v>36.901876410503</v>
      </c>
      <c r="H32" s="309">
        <v>3.375</v>
      </c>
      <c r="I32" s="306">
        <v>30.966999999999999</v>
      </c>
      <c r="J32" s="307">
        <v>-5.9348764105029996</v>
      </c>
      <c r="K32" s="310">
        <v>0.62937856442899998</v>
      </c>
    </row>
    <row r="33" spans="1:11" ht="14.4" customHeight="1" thickBot="1" x14ac:dyDescent="0.35">
      <c r="A33" s="328" t="s">
        <v>229</v>
      </c>
      <c r="B33" s="306">
        <v>5.3335625597060003</v>
      </c>
      <c r="C33" s="306">
        <v>5.1020000000000003</v>
      </c>
      <c r="D33" s="307">
        <v>-0.23156255970600001</v>
      </c>
      <c r="E33" s="308">
        <v>0.95658388607699996</v>
      </c>
      <c r="F33" s="306">
        <v>8.0000541912450007</v>
      </c>
      <c r="G33" s="307">
        <v>6.0000406434329996</v>
      </c>
      <c r="H33" s="309">
        <v>0.629</v>
      </c>
      <c r="I33" s="306">
        <v>5.61</v>
      </c>
      <c r="J33" s="307">
        <v>-0.39004064343299999</v>
      </c>
      <c r="K33" s="310">
        <v>0.70124524983000003</v>
      </c>
    </row>
    <row r="34" spans="1:11" ht="14.4" customHeight="1" thickBot="1" x14ac:dyDescent="0.35">
      <c r="A34" s="328" t="s">
        <v>230</v>
      </c>
      <c r="B34" s="306">
        <v>33.335883818246998</v>
      </c>
      <c r="C34" s="306">
        <v>25.045000000000002</v>
      </c>
      <c r="D34" s="307">
        <v>-8.2908838182469999</v>
      </c>
      <c r="E34" s="308">
        <v>0.751292515193</v>
      </c>
      <c r="F34" s="306">
        <v>48.228002284279</v>
      </c>
      <c r="G34" s="307">
        <v>36.171001713209002</v>
      </c>
      <c r="H34" s="309">
        <v>1.804</v>
      </c>
      <c r="I34" s="306">
        <v>29.550999999999998</v>
      </c>
      <c r="J34" s="307">
        <v>-6.6200017132089997</v>
      </c>
      <c r="K34" s="310">
        <v>0.61273531144399995</v>
      </c>
    </row>
    <row r="35" spans="1:11" ht="14.4" customHeight="1" thickBot="1" x14ac:dyDescent="0.35">
      <c r="A35" s="328" t="s">
        <v>231</v>
      </c>
      <c r="B35" s="306">
        <v>3</v>
      </c>
      <c r="C35" s="306">
        <v>3.0306600000000001</v>
      </c>
      <c r="D35" s="307">
        <v>3.0659999999000001E-2</v>
      </c>
      <c r="E35" s="308">
        <v>1.0102199999999999</v>
      </c>
      <c r="F35" s="306">
        <v>5.7675984927639998</v>
      </c>
      <c r="G35" s="307">
        <v>4.3256988695730003</v>
      </c>
      <c r="H35" s="309">
        <v>0</v>
      </c>
      <c r="I35" s="306">
        <v>0.23827999999999999</v>
      </c>
      <c r="J35" s="307">
        <v>-4.0874188695729998</v>
      </c>
      <c r="K35" s="310">
        <v>4.1313555425000002E-2</v>
      </c>
    </row>
    <row r="36" spans="1:11" ht="14.4" customHeight="1" thickBot="1" x14ac:dyDescent="0.35">
      <c r="A36" s="329" t="s">
        <v>232</v>
      </c>
      <c r="B36" s="311">
        <v>71.350968668042995</v>
      </c>
      <c r="C36" s="311">
        <v>111.36939</v>
      </c>
      <c r="D36" s="312">
        <v>40.018421331957001</v>
      </c>
      <c r="E36" s="317">
        <v>1.5608672465</v>
      </c>
      <c r="F36" s="311">
        <v>221.738482454983</v>
      </c>
      <c r="G36" s="312">
        <v>166.30386184123699</v>
      </c>
      <c r="H36" s="314">
        <v>16.082740000000001</v>
      </c>
      <c r="I36" s="311">
        <v>133.68306000000001</v>
      </c>
      <c r="J36" s="312">
        <v>-32.620801841236997</v>
      </c>
      <c r="K36" s="315">
        <v>0.60288615002599999</v>
      </c>
    </row>
    <row r="37" spans="1:11" ht="14.4" customHeight="1" thickBot="1" x14ac:dyDescent="0.35">
      <c r="A37" s="326" t="s">
        <v>25</v>
      </c>
      <c r="B37" s="306">
        <v>4.5499075733680003</v>
      </c>
      <c r="C37" s="306">
        <v>10.73442</v>
      </c>
      <c r="D37" s="307">
        <v>6.1845124266309996</v>
      </c>
      <c r="E37" s="308">
        <v>2.35926111177</v>
      </c>
      <c r="F37" s="306">
        <v>6.3074241458079996</v>
      </c>
      <c r="G37" s="307">
        <v>4.7305681093559997</v>
      </c>
      <c r="H37" s="309">
        <v>0</v>
      </c>
      <c r="I37" s="306">
        <v>26.217020000000002</v>
      </c>
      <c r="J37" s="307">
        <v>21.486451890643</v>
      </c>
      <c r="K37" s="310">
        <v>4.1565335379289996</v>
      </c>
    </row>
    <row r="38" spans="1:11" ht="14.4" customHeight="1" thickBot="1" x14ac:dyDescent="0.35">
      <c r="A38" s="327" t="s">
        <v>233</v>
      </c>
      <c r="B38" s="311">
        <v>0</v>
      </c>
      <c r="C38" s="311">
        <v>8.6115700000000004</v>
      </c>
      <c r="D38" s="312">
        <v>8.6115700000000004</v>
      </c>
      <c r="E38" s="313" t="s">
        <v>206</v>
      </c>
      <c r="F38" s="311">
        <v>0</v>
      </c>
      <c r="G38" s="312">
        <v>0</v>
      </c>
      <c r="H38" s="314">
        <v>0</v>
      </c>
      <c r="I38" s="311">
        <v>0</v>
      </c>
      <c r="J38" s="312">
        <v>0</v>
      </c>
      <c r="K38" s="319" t="s">
        <v>200</v>
      </c>
    </row>
    <row r="39" spans="1:11" ht="14.4" customHeight="1" thickBot="1" x14ac:dyDescent="0.35">
      <c r="A39" s="328" t="s">
        <v>234</v>
      </c>
      <c r="B39" s="306">
        <v>0</v>
      </c>
      <c r="C39" s="306">
        <v>8.6115700000000004</v>
      </c>
      <c r="D39" s="307">
        <v>8.6115700000000004</v>
      </c>
      <c r="E39" s="316" t="s">
        <v>206</v>
      </c>
      <c r="F39" s="306">
        <v>0</v>
      </c>
      <c r="G39" s="307">
        <v>0</v>
      </c>
      <c r="H39" s="309">
        <v>0</v>
      </c>
      <c r="I39" s="306">
        <v>0</v>
      </c>
      <c r="J39" s="307">
        <v>0</v>
      </c>
      <c r="K39" s="318" t="s">
        <v>200</v>
      </c>
    </row>
    <row r="40" spans="1:11" ht="14.4" customHeight="1" thickBot="1" x14ac:dyDescent="0.35">
      <c r="A40" s="330" t="s">
        <v>235</v>
      </c>
      <c r="B40" s="306">
        <v>4.5499075733680003</v>
      </c>
      <c r="C40" s="306">
        <v>2.1228500000000001</v>
      </c>
      <c r="D40" s="307">
        <v>-2.4270575733680002</v>
      </c>
      <c r="E40" s="308">
        <v>0.46656991724899999</v>
      </c>
      <c r="F40" s="306">
        <v>6.3074241458079996</v>
      </c>
      <c r="G40" s="307">
        <v>4.7305681093559997</v>
      </c>
      <c r="H40" s="309">
        <v>0</v>
      </c>
      <c r="I40" s="306">
        <v>26.217020000000002</v>
      </c>
      <c r="J40" s="307">
        <v>21.486451890643</v>
      </c>
      <c r="K40" s="310">
        <v>4.1565335379289996</v>
      </c>
    </row>
    <row r="41" spans="1:11" ht="14.4" customHeight="1" thickBot="1" x14ac:dyDescent="0.35">
      <c r="A41" s="328" t="s">
        <v>236</v>
      </c>
      <c r="B41" s="306">
        <v>0</v>
      </c>
      <c r="C41" s="306">
        <v>0.92564999999999997</v>
      </c>
      <c r="D41" s="307">
        <v>0.92564999999999997</v>
      </c>
      <c r="E41" s="316" t="s">
        <v>206</v>
      </c>
      <c r="F41" s="306">
        <v>4.9999915584819998</v>
      </c>
      <c r="G41" s="307">
        <v>3.7499936688619999</v>
      </c>
      <c r="H41" s="309">
        <v>0</v>
      </c>
      <c r="I41" s="306">
        <v>11.50511</v>
      </c>
      <c r="J41" s="307">
        <v>7.7551163311369997</v>
      </c>
      <c r="K41" s="310">
        <v>2.3010258848289999</v>
      </c>
    </row>
    <row r="42" spans="1:11" ht="14.4" customHeight="1" thickBot="1" x14ac:dyDescent="0.35">
      <c r="A42" s="328" t="s">
        <v>237</v>
      </c>
      <c r="B42" s="306">
        <v>4</v>
      </c>
      <c r="C42" s="306">
        <v>1.1972</v>
      </c>
      <c r="D42" s="307">
        <v>-2.8028</v>
      </c>
      <c r="E42" s="308">
        <v>0.29930000000000001</v>
      </c>
      <c r="F42" s="306">
        <v>1.3074325873249999</v>
      </c>
      <c r="G42" s="307">
        <v>0.980574440494</v>
      </c>
      <c r="H42" s="309">
        <v>0</v>
      </c>
      <c r="I42" s="306">
        <v>14.71191</v>
      </c>
      <c r="J42" s="307">
        <v>13.731335559505</v>
      </c>
      <c r="K42" s="310">
        <v>11.252518976974001</v>
      </c>
    </row>
    <row r="43" spans="1:11" ht="14.4" customHeight="1" thickBot="1" x14ac:dyDescent="0.35">
      <c r="A43" s="331" t="s">
        <v>26</v>
      </c>
      <c r="B43" s="311">
        <v>0</v>
      </c>
      <c r="C43" s="311">
        <v>7.4619999999999997</v>
      </c>
      <c r="D43" s="312">
        <v>7.4619999999999997</v>
      </c>
      <c r="E43" s="313" t="s">
        <v>206</v>
      </c>
      <c r="F43" s="311">
        <v>0</v>
      </c>
      <c r="G43" s="312">
        <v>0</v>
      </c>
      <c r="H43" s="314">
        <v>2.4449999999999998</v>
      </c>
      <c r="I43" s="311">
        <v>6.3929999999999998</v>
      </c>
      <c r="J43" s="312">
        <v>6.3929999999999998</v>
      </c>
      <c r="K43" s="319" t="s">
        <v>200</v>
      </c>
    </row>
    <row r="44" spans="1:11" ht="14.4" customHeight="1" thickBot="1" x14ac:dyDescent="0.35">
      <c r="A44" s="327" t="s">
        <v>238</v>
      </c>
      <c r="B44" s="311">
        <v>0</v>
      </c>
      <c r="C44" s="311">
        <v>7.4619999999999997</v>
      </c>
      <c r="D44" s="312">
        <v>7.4619999999999997</v>
      </c>
      <c r="E44" s="313" t="s">
        <v>206</v>
      </c>
      <c r="F44" s="311">
        <v>0</v>
      </c>
      <c r="G44" s="312">
        <v>0</v>
      </c>
      <c r="H44" s="314">
        <v>2.4449999999999998</v>
      </c>
      <c r="I44" s="311">
        <v>6.3929999999999998</v>
      </c>
      <c r="J44" s="312">
        <v>6.3929999999999998</v>
      </c>
      <c r="K44" s="319" t="s">
        <v>200</v>
      </c>
    </row>
    <row r="45" spans="1:11" ht="14.4" customHeight="1" thickBot="1" x14ac:dyDescent="0.35">
      <c r="A45" s="328" t="s">
        <v>239</v>
      </c>
      <c r="B45" s="306">
        <v>0</v>
      </c>
      <c r="C45" s="306">
        <v>6.3620000000000001</v>
      </c>
      <c r="D45" s="307">
        <v>6.3620000000000001</v>
      </c>
      <c r="E45" s="316" t="s">
        <v>206</v>
      </c>
      <c r="F45" s="306">
        <v>0</v>
      </c>
      <c r="G45" s="307">
        <v>0</v>
      </c>
      <c r="H45" s="309">
        <v>2.4449999999999998</v>
      </c>
      <c r="I45" s="306">
        <v>6.3929999999999998</v>
      </c>
      <c r="J45" s="307">
        <v>6.3929999999999998</v>
      </c>
      <c r="K45" s="318" t="s">
        <v>200</v>
      </c>
    </row>
    <row r="46" spans="1:11" ht="14.4" customHeight="1" thickBot="1" x14ac:dyDescent="0.35">
      <c r="A46" s="328" t="s">
        <v>240</v>
      </c>
      <c r="B46" s="306">
        <v>0</v>
      </c>
      <c r="C46" s="306">
        <v>1.1000000000000001</v>
      </c>
      <c r="D46" s="307">
        <v>1.1000000000000001</v>
      </c>
      <c r="E46" s="316" t="s">
        <v>206</v>
      </c>
      <c r="F46" s="306">
        <v>0</v>
      </c>
      <c r="G46" s="307">
        <v>0</v>
      </c>
      <c r="H46" s="309">
        <v>0</v>
      </c>
      <c r="I46" s="306">
        <v>0</v>
      </c>
      <c r="J46" s="307">
        <v>0</v>
      </c>
      <c r="K46" s="318" t="s">
        <v>200</v>
      </c>
    </row>
    <row r="47" spans="1:11" ht="14.4" customHeight="1" thickBot="1" x14ac:dyDescent="0.35">
      <c r="A47" s="326" t="s">
        <v>27</v>
      </c>
      <c r="B47" s="306">
        <v>66.801061094673997</v>
      </c>
      <c r="C47" s="306">
        <v>93.172970000000007</v>
      </c>
      <c r="D47" s="307">
        <v>26.371908905325</v>
      </c>
      <c r="E47" s="308">
        <v>1.394782784482</v>
      </c>
      <c r="F47" s="306">
        <v>215.43105830917401</v>
      </c>
      <c r="G47" s="307">
        <v>161.57329373188099</v>
      </c>
      <c r="H47" s="309">
        <v>13.637740000000001</v>
      </c>
      <c r="I47" s="306">
        <v>101.07304000000001</v>
      </c>
      <c r="J47" s="307">
        <v>-60.500253731880001</v>
      </c>
      <c r="K47" s="310">
        <v>0.46916652033900003</v>
      </c>
    </row>
    <row r="48" spans="1:11" ht="14.4" customHeight="1" thickBot="1" x14ac:dyDescent="0.35">
      <c r="A48" s="327" t="s">
        <v>241</v>
      </c>
      <c r="B48" s="311">
        <v>0.64337135728899997</v>
      </c>
      <c r="C48" s="311">
        <v>0.65339999999999998</v>
      </c>
      <c r="D48" s="312">
        <v>1.0028642710000001E-2</v>
      </c>
      <c r="E48" s="317">
        <v>1.015587642496</v>
      </c>
      <c r="F48" s="311">
        <v>0.26116318637800001</v>
      </c>
      <c r="G48" s="312">
        <v>0.19587238978300001</v>
      </c>
      <c r="H48" s="314">
        <v>0</v>
      </c>
      <c r="I48" s="311">
        <v>0</v>
      </c>
      <c r="J48" s="312">
        <v>-0.19587238978300001</v>
      </c>
      <c r="K48" s="315">
        <v>0</v>
      </c>
    </row>
    <row r="49" spans="1:11" ht="14.4" customHeight="1" thickBot="1" x14ac:dyDescent="0.35">
      <c r="A49" s="328" t="s">
        <v>242</v>
      </c>
      <c r="B49" s="306">
        <v>0.64337135728899997</v>
      </c>
      <c r="C49" s="306">
        <v>0.65339999999999998</v>
      </c>
      <c r="D49" s="307">
        <v>1.0028642710000001E-2</v>
      </c>
      <c r="E49" s="308">
        <v>1.015587642496</v>
      </c>
      <c r="F49" s="306">
        <v>0.26116318637800001</v>
      </c>
      <c r="G49" s="307">
        <v>0.19587238978300001</v>
      </c>
      <c r="H49" s="309">
        <v>0</v>
      </c>
      <c r="I49" s="306">
        <v>0</v>
      </c>
      <c r="J49" s="307">
        <v>-0.19587238978300001</v>
      </c>
      <c r="K49" s="310">
        <v>0</v>
      </c>
    </row>
    <row r="50" spans="1:11" ht="14.4" customHeight="1" thickBot="1" x14ac:dyDescent="0.35">
      <c r="A50" s="327" t="s">
        <v>243</v>
      </c>
      <c r="B50" s="311">
        <v>6.9680507599750001</v>
      </c>
      <c r="C50" s="311">
        <v>5.8797300000000003</v>
      </c>
      <c r="D50" s="312">
        <v>-1.088320759975</v>
      </c>
      <c r="E50" s="317">
        <v>0.84381273939199997</v>
      </c>
      <c r="F50" s="311">
        <v>8.14591297634</v>
      </c>
      <c r="G50" s="312">
        <v>6.109434732255</v>
      </c>
      <c r="H50" s="314">
        <v>0.61223000000000005</v>
      </c>
      <c r="I50" s="311">
        <v>5.5458699999999999</v>
      </c>
      <c r="J50" s="312">
        <v>-0.56356473225500003</v>
      </c>
      <c r="K50" s="315">
        <v>0.68081625915999999</v>
      </c>
    </row>
    <row r="51" spans="1:11" ht="14.4" customHeight="1" thickBot="1" x14ac:dyDescent="0.35">
      <c r="A51" s="328" t="s">
        <v>244</v>
      </c>
      <c r="B51" s="306">
        <v>6.3623293228999997E-2</v>
      </c>
      <c r="C51" s="306">
        <v>6.8400000000000002E-2</v>
      </c>
      <c r="D51" s="307">
        <v>4.7767067699999999E-3</v>
      </c>
      <c r="E51" s="308">
        <v>1.0750779553780001</v>
      </c>
      <c r="F51" s="306">
        <v>6.9972257977000005E-2</v>
      </c>
      <c r="G51" s="307">
        <v>5.2479193483000001E-2</v>
      </c>
      <c r="H51" s="309">
        <v>0</v>
      </c>
      <c r="I51" s="306">
        <v>4.3700000000000003E-2</v>
      </c>
      <c r="J51" s="307">
        <v>-8.7791934830000005E-3</v>
      </c>
      <c r="K51" s="310">
        <v>0.62453322592500005</v>
      </c>
    </row>
    <row r="52" spans="1:11" ht="14.4" customHeight="1" thickBot="1" x14ac:dyDescent="0.35">
      <c r="A52" s="328" t="s">
        <v>245</v>
      </c>
      <c r="B52" s="306">
        <v>6.9044274667460002</v>
      </c>
      <c r="C52" s="306">
        <v>5.8113299999999999</v>
      </c>
      <c r="D52" s="307">
        <v>-1.0930974667460001</v>
      </c>
      <c r="E52" s="308">
        <v>0.84168166411900003</v>
      </c>
      <c r="F52" s="306">
        <v>8.0759407183620002</v>
      </c>
      <c r="G52" s="307">
        <v>6.0569555387719998</v>
      </c>
      <c r="H52" s="309">
        <v>0.61223000000000005</v>
      </c>
      <c r="I52" s="306">
        <v>5.5021699999999996</v>
      </c>
      <c r="J52" s="307">
        <v>-0.55478553877199999</v>
      </c>
      <c r="K52" s="310">
        <v>0.68130391144199998</v>
      </c>
    </row>
    <row r="53" spans="1:11" ht="14.4" customHeight="1" thickBot="1" x14ac:dyDescent="0.35">
      <c r="A53" s="327" t="s">
        <v>246</v>
      </c>
      <c r="B53" s="311">
        <v>0.99974045147699997</v>
      </c>
      <c r="C53" s="311">
        <v>0.27</v>
      </c>
      <c r="D53" s="312">
        <v>-0.72974045147699995</v>
      </c>
      <c r="E53" s="317">
        <v>0.27007009629399997</v>
      </c>
      <c r="F53" s="311">
        <v>1.2798062825150001</v>
      </c>
      <c r="G53" s="312">
        <v>0.95985471188600002</v>
      </c>
      <c r="H53" s="314">
        <v>0</v>
      </c>
      <c r="I53" s="311">
        <v>0.40500000000000003</v>
      </c>
      <c r="J53" s="312">
        <v>-0.554854711886</v>
      </c>
      <c r="K53" s="315">
        <v>0.31645414273400002</v>
      </c>
    </row>
    <row r="54" spans="1:11" ht="14.4" customHeight="1" thickBot="1" x14ac:dyDescent="0.35">
      <c r="A54" s="328" t="s">
        <v>247</v>
      </c>
      <c r="B54" s="306">
        <v>0.99974045147699997</v>
      </c>
      <c r="C54" s="306">
        <v>0.27</v>
      </c>
      <c r="D54" s="307">
        <v>-0.72974045147699995</v>
      </c>
      <c r="E54" s="308">
        <v>0.27007009629399997</v>
      </c>
      <c r="F54" s="306">
        <v>1.2798062825150001</v>
      </c>
      <c r="G54" s="307">
        <v>0.95985471188600002</v>
      </c>
      <c r="H54" s="309">
        <v>0</v>
      </c>
      <c r="I54" s="306">
        <v>0.40500000000000003</v>
      </c>
      <c r="J54" s="307">
        <v>-0.554854711886</v>
      </c>
      <c r="K54" s="310">
        <v>0.31645414273400002</v>
      </c>
    </row>
    <row r="55" spans="1:11" ht="14.4" customHeight="1" thickBot="1" x14ac:dyDescent="0.35">
      <c r="A55" s="327" t="s">
        <v>248</v>
      </c>
      <c r="B55" s="311">
        <v>20.584533011051001</v>
      </c>
      <c r="C55" s="311">
        <v>21.32893</v>
      </c>
      <c r="D55" s="312">
        <v>0.74439698894799999</v>
      </c>
      <c r="E55" s="317">
        <v>1.036162928182</v>
      </c>
      <c r="F55" s="311">
        <v>32.080634131947001</v>
      </c>
      <c r="G55" s="312">
        <v>24.06047559896</v>
      </c>
      <c r="H55" s="314">
        <v>2.61951</v>
      </c>
      <c r="I55" s="311">
        <v>23.262370000000001</v>
      </c>
      <c r="J55" s="312">
        <v>-0.79810559896</v>
      </c>
      <c r="K55" s="315">
        <v>0.725121888311</v>
      </c>
    </row>
    <row r="56" spans="1:11" ht="14.4" customHeight="1" thickBot="1" x14ac:dyDescent="0.35">
      <c r="A56" s="328" t="s">
        <v>249</v>
      </c>
      <c r="B56" s="306">
        <v>12.000012185037001</v>
      </c>
      <c r="C56" s="306">
        <v>12.5444</v>
      </c>
      <c r="D56" s="307">
        <v>0.54438781496199995</v>
      </c>
      <c r="E56" s="308">
        <v>1.0453656051810001</v>
      </c>
      <c r="F56" s="306">
        <v>18.758167965218</v>
      </c>
      <c r="G56" s="307">
        <v>14.068625973913999</v>
      </c>
      <c r="H56" s="309">
        <v>1.4912099999999999</v>
      </c>
      <c r="I56" s="306">
        <v>13.470129999999999</v>
      </c>
      <c r="J56" s="307">
        <v>-0.598495973914</v>
      </c>
      <c r="K56" s="310">
        <v>0.71809411371999998</v>
      </c>
    </row>
    <row r="57" spans="1:11" ht="14.4" customHeight="1" thickBot="1" x14ac:dyDescent="0.35">
      <c r="A57" s="328" t="s">
        <v>250</v>
      </c>
      <c r="B57" s="306">
        <v>8.5845208260129997</v>
      </c>
      <c r="C57" s="306">
        <v>8.7845300000000002</v>
      </c>
      <c r="D57" s="307">
        <v>0.20000917398599999</v>
      </c>
      <c r="E57" s="308">
        <v>1.023298816327</v>
      </c>
      <c r="F57" s="306">
        <v>13.322466166728001</v>
      </c>
      <c r="G57" s="307">
        <v>9.9918496250459992</v>
      </c>
      <c r="H57" s="309">
        <v>1.1283000000000001</v>
      </c>
      <c r="I57" s="306">
        <v>9.7922399999999996</v>
      </c>
      <c r="J57" s="307">
        <v>-0.19960962504599999</v>
      </c>
      <c r="K57" s="310">
        <v>0.73501706646800002</v>
      </c>
    </row>
    <row r="58" spans="1:11" ht="14.4" customHeight="1" thickBot="1" x14ac:dyDescent="0.35">
      <c r="A58" s="327" t="s">
        <v>251</v>
      </c>
      <c r="B58" s="311">
        <v>37.605365514879999</v>
      </c>
      <c r="C58" s="311">
        <v>9.0779099999999993</v>
      </c>
      <c r="D58" s="312">
        <v>-28.52745551488</v>
      </c>
      <c r="E58" s="317">
        <v>0.24139932894400001</v>
      </c>
      <c r="F58" s="311">
        <v>13.663541731996</v>
      </c>
      <c r="G58" s="312">
        <v>10.247656298997001</v>
      </c>
      <c r="H58" s="314">
        <v>10.406000000000001</v>
      </c>
      <c r="I58" s="311">
        <v>56.579300000000003</v>
      </c>
      <c r="J58" s="312">
        <v>46.331643701003003</v>
      </c>
      <c r="K58" s="315">
        <v>4.1408956118239999</v>
      </c>
    </row>
    <row r="59" spans="1:11" ht="14.4" customHeight="1" thickBot="1" x14ac:dyDescent="0.35">
      <c r="A59" s="328" t="s">
        <v>252</v>
      </c>
      <c r="B59" s="306">
        <v>0</v>
      </c>
      <c r="C59" s="306">
        <v>1.9569099999999999</v>
      </c>
      <c r="D59" s="307">
        <v>1.9569099999999999</v>
      </c>
      <c r="E59" s="316" t="s">
        <v>206</v>
      </c>
      <c r="F59" s="306">
        <v>2.0084091064840002</v>
      </c>
      <c r="G59" s="307">
        <v>1.506306829863</v>
      </c>
      <c r="H59" s="309">
        <v>0</v>
      </c>
      <c r="I59" s="306">
        <v>0</v>
      </c>
      <c r="J59" s="307">
        <v>-1.506306829863</v>
      </c>
      <c r="K59" s="310">
        <v>0</v>
      </c>
    </row>
    <row r="60" spans="1:11" ht="14.4" customHeight="1" thickBot="1" x14ac:dyDescent="0.35">
      <c r="A60" s="328" t="s">
        <v>253</v>
      </c>
      <c r="B60" s="306">
        <v>22.329955392403999</v>
      </c>
      <c r="C60" s="306">
        <v>6.1230000000000002</v>
      </c>
      <c r="D60" s="307">
        <v>-16.206955392404002</v>
      </c>
      <c r="E60" s="308">
        <v>0.27420565300700001</v>
      </c>
      <c r="F60" s="306">
        <v>6.0535869533830002</v>
      </c>
      <c r="G60" s="307">
        <v>4.5401902150369997</v>
      </c>
      <c r="H60" s="309">
        <v>0</v>
      </c>
      <c r="I60" s="306">
        <v>27.331160000000001</v>
      </c>
      <c r="J60" s="307">
        <v>22.790969784962002</v>
      </c>
      <c r="K60" s="310">
        <v>4.5148703092010001</v>
      </c>
    </row>
    <row r="61" spans="1:11" ht="14.4" customHeight="1" thickBot="1" x14ac:dyDescent="0.35">
      <c r="A61" s="328" t="s">
        <v>254</v>
      </c>
      <c r="B61" s="306">
        <v>0</v>
      </c>
      <c r="C61" s="306">
        <v>0.998</v>
      </c>
      <c r="D61" s="307">
        <v>0.998</v>
      </c>
      <c r="E61" s="316" t="s">
        <v>206</v>
      </c>
      <c r="F61" s="306">
        <v>0</v>
      </c>
      <c r="G61" s="307">
        <v>0</v>
      </c>
      <c r="H61" s="309">
        <v>0</v>
      </c>
      <c r="I61" s="306">
        <v>0</v>
      </c>
      <c r="J61" s="307">
        <v>0</v>
      </c>
      <c r="K61" s="318" t="s">
        <v>200</v>
      </c>
    </row>
    <row r="62" spans="1:11" ht="14.4" customHeight="1" thickBot="1" x14ac:dyDescent="0.35">
      <c r="A62" s="328" t="s">
        <v>255</v>
      </c>
      <c r="B62" s="306">
        <v>15.275410122475</v>
      </c>
      <c r="C62" s="306">
        <v>0</v>
      </c>
      <c r="D62" s="307">
        <v>-15.275410122475</v>
      </c>
      <c r="E62" s="308">
        <v>0</v>
      </c>
      <c r="F62" s="306">
        <v>5.6015456721270001</v>
      </c>
      <c r="G62" s="307">
        <v>4.2011592540949998</v>
      </c>
      <c r="H62" s="309">
        <v>10.406000000000001</v>
      </c>
      <c r="I62" s="306">
        <v>29.248139999999999</v>
      </c>
      <c r="J62" s="307">
        <v>25.046980745904001</v>
      </c>
      <c r="K62" s="310">
        <v>5.2214409579009997</v>
      </c>
    </row>
    <row r="63" spans="1:11" ht="14.4" customHeight="1" thickBot="1" x14ac:dyDescent="0.35">
      <c r="A63" s="327" t="s">
        <v>256</v>
      </c>
      <c r="B63" s="311">
        <v>0</v>
      </c>
      <c r="C63" s="311">
        <v>55.963000000000001</v>
      </c>
      <c r="D63" s="312">
        <v>55.963000000000001</v>
      </c>
      <c r="E63" s="313" t="s">
        <v>206</v>
      </c>
      <c r="F63" s="311">
        <v>159.99999999999699</v>
      </c>
      <c r="G63" s="312">
        <v>119.999999999998</v>
      </c>
      <c r="H63" s="314">
        <v>0</v>
      </c>
      <c r="I63" s="311">
        <v>15.2805</v>
      </c>
      <c r="J63" s="312">
        <v>-104.71949999999801</v>
      </c>
      <c r="K63" s="315">
        <v>9.5503124999999994E-2</v>
      </c>
    </row>
    <row r="64" spans="1:11" ht="14.4" customHeight="1" thickBot="1" x14ac:dyDescent="0.35">
      <c r="A64" s="328" t="s">
        <v>257</v>
      </c>
      <c r="B64" s="306">
        <v>0</v>
      </c>
      <c r="C64" s="306">
        <v>27.39</v>
      </c>
      <c r="D64" s="307">
        <v>27.39</v>
      </c>
      <c r="E64" s="316" t="s">
        <v>206</v>
      </c>
      <c r="F64" s="306">
        <v>9.9999999999989999</v>
      </c>
      <c r="G64" s="307">
        <v>7.4999999999989999</v>
      </c>
      <c r="H64" s="309">
        <v>0</v>
      </c>
      <c r="I64" s="306">
        <v>15.2805</v>
      </c>
      <c r="J64" s="307">
        <v>7.7805</v>
      </c>
      <c r="K64" s="310">
        <v>1.5280499999999999</v>
      </c>
    </row>
    <row r="65" spans="1:11" ht="14.4" customHeight="1" thickBot="1" x14ac:dyDescent="0.35">
      <c r="A65" s="328" t="s">
        <v>258</v>
      </c>
      <c r="B65" s="306">
        <v>0</v>
      </c>
      <c r="C65" s="306">
        <v>28.573</v>
      </c>
      <c r="D65" s="307">
        <v>28.573</v>
      </c>
      <c r="E65" s="316" t="s">
        <v>206</v>
      </c>
      <c r="F65" s="306">
        <v>149.99999999999699</v>
      </c>
      <c r="G65" s="307">
        <v>112.499999999998</v>
      </c>
      <c r="H65" s="309">
        <v>0</v>
      </c>
      <c r="I65" s="306">
        <v>0</v>
      </c>
      <c r="J65" s="307">
        <v>-112.499999999998</v>
      </c>
      <c r="K65" s="310">
        <v>0</v>
      </c>
    </row>
    <row r="66" spans="1:11" ht="14.4" customHeight="1" thickBot="1" x14ac:dyDescent="0.35">
      <c r="A66" s="325" t="s">
        <v>28</v>
      </c>
      <c r="B66" s="306">
        <v>1551.0829662528099</v>
      </c>
      <c r="C66" s="306">
        <v>1609.90155</v>
      </c>
      <c r="D66" s="307">
        <v>58.818583747190999</v>
      </c>
      <c r="E66" s="308">
        <v>1.037920978456</v>
      </c>
      <c r="F66" s="306">
        <v>2301.01137969501</v>
      </c>
      <c r="G66" s="307">
        <v>1725.75853477126</v>
      </c>
      <c r="H66" s="309">
        <v>200.35015000000001</v>
      </c>
      <c r="I66" s="306">
        <v>1838.1068299999999</v>
      </c>
      <c r="J66" s="307">
        <v>112.348295228742</v>
      </c>
      <c r="K66" s="310">
        <v>0.79882561477900005</v>
      </c>
    </row>
    <row r="67" spans="1:11" ht="14.4" customHeight="1" thickBot="1" x14ac:dyDescent="0.35">
      <c r="A67" s="331" t="s">
        <v>259</v>
      </c>
      <c r="B67" s="311">
        <v>1148.6666666665999</v>
      </c>
      <c r="C67" s="311">
        <v>1192.5239999999999</v>
      </c>
      <c r="D67" s="312">
        <v>43.857333333397001</v>
      </c>
      <c r="E67" s="317">
        <v>1.0381810795119999</v>
      </c>
      <c r="F67" s="311">
        <v>1705.99999999997</v>
      </c>
      <c r="G67" s="312">
        <v>1279.49999999998</v>
      </c>
      <c r="H67" s="314">
        <v>148.44399999999999</v>
      </c>
      <c r="I67" s="311">
        <v>1361.8489999999999</v>
      </c>
      <c r="J67" s="312">
        <v>82.349000000022997</v>
      </c>
      <c r="K67" s="315">
        <v>0.79827022274299997</v>
      </c>
    </row>
    <row r="68" spans="1:11" ht="14.4" customHeight="1" thickBot="1" x14ac:dyDescent="0.35">
      <c r="A68" s="327" t="s">
        <v>260</v>
      </c>
      <c r="B68" s="311">
        <v>1148.6666666665999</v>
      </c>
      <c r="C68" s="311">
        <v>1192.5239999999999</v>
      </c>
      <c r="D68" s="312">
        <v>43.857333333397001</v>
      </c>
      <c r="E68" s="317">
        <v>1.0381810795119999</v>
      </c>
      <c r="F68" s="311">
        <v>1699.99999999997</v>
      </c>
      <c r="G68" s="312">
        <v>1274.99999999998</v>
      </c>
      <c r="H68" s="314">
        <v>143.44399999999999</v>
      </c>
      <c r="I68" s="311">
        <v>1321.8489999999999</v>
      </c>
      <c r="J68" s="312">
        <v>46.849000000022997</v>
      </c>
      <c r="K68" s="315">
        <v>0.77755823529400003</v>
      </c>
    </row>
    <row r="69" spans="1:11" ht="14.4" customHeight="1" thickBot="1" x14ac:dyDescent="0.35">
      <c r="A69" s="328" t="s">
        <v>261</v>
      </c>
      <c r="B69" s="306">
        <v>1148.6666666665999</v>
      </c>
      <c r="C69" s="306">
        <v>1192.5239999999999</v>
      </c>
      <c r="D69" s="307">
        <v>43.857333333397001</v>
      </c>
      <c r="E69" s="308">
        <v>1.0381810795119999</v>
      </c>
      <c r="F69" s="306">
        <v>1699.99999999997</v>
      </c>
      <c r="G69" s="307">
        <v>1274.99999999998</v>
      </c>
      <c r="H69" s="309">
        <v>143.44399999999999</v>
      </c>
      <c r="I69" s="306">
        <v>1321.8489999999999</v>
      </c>
      <c r="J69" s="307">
        <v>46.849000000022997</v>
      </c>
      <c r="K69" s="310">
        <v>0.77755823529400003</v>
      </c>
    </row>
    <row r="70" spans="1:11" ht="14.4" customHeight="1" thickBot="1" x14ac:dyDescent="0.35">
      <c r="A70" s="327" t="s">
        <v>262</v>
      </c>
      <c r="B70" s="311">
        <v>0</v>
      </c>
      <c r="C70" s="311">
        <v>0</v>
      </c>
      <c r="D70" s="312">
        <v>0</v>
      </c>
      <c r="E70" s="317">
        <v>1</v>
      </c>
      <c r="F70" s="311">
        <v>0</v>
      </c>
      <c r="G70" s="312">
        <v>0</v>
      </c>
      <c r="H70" s="314">
        <v>5</v>
      </c>
      <c r="I70" s="311">
        <v>40</v>
      </c>
      <c r="J70" s="312">
        <v>40</v>
      </c>
      <c r="K70" s="319" t="s">
        <v>206</v>
      </c>
    </row>
    <row r="71" spans="1:11" ht="14.4" customHeight="1" thickBot="1" x14ac:dyDescent="0.35">
      <c r="A71" s="328" t="s">
        <v>263</v>
      </c>
      <c r="B71" s="306">
        <v>0</v>
      </c>
      <c r="C71" s="306">
        <v>0</v>
      </c>
      <c r="D71" s="307">
        <v>0</v>
      </c>
      <c r="E71" s="308">
        <v>1</v>
      </c>
      <c r="F71" s="306">
        <v>0</v>
      </c>
      <c r="G71" s="307">
        <v>0</v>
      </c>
      <c r="H71" s="309">
        <v>5</v>
      </c>
      <c r="I71" s="306">
        <v>40</v>
      </c>
      <c r="J71" s="307">
        <v>40</v>
      </c>
      <c r="K71" s="318" t="s">
        <v>206</v>
      </c>
    </row>
    <row r="72" spans="1:11" ht="14.4" customHeight="1" thickBot="1" x14ac:dyDescent="0.35">
      <c r="A72" s="327" t="s">
        <v>264</v>
      </c>
      <c r="B72" s="311">
        <v>0</v>
      </c>
      <c r="C72" s="311">
        <v>0</v>
      </c>
      <c r="D72" s="312">
        <v>0</v>
      </c>
      <c r="E72" s="317">
        <v>1</v>
      </c>
      <c r="F72" s="311">
        <v>5.9999999999989999</v>
      </c>
      <c r="G72" s="312">
        <v>4.4999999999989999</v>
      </c>
      <c r="H72" s="314">
        <v>0</v>
      </c>
      <c r="I72" s="311">
        <v>0</v>
      </c>
      <c r="J72" s="312">
        <v>-4.4999999999989999</v>
      </c>
      <c r="K72" s="315">
        <v>0</v>
      </c>
    </row>
    <row r="73" spans="1:11" ht="14.4" customHeight="1" thickBot="1" x14ac:dyDescent="0.35">
      <c r="A73" s="328" t="s">
        <v>265</v>
      </c>
      <c r="B73" s="306">
        <v>0</v>
      </c>
      <c r="C73" s="306">
        <v>0</v>
      </c>
      <c r="D73" s="307">
        <v>0</v>
      </c>
      <c r="E73" s="308">
        <v>1</v>
      </c>
      <c r="F73" s="306">
        <v>5.9999999999989999</v>
      </c>
      <c r="G73" s="307">
        <v>4.4999999999989999</v>
      </c>
      <c r="H73" s="309">
        <v>0</v>
      </c>
      <c r="I73" s="306">
        <v>0</v>
      </c>
      <c r="J73" s="307">
        <v>-4.4999999999989999</v>
      </c>
      <c r="K73" s="310">
        <v>0</v>
      </c>
    </row>
    <row r="74" spans="1:11" ht="14.4" customHeight="1" thickBot="1" x14ac:dyDescent="0.35">
      <c r="A74" s="326" t="s">
        <v>266</v>
      </c>
      <c r="B74" s="306">
        <v>391.08296625287397</v>
      </c>
      <c r="C74" s="306">
        <v>405.45269000000002</v>
      </c>
      <c r="D74" s="307">
        <v>14.369723747126001</v>
      </c>
      <c r="E74" s="308">
        <v>1.0367434150470001</v>
      </c>
      <c r="F74" s="306">
        <v>578.01137969504305</v>
      </c>
      <c r="G74" s="307">
        <v>433.50853477128197</v>
      </c>
      <c r="H74" s="309">
        <v>50.471620000000001</v>
      </c>
      <c r="I74" s="306">
        <v>463.03071</v>
      </c>
      <c r="J74" s="307">
        <v>29.522175228718002</v>
      </c>
      <c r="K74" s="310">
        <v>0.80107542215500005</v>
      </c>
    </row>
    <row r="75" spans="1:11" ht="14.4" customHeight="1" thickBot="1" x14ac:dyDescent="0.35">
      <c r="A75" s="327" t="s">
        <v>267</v>
      </c>
      <c r="B75" s="311">
        <v>102.66666587645</v>
      </c>
      <c r="C75" s="311">
        <v>107.32165999999999</v>
      </c>
      <c r="D75" s="312">
        <v>4.6549941235499999</v>
      </c>
      <c r="E75" s="317">
        <v>1.0453408522009999</v>
      </c>
      <c r="F75" s="311">
        <v>153.011379695052</v>
      </c>
      <c r="G75" s="312">
        <v>114.75853477128901</v>
      </c>
      <c r="H75" s="314">
        <v>13.360620000000001</v>
      </c>
      <c r="I75" s="311">
        <v>122.56844</v>
      </c>
      <c r="J75" s="312">
        <v>7.809905228711</v>
      </c>
      <c r="K75" s="315">
        <v>0.801041335907</v>
      </c>
    </row>
    <row r="76" spans="1:11" ht="14.4" customHeight="1" thickBot="1" x14ac:dyDescent="0.35">
      <c r="A76" s="328" t="s">
        <v>268</v>
      </c>
      <c r="B76" s="306">
        <v>102.66666587645</v>
      </c>
      <c r="C76" s="306">
        <v>107.32165999999999</v>
      </c>
      <c r="D76" s="307">
        <v>4.6549941235499999</v>
      </c>
      <c r="E76" s="308">
        <v>1.0453408522009999</v>
      </c>
      <c r="F76" s="306">
        <v>153.011379695052</v>
      </c>
      <c r="G76" s="307">
        <v>114.75853477128901</v>
      </c>
      <c r="H76" s="309">
        <v>13.360620000000001</v>
      </c>
      <c r="I76" s="306">
        <v>122.56844</v>
      </c>
      <c r="J76" s="307">
        <v>7.809905228711</v>
      </c>
      <c r="K76" s="310">
        <v>0.801041335907</v>
      </c>
    </row>
    <row r="77" spans="1:11" ht="14.4" customHeight="1" thickBot="1" x14ac:dyDescent="0.35">
      <c r="A77" s="327" t="s">
        <v>269</v>
      </c>
      <c r="B77" s="311">
        <v>288.41630037642398</v>
      </c>
      <c r="C77" s="311">
        <v>298.13103000000001</v>
      </c>
      <c r="D77" s="312">
        <v>9.7147296235759999</v>
      </c>
      <c r="E77" s="317">
        <v>1.0336830117119999</v>
      </c>
      <c r="F77" s="311">
        <v>424.99999999999102</v>
      </c>
      <c r="G77" s="312">
        <v>318.74999999999397</v>
      </c>
      <c r="H77" s="314">
        <v>37.110999999999997</v>
      </c>
      <c r="I77" s="311">
        <v>340.46226999999999</v>
      </c>
      <c r="J77" s="312">
        <v>21.712270000006001</v>
      </c>
      <c r="K77" s="315">
        <v>0.80108769411699998</v>
      </c>
    </row>
    <row r="78" spans="1:11" ht="14.4" customHeight="1" thickBot="1" x14ac:dyDescent="0.35">
      <c r="A78" s="328" t="s">
        <v>270</v>
      </c>
      <c r="B78" s="306">
        <v>288.41630037642398</v>
      </c>
      <c r="C78" s="306">
        <v>298.13103000000001</v>
      </c>
      <c r="D78" s="307">
        <v>9.7147296235759999</v>
      </c>
      <c r="E78" s="308">
        <v>1.0336830117119999</v>
      </c>
      <c r="F78" s="306">
        <v>424.99999999999102</v>
      </c>
      <c r="G78" s="307">
        <v>318.74999999999397</v>
      </c>
      <c r="H78" s="309">
        <v>37.110999999999997</v>
      </c>
      <c r="I78" s="306">
        <v>340.46226999999999</v>
      </c>
      <c r="J78" s="307">
        <v>21.712270000006001</v>
      </c>
      <c r="K78" s="310">
        <v>0.80108769411699998</v>
      </c>
    </row>
    <row r="79" spans="1:11" ht="14.4" customHeight="1" thickBot="1" x14ac:dyDescent="0.35">
      <c r="A79" s="326" t="s">
        <v>271</v>
      </c>
      <c r="B79" s="306">
        <v>11.333333333332</v>
      </c>
      <c r="C79" s="306">
        <v>11.924860000000001</v>
      </c>
      <c r="D79" s="307">
        <v>0.59152666666700005</v>
      </c>
      <c r="E79" s="308">
        <v>1.0521935294110001</v>
      </c>
      <c r="F79" s="306">
        <v>16.999999999999002</v>
      </c>
      <c r="G79" s="307">
        <v>12.749999999999</v>
      </c>
      <c r="H79" s="309">
        <v>1.4345300000000001</v>
      </c>
      <c r="I79" s="306">
        <v>13.227119999999999</v>
      </c>
      <c r="J79" s="307">
        <v>0.47711999999999999</v>
      </c>
      <c r="K79" s="310">
        <v>0.77806588235200003</v>
      </c>
    </row>
    <row r="80" spans="1:11" ht="14.4" customHeight="1" thickBot="1" x14ac:dyDescent="0.35">
      <c r="A80" s="327" t="s">
        <v>272</v>
      </c>
      <c r="B80" s="311">
        <v>11.333333333332</v>
      </c>
      <c r="C80" s="311">
        <v>11.924860000000001</v>
      </c>
      <c r="D80" s="312">
        <v>0.59152666666700005</v>
      </c>
      <c r="E80" s="317">
        <v>1.0521935294110001</v>
      </c>
      <c r="F80" s="311">
        <v>16.999999999999002</v>
      </c>
      <c r="G80" s="312">
        <v>12.749999999999</v>
      </c>
      <c r="H80" s="314">
        <v>1.4345300000000001</v>
      </c>
      <c r="I80" s="311">
        <v>13.227119999999999</v>
      </c>
      <c r="J80" s="312">
        <v>0.47711999999999999</v>
      </c>
      <c r="K80" s="315">
        <v>0.77806588235200003</v>
      </c>
    </row>
    <row r="81" spans="1:11" ht="14.4" customHeight="1" thickBot="1" x14ac:dyDescent="0.35">
      <c r="A81" s="328" t="s">
        <v>273</v>
      </c>
      <c r="B81" s="306">
        <v>11.333333333332</v>
      </c>
      <c r="C81" s="306">
        <v>11.924860000000001</v>
      </c>
      <c r="D81" s="307">
        <v>0.59152666666700005</v>
      </c>
      <c r="E81" s="308">
        <v>1.0521935294110001</v>
      </c>
      <c r="F81" s="306">
        <v>16.999999999999002</v>
      </c>
      <c r="G81" s="307">
        <v>12.749999999999</v>
      </c>
      <c r="H81" s="309">
        <v>1.4345300000000001</v>
      </c>
      <c r="I81" s="306">
        <v>13.227119999999999</v>
      </c>
      <c r="J81" s="307">
        <v>0.47711999999999999</v>
      </c>
      <c r="K81" s="310">
        <v>0.77806588235200003</v>
      </c>
    </row>
    <row r="82" spans="1:11" ht="14.4" customHeight="1" thickBot="1" x14ac:dyDescent="0.35">
      <c r="A82" s="325" t="s">
        <v>274</v>
      </c>
      <c r="B82" s="306">
        <v>0</v>
      </c>
      <c r="C82" s="306">
        <v>2.7029999999999998</v>
      </c>
      <c r="D82" s="307">
        <v>2.7029999999999998</v>
      </c>
      <c r="E82" s="316" t="s">
        <v>206</v>
      </c>
      <c r="F82" s="306">
        <v>0</v>
      </c>
      <c r="G82" s="307">
        <v>0</v>
      </c>
      <c r="H82" s="309">
        <v>0</v>
      </c>
      <c r="I82" s="306">
        <v>0.17684</v>
      </c>
      <c r="J82" s="307">
        <v>0.17684</v>
      </c>
      <c r="K82" s="318" t="s">
        <v>200</v>
      </c>
    </row>
    <row r="83" spans="1:11" ht="14.4" customHeight="1" thickBot="1" x14ac:dyDescent="0.35">
      <c r="A83" s="326" t="s">
        <v>275</v>
      </c>
      <c r="B83" s="306">
        <v>0</v>
      </c>
      <c r="C83" s="306">
        <v>2.7029999999999998</v>
      </c>
      <c r="D83" s="307">
        <v>2.7029999999999998</v>
      </c>
      <c r="E83" s="316" t="s">
        <v>206</v>
      </c>
      <c r="F83" s="306">
        <v>0</v>
      </c>
      <c r="G83" s="307">
        <v>0</v>
      </c>
      <c r="H83" s="309">
        <v>0</v>
      </c>
      <c r="I83" s="306">
        <v>0.17684</v>
      </c>
      <c r="J83" s="307">
        <v>0.17684</v>
      </c>
      <c r="K83" s="318" t="s">
        <v>200</v>
      </c>
    </row>
    <row r="84" spans="1:11" ht="14.4" customHeight="1" thickBot="1" x14ac:dyDescent="0.35">
      <c r="A84" s="327" t="s">
        <v>276</v>
      </c>
      <c r="B84" s="311">
        <v>0</v>
      </c>
      <c r="C84" s="311">
        <v>1.7</v>
      </c>
      <c r="D84" s="312">
        <v>1.7</v>
      </c>
      <c r="E84" s="313" t="s">
        <v>206</v>
      </c>
      <c r="F84" s="311">
        <v>0</v>
      </c>
      <c r="G84" s="312">
        <v>0</v>
      </c>
      <c r="H84" s="314">
        <v>0</v>
      </c>
      <c r="I84" s="311">
        <v>0.1</v>
      </c>
      <c r="J84" s="312">
        <v>0.1</v>
      </c>
      <c r="K84" s="319" t="s">
        <v>200</v>
      </c>
    </row>
    <row r="85" spans="1:11" ht="14.4" customHeight="1" thickBot="1" x14ac:dyDescent="0.35">
      <c r="A85" s="328" t="s">
        <v>277</v>
      </c>
      <c r="B85" s="306">
        <v>0</v>
      </c>
      <c r="C85" s="306">
        <v>1.7</v>
      </c>
      <c r="D85" s="307">
        <v>1.7</v>
      </c>
      <c r="E85" s="316" t="s">
        <v>206</v>
      </c>
      <c r="F85" s="306">
        <v>0</v>
      </c>
      <c r="G85" s="307">
        <v>0</v>
      </c>
      <c r="H85" s="309">
        <v>0</v>
      </c>
      <c r="I85" s="306">
        <v>0</v>
      </c>
      <c r="J85" s="307">
        <v>0</v>
      </c>
      <c r="K85" s="318" t="s">
        <v>200</v>
      </c>
    </row>
    <row r="86" spans="1:11" ht="14.4" customHeight="1" thickBot="1" x14ac:dyDescent="0.35">
      <c r="A86" s="328" t="s">
        <v>278</v>
      </c>
      <c r="B86" s="306">
        <v>0</v>
      </c>
      <c r="C86" s="306">
        <v>0</v>
      </c>
      <c r="D86" s="307">
        <v>0</v>
      </c>
      <c r="E86" s="308">
        <v>1</v>
      </c>
      <c r="F86" s="306">
        <v>0</v>
      </c>
      <c r="G86" s="307">
        <v>0</v>
      </c>
      <c r="H86" s="309">
        <v>0</v>
      </c>
      <c r="I86" s="306">
        <v>0.1</v>
      </c>
      <c r="J86" s="307">
        <v>0.1</v>
      </c>
      <c r="K86" s="318" t="s">
        <v>206</v>
      </c>
    </row>
    <row r="87" spans="1:11" ht="14.4" customHeight="1" thickBot="1" x14ac:dyDescent="0.35">
      <c r="A87" s="327" t="s">
        <v>279</v>
      </c>
      <c r="B87" s="311">
        <v>0</v>
      </c>
      <c r="C87" s="311">
        <v>0</v>
      </c>
      <c r="D87" s="312">
        <v>0</v>
      </c>
      <c r="E87" s="317">
        <v>1</v>
      </c>
      <c r="F87" s="311">
        <v>0</v>
      </c>
      <c r="G87" s="312">
        <v>0</v>
      </c>
      <c r="H87" s="314">
        <v>0</v>
      </c>
      <c r="I87" s="311">
        <v>7.6839999999E-2</v>
      </c>
      <c r="J87" s="312">
        <v>7.6839999999E-2</v>
      </c>
      <c r="K87" s="319" t="s">
        <v>206</v>
      </c>
    </row>
    <row r="88" spans="1:11" ht="14.4" customHeight="1" thickBot="1" x14ac:dyDescent="0.35">
      <c r="A88" s="328" t="s">
        <v>280</v>
      </c>
      <c r="B88" s="306">
        <v>0</v>
      </c>
      <c r="C88" s="306">
        <v>0</v>
      </c>
      <c r="D88" s="307">
        <v>0</v>
      </c>
      <c r="E88" s="308">
        <v>1</v>
      </c>
      <c r="F88" s="306">
        <v>0</v>
      </c>
      <c r="G88" s="307">
        <v>0</v>
      </c>
      <c r="H88" s="309">
        <v>0</v>
      </c>
      <c r="I88" s="306">
        <v>7.6839999999E-2</v>
      </c>
      <c r="J88" s="307">
        <v>7.6839999999E-2</v>
      </c>
      <c r="K88" s="318" t="s">
        <v>206</v>
      </c>
    </row>
    <row r="89" spans="1:11" ht="14.4" customHeight="1" thickBot="1" x14ac:dyDescent="0.35">
      <c r="A89" s="330" t="s">
        <v>281</v>
      </c>
      <c r="B89" s="306">
        <v>0</v>
      </c>
      <c r="C89" s="306">
        <v>0.753</v>
      </c>
      <c r="D89" s="307">
        <v>0.753</v>
      </c>
      <c r="E89" s="316" t="s">
        <v>206</v>
      </c>
      <c r="F89" s="306">
        <v>0</v>
      </c>
      <c r="G89" s="307">
        <v>0</v>
      </c>
      <c r="H89" s="309">
        <v>0</v>
      </c>
      <c r="I89" s="306">
        <v>0</v>
      </c>
      <c r="J89" s="307">
        <v>0</v>
      </c>
      <c r="K89" s="318" t="s">
        <v>200</v>
      </c>
    </row>
    <row r="90" spans="1:11" ht="14.4" customHeight="1" thickBot="1" x14ac:dyDescent="0.35">
      <c r="A90" s="328" t="s">
        <v>282</v>
      </c>
      <c r="B90" s="306">
        <v>0</v>
      </c>
      <c r="C90" s="306">
        <v>0.753</v>
      </c>
      <c r="D90" s="307">
        <v>0.753</v>
      </c>
      <c r="E90" s="316" t="s">
        <v>206</v>
      </c>
      <c r="F90" s="306">
        <v>0</v>
      </c>
      <c r="G90" s="307">
        <v>0</v>
      </c>
      <c r="H90" s="309">
        <v>0</v>
      </c>
      <c r="I90" s="306">
        <v>0</v>
      </c>
      <c r="J90" s="307">
        <v>0</v>
      </c>
      <c r="K90" s="318" t="s">
        <v>200</v>
      </c>
    </row>
    <row r="91" spans="1:11" ht="14.4" customHeight="1" thickBot="1" x14ac:dyDescent="0.35">
      <c r="A91" s="330" t="s">
        <v>283</v>
      </c>
      <c r="B91" s="306">
        <v>0</v>
      </c>
      <c r="C91" s="306">
        <v>0.25</v>
      </c>
      <c r="D91" s="307">
        <v>0.25</v>
      </c>
      <c r="E91" s="316" t="s">
        <v>206</v>
      </c>
      <c r="F91" s="306">
        <v>0</v>
      </c>
      <c r="G91" s="307">
        <v>0</v>
      </c>
      <c r="H91" s="309">
        <v>0</v>
      </c>
      <c r="I91" s="306">
        <v>0</v>
      </c>
      <c r="J91" s="307">
        <v>0</v>
      </c>
      <c r="K91" s="318" t="s">
        <v>200</v>
      </c>
    </row>
    <row r="92" spans="1:11" ht="14.4" customHeight="1" thickBot="1" x14ac:dyDescent="0.35">
      <c r="A92" s="328" t="s">
        <v>284</v>
      </c>
      <c r="B92" s="306">
        <v>0</v>
      </c>
      <c r="C92" s="306">
        <v>0.25</v>
      </c>
      <c r="D92" s="307">
        <v>0.25</v>
      </c>
      <c r="E92" s="316" t="s">
        <v>206</v>
      </c>
      <c r="F92" s="306">
        <v>0</v>
      </c>
      <c r="G92" s="307">
        <v>0</v>
      </c>
      <c r="H92" s="309">
        <v>0</v>
      </c>
      <c r="I92" s="306">
        <v>0</v>
      </c>
      <c r="J92" s="307">
        <v>0</v>
      </c>
      <c r="K92" s="318" t="s">
        <v>200</v>
      </c>
    </row>
    <row r="93" spans="1:11" ht="14.4" customHeight="1" thickBot="1" x14ac:dyDescent="0.35">
      <c r="A93" s="325" t="s">
        <v>285</v>
      </c>
      <c r="B93" s="306">
        <v>50.666666666662998</v>
      </c>
      <c r="C93" s="306">
        <v>57.053919999999998</v>
      </c>
      <c r="D93" s="307">
        <v>6.387253333336</v>
      </c>
      <c r="E93" s="308">
        <v>1.1260642105259999</v>
      </c>
      <c r="F93" s="306">
        <v>78.999404053321996</v>
      </c>
      <c r="G93" s="307">
        <v>59.249553039991</v>
      </c>
      <c r="H93" s="309">
        <v>6.5640000000000001</v>
      </c>
      <c r="I93" s="306">
        <v>59.076000000000001</v>
      </c>
      <c r="J93" s="307">
        <v>-0.173553039991</v>
      </c>
      <c r="K93" s="310">
        <v>0.747803109503</v>
      </c>
    </row>
    <row r="94" spans="1:11" ht="14.4" customHeight="1" thickBot="1" x14ac:dyDescent="0.35">
      <c r="A94" s="326" t="s">
        <v>286</v>
      </c>
      <c r="B94" s="306">
        <v>50.666666666662998</v>
      </c>
      <c r="C94" s="306">
        <v>52.17</v>
      </c>
      <c r="D94" s="307">
        <v>1.5033333333359999</v>
      </c>
      <c r="E94" s="308">
        <v>1.029671052631</v>
      </c>
      <c r="F94" s="306">
        <v>78.999404053321996</v>
      </c>
      <c r="G94" s="307">
        <v>59.249553039991</v>
      </c>
      <c r="H94" s="309">
        <v>6.5640000000000001</v>
      </c>
      <c r="I94" s="306">
        <v>59.076000000000001</v>
      </c>
      <c r="J94" s="307">
        <v>-0.173553039991</v>
      </c>
      <c r="K94" s="310">
        <v>0.747803109503</v>
      </c>
    </row>
    <row r="95" spans="1:11" ht="14.4" customHeight="1" thickBot="1" x14ac:dyDescent="0.35">
      <c r="A95" s="327" t="s">
        <v>287</v>
      </c>
      <c r="B95" s="311">
        <v>50.666666666662998</v>
      </c>
      <c r="C95" s="311">
        <v>52.17</v>
      </c>
      <c r="D95" s="312">
        <v>1.5033333333359999</v>
      </c>
      <c r="E95" s="317">
        <v>1.029671052631</v>
      </c>
      <c r="F95" s="311">
        <v>78.999404053321996</v>
      </c>
      <c r="G95" s="312">
        <v>59.249553039991</v>
      </c>
      <c r="H95" s="314">
        <v>6.5640000000000001</v>
      </c>
      <c r="I95" s="311">
        <v>59.076000000000001</v>
      </c>
      <c r="J95" s="312">
        <v>-0.173553039991</v>
      </c>
      <c r="K95" s="315">
        <v>0.747803109503</v>
      </c>
    </row>
    <row r="96" spans="1:11" ht="14.4" customHeight="1" thickBot="1" x14ac:dyDescent="0.35">
      <c r="A96" s="328" t="s">
        <v>288</v>
      </c>
      <c r="B96" s="306">
        <v>7.9999999999989999</v>
      </c>
      <c r="C96" s="306">
        <v>9.3740000000000006</v>
      </c>
      <c r="D96" s="307">
        <v>1.3740000000000001</v>
      </c>
      <c r="E96" s="308">
        <v>1.1717500000000001</v>
      </c>
      <c r="F96" s="306">
        <v>14.999404053323</v>
      </c>
      <c r="G96" s="307">
        <v>11.249553039992</v>
      </c>
      <c r="H96" s="309">
        <v>1.2150000000000001</v>
      </c>
      <c r="I96" s="306">
        <v>10.935</v>
      </c>
      <c r="J96" s="307">
        <v>-0.31455303999200002</v>
      </c>
      <c r="K96" s="310">
        <v>0.72902896415899998</v>
      </c>
    </row>
    <row r="97" spans="1:11" ht="14.4" customHeight="1" thickBot="1" x14ac:dyDescent="0.35">
      <c r="A97" s="328" t="s">
        <v>289</v>
      </c>
      <c r="B97" s="306">
        <v>42.666666666664</v>
      </c>
      <c r="C97" s="306">
        <v>42.795999999999999</v>
      </c>
      <c r="D97" s="307">
        <v>0.12933333333499999</v>
      </c>
      <c r="E97" s="308">
        <v>1.00303125</v>
      </c>
      <c r="F97" s="306">
        <v>63.999999999998003</v>
      </c>
      <c r="G97" s="307">
        <v>47.999999999998998</v>
      </c>
      <c r="H97" s="309">
        <v>5.3490000000000002</v>
      </c>
      <c r="I97" s="306">
        <v>48.140999999999998</v>
      </c>
      <c r="J97" s="307">
        <v>0.14099999999999999</v>
      </c>
      <c r="K97" s="310">
        <v>0.75220312499999997</v>
      </c>
    </row>
    <row r="98" spans="1:11" ht="14.4" customHeight="1" thickBot="1" x14ac:dyDescent="0.35">
      <c r="A98" s="326" t="s">
        <v>290</v>
      </c>
      <c r="B98" s="306">
        <v>0</v>
      </c>
      <c r="C98" s="306">
        <v>4.8839199999999998</v>
      </c>
      <c r="D98" s="307">
        <v>4.8839199999999998</v>
      </c>
      <c r="E98" s="316" t="s">
        <v>206</v>
      </c>
      <c r="F98" s="306">
        <v>0</v>
      </c>
      <c r="G98" s="307">
        <v>0</v>
      </c>
      <c r="H98" s="309">
        <v>0</v>
      </c>
      <c r="I98" s="306">
        <v>0</v>
      </c>
      <c r="J98" s="307">
        <v>0</v>
      </c>
      <c r="K98" s="318" t="s">
        <v>200</v>
      </c>
    </row>
    <row r="99" spans="1:11" ht="14.4" customHeight="1" thickBot="1" x14ac:dyDescent="0.35">
      <c r="A99" s="327" t="s">
        <v>291</v>
      </c>
      <c r="B99" s="311">
        <v>0</v>
      </c>
      <c r="C99" s="311">
        <v>4.8839199999999998</v>
      </c>
      <c r="D99" s="312">
        <v>4.8839199999999998</v>
      </c>
      <c r="E99" s="313" t="s">
        <v>206</v>
      </c>
      <c r="F99" s="311">
        <v>0</v>
      </c>
      <c r="G99" s="312">
        <v>0</v>
      </c>
      <c r="H99" s="314">
        <v>0</v>
      </c>
      <c r="I99" s="311">
        <v>0</v>
      </c>
      <c r="J99" s="312">
        <v>0</v>
      </c>
      <c r="K99" s="319" t="s">
        <v>200</v>
      </c>
    </row>
    <row r="100" spans="1:11" ht="14.4" customHeight="1" thickBot="1" x14ac:dyDescent="0.35">
      <c r="A100" s="328" t="s">
        <v>292</v>
      </c>
      <c r="B100" s="306">
        <v>0</v>
      </c>
      <c r="C100" s="306">
        <v>4.8839199999999998</v>
      </c>
      <c r="D100" s="307">
        <v>4.8839199999999998</v>
      </c>
      <c r="E100" s="316" t="s">
        <v>206</v>
      </c>
      <c r="F100" s="306">
        <v>0</v>
      </c>
      <c r="G100" s="307">
        <v>0</v>
      </c>
      <c r="H100" s="309">
        <v>0</v>
      </c>
      <c r="I100" s="306">
        <v>0</v>
      </c>
      <c r="J100" s="307">
        <v>0</v>
      </c>
      <c r="K100" s="318" t="s">
        <v>200</v>
      </c>
    </row>
    <row r="101" spans="1:11" ht="14.4" customHeight="1" thickBot="1" x14ac:dyDescent="0.35">
      <c r="A101" s="324" t="s">
        <v>293</v>
      </c>
      <c r="B101" s="306">
        <v>4.3665987256929997</v>
      </c>
      <c r="C101" s="306">
        <v>10.23577</v>
      </c>
      <c r="D101" s="307">
        <v>5.8691712743059998</v>
      </c>
      <c r="E101" s="308">
        <v>2.3441059375959998</v>
      </c>
      <c r="F101" s="306">
        <v>0</v>
      </c>
      <c r="G101" s="307">
        <v>0</v>
      </c>
      <c r="H101" s="309">
        <v>0</v>
      </c>
      <c r="I101" s="306">
        <v>0.73</v>
      </c>
      <c r="J101" s="307">
        <v>0.73</v>
      </c>
      <c r="K101" s="318" t="s">
        <v>200</v>
      </c>
    </row>
    <row r="102" spans="1:11" ht="14.4" customHeight="1" thickBot="1" x14ac:dyDescent="0.35">
      <c r="A102" s="325" t="s">
        <v>294</v>
      </c>
      <c r="B102" s="306">
        <v>4.3665987256929997</v>
      </c>
      <c r="C102" s="306">
        <v>10.23577</v>
      </c>
      <c r="D102" s="307">
        <v>5.8691712743059998</v>
      </c>
      <c r="E102" s="308">
        <v>2.3441059375959998</v>
      </c>
      <c r="F102" s="306">
        <v>0</v>
      </c>
      <c r="G102" s="307">
        <v>0</v>
      </c>
      <c r="H102" s="309">
        <v>0</v>
      </c>
      <c r="I102" s="306">
        <v>0.73</v>
      </c>
      <c r="J102" s="307">
        <v>0.73</v>
      </c>
      <c r="K102" s="318" t="s">
        <v>200</v>
      </c>
    </row>
    <row r="103" spans="1:11" ht="14.4" customHeight="1" thickBot="1" x14ac:dyDescent="0.35">
      <c r="A103" s="326" t="s">
        <v>295</v>
      </c>
      <c r="B103" s="306">
        <v>4.3665987256929997</v>
      </c>
      <c r="C103" s="306">
        <v>9.8087700000000009</v>
      </c>
      <c r="D103" s="307">
        <v>5.4421712743060002</v>
      </c>
      <c r="E103" s="308">
        <v>2.246318156574</v>
      </c>
      <c r="F103" s="306">
        <v>0</v>
      </c>
      <c r="G103" s="307">
        <v>0</v>
      </c>
      <c r="H103" s="309">
        <v>0</v>
      </c>
      <c r="I103" s="306">
        <v>0</v>
      </c>
      <c r="J103" s="307">
        <v>0</v>
      </c>
      <c r="K103" s="318" t="s">
        <v>200</v>
      </c>
    </row>
    <row r="104" spans="1:11" ht="14.4" customHeight="1" thickBot="1" x14ac:dyDescent="0.35">
      <c r="A104" s="327" t="s">
        <v>296</v>
      </c>
      <c r="B104" s="311">
        <v>4.3665987256929997</v>
      </c>
      <c r="C104" s="311">
        <v>9.8087700000000009</v>
      </c>
      <c r="D104" s="312">
        <v>5.4421712743060002</v>
      </c>
      <c r="E104" s="317">
        <v>2.246318156574</v>
      </c>
      <c r="F104" s="311">
        <v>0</v>
      </c>
      <c r="G104" s="312">
        <v>0</v>
      </c>
      <c r="H104" s="314">
        <v>0</v>
      </c>
      <c r="I104" s="311">
        <v>0</v>
      </c>
      <c r="J104" s="312">
        <v>0</v>
      </c>
      <c r="K104" s="319" t="s">
        <v>200</v>
      </c>
    </row>
    <row r="105" spans="1:11" ht="14.4" customHeight="1" thickBot="1" x14ac:dyDescent="0.35">
      <c r="A105" s="328" t="s">
        <v>297</v>
      </c>
      <c r="B105" s="306">
        <v>0</v>
      </c>
      <c r="C105" s="306">
        <v>8.6115700000000004</v>
      </c>
      <c r="D105" s="307">
        <v>8.6115700000000004</v>
      </c>
      <c r="E105" s="316" t="s">
        <v>206</v>
      </c>
      <c r="F105" s="306">
        <v>0</v>
      </c>
      <c r="G105" s="307">
        <v>0</v>
      </c>
      <c r="H105" s="309">
        <v>0</v>
      </c>
      <c r="I105" s="306">
        <v>0</v>
      </c>
      <c r="J105" s="307">
        <v>0</v>
      </c>
      <c r="K105" s="318" t="s">
        <v>200</v>
      </c>
    </row>
    <row r="106" spans="1:11" ht="14.4" customHeight="1" thickBot="1" x14ac:dyDescent="0.35">
      <c r="A106" s="328" t="s">
        <v>298</v>
      </c>
      <c r="B106" s="306">
        <v>0</v>
      </c>
      <c r="C106" s="306">
        <v>1.1972</v>
      </c>
      <c r="D106" s="307">
        <v>1.1972</v>
      </c>
      <c r="E106" s="316" t="s">
        <v>206</v>
      </c>
      <c r="F106" s="306">
        <v>0</v>
      </c>
      <c r="G106" s="307">
        <v>0</v>
      </c>
      <c r="H106" s="309">
        <v>0</v>
      </c>
      <c r="I106" s="306">
        <v>0</v>
      </c>
      <c r="J106" s="307">
        <v>0</v>
      </c>
      <c r="K106" s="318" t="s">
        <v>200</v>
      </c>
    </row>
    <row r="107" spans="1:11" ht="14.4" customHeight="1" thickBot="1" x14ac:dyDescent="0.35">
      <c r="A107" s="331" t="s">
        <v>299</v>
      </c>
      <c r="B107" s="311">
        <v>0</v>
      </c>
      <c r="C107" s="311">
        <v>0.42699999999999999</v>
      </c>
      <c r="D107" s="312">
        <v>0.42699999999999999</v>
      </c>
      <c r="E107" s="313" t="s">
        <v>206</v>
      </c>
      <c r="F107" s="311">
        <v>0</v>
      </c>
      <c r="G107" s="312">
        <v>0</v>
      </c>
      <c r="H107" s="314">
        <v>0</v>
      </c>
      <c r="I107" s="311">
        <v>0.73</v>
      </c>
      <c r="J107" s="312">
        <v>0.73</v>
      </c>
      <c r="K107" s="319" t="s">
        <v>200</v>
      </c>
    </row>
    <row r="108" spans="1:11" ht="14.4" customHeight="1" thickBot="1" x14ac:dyDescent="0.35">
      <c r="A108" s="327" t="s">
        <v>300</v>
      </c>
      <c r="B108" s="311">
        <v>0</v>
      </c>
      <c r="C108" s="311">
        <v>0.42699999999999999</v>
      </c>
      <c r="D108" s="312">
        <v>0.42699999999999999</v>
      </c>
      <c r="E108" s="313" t="s">
        <v>206</v>
      </c>
      <c r="F108" s="311">
        <v>0</v>
      </c>
      <c r="G108" s="312">
        <v>0</v>
      </c>
      <c r="H108" s="314">
        <v>0</v>
      </c>
      <c r="I108" s="311">
        <v>0.73</v>
      </c>
      <c r="J108" s="312">
        <v>0.73</v>
      </c>
      <c r="K108" s="319" t="s">
        <v>200</v>
      </c>
    </row>
    <row r="109" spans="1:11" ht="14.4" customHeight="1" thickBot="1" x14ac:dyDescent="0.35">
      <c r="A109" s="328" t="s">
        <v>301</v>
      </c>
      <c r="B109" s="306">
        <v>0</v>
      </c>
      <c r="C109" s="306">
        <v>0.42699999999999999</v>
      </c>
      <c r="D109" s="307">
        <v>0.42699999999999999</v>
      </c>
      <c r="E109" s="316" t="s">
        <v>206</v>
      </c>
      <c r="F109" s="306">
        <v>0</v>
      </c>
      <c r="G109" s="307">
        <v>0</v>
      </c>
      <c r="H109" s="309">
        <v>0</v>
      </c>
      <c r="I109" s="306">
        <v>0.73</v>
      </c>
      <c r="J109" s="307">
        <v>0.73</v>
      </c>
      <c r="K109" s="318" t="s">
        <v>200</v>
      </c>
    </row>
    <row r="110" spans="1:11" ht="14.4" customHeight="1" thickBot="1" x14ac:dyDescent="0.35">
      <c r="A110" s="324" t="s">
        <v>302</v>
      </c>
      <c r="B110" s="306">
        <v>127.66666666666499</v>
      </c>
      <c r="C110" s="306">
        <v>295.0772</v>
      </c>
      <c r="D110" s="307">
        <v>167.410533333335</v>
      </c>
      <c r="E110" s="308">
        <v>2.311309660574</v>
      </c>
      <c r="F110" s="306">
        <v>493.00070881769199</v>
      </c>
      <c r="G110" s="307">
        <v>369.750531613269</v>
      </c>
      <c r="H110" s="309">
        <v>39.801400000000001</v>
      </c>
      <c r="I110" s="306">
        <v>362.49923000000001</v>
      </c>
      <c r="J110" s="307">
        <v>-7.2513016132689998</v>
      </c>
      <c r="K110" s="310">
        <v>0.73529149860499998</v>
      </c>
    </row>
    <row r="111" spans="1:11" ht="14.4" customHeight="1" thickBot="1" x14ac:dyDescent="0.35">
      <c r="A111" s="329" t="s">
        <v>303</v>
      </c>
      <c r="B111" s="311">
        <v>127.66666666666499</v>
      </c>
      <c r="C111" s="311">
        <v>295.0772</v>
      </c>
      <c r="D111" s="312">
        <v>167.410533333335</v>
      </c>
      <c r="E111" s="317">
        <v>2.311309660574</v>
      </c>
      <c r="F111" s="311">
        <v>493.00070881769199</v>
      </c>
      <c r="G111" s="312">
        <v>369.750531613269</v>
      </c>
      <c r="H111" s="314">
        <v>39.801400000000001</v>
      </c>
      <c r="I111" s="311">
        <v>362.49923000000001</v>
      </c>
      <c r="J111" s="312">
        <v>-7.2513016132689998</v>
      </c>
      <c r="K111" s="315">
        <v>0.73529149860499998</v>
      </c>
    </row>
    <row r="112" spans="1:11" ht="14.4" customHeight="1" thickBot="1" x14ac:dyDescent="0.35">
      <c r="A112" s="331" t="s">
        <v>34</v>
      </c>
      <c r="B112" s="311">
        <v>127.66666666666499</v>
      </c>
      <c r="C112" s="311">
        <v>295.0772</v>
      </c>
      <c r="D112" s="312">
        <v>167.410533333335</v>
      </c>
      <c r="E112" s="317">
        <v>2.311309660574</v>
      </c>
      <c r="F112" s="311">
        <v>493.00070881769199</v>
      </c>
      <c r="G112" s="312">
        <v>369.750531613269</v>
      </c>
      <c r="H112" s="314">
        <v>39.801400000000001</v>
      </c>
      <c r="I112" s="311">
        <v>362.49923000000001</v>
      </c>
      <c r="J112" s="312">
        <v>-7.2513016132689998</v>
      </c>
      <c r="K112" s="315">
        <v>0.73529149860499998</v>
      </c>
    </row>
    <row r="113" spans="1:11" ht="14.4" customHeight="1" thickBot="1" x14ac:dyDescent="0.35">
      <c r="A113" s="327" t="s">
        <v>304</v>
      </c>
      <c r="B113" s="311">
        <v>0</v>
      </c>
      <c r="C113" s="311">
        <v>0</v>
      </c>
      <c r="D113" s="312">
        <v>0</v>
      </c>
      <c r="E113" s="317">
        <v>1</v>
      </c>
      <c r="F113" s="311">
        <v>5</v>
      </c>
      <c r="G113" s="312">
        <v>3.75</v>
      </c>
      <c r="H113" s="314">
        <v>0</v>
      </c>
      <c r="I113" s="311">
        <v>0</v>
      </c>
      <c r="J113" s="312">
        <v>-3.75</v>
      </c>
      <c r="K113" s="315">
        <v>0</v>
      </c>
    </row>
    <row r="114" spans="1:11" ht="14.4" customHeight="1" thickBot="1" x14ac:dyDescent="0.35">
      <c r="A114" s="328" t="s">
        <v>305</v>
      </c>
      <c r="B114" s="306">
        <v>0</v>
      </c>
      <c r="C114" s="306">
        <v>0</v>
      </c>
      <c r="D114" s="307">
        <v>0</v>
      </c>
      <c r="E114" s="308">
        <v>1</v>
      </c>
      <c r="F114" s="306">
        <v>5</v>
      </c>
      <c r="G114" s="307">
        <v>3.75</v>
      </c>
      <c r="H114" s="309">
        <v>0</v>
      </c>
      <c r="I114" s="306">
        <v>0</v>
      </c>
      <c r="J114" s="307">
        <v>-3.75</v>
      </c>
      <c r="K114" s="310">
        <v>0</v>
      </c>
    </row>
    <row r="115" spans="1:11" ht="14.4" customHeight="1" thickBot="1" x14ac:dyDescent="0.35">
      <c r="A115" s="327" t="s">
        <v>306</v>
      </c>
      <c r="B115" s="311">
        <v>3</v>
      </c>
      <c r="C115" s="311">
        <v>1.9</v>
      </c>
      <c r="D115" s="312">
        <v>-1.1000000000000001</v>
      </c>
      <c r="E115" s="317">
        <v>0.63333333333300001</v>
      </c>
      <c r="F115" s="311">
        <v>5.0007088176919998</v>
      </c>
      <c r="G115" s="312">
        <v>3.7505316132690001</v>
      </c>
      <c r="H115" s="314">
        <v>4.8373999999999997</v>
      </c>
      <c r="I115" s="311">
        <v>7.3384</v>
      </c>
      <c r="J115" s="312">
        <v>3.5878683867299999</v>
      </c>
      <c r="K115" s="315">
        <v>1.467471965981</v>
      </c>
    </row>
    <row r="116" spans="1:11" ht="14.4" customHeight="1" thickBot="1" x14ac:dyDescent="0.35">
      <c r="A116" s="328" t="s">
        <v>307</v>
      </c>
      <c r="B116" s="306">
        <v>3</v>
      </c>
      <c r="C116" s="306">
        <v>1.9</v>
      </c>
      <c r="D116" s="307">
        <v>-1.1000000000000001</v>
      </c>
      <c r="E116" s="308">
        <v>0.63333333333300001</v>
      </c>
      <c r="F116" s="306">
        <v>5.0007088176919998</v>
      </c>
      <c r="G116" s="307">
        <v>3.7505316132690001</v>
      </c>
      <c r="H116" s="309">
        <v>4.8373999999999997</v>
      </c>
      <c r="I116" s="306">
        <v>7.3384</v>
      </c>
      <c r="J116" s="307">
        <v>3.5878683867299999</v>
      </c>
      <c r="K116" s="310">
        <v>1.467471965981</v>
      </c>
    </row>
    <row r="117" spans="1:11" ht="14.4" customHeight="1" thickBot="1" x14ac:dyDescent="0.35">
      <c r="A117" s="327" t="s">
        <v>308</v>
      </c>
      <c r="B117" s="311">
        <v>5.333333333333</v>
      </c>
      <c r="C117" s="311">
        <v>3.5962000000000001</v>
      </c>
      <c r="D117" s="312">
        <v>-1.7371333333329999</v>
      </c>
      <c r="E117" s="317">
        <v>0.67428750000000004</v>
      </c>
      <c r="F117" s="311">
        <v>3</v>
      </c>
      <c r="G117" s="312">
        <v>2.25</v>
      </c>
      <c r="H117" s="314">
        <v>0.3866</v>
      </c>
      <c r="I117" s="311">
        <v>4.2819000000000003</v>
      </c>
      <c r="J117" s="312">
        <v>2.0318999999999998</v>
      </c>
      <c r="K117" s="315">
        <v>1.4273</v>
      </c>
    </row>
    <row r="118" spans="1:11" ht="14.4" customHeight="1" thickBot="1" x14ac:dyDescent="0.35">
      <c r="A118" s="328" t="s">
        <v>309</v>
      </c>
      <c r="B118" s="306">
        <v>5.333333333333</v>
      </c>
      <c r="C118" s="306">
        <v>3.5962000000000001</v>
      </c>
      <c r="D118" s="307">
        <v>-1.7371333333329999</v>
      </c>
      <c r="E118" s="308">
        <v>0.67428750000000004</v>
      </c>
      <c r="F118" s="306">
        <v>3</v>
      </c>
      <c r="G118" s="307">
        <v>2.25</v>
      </c>
      <c r="H118" s="309">
        <v>0.3866</v>
      </c>
      <c r="I118" s="306">
        <v>4.2819000000000003</v>
      </c>
      <c r="J118" s="307">
        <v>2.0318999999999998</v>
      </c>
      <c r="K118" s="310">
        <v>1.4273</v>
      </c>
    </row>
    <row r="119" spans="1:11" ht="14.4" customHeight="1" thickBot="1" x14ac:dyDescent="0.35">
      <c r="A119" s="327" t="s">
        <v>310</v>
      </c>
      <c r="B119" s="311">
        <v>119.33333333333201</v>
      </c>
      <c r="C119" s="311">
        <v>115.39382000000001</v>
      </c>
      <c r="D119" s="312">
        <v>-3.939513333331</v>
      </c>
      <c r="E119" s="317">
        <v>0.96698731843499997</v>
      </c>
      <c r="F119" s="311">
        <v>220</v>
      </c>
      <c r="G119" s="312">
        <v>165</v>
      </c>
      <c r="H119" s="314">
        <v>13.263859999999999</v>
      </c>
      <c r="I119" s="311">
        <v>138.54889</v>
      </c>
      <c r="J119" s="312">
        <v>-26.45111</v>
      </c>
      <c r="K119" s="315">
        <v>0.62976768181800002</v>
      </c>
    </row>
    <row r="120" spans="1:11" ht="14.4" customHeight="1" thickBot="1" x14ac:dyDescent="0.35">
      <c r="A120" s="328" t="s">
        <v>311</v>
      </c>
      <c r="B120" s="306">
        <v>119.33333333333201</v>
      </c>
      <c r="C120" s="306">
        <v>115.39382000000001</v>
      </c>
      <c r="D120" s="307">
        <v>-3.939513333331</v>
      </c>
      <c r="E120" s="308">
        <v>0.96698731843499997</v>
      </c>
      <c r="F120" s="306">
        <v>220</v>
      </c>
      <c r="G120" s="307">
        <v>165</v>
      </c>
      <c r="H120" s="309">
        <v>13.263859999999999</v>
      </c>
      <c r="I120" s="306">
        <v>138.54889</v>
      </c>
      <c r="J120" s="307">
        <v>-26.45111</v>
      </c>
      <c r="K120" s="310">
        <v>0.62976768181800002</v>
      </c>
    </row>
    <row r="121" spans="1:11" ht="14.4" customHeight="1" thickBot="1" x14ac:dyDescent="0.35">
      <c r="A121" s="327" t="s">
        <v>312</v>
      </c>
      <c r="B121" s="311">
        <v>0</v>
      </c>
      <c r="C121" s="311">
        <v>6.056</v>
      </c>
      <c r="D121" s="312">
        <v>6.056</v>
      </c>
      <c r="E121" s="313" t="s">
        <v>206</v>
      </c>
      <c r="F121" s="311">
        <v>0</v>
      </c>
      <c r="G121" s="312">
        <v>0</v>
      </c>
      <c r="H121" s="314">
        <v>0</v>
      </c>
      <c r="I121" s="311">
        <v>9.2439999999999998</v>
      </c>
      <c r="J121" s="312">
        <v>9.2439999999999998</v>
      </c>
      <c r="K121" s="319" t="s">
        <v>206</v>
      </c>
    </row>
    <row r="122" spans="1:11" ht="14.4" customHeight="1" thickBot="1" x14ac:dyDescent="0.35">
      <c r="A122" s="328" t="s">
        <v>313</v>
      </c>
      <c r="B122" s="306">
        <v>0</v>
      </c>
      <c r="C122" s="306">
        <v>6.056</v>
      </c>
      <c r="D122" s="307">
        <v>6.056</v>
      </c>
      <c r="E122" s="316" t="s">
        <v>206</v>
      </c>
      <c r="F122" s="306">
        <v>0</v>
      </c>
      <c r="G122" s="307">
        <v>0</v>
      </c>
      <c r="H122" s="309">
        <v>0</v>
      </c>
      <c r="I122" s="306">
        <v>9.2439999999999998</v>
      </c>
      <c r="J122" s="307">
        <v>9.2439999999999998</v>
      </c>
      <c r="K122" s="318" t="s">
        <v>206</v>
      </c>
    </row>
    <row r="123" spans="1:11" ht="14.4" customHeight="1" thickBot="1" x14ac:dyDescent="0.35">
      <c r="A123" s="327" t="s">
        <v>314</v>
      </c>
      <c r="B123" s="311">
        <v>0</v>
      </c>
      <c r="C123" s="311">
        <v>168.13118</v>
      </c>
      <c r="D123" s="312">
        <v>168.13118</v>
      </c>
      <c r="E123" s="313" t="s">
        <v>206</v>
      </c>
      <c r="F123" s="311">
        <v>260</v>
      </c>
      <c r="G123" s="312">
        <v>195</v>
      </c>
      <c r="H123" s="314">
        <v>21.31354</v>
      </c>
      <c r="I123" s="311">
        <v>203.08604</v>
      </c>
      <c r="J123" s="312">
        <v>8.0860400000000006</v>
      </c>
      <c r="K123" s="315">
        <v>0.78110015384599996</v>
      </c>
    </row>
    <row r="124" spans="1:11" ht="14.4" customHeight="1" thickBot="1" x14ac:dyDescent="0.35">
      <c r="A124" s="328" t="s">
        <v>315</v>
      </c>
      <c r="B124" s="306">
        <v>0</v>
      </c>
      <c r="C124" s="306">
        <v>168.13118</v>
      </c>
      <c r="D124" s="307">
        <v>168.13118</v>
      </c>
      <c r="E124" s="316" t="s">
        <v>206</v>
      </c>
      <c r="F124" s="306">
        <v>260</v>
      </c>
      <c r="G124" s="307">
        <v>195</v>
      </c>
      <c r="H124" s="309">
        <v>21.31354</v>
      </c>
      <c r="I124" s="306">
        <v>203.08604</v>
      </c>
      <c r="J124" s="307">
        <v>8.0860400000000006</v>
      </c>
      <c r="K124" s="310">
        <v>0.78110015384599996</v>
      </c>
    </row>
    <row r="125" spans="1:11" ht="14.4" customHeight="1" thickBot="1" x14ac:dyDescent="0.35">
      <c r="A125" s="332"/>
      <c r="B125" s="306">
        <v>-5.0020372097479999</v>
      </c>
      <c r="C125" s="306">
        <v>-2312.4364399999999</v>
      </c>
      <c r="D125" s="307">
        <v>-2307.4344027902498</v>
      </c>
      <c r="E125" s="308">
        <v>462.29892802346001</v>
      </c>
      <c r="F125" s="306">
        <v>-3516.56682218571</v>
      </c>
      <c r="G125" s="307">
        <v>-2637.4251166392801</v>
      </c>
      <c r="H125" s="309">
        <v>-321.07628</v>
      </c>
      <c r="I125" s="306">
        <v>-2709.26028</v>
      </c>
      <c r="J125" s="307">
        <v>-71.835163360717004</v>
      </c>
      <c r="K125" s="310">
        <v>0.77042764064799996</v>
      </c>
    </row>
    <row r="126" spans="1:11" ht="14.4" customHeight="1" thickBot="1" x14ac:dyDescent="0.35">
      <c r="A126" s="333" t="s">
        <v>46</v>
      </c>
      <c r="B126" s="320">
        <v>-1994.5520372097501</v>
      </c>
      <c r="C126" s="320">
        <v>-2312.4364399999999</v>
      </c>
      <c r="D126" s="321">
        <v>-317.884402790254</v>
      </c>
      <c r="E126" s="322">
        <v>-1.0507536902179999</v>
      </c>
      <c r="F126" s="320">
        <v>-3516.56682218571</v>
      </c>
      <c r="G126" s="321">
        <v>-2637.4251166392801</v>
      </c>
      <c r="H126" s="320">
        <v>-321.07628</v>
      </c>
      <c r="I126" s="320">
        <v>-2709.26028</v>
      </c>
      <c r="J126" s="321">
        <v>-71.835163360717004</v>
      </c>
      <c r="K126" s="323">
        <v>0.77042764064799996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64" customWidth="1"/>
    <col min="2" max="2" width="61.109375" style="164" customWidth="1"/>
    <col min="3" max="3" width="9.5546875" style="96" customWidth="1"/>
    <col min="4" max="4" width="9.5546875" style="165" customWidth="1"/>
    <col min="5" max="5" width="2.21875" style="165" customWidth="1"/>
    <col min="6" max="6" width="9.5546875" style="166" customWidth="1"/>
    <col min="7" max="7" width="9.5546875" style="163" customWidth="1"/>
    <col min="8" max="9" width="9.5546875" style="96" customWidth="1"/>
    <col min="10" max="10" width="0" style="96" hidden="1" customWidth="1"/>
    <col min="11" max="16384" width="8.88671875" style="96"/>
  </cols>
  <sheetData>
    <row r="1" spans="1:10" ht="18.600000000000001" customHeight="1" thickBot="1" x14ac:dyDescent="0.4">
      <c r="A1" s="290" t="s">
        <v>72</v>
      </c>
      <c r="B1" s="291"/>
      <c r="C1" s="291"/>
      <c r="D1" s="291"/>
      <c r="E1" s="291"/>
      <c r="F1" s="291"/>
      <c r="G1" s="262"/>
      <c r="H1" s="292"/>
      <c r="I1" s="292"/>
    </row>
    <row r="2" spans="1:10" ht="14.4" customHeight="1" thickBot="1" x14ac:dyDescent="0.35">
      <c r="A2" s="175" t="s">
        <v>199</v>
      </c>
      <c r="B2" s="162"/>
      <c r="C2" s="162"/>
      <c r="D2" s="162"/>
      <c r="E2" s="162"/>
      <c r="F2" s="162"/>
    </row>
    <row r="3" spans="1:10" ht="14.4" customHeight="1" thickBot="1" x14ac:dyDescent="0.35">
      <c r="A3" s="175"/>
      <c r="B3" s="162"/>
      <c r="C3" s="233">
        <v>2012</v>
      </c>
      <c r="D3" s="234">
        <v>2013</v>
      </c>
      <c r="E3" s="7"/>
      <c r="F3" s="285">
        <v>2014</v>
      </c>
      <c r="G3" s="286"/>
      <c r="H3" s="286"/>
      <c r="I3" s="287"/>
    </row>
    <row r="4" spans="1:10" ht="14.4" customHeight="1" thickBot="1" x14ac:dyDescent="0.35">
      <c r="A4" s="238" t="s">
        <v>0</v>
      </c>
      <c r="B4" s="239" t="s">
        <v>186</v>
      </c>
      <c r="C4" s="288" t="s">
        <v>51</v>
      </c>
      <c r="D4" s="289"/>
      <c r="E4" s="240"/>
      <c r="F4" s="235" t="s">
        <v>51</v>
      </c>
      <c r="G4" s="236" t="s">
        <v>52</v>
      </c>
      <c r="H4" s="236" t="s">
        <v>48</v>
      </c>
      <c r="I4" s="237" t="s">
        <v>53</v>
      </c>
    </row>
    <row r="5" spans="1:10" ht="14.4" customHeight="1" x14ac:dyDescent="0.3">
      <c r="A5" s="334" t="s">
        <v>316</v>
      </c>
      <c r="B5" s="335" t="s">
        <v>317</v>
      </c>
      <c r="C5" s="336" t="s">
        <v>318</v>
      </c>
      <c r="D5" s="336" t="s">
        <v>318</v>
      </c>
      <c r="E5" s="336"/>
      <c r="F5" s="336" t="s">
        <v>318</v>
      </c>
      <c r="G5" s="336" t="s">
        <v>318</v>
      </c>
      <c r="H5" s="336" t="s">
        <v>318</v>
      </c>
      <c r="I5" s="337" t="s">
        <v>318</v>
      </c>
      <c r="J5" s="338" t="s">
        <v>49</v>
      </c>
    </row>
    <row r="6" spans="1:10" ht="14.4" customHeight="1" x14ac:dyDescent="0.3">
      <c r="A6" s="334" t="s">
        <v>316</v>
      </c>
      <c r="B6" s="335" t="s">
        <v>207</v>
      </c>
      <c r="C6" s="336" t="s">
        <v>318</v>
      </c>
      <c r="D6" s="336">
        <v>0.57743</v>
      </c>
      <c r="E6" s="336"/>
      <c r="F6" s="336">
        <v>0</v>
      </c>
      <c r="G6" s="336">
        <v>0.57797497926075003</v>
      </c>
      <c r="H6" s="336">
        <v>-0.57797497926075003</v>
      </c>
      <c r="I6" s="337">
        <v>0</v>
      </c>
      <c r="J6" s="338" t="s">
        <v>1</v>
      </c>
    </row>
    <row r="7" spans="1:10" ht="14.4" customHeight="1" x14ac:dyDescent="0.3">
      <c r="A7" s="334" t="s">
        <v>316</v>
      </c>
      <c r="B7" s="335" t="s">
        <v>319</v>
      </c>
      <c r="C7" s="336" t="s">
        <v>318</v>
      </c>
      <c r="D7" s="336">
        <v>0.57743</v>
      </c>
      <c r="E7" s="336"/>
      <c r="F7" s="336">
        <v>0</v>
      </c>
      <c r="G7" s="336">
        <v>0.57797497926075003</v>
      </c>
      <c r="H7" s="336">
        <v>-0.57797497926075003</v>
      </c>
      <c r="I7" s="337">
        <v>0</v>
      </c>
      <c r="J7" s="338" t="s">
        <v>320</v>
      </c>
    </row>
    <row r="9" spans="1:10" ht="14.4" customHeight="1" x14ac:dyDescent="0.3">
      <c r="A9" s="334" t="s">
        <v>316</v>
      </c>
      <c r="B9" s="335" t="s">
        <v>317</v>
      </c>
      <c r="C9" s="336" t="s">
        <v>318</v>
      </c>
      <c r="D9" s="336" t="s">
        <v>318</v>
      </c>
      <c r="E9" s="336"/>
      <c r="F9" s="336" t="s">
        <v>318</v>
      </c>
      <c r="G9" s="336" t="s">
        <v>318</v>
      </c>
      <c r="H9" s="336" t="s">
        <v>318</v>
      </c>
      <c r="I9" s="337" t="s">
        <v>318</v>
      </c>
      <c r="J9" s="338" t="s">
        <v>49</v>
      </c>
    </row>
    <row r="10" spans="1:10" ht="14.4" customHeight="1" x14ac:dyDescent="0.3">
      <c r="A10" s="334" t="s">
        <v>321</v>
      </c>
      <c r="B10" s="335" t="s">
        <v>317</v>
      </c>
      <c r="C10" s="336" t="s">
        <v>318</v>
      </c>
      <c r="D10" s="336" t="s">
        <v>318</v>
      </c>
      <c r="E10" s="336"/>
      <c r="F10" s="336" t="s">
        <v>318</v>
      </c>
      <c r="G10" s="336" t="s">
        <v>318</v>
      </c>
      <c r="H10" s="336" t="s">
        <v>318</v>
      </c>
      <c r="I10" s="337" t="s">
        <v>318</v>
      </c>
      <c r="J10" s="338" t="s">
        <v>0</v>
      </c>
    </row>
    <row r="11" spans="1:10" ht="14.4" customHeight="1" x14ac:dyDescent="0.3">
      <c r="A11" s="334" t="s">
        <v>321</v>
      </c>
      <c r="B11" s="335" t="s">
        <v>207</v>
      </c>
      <c r="C11" s="336" t="s">
        <v>318</v>
      </c>
      <c r="D11" s="336">
        <v>0.57743</v>
      </c>
      <c r="E11" s="336"/>
      <c r="F11" s="336">
        <v>0</v>
      </c>
      <c r="G11" s="336">
        <v>0.57797497926075003</v>
      </c>
      <c r="H11" s="336">
        <v>-0.57797497926075003</v>
      </c>
      <c r="I11" s="337">
        <v>0</v>
      </c>
      <c r="J11" s="338" t="s">
        <v>1</v>
      </c>
    </row>
    <row r="12" spans="1:10" ht="14.4" customHeight="1" x14ac:dyDescent="0.3">
      <c r="A12" s="334" t="s">
        <v>321</v>
      </c>
      <c r="B12" s="335" t="s">
        <v>319</v>
      </c>
      <c r="C12" s="336" t="s">
        <v>318</v>
      </c>
      <c r="D12" s="336">
        <v>0.57743</v>
      </c>
      <c r="E12" s="336"/>
      <c r="F12" s="336">
        <v>0</v>
      </c>
      <c r="G12" s="336">
        <v>0.57797497926075003</v>
      </c>
      <c r="H12" s="336">
        <v>-0.57797497926075003</v>
      </c>
      <c r="I12" s="337">
        <v>0</v>
      </c>
      <c r="J12" s="338" t="s">
        <v>322</v>
      </c>
    </row>
    <row r="13" spans="1:10" ht="14.4" customHeight="1" x14ac:dyDescent="0.3">
      <c r="A13" s="334" t="s">
        <v>318</v>
      </c>
      <c r="B13" s="335" t="s">
        <v>318</v>
      </c>
      <c r="C13" s="336" t="s">
        <v>318</v>
      </c>
      <c r="D13" s="336" t="s">
        <v>318</v>
      </c>
      <c r="E13" s="336"/>
      <c r="F13" s="336" t="s">
        <v>318</v>
      </c>
      <c r="G13" s="336" t="s">
        <v>318</v>
      </c>
      <c r="H13" s="336" t="s">
        <v>318</v>
      </c>
      <c r="I13" s="337" t="s">
        <v>318</v>
      </c>
      <c r="J13" s="338" t="s">
        <v>323</v>
      </c>
    </row>
    <row r="14" spans="1:10" ht="14.4" customHeight="1" x14ac:dyDescent="0.3">
      <c r="A14" s="334" t="s">
        <v>316</v>
      </c>
      <c r="B14" s="335" t="s">
        <v>319</v>
      </c>
      <c r="C14" s="336" t="s">
        <v>318</v>
      </c>
      <c r="D14" s="336">
        <v>0.57743</v>
      </c>
      <c r="E14" s="336"/>
      <c r="F14" s="336">
        <v>0</v>
      </c>
      <c r="G14" s="336">
        <v>0.57797497926075003</v>
      </c>
      <c r="H14" s="336">
        <v>-0.57797497926075003</v>
      </c>
      <c r="I14" s="337">
        <v>0</v>
      </c>
      <c r="J14" s="338" t="s">
        <v>320</v>
      </c>
    </row>
  </sheetData>
  <mergeCells count="3">
    <mergeCell ref="F3:I3"/>
    <mergeCell ref="C4:D4"/>
    <mergeCell ref="A1:I1"/>
  </mergeCells>
  <conditionalFormatting sqref="F8 F15:F65537">
    <cfRule type="cellIs" dxfId="36" priority="18" stopIfTrue="1" operator="greaterThan">
      <formula>1</formula>
    </cfRule>
  </conditionalFormatting>
  <conditionalFormatting sqref="H5:H7">
    <cfRule type="expression" dxfId="35" priority="14">
      <formula>$H5&gt;0</formula>
    </cfRule>
  </conditionalFormatting>
  <conditionalFormatting sqref="I5:I7">
    <cfRule type="expression" dxfId="34" priority="15">
      <formula>$I5&gt;1</formula>
    </cfRule>
  </conditionalFormatting>
  <conditionalFormatting sqref="B5:B7">
    <cfRule type="expression" dxfId="33" priority="11">
      <formula>OR($J5="NS",$J5="SumaNS",$J5="Účet")</formula>
    </cfRule>
  </conditionalFormatting>
  <conditionalFormatting sqref="B5:D7 F5:I7">
    <cfRule type="expression" dxfId="32" priority="17">
      <formula>AND($J5&lt;&gt;"",$J5&lt;&gt;"mezeraKL")</formula>
    </cfRule>
  </conditionalFormatting>
  <conditionalFormatting sqref="B5:D7 F5:I7">
    <cfRule type="expression" dxfId="31" priority="12">
      <formula>OR($J5="KL",$J5="SumaKL")</formula>
    </cfRule>
    <cfRule type="expression" priority="16" stopIfTrue="1">
      <formula>OR($J5="mezeraNS",$J5="mezeraKL")</formula>
    </cfRule>
  </conditionalFormatting>
  <conditionalFormatting sqref="F5:I7 B5:D7">
    <cfRule type="expression" dxfId="30" priority="13">
      <formula>OR($J5="SumaNS",$J5="NS")</formula>
    </cfRule>
  </conditionalFormatting>
  <conditionalFormatting sqref="A5:A7">
    <cfRule type="expression" dxfId="29" priority="9">
      <formula>AND($J5&lt;&gt;"mezeraKL",$J5&lt;&gt;"")</formula>
    </cfRule>
  </conditionalFormatting>
  <conditionalFormatting sqref="A5:A7">
    <cfRule type="expression" dxfId="28" priority="10">
      <formula>AND($J5&lt;&gt;"",$J5&lt;&gt;"mezeraKL")</formula>
    </cfRule>
  </conditionalFormatting>
  <conditionalFormatting sqref="H9:H14">
    <cfRule type="expression" dxfId="27" priority="5">
      <formula>$H9&gt;0</formula>
    </cfRule>
  </conditionalFormatting>
  <conditionalFormatting sqref="A9:A14">
    <cfRule type="expression" dxfId="26" priority="2">
      <formula>AND($J9&lt;&gt;"mezeraKL",$J9&lt;&gt;"")</formula>
    </cfRule>
  </conditionalFormatting>
  <conditionalFormatting sqref="I9:I14">
    <cfRule type="expression" dxfId="25" priority="6">
      <formula>$I9&gt;1</formula>
    </cfRule>
  </conditionalFormatting>
  <conditionalFormatting sqref="B9:B14">
    <cfRule type="expression" dxfId="24" priority="1">
      <formula>OR($J9="NS",$J9="SumaNS",$J9="Účet")</formula>
    </cfRule>
  </conditionalFormatting>
  <conditionalFormatting sqref="A9:D14 F9:I14">
    <cfRule type="expression" dxfId="23" priority="8">
      <formula>AND($J9&lt;&gt;"",$J9&lt;&gt;"mezeraKL")</formula>
    </cfRule>
  </conditionalFormatting>
  <conditionalFormatting sqref="B9:D14 F9:I14">
    <cfRule type="expression" dxfId="22" priority="3">
      <formula>OR($J9="KL",$J9="SumaKL")</formula>
    </cfRule>
    <cfRule type="expression" priority="7" stopIfTrue="1">
      <formula>OR($J9="mezeraNS",$J9="mezeraKL")</formula>
    </cfRule>
  </conditionalFormatting>
  <conditionalFormatting sqref="B9:D14 F9:I14">
    <cfRule type="expression" dxfId="21" priority="4">
      <formula>OR($J9="SumaNS",$J9="NS")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53" customWidth="1"/>
    <col min="2" max="2" width="5.44140625" style="163" bestFit="1" customWidth="1"/>
    <col min="3" max="3" width="6.109375" style="163" bestFit="1" customWidth="1"/>
    <col min="4" max="4" width="7.44140625" style="163" bestFit="1" customWidth="1"/>
    <col min="5" max="5" width="6.21875" style="163" bestFit="1" customWidth="1"/>
    <col min="6" max="6" width="6.33203125" style="166" bestFit="1" customWidth="1"/>
    <col min="7" max="7" width="6.109375" style="166" bestFit="1" customWidth="1"/>
    <col min="8" max="8" width="7.44140625" style="166" bestFit="1" customWidth="1"/>
    <col min="9" max="9" width="6.21875" style="166" bestFit="1" customWidth="1"/>
    <col min="10" max="10" width="5.44140625" style="163" bestFit="1" customWidth="1"/>
    <col min="11" max="11" width="6.109375" style="163" bestFit="1" customWidth="1"/>
    <col min="12" max="12" width="7.44140625" style="163" bestFit="1" customWidth="1"/>
    <col min="13" max="13" width="6.21875" style="163" bestFit="1" customWidth="1"/>
    <col min="14" max="14" width="5.33203125" style="166" bestFit="1" customWidth="1"/>
    <col min="15" max="15" width="6.109375" style="166" bestFit="1" customWidth="1"/>
    <col min="16" max="16" width="7.44140625" style="166" bestFit="1" customWidth="1"/>
    <col min="17" max="17" width="6.21875" style="166" bestFit="1" customWidth="1"/>
    <col min="18" max="16384" width="8.88671875" style="96"/>
  </cols>
  <sheetData>
    <row r="1" spans="1:17" ht="18.600000000000001" customHeight="1" thickBot="1" x14ac:dyDescent="0.4">
      <c r="A1" s="296" t="s">
        <v>187</v>
      </c>
      <c r="B1" s="296"/>
      <c r="C1" s="296"/>
      <c r="D1" s="296"/>
      <c r="E1" s="296"/>
      <c r="F1" s="262"/>
      <c r="G1" s="262"/>
      <c r="H1" s="262"/>
      <c r="I1" s="262"/>
      <c r="J1" s="292"/>
      <c r="K1" s="292"/>
      <c r="L1" s="292"/>
      <c r="M1" s="292"/>
      <c r="N1" s="292"/>
      <c r="O1" s="292"/>
      <c r="P1" s="292"/>
      <c r="Q1" s="292"/>
    </row>
    <row r="2" spans="1:17" ht="14.4" customHeight="1" thickBot="1" x14ac:dyDescent="0.35">
      <c r="A2" s="175" t="s">
        <v>199</v>
      </c>
      <c r="B2" s="170"/>
      <c r="C2" s="170"/>
      <c r="D2" s="170"/>
      <c r="E2" s="170"/>
    </row>
    <row r="3" spans="1:17" ht="14.4" customHeight="1" thickBot="1" x14ac:dyDescent="0.35">
      <c r="A3" s="242" t="s">
        <v>2</v>
      </c>
      <c r="B3" s="246">
        <f>SUM(B6:B1048576)</f>
        <v>5</v>
      </c>
      <c r="C3" s="247">
        <f>SUM(C6:C1048576)</f>
        <v>0</v>
      </c>
      <c r="D3" s="247">
        <f>SUM(D6:D1048576)</f>
        <v>0</v>
      </c>
      <c r="E3" s="248">
        <f>SUM(E6:E1048576)</f>
        <v>0</v>
      </c>
      <c r="F3" s="245">
        <f>IF(SUM($B3:$E3)=0,"",B3/SUM($B3:$E3))</f>
        <v>1</v>
      </c>
      <c r="G3" s="243">
        <f t="shared" ref="G3:I3" si="0">IF(SUM($B3:$E3)=0,"",C3/SUM($B3:$E3))</f>
        <v>0</v>
      </c>
      <c r="H3" s="243">
        <f t="shared" si="0"/>
        <v>0</v>
      </c>
      <c r="I3" s="244">
        <f t="shared" si="0"/>
        <v>0</v>
      </c>
      <c r="J3" s="247">
        <f>SUM(J6:J1048576)</f>
        <v>2</v>
      </c>
      <c r="K3" s="247">
        <f>SUM(K6:K1048576)</f>
        <v>0</v>
      </c>
      <c r="L3" s="247">
        <f>SUM(L6:L1048576)</f>
        <v>0</v>
      </c>
      <c r="M3" s="248">
        <f>SUM(M6:M1048576)</f>
        <v>0</v>
      </c>
      <c r="N3" s="245">
        <f>IF(SUM($J3:$M3)=0,"",J3/SUM($J3:$M3))</f>
        <v>1</v>
      </c>
      <c r="O3" s="243">
        <f t="shared" ref="O3:Q3" si="1">IF(SUM($J3:$M3)=0,"",K3/SUM($J3:$M3))</f>
        <v>0</v>
      </c>
      <c r="P3" s="243">
        <f t="shared" si="1"/>
        <v>0</v>
      </c>
      <c r="Q3" s="244">
        <f t="shared" si="1"/>
        <v>0</v>
      </c>
    </row>
    <row r="4" spans="1:17" ht="14.4" customHeight="1" thickBot="1" x14ac:dyDescent="0.35">
      <c r="A4" s="241"/>
      <c r="B4" s="300" t="s">
        <v>189</v>
      </c>
      <c r="C4" s="301"/>
      <c r="D4" s="301"/>
      <c r="E4" s="302"/>
      <c r="F4" s="297" t="s">
        <v>194</v>
      </c>
      <c r="G4" s="298"/>
      <c r="H4" s="298"/>
      <c r="I4" s="299"/>
      <c r="J4" s="300" t="s">
        <v>195</v>
      </c>
      <c r="K4" s="301"/>
      <c r="L4" s="301"/>
      <c r="M4" s="302"/>
      <c r="N4" s="297" t="s">
        <v>196</v>
      </c>
      <c r="O4" s="298"/>
      <c r="P4" s="298"/>
      <c r="Q4" s="299"/>
    </row>
    <row r="5" spans="1:17" ht="14.4" customHeight="1" thickBot="1" x14ac:dyDescent="0.35">
      <c r="A5" s="339" t="s">
        <v>188</v>
      </c>
      <c r="B5" s="340" t="s">
        <v>190</v>
      </c>
      <c r="C5" s="340" t="s">
        <v>191</v>
      </c>
      <c r="D5" s="340" t="s">
        <v>192</v>
      </c>
      <c r="E5" s="341" t="s">
        <v>193</v>
      </c>
      <c r="F5" s="342" t="s">
        <v>190</v>
      </c>
      <c r="G5" s="343" t="s">
        <v>191</v>
      </c>
      <c r="H5" s="343" t="s">
        <v>192</v>
      </c>
      <c r="I5" s="344" t="s">
        <v>193</v>
      </c>
      <c r="J5" s="340" t="s">
        <v>190</v>
      </c>
      <c r="K5" s="340" t="s">
        <v>191</v>
      </c>
      <c r="L5" s="340" t="s">
        <v>192</v>
      </c>
      <c r="M5" s="341" t="s">
        <v>193</v>
      </c>
      <c r="N5" s="342" t="s">
        <v>190</v>
      </c>
      <c r="O5" s="343" t="s">
        <v>191</v>
      </c>
      <c r="P5" s="343" t="s">
        <v>192</v>
      </c>
      <c r="Q5" s="344" t="s">
        <v>193</v>
      </c>
    </row>
    <row r="6" spans="1:17" ht="14.4" customHeight="1" x14ac:dyDescent="0.3">
      <c r="A6" s="351" t="s">
        <v>324</v>
      </c>
      <c r="B6" s="355"/>
      <c r="C6" s="345"/>
      <c r="D6" s="345"/>
      <c r="E6" s="357"/>
      <c r="F6" s="353"/>
      <c r="G6" s="346"/>
      <c r="H6" s="346"/>
      <c r="I6" s="359"/>
      <c r="J6" s="355"/>
      <c r="K6" s="345"/>
      <c r="L6" s="345"/>
      <c r="M6" s="357"/>
      <c r="N6" s="353"/>
      <c r="O6" s="346"/>
      <c r="P6" s="346"/>
      <c r="Q6" s="347"/>
    </row>
    <row r="7" spans="1:17" ht="14.4" customHeight="1" thickBot="1" x14ac:dyDescent="0.35">
      <c r="A7" s="352" t="s">
        <v>325</v>
      </c>
      <c r="B7" s="356">
        <v>5</v>
      </c>
      <c r="C7" s="348"/>
      <c r="D7" s="348"/>
      <c r="E7" s="358"/>
      <c r="F7" s="354">
        <v>1</v>
      </c>
      <c r="G7" s="349">
        <v>0</v>
      </c>
      <c r="H7" s="349">
        <v>0</v>
      </c>
      <c r="I7" s="360">
        <v>0</v>
      </c>
      <c r="J7" s="356">
        <v>2</v>
      </c>
      <c r="K7" s="348"/>
      <c r="L7" s="348"/>
      <c r="M7" s="358"/>
      <c r="N7" s="354">
        <v>1</v>
      </c>
      <c r="O7" s="349">
        <v>0</v>
      </c>
      <c r="P7" s="349">
        <v>0</v>
      </c>
      <c r="Q7" s="35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0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64" customWidth="1"/>
    <col min="2" max="2" width="61.109375" style="164" customWidth="1"/>
    <col min="3" max="3" width="9.5546875" style="96" customWidth="1"/>
    <col min="4" max="4" width="9.5546875" style="165" customWidth="1"/>
    <col min="5" max="5" width="2.21875" style="165" customWidth="1"/>
    <col min="6" max="6" width="9.5546875" style="166" customWidth="1"/>
    <col min="7" max="7" width="9.5546875" style="163" customWidth="1"/>
    <col min="8" max="9" width="9.5546875" style="96" customWidth="1"/>
    <col min="10" max="10" width="0" style="96" hidden="1" customWidth="1"/>
    <col min="11" max="16384" width="8.88671875" style="96"/>
  </cols>
  <sheetData>
    <row r="1" spans="1:10" ht="18.600000000000001" customHeight="1" thickBot="1" x14ac:dyDescent="0.4">
      <c r="A1" s="290" t="s">
        <v>73</v>
      </c>
      <c r="B1" s="291"/>
      <c r="C1" s="291"/>
      <c r="D1" s="291"/>
      <c r="E1" s="291"/>
      <c r="F1" s="291"/>
      <c r="G1" s="262"/>
      <c r="H1" s="292"/>
      <c r="I1" s="292"/>
    </row>
    <row r="2" spans="1:10" ht="14.4" customHeight="1" thickBot="1" x14ac:dyDescent="0.35">
      <c r="A2" s="175" t="s">
        <v>199</v>
      </c>
      <c r="B2" s="162"/>
      <c r="C2" s="162"/>
      <c r="D2" s="162"/>
      <c r="E2" s="162"/>
      <c r="F2" s="162"/>
    </row>
    <row r="3" spans="1:10" ht="14.4" customHeight="1" thickBot="1" x14ac:dyDescent="0.35">
      <c r="A3" s="175"/>
      <c r="B3" s="162"/>
      <c r="C3" s="233">
        <v>2012</v>
      </c>
      <c r="D3" s="234">
        <v>2013</v>
      </c>
      <c r="E3" s="7"/>
      <c r="F3" s="285">
        <v>2014</v>
      </c>
      <c r="G3" s="286"/>
      <c r="H3" s="286"/>
      <c r="I3" s="287"/>
    </row>
    <row r="4" spans="1:10" ht="14.4" customHeight="1" thickBot="1" x14ac:dyDescent="0.35">
      <c r="A4" s="238" t="s">
        <v>0</v>
      </c>
      <c r="B4" s="239" t="s">
        <v>186</v>
      </c>
      <c r="C4" s="288" t="s">
        <v>51</v>
      </c>
      <c r="D4" s="289"/>
      <c r="E4" s="240"/>
      <c r="F4" s="235" t="s">
        <v>51</v>
      </c>
      <c r="G4" s="236" t="s">
        <v>52</v>
      </c>
      <c r="H4" s="236" t="s">
        <v>48</v>
      </c>
      <c r="I4" s="237" t="s">
        <v>53</v>
      </c>
    </row>
    <row r="5" spans="1:10" ht="14.4" customHeight="1" x14ac:dyDescent="0.3">
      <c r="A5" s="334" t="s">
        <v>316</v>
      </c>
      <c r="B5" s="335" t="s">
        <v>317</v>
      </c>
      <c r="C5" s="336" t="s">
        <v>318</v>
      </c>
      <c r="D5" s="336" t="s">
        <v>318</v>
      </c>
      <c r="E5" s="336"/>
      <c r="F5" s="336" t="s">
        <v>318</v>
      </c>
      <c r="G5" s="336" t="s">
        <v>318</v>
      </c>
      <c r="H5" s="336" t="s">
        <v>318</v>
      </c>
      <c r="I5" s="337" t="s">
        <v>318</v>
      </c>
      <c r="J5" s="338" t="s">
        <v>49</v>
      </c>
    </row>
    <row r="6" spans="1:10" ht="14.4" customHeight="1" x14ac:dyDescent="0.3">
      <c r="A6" s="334" t="s">
        <v>316</v>
      </c>
      <c r="B6" s="335" t="s">
        <v>209</v>
      </c>
      <c r="C6" s="336" t="s">
        <v>318</v>
      </c>
      <c r="D6" s="336">
        <v>28.59787</v>
      </c>
      <c r="E6" s="336"/>
      <c r="F6" s="336">
        <v>49.822360000000003</v>
      </c>
      <c r="G6" s="336">
        <v>44.249927838370496</v>
      </c>
      <c r="H6" s="336">
        <v>5.5724321616295072</v>
      </c>
      <c r="I6" s="337">
        <v>1.1259308756837672</v>
      </c>
      <c r="J6" s="338" t="s">
        <v>1</v>
      </c>
    </row>
    <row r="7" spans="1:10" ht="14.4" customHeight="1" x14ac:dyDescent="0.3">
      <c r="A7" s="334" t="s">
        <v>316</v>
      </c>
      <c r="B7" s="335" t="s">
        <v>210</v>
      </c>
      <c r="C7" s="336" t="s">
        <v>318</v>
      </c>
      <c r="D7" s="336">
        <v>2.7119999999999997</v>
      </c>
      <c r="E7" s="336"/>
      <c r="F7" s="336">
        <v>2.6619999999999999</v>
      </c>
      <c r="G7" s="336">
        <v>5.0386254206760004</v>
      </c>
      <c r="H7" s="336">
        <v>-2.3766254206760005</v>
      </c>
      <c r="I7" s="337">
        <v>0.52831869364142103</v>
      </c>
      <c r="J7" s="338" t="s">
        <v>1</v>
      </c>
    </row>
    <row r="8" spans="1:10" ht="14.4" customHeight="1" x14ac:dyDescent="0.3">
      <c r="A8" s="334" t="s">
        <v>316</v>
      </c>
      <c r="B8" s="335" t="s">
        <v>211</v>
      </c>
      <c r="C8" s="336" t="s">
        <v>318</v>
      </c>
      <c r="D8" s="336">
        <v>1.4999999999999999E-2</v>
      </c>
      <c r="E8" s="336"/>
      <c r="F8" s="336">
        <v>0.14599999999999999</v>
      </c>
      <c r="G8" s="336">
        <v>1.1409192915000001E-2</v>
      </c>
      <c r="H8" s="336">
        <v>0.13459080708499999</v>
      </c>
      <c r="I8" s="337">
        <v>12.796698336834107</v>
      </c>
      <c r="J8" s="338" t="s">
        <v>1</v>
      </c>
    </row>
    <row r="9" spans="1:10" ht="14.4" customHeight="1" x14ac:dyDescent="0.3">
      <c r="A9" s="334" t="s">
        <v>316</v>
      </c>
      <c r="B9" s="335" t="s">
        <v>319</v>
      </c>
      <c r="C9" s="336" t="s">
        <v>318</v>
      </c>
      <c r="D9" s="336">
        <v>31.324870000000001</v>
      </c>
      <c r="E9" s="336"/>
      <c r="F9" s="336">
        <v>52.630360000000003</v>
      </c>
      <c r="G9" s="336">
        <v>49.299962451961498</v>
      </c>
      <c r="H9" s="336">
        <v>3.3303975480385049</v>
      </c>
      <c r="I9" s="337">
        <v>1.0675537542504963</v>
      </c>
      <c r="J9" s="338" t="s">
        <v>320</v>
      </c>
    </row>
    <row r="11" spans="1:10" ht="14.4" customHeight="1" x14ac:dyDescent="0.3">
      <c r="A11" s="334" t="s">
        <v>316</v>
      </c>
      <c r="B11" s="335" t="s">
        <v>317</v>
      </c>
      <c r="C11" s="336" t="s">
        <v>318</v>
      </c>
      <c r="D11" s="336" t="s">
        <v>318</v>
      </c>
      <c r="E11" s="336"/>
      <c r="F11" s="336" t="s">
        <v>318</v>
      </c>
      <c r="G11" s="336" t="s">
        <v>318</v>
      </c>
      <c r="H11" s="336" t="s">
        <v>318</v>
      </c>
      <c r="I11" s="337" t="s">
        <v>318</v>
      </c>
      <c r="J11" s="338" t="s">
        <v>49</v>
      </c>
    </row>
    <row r="12" spans="1:10" ht="14.4" customHeight="1" x14ac:dyDescent="0.3">
      <c r="A12" s="334" t="s">
        <v>321</v>
      </c>
      <c r="B12" s="335" t="s">
        <v>317</v>
      </c>
      <c r="C12" s="336" t="s">
        <v>318</v>
      </c>
      <c r="D12" s="336" t="s">
        <v>318</v>
      </c>
      <c r="E12" s="336"/>
      <c r="F12" s="336" t="s">
        <v>318</v>
      </c>
      <c r="G12" s="336" t="s">
        <v>318</v>
      </c>
      <c r="H12" s="336" t="s">
        <v>318</v>
      </c>
      <c r="I12" s="337" t="s">
        <v>318</v>
      </c>
      <c r="J12" s="338" t="s">
        <v>0</v>
      </c>
    </row>
    <row r="13" spans="1:10" ht="14.4" customHeight="1" x14ac:dyDescent="0.3">
      <c r="A13" s="334" t="s">
        <v>321</v>
      </c>
      <c r="B13" s="335" t="s">
        <v>209</v>
      </c>
      <c r="C13" s="336" t="s">
        <v>318</v>
      </c>
      <c r="D13" s="336">
        <v>28.59787</v>
      </c>
      <c r="E13" s="336"/>
      <c r="F13" s="336">
        <v>49.822360000000003</v>
      </c>
      <c r="G13" s="336">
        <v>44.249927838370496</v>
      </c>
      <c r="H13" s="336">
        <v>5.5724321616295072</v>
      </c>
      <c r="I13" s="337">
        <v>1.1259308756837672</v>
      </c>
      <c r="J13" s="338" t="s">
        <v>1</v>
      </c>
    </row>
    <row r="14" spans="1:10" ht="14.4" customHeight="1" x14ac:dyDescent="0.3">
      <c r="A14" s="334" t="s">
        <v>321</v>
      </c>
      <c r="B14" s="335" t="s">
        <v>210</v>
      </c>
      <c r="C14" s="336" t="s">
        <v>318</v>
      </c>
      <c r="D14" s="336">
        <v>2.7119999999999997</v>
      </c>
      <c r="E14" s="336"/>
      <c r="F14" s="336">
        <v>2.6619999999999999</v>
      </c>
      <c r="G14" s="336">
        <v>5.0386254206760004</v>
      </c>
      <c r="H14" s="336">
        <v>-2.3766254206760005</v>
      </c>
      <c r="I14" s="337">
        <v>0.52831869364142103</v>
      </c>
      <c r="J14" s="338" t="s">
        <v>1</v>
      </c>
    </row>
    <row r="15" spans="1:10" ht="14.4" customHeight="1" x14ac:dyDescent="0.3">
      <c r="A15" s="334" t="s">
        <v>321</v>
      </c>
      <c r="B15" s="335" t="s">
        <v>211</v>
      </c>
      <c r="C15" s="336" t="s">
        <v>318</v>
      </c>
      <c r="D15" s="336">
        <v>1.4999999999999999E-2</v>
      </c>
      <c r="E15" s="336"/>
      <c r="F15" s="336">
        <v>0.14599999999999999</v>
      </c>
      <c r="G15" s="336">
        <v>1.1409192915000001E-2</v>
      </c>
      <c r="H15" s="336">
        <v>0.13459080708499999</v>
      </c>
      <c r="I15" s="337">
        <v>12.796698336834107</v>
      </c>
      <c r="J15" s="338" t="s">
        <v>1</v>
      </c>
    </row>
    <row r="16" spans="1:10" ht="14.4" customHeight="1" x14ac:dyDescent="0.3">
      <c r="A16" s="334" t="s">
        <v>321</v>
      </c>
      <c r="B16" s="335" t="s">
        <v>319</v>
      </c>
      <c r="C16" s="336" t="s">
        <v>318</v>
      </c>
      <c r="D16" s="336">
        <v>31.324870000000001</v>
      </c>
      <c r="E16" s="336"/>
      <c r="F16" s="336">
        <v>52.630360000000003</v>
      </c>
      <c r="G16" s="336">
        <v>49.299962451961498</v>
      </c>
      <c r="H16" s="336">
        <v>3.3303975480385049</v>
      </c>
      <c r="I16" s="337">
        <v>1.0675537542504963</v>
      </c>
      <c r="J16" s="338" t="s">
        <v>322</v>
      </c>
    </row>
    <row r="17" spans="1:10" ht="14.4" customHeight="1" x14ac:dyDescent="0.3">
      <c r="A17" s="334" t="s">
        <v>318</v>
      </c>
      <c r="B17" s="335" t="s">
        <v>318</v>
      </c>
      <c r="C17" s="336" t="s">
        <v>318</v>
      </c>
      <c r="D17" s="336" t="s">
        <v>318</v>
      </c>
      <c r="E17" s="336"/>
      <c r="F17" s="336" t="s">
        <v>318</v>
      </c>
      <c r="G17" s="336" t="s">
        <v>318</v>
      </c>
      <c r="H17" s="336" t="s">
        <v>318</v>
      </c>
      <c r="I17" s="337" t="s">
        <v>318</v>
      </c>
      <c r="J17" s="338" t="s">
        <v>323</v>
      </c>
    </row>
    <row r="18" spans="1:10" ht="14.4" customHeight="1" x14ac:dyDescent="0.3">
      <c r="A18" s="334" t="s">
        <v>316</v>
      </c>
      <c r="B18" s="335" t="s">
        <v>319</v>
      </c>
      <c r="C18" s="336" t="s">
        <v>318</v>
      </c>
      <c r="D18" s="336">
        <v>31.324870000000001</v>
      </c>
      <c r="E18" s="336"/>
      <c r="F18" s="336">
        <v>52.630360000000003</v>
      </c>
      <c r="G18" s="336">
        <v>49.299962451961498</v>
      </c>
      <c r="H18" s="336">
        <v>3.3303975480385049</v>
      </c>
      <c r="I18" s="337">
        <v>1.0675537542504963</v>
      </c>
      <c r="J18" s="338" t="s">
        <v>320</v>
      </c>
    </row>
  </sheetData>
  <mergeCells count="3">
    <mergeCell ref="A1:I1"/>
    <mergeCell ref="F3:I3"/>
    <mergeCell ref="C4:D4"/>
  </mergeCells>
  <conditionalFormatting sqref="F10 F19:F65537">
    <cfRule type="cellIs" dxfId="19" priority="18" stopIfTrue="1" operator="greaterThan">
      <formula>1</formula>
    </cfRule>
  </conditionalFormatting>
  <conditionalFormatting sqref="H5:H9">
    <cfRule type="expression" dxfId="18" priority="14">
      <formula>$H5&gt;0</formula>
    </cfRule>
  </conditionalFormatting>
  <conditionalFormatting sqref="I5:I9">
    <cfRule type="expression" dxfId="17" priority="15">
      <formula>$I5&gt;1</formula>
    </cfRule>
  </conditionalFormatting>
  <conditionalFormatting sqref="B5:B9">
    <cfRule type="expression" dxfId="16" priority="11">
      <formula>OR($J5="NS",$J5="SumaNS",$J5="Účet")</formula>
    </cfRule>
  </conditionalFormatting>
  <conditionalFormatting sqref="F5:I9 B5:D9">
    <cfRule type="expression" dxfId="15" priority="17">
      <formula>AND($J5&lt;&gt;"",$J5&lt;&gt;"mezeraKL")</formula>
    </cfRule>
  </conditionalFormatting>
  <conditionalFormatting sqref="B5:D9 F5:I9">
    <cfRule type="expression" dxfId="14" priority="12">
      <formula>OR($J5="KL",$J5="SumaKL")</formula>
    </cfRule>
    <cfRule type="expression" priority="16" stopIfTrue="1">
      <formula>OR($J5="mezeraNS",$J5="mezeraKL")</formula>
    </cfRule>
  </conditionalFormatting>
  <conditionalFormatting sqref="B5:D9 F5:I9">
    <cfRule type="expression" dxfId="13" priority="13">
      <formula>OR($J5="SumaNS",$J5="NS")</formula>
    </cfRule>
  </conditionalFormatting>
  <conditionalFormatting sqref="A5:A9">
    <cfRule type="expression" dxfId="12" priority="9">
      <formula>AND($J5&lt;&gt;"mezeraKL",$J5&lt;&gt;"")</formula>
    </cfRule>
  </conditionalFormatting>
  <conditionalFormatting sqref="A5:A9">
    <cfRule type="expression" dxfId="11" priority="10">
      <formula>AND($J5&lt;&gt;"",$J5&lt;&gt;"mezeraKL")</formula>
    </cfRule>
  </conditionalFormatting>
  <conditionalFormatting sqref="H11:H18">
    <cfRule type="expression" dxfId="10" priority="5">
      <formula>$H11&gt;0</formula>
    </cfRule>
  </conditionalFormatting>
  <conditionalFormatting sqref="A11:A18">
    <cfRule type="expression" dxfId="9" priority="2">
      <formula>AND($J11&lt;&gt;"mezeraKL",$J11&lt;&gt;"")</formula>
    </cfRule>
  </conditionalFormatting>
  <conditionalFormatting sqref="I11:I18">
    <cfRule type="expression" dxfId="8" priority="6">
      <formula>$I11&gt;1</formula>
    </cfRule>
  </conditionalFormatting>
  <conditionalFormatting sqref="B11:B18">
    <cfRule type="expression" dxfId="7" priority="1">
      <formula>OR($J11="NS",$J11="SumaNS",$J11="Účet")</formula>
    </cfRule>
  </conditionalFormatting>
  <conditionalFormatting sqref="A11:D18 F11:I18">
    <cfRule type="expression" dxfId="6" priority="8">
      <formula>AND($J11&lt;&gt;"",$J11&lt;&gt;"mezeraKL")</formula>
    </cfRule>
  </conditionalFormatting>
  <conditionalFormatting sqref="B11:D18 F11:I18">
    <cfRule type="expression" dxfId="5" priority="3">
      <formula>OR($J11="KL",$J11="SumaKL")</formula>
    </cfRule>
    <cfRule type="expression" priority="7" stopIfTrue="1">
      <formula>OR($J11="mezeraNS",$J11="mezeraKL")</formula>
    </cfRule>
  </conditionalFormatting>
  <conditionalFormatting sqref="B11:D18 F11:I18">
    <cfRule type="expression" dxfId="4" priority="4">
      <formula>OR($J11="SumaNS",$J11="NS")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5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96" hidden="1" customWidth="1" outlineLevel="1"/>
    <col min="2" max="2" width="28.33203125" style="96" hidden="1" customWidth="1" outlineLevel="1"/>
    <col min="3" max="3" width="5.33203125" style="165" bestFit="1" customWidth="1" collapsed="1"/>
    <col min="4" max="4" width="18.77734375" style="169" customWidth="1"/>
    <col min="5" max="5" width="9" style="165" bestFit="1" customWidth="1"/>
    <col min="6" max="6" width="18.77734375" style="169" customWidth="1"/>
    <col min="7" max="7" width="12.44140625" style="165" hidden="1" customWidth="1" outlineLevel="1"/>
    <col min="8" max="8" width="25.77734375" style="165" customWidth="1" collapsed="1"/>
    <col min="9" max="9" width="7.77734375" style="163" customWidth="1"/>
    <col min="10" max="10" width="10" style="163" customWidth="1"/>
    <col min="11" max="11" width="11.109375" style="163" customWidth="1"/>
    <col min="12" max="16384" width="8.88671875" style="96"/>
  </cols>
  <sheetData>
    <row r="1" spans="1:11" ht="18.600000000000001" customHeight="1" thickBot="1" x14ac:dyDescent="0.4">
      <c r="A1" s="295" t="s">
        <v>353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</row>
    <row r="2" spans="1:11" ht="14.4" customHeight="1" thickBot="1" x14ac:dyDescent="0.35">
      <c r="A2" s="175" t="s">
        <v>199</v>
      </c>
      <c r="B2" s="57"/>
      <c r="C2" s="167"/>
      <c r="D2" s="167"/>
      <c r="E2" s="167"/>
      <c r="F2" s="167"/>
      <c r="G2" s="167"/>
      <c r="H2" s="167"/>
      <c r="I2" s="168"/>
      <c r="J2" s="168"/>
      <c r="K2" s="168"/>
    </row>
    <row r="3" spans="1:11" ht="14.4" customHeight="1" thickBot="1" x14ac:dyDescent="0.35">
      <c r="A3" s="57"/>
      <c r="B3" s="57"/>
      <c r="C3" s="293"/>
      <c r="D3" s="294"/>
      <c r="E3" s="294"/>
      <c r="F3" s="294"/>
      <c r="G3" s="294"/>
      <c r="H3" s="108" t="s">
        <v>70</v>
      </c>
      <c r="I3" s="71">
        <f>IF(J3&lt;&gt;0,K3/J3,0)</f>
        <v>9.9452683295540432</v>
      </c>
      <c r="J3" s="71">
        <f>SUBTOTAL(9,J5:J1048576)</f>
        <v>5292</v>
      </c>
      <c r="K3" s="72">
        <f>SUBTOTAL(9,K5:K1048576)</f>
        <v>52630.36</v>
      </c>
    </row>
    <row r="4" spans="1:11" s="164" customFormat="1" ht="14.4" customHeight="1" thickBot="1" x14ac:dyDescent="0.35">
      <c r="A4" s="361" t="s">
        <v>3</v>
      </c>
      <c r="B4" s="362" t="s">
        <v>4</v>
      </c>
      <c r="C4" s="362" t="s">
        <v>0</v>
      </c>
      <c r="D4" s="362" t="s">
        <v>5</v>
      </c>
      <c r="E4" s="362" t="s">
        <v>6</v>
      </c>
      <c r="F4" s="362" t="s">
        <v>1</v>
      </c>
      <c r="G4" s="362" t="s">
        <v>50</v>
      </c>
      <c r="H4" s="363" t="s">
        <v>7</v>
      </c>
      <c r="I4" s="364" t="s">
        <v>76</v>
      </c>
      <c r="J4" s="364" t="s">
        <v>8</v>
      </c>
      <c r="K4" s="365" t="s">
        <v>84</v>
      </c>
    </row>
    <row r="5" spans="1:11" ht="14.4" customHeight="1" x14ac:dyDescent="0.3">
      <c r="A5" s="366" t="s">
        <v>316</v>
      </c>
      <c r="B5" s="367" t="s">
        <v>317</v>
      </c>
      <c r="C5" s="368" t="s">
        <v>321</v>
      </c>
      <c r="D5" s="369" t="s">
        <v>317</v>
      </c>
      <c r="E5" s="368" t="s">
        <v>347</v>
      </c>
      <c r="F5" s="369" t="s">
        <v>348</v>
      </c>
      <c r="G5" s="368" t="s">
        <v>326</v>
      </c>
      <c r="H5" s="368" t="s">
        <v>327</v>
      </c>
      <c r="I5" s="345">
        <v>1.33</v>
      </c>
      <c r="J5" s="345">
        <v>2000</v>
      </c>
      <c r="K5" s="357">
        <v>2662</v>
      </c>
    </row>
    <row r="6" spans="1:11" ht="14.4" customHeight="1" x14ac:dyDescent="0.3">
      <c r="A6" s="370" t="s">
        <v>316</v>
      </c>
      <c r="B6" s="371" t="s">
        <v>317</v>
      </c>
      <c r="C6" s="372" t="s">
        <v>321</v>
      </c>
      <c r="D6" s="373" t="s">
        <v>317</v>
      </c>
      <c r="E6" s="372" t="s">
        <v>349</v>
      </c>
      <c r="F6" s="373" t="s">
        <v>350</v>
      </c>
      <c r="G6" s="372" t="s">
        <v>328</v>
      </c>
      <c r="H6" s="372" t="s">
        <v>329</v>
      </c>
      <c r="I6" s="374">
        <v>0.73</v>
      </c>
      <c r="J6" s="374">
        <v>200</v>
      </c>
      <c r="K6" s="375">
        <v>146</v>
      </c>
    </row>
    <row r="7" spans="1:11" ht="14.4" customHeight="1" x14ac:dyDescent="0.3">
      <c r="A7" s="370" t="s">
        <v>316</v>
      </c>
      <c r="B7" s="371" t="s">
        <v>317</v>
      </c>
      <c r="C7" s="372" t="s">
        <v>321</v>
      </c>
      <c r="D7" s="373" t="s">
        <v>317</v>
      </c>
      <c r="E7" s="372" t="s">
        <v>351</v>
      </c>
      <c r="F7" s="373" t="s">
        <v>352</v>
      </c>
      <c r="G7" s="372" t="s">
        <v>330</v>
      </c>
      <c r="H7" s="372" t="s">
        <v>331</v>
      </c>
      <c r="I7" s="374">
        <v>13.945454545454545</v>
      </c>
      <c r="J7" s="374">
        <v>660</v>
      </c>
      <c r="K7" s="375">
        <v>9204.2200000000012</v>
      </c>
    </row>
    <row r="8" spans="1:11" ht="14.4" customHeight="1" x14ac:dyDescent="0.3">
      <c r="A8" s="370" t="s">
        <v>316</v>
      </c>
      <c r="B8" s="371" t="s">
        <v>317</v>
      </c>
      <c r="C8" s="372" t="s">
        <v>321</v>
      </c>
      <c r="D8" s="373" t="s">
        <v>317</v>
      </c>
      <c r="E8" s="372" t="s">
        <v>351</v>
      </c>
      <c r="F8" s="373" t="s">
        <v>352</v>
      </c>
      <c r="G8" s="372" t="s">
        <v>332</v>
      </c>
      <c r="H8" s="372" t="s">
        <v>333</v>
      </c>
      <c r="I8" s="374">
        <v>17.542222222222222</v>
      </c>
      <c r="J8" s="374">
        <v>360</v>
      </c>
      <c r="K8" s="375">
        <v>6316.2000000000007</v>
      </c>
    </row>
    <row r="9" spans="1:11" ht="14.4" customHeight="1" x14ac:dyDescent="0.3">
      <c r="A9" s="370" t="s">
        <v>316</v>
      </c>
      <c r="B9" s="371" t="s">
        <v>317</v>
      </c>
      <c r="C9" s="372" t="s">
        <v>321</v>
      </c>
      <c r="D9" s="373" t="s">
        <v>317</v>
      </c>
      <c r="E9" s="372" t="s">
        <v>351</v>
      </c>
      <c r="F9" s="373" t="s">
        <v>352</v>
      </c>
      <c r="G9" s="372" t="s">
        <v>334</v>
      </c>
      <c r="H9" s="372" t="s">
        <v>335</v>
      </c>
      <c r="I9" s="374">
        <v>10.89</v>
      </c>
      <c r="J9" s="374">
        <v>20</v>
      </c>
      <c r="K9" s="375">
        <v>217.8</v>
      </c>
    </row>
    <row r="10" spans="1:11" ht="14.4" customHeight="1" x14ac:dyDescent="0.3">
      <c r="A10" s="370" t="s">
        <v>316</v>
      </c>
      <c r="B10" s="371" t="s">
        <v>317</v>
      </c>
      <c r="C10" s="372" t="s">
        <v>321</v>
      </c>
      <c r="D10" s="373" t="s">
        <v>317</v>
      </c>
      <c r="E10" s="372" t="s">
        <v>351</v>
      </c>
      <c r="F10" s="373" t="s">
        <v>352</v>
      </c>
      <c r="G10" s="372" t="s">
        <v>336</v>
      </c>
      <c r="H10" s="372" t="s">
        <v>337</v>
      </c>
      <c r="I10" s="374">
        <v>18.150000000000002</v>
      </c>
      <c r="J10" s="374">
        <v>210</v>
      </c>
      <c r="K10" s="375">
        <v>3811.5</v>
      </c>
    </row>
    <row r="11" spans="1:11" ht="14.4" customHeight="1" x14ac:dyDescent="0.3">
      <c r="A11" s="370" t="s">
        <v>316</v>
      </c>
      <c r="B11" s="371" t="s">
        <v>317</v>
      </c>
      <c r="C11" s="372" t="s">
        <v>321</v>
      </c>
      <c r="D11" s="373" t="s">
        <v>317</v>
      </c>
      <c r="E11" s="372" t="s">
        <v>351</v>
      </c>
      <c r="F11" s="373" t="s">
        <v>352</v>
      </c>
      <c r="G11" s="372" t="s">
        <v>338</v>
      </c>
      <c r="H11" s="372" t="s">
        <v>339</v>
      </c>
      <c r="I11" s="374">
        <v>15.074999999999999</v>
      </c>
      <c r="J11" s="374">
        <v>1500</v>
      </c>
      <c r="K11" s="375">
        <v>22721.989999999998</v>
      </c>
    </row>
    <row r="12" spans="1:11" ht="14.4" customHeight="1" x14ac:dyDescent="0.3">
      <c r="A12" s="370" t="s">
        <v>316</v>
      </c>
      <c r="B12" s="371" t="s">
        <v>317</v>
      </c>
      <c r="C12" s="372" t="s">
        <v>321</v>
      </c>
      <c r="D12" s="373" t="s">
        <v>317</v>
      </c>
      <c r="E12" s="372" t="s">
        <v>351</v>
      </c>
      <c r="F12" s="373" t="s">
        <v>352</v>
      </c>
      <c r="G12" s="372" t="s">
        <v>340</v>
      </c>
      <c r="H12" s="372" t="s">
        <v>341</v>
      </c>
      <c r="I12" s="374">
        <v>14.52</v>
      </c>
      <c r="J12" s="374">
        <v>60</v>
      </c>
      <c r="K12" s="375">
        <v>871.2</v>
      </c>
    </row>
    <row r="13" spans="1:11" ht="14.4" customHeight="1" x14ac:dyDescent="0.3">
      <c r="A13" s="370" t="s">
        <v>316</v>
      </c>
      <c r="B13" s="371" t="s">
        <v>317</v>
      </c>
      <c r="C13" s="372" t="s">
        <v>321</v>
      </c>
      <c r="D13" s="373" t="s">
        <v>317</v>
      </c>
      <c r="E13" s="372" t="s">
        <v>351</v>
      </c>
      <c r="F13" s="373" t="s">
        <v>352</v>
      </c>
      <c r="G13" s="372" t="s">
        <v>342</v>
      </c>
      <c r="H13" s="372" t="s">
        <v>341</v>
      </c>
      <c r="I13" s="374">
        <v>14.863333333333332</v>
      </c>
      <c r="J13" s="374">
        <v>280</v>
      </c>
      <c r="K13" s="375">
        <v>4168.4500000000007</v>
      </c>
    </row>
    <row r="14" spans="1:11" ht="14.4" customHeight="1" x14ac:dyDescent="0.3">
      <c r="A14" s="370" t="s">
        <v>316</v>
      </c>
      <c r="B14" s="371" t="s">
        <v>317</v>
      </c>
      <c r="C14" s="372" t="s">
        <v>321</v>
      </c>
      <c r="D14" s="373" t="s">
        <v>317</v>
      </c>
      <c r="E14" s="372" t="s">
        <v>351</v>
      </c>
      <c r="F14" s="373" t="s">
        <v>352</v>
      </c>
      <c r="G14" s="372" t="s">
        <v>343</v>
      </c>
      <c r="H14" s="372" t="s">
        <v>344</v>
      </c>
      <c r="I14" s="374">
        <v>2087.46</v>
      </c>
      <c r="J14" s="374">
        <v>1</v>
      </c>
      <c r="K14" s="375">
        <v>2087.46</v>
      </c>
    </row>
    <row r="15" spans="1:11" ht="14.4" customHeight="1" thickBot="1" x14ac:dyDescent="0.35">
      <c r="A15" s="376" t="s">
        <v>316</v>
      </c>
      <c r="B15" s="377" t="s">
        <v>317</v>
      </c>
      <c r="C15" s="378" t="s">
        <v>321</v>
      </c>
      <c r="D15" s="379" t="s">
        <v>317</v>
      </c>
      <c r="E15" s="378" t="s">
        <v>351</v>
      </c>
      <c r="F15" s="379" t="s">
        <v>352</v>
      </c>
      <c r="G15" s="378" t="s">
        <v>345</v>
      </c>
      <c r="H15" s="378" t="s">
        <v>346</v>
      </c>
      <c r="I15" s="348">
        <v>423.54</v>
      </c>
      <c r="J15" s="348">
        <v>1</v>
      </c>
      <c r="K15" s="358">
        <v>423.54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H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G1"/>
    </sheetView>
  </sheetViews>
  <sheetFormatPr defaultRowHeight="14.4" outlineLevelRow="1" x14ac:dyDescent="0.3"/>
  <cols>
    <col min="1" max="1" width="37.21875" customWidth="1"/>
    <col min="2" max="4" width="13.109375" customWidth="1"/>
    <col min="5" max="8" width="13.109375" hidden="1" customWidth="1"/>
    <col min="9" max="9" width="13.109375" customWidth="1"/>
    <col min="10" max="22" width="13.109375" hidden="1" customWidth="1"/>
    <col min="23" max="23" width="13.109375" customWidth="1"/>
    <col min="24" max="31" width="13.109375" hidden="1" customWidth="1"/>
    <col min="32" max="32" width="13.109375" customWidth="1"/>
    <col min="33" max="33" width="13.109375" hidden="1" customWidth="1"/>
  </cols>
  <sheetData>
    <row r="1" spans="1:34" ht="18.600000000000001" thickBot="1" x14ac:dyDescent="0.4">
      <c r="A1" s="303" t="s">
        <v>57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  <c r="W1" s="292"/>
      <c r="X1" s="292"/>
      <c r="Y1" s="292"/>
      <c r="Z1" s="292"/>
      <c r="AA1" s="292"/>
      <c r="AB1" s="292"/>
      <c r="AC1" s="292"/>
      <c r="AD1" s="292"/>
      <c r="AE1" s="292"/>
      <c r="AF1" s="292"/>
      <c r="AG1" s="292"/>
    </row>
    <row r="2" spans="1:34" ht="15" thickBot="1" x14ac:dyDescent="0.35">
      <c r="A2" s="175" t="s">
        <v>199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</row>
    <row r="3" spans="1:34" x14ac:dyDescent="0.3">
      <c r="A3" s="194" t="s">
        <v>147</v>
      </c>
      <c r="B3" s="304" t="s">
        <v>128</v>
      </c>
      <c r="C3" s="177">
        <v>0</v>
      </c>
      <c r="D3" s="178">
        <v>101</v>
      </c>
      <c r="E3" s="178">
        <v>102</v>
      </c>
      <c r="F3" s="197">
        <v>305</v>
      </c>
      <c r="G3" s="197">
        <v>306</v>
      </c>
      <c r="H3" s="197">
        <v>408</v>
      </c>
      <c r="I3" s="197">
        <v>409</v>
      </c>
      <c r="J3" s="197">
        <v>410</v>
      </c>
      <c r="K3" s="197">
        <v>415</v>
      </c>
      <c r="L3" s="197">
        <v>416</v>
      </c>
      <c r="M3" s="197">
        <v>418</v>
      </c>
      <c r="N3" s="197">
        <v>419</v>
      </c>
      <c r="O3" s="197">
        <v>420</v>
      </c>
      <c r="P3" s="197">
        <v>421</v>
      </c>
      <c r="Q3" s="197">
        <v>522</v>
      </c>
      <c r="R3" s="197">
        <v>523</v>
      </c>
      <c r="S3" s="197">
        <v>524</v>
      </c>
      <c r="T3" s="197">
        <v>525</v>
      </c>
      <c r="U3" s="197">
        <v>526</v>
      </c>
      <c r="V3" s="197">
        <v>527</v>
      </c>
      <c r="W3" s="197">
        <v>528</v>
      </c>
      <c r="X3" s="197">
        <v>629</v>
      </c>
      <c r="Y3" s="197">
        <v>630</v>
      </c>
      <c r="Z3" s="197">
        <v>636</v>
      </c>
      <c r="AA3" s="197">
        <v>637</v>
      </c>
      <c r="AB3" s="197">
        <v>640</v>
      </c>
      <c r="AC3" s="197">
        <v>642</v>
      </c>
      <c r="AD3" s="197">
        <v>743</v>
      </c>
      <c r="AE3" s="178">
        <v>745</v>
      </c>
      <c r="AF3" s="178">
        <v>746</v>
      </c>
      <c r="AG3" s="389">
        <v>930</v>
      </c>
      <c r="AH3" s="405"/>
    </row>
    <row r="4" spans="1:34" ht="36.6" outlineLevel="1" thickBot="1" x14ac:dyDescent="0.35">
      <c r="A4" s="195">
        <v>2014</v>
      </c>
      <c r="B4" s="305"/>
      <c r="C4" s="179" t="s">
        <v>129</v>
      </c>
      <c r="D4" s="180" t="s">
        <v>130</v>
      </c>
      <c r="E4" s="180" t="s">
        <v>131</v>
      </c>
      <c r="F4" s="198" t="s">
        <v>159</v>
      </c>
      <c r="G4" s="198" t="s">
        <v>160</v>
      </c>
      <c r="H4" s="198" t="s">
        <v>161</v>
      </c>
      <c r="I4" s="198" t="s">
        <v>162</v>
      </c>
      <c r="J4" s="198" t="s">
        <v>163</v>
      </c>
      <c r="K4" s="198" t="s">
        <v>164</v>
      </c>
      <c r="L4" s="198" t="s">
        <v>165</v>
      </c>
      <c r="M4" s="198" t="s">
        <v>166</v>
      </c>
      <c r="N4" s="198" t="s">
        <v>167</v>
      </c>
      <c r="O4" s="198" t="s">
        <v>168</v>
      </c>
      <c r="P4" s="198" t="s">
        <v>169</v>
      </c>
      <c r="Q4" s="198" t="s">
        <v>170</v>
      </c>
      <c r="R4" s="198" t="s">
        <v>171</v>
      </c>
      <c r="S4" s="198" t="s">
        <v>172</v>
      </c>
      <c r="T4" s="198" t="s">
        <v>173</v>
      </c>
      <c r="U4" s="198" t="s">
        <v>174</v>
      </c>
      <c r="V4" s="198" t="s">
        <v>175</v>
      </c>
      <c r="W4" s="198" t="s">
        <v>184</v>
      </c>
      <c r="X4" s="198" t="s">
        <v>176</v>
      </c>
      <c r="Y4" s="198" t="s">
        <v>185</v>
      </c>
      <c r="Z4" s="198" t="s">
        <v>177</v>
      </c>
      <c r="AA4" s="198" t="s">
        <v>178</v>
      </c>
      <c r="AB4" s="198" t="s">
        <v>179</v>
      </c>
      <c r="AC4" s="198" t="s">
        <v>180</v>
      </c>
      <c r="AD4" s="198" t="s">
        <v>181</v>
      </c>
      <c r="AE4" s="180" t="s">
        <v>182</v>
      </c>
      <c r="AF4" s="180" t="s">
        <v>183</v>
      </c>
      <c r="AG4" s="390" t="s">
        <v>149</v>
      </c>
      <c r="AH4" s="405"/>
    </row>
    <row r="5" spans="1:34" x14ac:dyDescent="0.3">
      <c r="A5" s="181" t="s">
        <v>132</v>
      </c>
      <c r="B5" s="217"/>
      <c r="C5" s="218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  <c r="Q5" s="219"/>
      <c r="R5" s="219"/>
      <c r="S5" s="219"/>
      <c r="T5" s="219"/>
      <c r="U5" s="219"/>
      <c r="V5" s="219"/>
      <c r="W5" s="219"/>
      <c r="X5" s="219"/>
      <c r="Y5" s="219"/>
      <c r="Z5" s="219"/>
      <c r="AA5" s="219"/>
      <c r="AB5" s="219"/>
      <c r="AC5" s="219"/>
      <c r="AD5" s="219"/>
      <c r="AE5" s="219"/>
      <c r="AF5" s="219"/>
      <c r="AG5" s="391"/>
      <c r="AH5" s="405"/>
    </row>
    <row r="6" spans="1:34" ht="15" collapsed="1" thickBot="1" x14ac:dyDescent="0.35">
      <c r="A6" s="182" t="s">
        <v>51</v>
      </c>
      <c r="B6" s="220">
        <f xml:space="preserve">
TRUNC(IF($A$4&lt;=12,SUMIFS('ON Data'!F:F,'ON Data'!$D:$D,$A$4,'ON Data'!$E:$E,1),SUMIFS('ON Data'!F:F,'ON Data'!$E:$E,1)/'ON Data'!$D$3),1)</f>
        <v>4</v>
      </c>
      <c r="C6" s="221">
        <f xml:space="preserve">
TRUNC(IF($A$4&lt;=12,SUMIFS('ON Data'!G:G,'ON Data'!$D:$D,$A$4,'ON Data'!$E:$E,1),SUMIFS('ON Data'!G:G,'ON Data'!$E:$E,1)/'ON Data'!$D$3),1)</f>
        <v>0</v>
      </c>
      <c r="D6" s="222">
        <f xml:space="preserve">
TRUNC(IF($A$4&lt;=12,SUMIFS('ON Data'!H:H,'ON Data'!$D:$D,$A$4,'ON Data'!$E:$E,1),SUMIFS('ON Data'!H:H,'ON Data'!$E:$E,1)/'ON Data'!$D$3),1)</f>
        <v>2</v>
      </c>
      <c r="E6" s="222">
        <f xml:space="preserve">
TRUNC(IF($A$4&lt;=12,SUMIFS('ON Data'!I:I,'ON Data'!$D:$D,$A$4,'ON Data'!$E:$E,1),SUMIFS('ON Data'!I:I,'ON Data'!$E:$E,1)/'ON Data'!$D$3),1)</f>
        <v>0</v>
      </c>
      <c r="F6" s="222">
        <f xml:space="preserve">
TRUNC(IF($A$4&lt;=12,SUMIFS('ON Data'!K:K,'ON Data'!$D:$D,$A$4,'ON Data'!$E:$E,1),SUMIFS('ON Data'!K:K,'ON Data'!$E:$E,1)/'ON Data'!$D$3),1)</f>
        <v>0</v>
      </c>
      <c r="G6" s="222">
        <f xml:space="preserve">
TRUNC(IF($A$4&lt;=12,SUMIFS('ON Data'!L:L,'ON Data'!$D:$D,$A$4,'ON Data'!$E:$E,1),SUMIFS('ON Data'!L:L,'ON Data'!$E:$E,1)/'ON Data'!$D$3),1)</f>
        <v>0</v>
      </c>
      <c r="H6" s="222">
        <f xml:space="preserve">
TRUNC(IF($A$4&lt;=12,SUMIFS('ON Data'!M:M,'ON Data'!$D:$D,$A$4,'ON Data'!$E:$E,1),SUMIFS('ON Data'!M:M,'ON Data'!$E:$E,1)/'ON Data'!$D$3),1)</f>
        <v>0</v>
      </c>
      <c r="I6" s="222">
        <f xml:space="preserve">
TRUNC(IF($A$4&lt;=12,SUMIFS('ON Data'!N:N,'ON Data'!$D:$D,$A$4,'ON Data'!$E:$E,1),SUMIFS('ON Data'!N:N,'ON Data'!$E:$E,1)/'ON Data'!$D$3),1)</f>
        <v>1</v>
      </c>
      <c r="J6" s="222">
        <f xml:space="preserve">
TRUNC(IF($A$4&lt;=12,SUMIFS('ON Data'!O:O,'ON Data'!$D:$D,$A$4,'ON Data'!$E:$E,1),SUMIFS('ON Data'!O:O,'ON Data'!$E:$E,1)/'ON Data'!$D$3),1)</f>
        <v>0</v>
      </c>
      <c r="K6" s="222">
        <f xml:space="preserve">
TRUNC(IF($A$4&lt;=12,SUMIFS('ON Data'!P:P,'ON Data'!$D:$D,$A$4,'ON Data'!$E:$E,1),SUMIFS('ON Data'!P:P,'ON Data'!$E:$E,1)/'ON Data'!$D$3),1)</f>
        <v>0</v>
      </c>
      <c r="L6" s="222">
        <f xml:space="preserve">
TRUNC(IF($A$4&lt;=12,SUMIFS('ON Data'!Q:Q,'ON Data'!$D:$D,$A$4,'ON Data'!$E:$E,1),SUMIFS('ON Data'!Q:Q,'ON Data'!$E:$E,1)/'ON Data'!$D$3),1)</f>
        <v>0</v>
      </c>
      <c r="M6" s="222">
        <f xml:space="preserve">
TRUNC(IF($A$4&lt;=12,SUMIFS('ON Data'!R:R,'ON Data'!$D:$D,$A$4,'ON Data'!$E:$E,1),SUMIFS('ON Data'!R:R,'ON Data'!$E:$E,1)/'ON Data'!$D$3),1)</f>
        <v>0</v>
      </c>
      <c r="N6" s="222">
        <f xml:space="preserve">
TRUNC(IF($A$4&lt;=12,SUMIFS('ON Data'!S:S,'ON Data'!$D:$D,$A$4,'ON Data'!$E:$E,1),SUMIFS('ON Data'!S:S,'ON Data'!$E:$E,1)/'ON Data'!$D$3),1)</f>
        <v>0</v>
      </c>
      <c r="O6" s="222">
        <f xml:space="preserve">
TRUNC(IF($A$4&lt;=12,SUMIFS('ON Data'!T:T,'ON Data'!$D:$D,$A$4,'ON Data'!$E:$E,1),SUMIFS('ON Data'!T:T,'ON Data'!$E:$E,1)/'ON Data'!$D$3),1)</f>
        <v>0</v>
      </c>
      <c r="P6" s="222">
        <f xml:space="preserve">
TRUNC(IF($A$4&lt;=12,SUMIFS('ON Data'!U:U,'ON Data'!$D:$D,$A$4,'ON Data'!$E:$E,1),SUMIFS('ON Data'!U:U,'ON Data'!$E:$E,1)/'ON Data'!$D$3),1)</f>
        <v>0</v>
      </c>
      <c r="Q6" s="222">
        <f xml:space="preserve">
TRUNC(IF($A$4&lt;=12,SUMIFS('ON Data'!V:V,'ON Data'!$D:$D,$A$4,'ON Data'!$E:$E,1),SUMIFS('ON Data'!V:V,'ON Data'!$E:$E,1)/'ON Data'!$D$3),1)</f>
        <v>0</v>
      </c>
      <c r="R6" s="222">
        <f xml:space="preserve">
TRUNC(IF($A$4&lt;=12,SUMIFS('ON Data'!W:W,'ON Data'!$D:$D,$A$4,'ON Data'!$E:$E,1),SUMIFS('ON Data'!W:W,'ON Data'!$E:$E,1)/'ON Data'!$D$3),1)</f>
        <v>0</v>
      </c>
      <c r="S6" s="222">
        <f xml:space="preserve">
TRUNC(IF($A$4&lt;=12,SUMIFS('ON Data'!X:X,'ON Data'!$D:$D,$A$4,'ON Data'!$E:$E,1),SUMIFS('ON Data'!X:X,'ON Data'!$E:$E,1)/'ON Data'!$D$3),1)</f>
        <v>0</v>
      </c>
      <c r="T6" s="222">
        <f xml:space="preserve">
TRUNC(IF($A$4&lt;=12,SUMIFS('ON Data'!Y:Y,'ON Data'!$D:$D,$A$4,'ON Data'!$E:$E,1),SUMIFS('ON Data'!Y:Y,'ON Data'!$E:$E,1)/'ON Data'!$D$3),1)</f>
        <v>0</v>
      </c>
      <c r="U6" s="222">
        <f xml:space="preserve">
TRUNC(IF($A$4&lt;=12,SUMIFS('ON Data'!Z:Z,'ON Data'!$D:$D,$A$4,'ON Data'!$E:$E,1),SUMIFS('ON Data'!Z:Z,'ON Data'!$E:$E,1)/'ON Data'!$D$3),1)</f>
        <v>0</v>
      </c>
      <c r="V6" s="222">
        <f xml:space="preserve">
TRUNC(IF($A$4&lt;=12,SUMIFS('ON Data'!AA:AA,'ON Data'!$D:$D,$A$4,'ON Data'!$E:$E,1),SUMIFS('ON Data'!AA:AA,'ON Data'!$E:$E,1)/'ON Data'!$D$3),1)</f>
        <v>0</v>
      </c>
      <c r="W6" s="222">
        <f xml:space="preserve">
TRUNC(IF($A$4&lt;=12,SUMIFS('ON Data'!AB:AB,'ON Data'!$D:$D,$A$4,'ON Data'!$E:$E,1),SUMIFS('ON Data'!AB:AB,'ON Data'!$E:$E,1)/'ON Data'!$D$3),1)</f>
        <v>1</v>
      </c>
      <c r="X6" s="222">
        <f xml:space="preserve">
TRUNC(IF($A$4&lt;=12,SUMIFS('ON Data'!AC:AC,'ON Data'!$D:$D,$A$4,'ON Data'!$E:$E,1),SUMIFS('ON Data'!AC:AC,'ON Data'!$E:$E,1)/'ON Data'!$D$3),1)</f>
        <v>0</v>
      </c>
      <c r="Y6" s="222">
        <f xml:space="preserve">
TRUNC(IF($A$4&lt;=12,SUMIFS('ON Data'!AD:AD,'ON Data'!$D:$D,$A$4,'ON Data'!$E:$E,1),SUMIFS('ON Data'!AD:AD,'ON Data'!$E:$E,1)/'ON Data'!$D$3),1)</f>
        <v>0</v>
      </c>
      <c r="Z6" s="222">
        <f xml:space="preserve">
TRUNC(IF($A$4&lt;=12,SUMIFS('ON Data'!AE:AE,'ON Data'!$D:$D,$A$4,'ON Data'!$E:$E,1),SUMIFS('ON Data'!AE:AE,'ON Data'!$E:$E,1)/'ON Data'!$D$3),1)</f>
        <v>0</v>
      </c>
      <c r="AA6" s="222">
        <f xml:space="preserve">
TRUNC(IF($A$4&lt;=12,SUMIFS('ON Data'!AF:AF,'ON Data'!$D:$D,$A$4,'ON Data'!$E:$E,1),SUMIFS('ON Data'!AF:AF,'ON Data'!$E:$E,1)/'ON Data'!$D$3),1)</f>
        <v>0</v>
      </c>
      <c r="AB6" s="222">
        <f xml:space="preserve">
TRUNC(IF($A$4&lt;=12,SUMIFS('ON Data'!AG:AG,'ON Data'!$D:$D,$A$4,'ON Data'!$E:$E,1),SUMIFS('ON Data'!AG:AG,'ON Data'!$E:$E,1)/'ON Data'!$D$3),1)</f>
        <v>0</v>
      </c>
      <c r="AC6" s="222">
        <f xml:space="preserve">
TRUNC(IF($A$4&lt;=12,SUMIFS('ON Data'!AH:AH,'ON Data'!$D:$D,$A$4,'ON Data'!$E:$E,1),SUMIFS('ON Data'!AH:AH,'ON Data'!$E:$E,1)/'ON Data'!$D$3),1)</f>
        <v>0</v>
      </c>
      <c r="AD6" s="222">
        <f xml:space="preserve">
TRUNC(IF($A$4&lt;=12,SUMIFS('ON Data'!AI:AI,'ON Data'!$D:$D,$A$4,'ON Data'!$E:$E,1),SUMIFS('ON Data'!AI:AI,'ON Data'!$E:$E,1)/'ON Data'!$D$3),1)</f>
        <v>0</v>
      </c>
      <c r="AE6" s="222">
        <f xml:space="preserve">
TRUNC(IF($A$4&lt;=12,SUMIFS('ON Data'!AJ:AJ,'ON Data'!$D:$D,$A$4,'ON Data'!$E:$E,1),SUMIFS('ON Data'!AJ:AJ,'ON Data'!$E:$E,1)/'ON Data'!$D$3),1)</f>
        <v>0</v>
      </c>
      <c r="AF6" s="222">
        <f xml:space="preserve">
TRUNC(IF($A$4&lt;=12,SUMIFS('ON Data'!AK:AK,'ON Data'!$D:$D,$A$4,'ON Data'!$E:$E,1),SUMIFS('ON Data'!AK:AK,'ON Data'!$E:$E,1)/'ON Data'!$D$3),1)</f>
        <v>0</v>
      </c>
      <c r="AG6" s="392">
        <f xml:space="preserve">
TRUNC(IF($A$4&lt;=12,SUMIFS('ON Data'!AM:AM,'ON Data'!$D:$D,$A$4,'ON Data'!$E:$E,1),SUMIFS('ON Data'!AM:AM,'ON Data'!$E:$E,1)/'ON Data'!$D$3),1)</f>
        <v>0</v>
      </c>
      <c r="AH6" s="405"/>
    </row>
    <row r="7" spans="1:34" ht="15" hidden="1" outlineLevel="1" thickBot="1" x14ac:dyDescent="0.35">
      <c r="A7" s="182" t="s">
        <v>58</v>
      </c>
      <c r="B7" s="220"/>
      <c r="C7" s="223"/>
      <c r="D7" s="222"/>
      <c r="E7" s="222"/>
      <c r="F7" s="222"/>
      <c r="G7" s="222"/>
      <c r="H7" s="222"/>
      <c r="I7" s="222"/>
      <c r="J7" s="222"/>
      <c r="K7" s="222"/>
      <c r="L7" s="222"/>
      <c r="M7" s="222"/>
      <c r="N7" s="222"/>
      <c r="O7" s="222"/>
      <c r="P7" s="222"/>
      <c r="Q7" s="222"/>
      <c r="R7" s="222"/>
      <c r="S7" s="222"/>
      <c r="T7" s="222"/>
      <c r="U7" s="222"/>
      <c r="V7" s="222"/>
      <c r="W7" s="222"/>
      <c r="X7" s="222"/>
      <c r="Y7" s="222"/>
      <c r="Z7" s="222"/>
      <c r="AA7" s="222"/>
      <c r="AB7" s="222"/>
      <c r="AC7" s="222"/>
      <c r="AD7" s="222"/>
      <c r="AE7" s="222"/>
      <c r="AF7" s="222"/>
      <c r="AG7" s="392"/>
      <c r="AH7" s="405"/>
    </row>
    <row r="8" spans="1:34" ht="15" hidden="1" outlineLevel="1" thickBot="1" x14ac:dyDescent="0.35">
      <c r="A8" s="182" t="s">
        <v>53</v>
      </c>
      <c r="B8" s="220"/>
      <c r="C8" s="223"/>
      <c r="D8" s="222"/>
      <c r="E8" s="222"/>
      <c r="F8" s="222"/>
      <c r="G8" s="222"/>
      <c r="H8" s="222"/>
      <c r="I8" s="222"/>
      <c r="J8" s="222"/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222"/>
      <c r="AB8" s="222"/>
      <c r="AC8" s="222"/>
      <c r="AD8" s="222"/>
      <c r="AE8" s="222"/>
      <c r="AF8" s="222"/>
      <c r="AG8" s="392"/>
      <c r="AH8" s="405"/>
    </row>
    <row r="9" spans="1:34" ht="15" hidden="1" outlineLevel="1" thickBot="1" x14ac:dyDescent="0.35">
      <c r="A9" s="183" t="s">
        <v>48</v>
      </c>
      <c r="B9" s="224"/>
      <c r="C9" s="225"/>
      <c r="D9" s="226"/>
      <c r="E9" s="226"/>
      <c r="F9" s="226"/>
      <c r="G9" s="226"/>
      <c r="H9" s="226"/>
      <c r="I9" s="226"/>
      <c r="J9" s="226"/>
      <c r="K9" s="226"/>
      <c r="L9" s="226"/>
      <c r="M9" s="226"/>
      <c r="N9" s="226"/>
      <c r="O9" s="226"/>
      <c r="P9" s="226"/>
      <c r="Q9" s="226"/>
      <c r="R9" s="226"/>
      <c r="S9" s="226"/>
      <c r="T9" s="226"/>
      <c r="U9" s="226"/>
      <c r="V9" s="226"/>
      <c r="W9" s="226"/>
      <c r="X9" s="226"/>
      <c r="Y9" s="226"/>
      <c r="Z9" s="226"/>
      <c r="AA9" s="226"/>
      <c r="AB9" s="226"/>
      <c r="AC9" s="226"/>
      <c r="AD9" s="226"/>
      <c r="AE9" s="226"/>
      <c r="AF9" s="226"/>
      <c r="AG9" s="393"/>
      <c r="AH9" s="405"/>
    </row>
    <row r="10" spans="1:34" x14ac:dyDescent="0.3">
      <c r="A10" s="184" t="s">
        <v>133</v>
      </c>
      <c r="B10" s="199"/>
      <c r="C10" s="200"/>
      <c r="D10" s="201"/>
      <c r="E10" s="201"/>
      <c r="F10" s="201"/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1"/>
      <c r="Y10" s="201"/>
      <c r="Z10" s="201"/>
      <c r="AA10" s="201"/>
      <c r="AB10" s="201"/>
      <c r="AC10" s="201"/>
      <c r="AD10" s="201"/>
      <c r="AE10" s="201"/>
      <c r="AF10" s="201"/>
      <c r="AG10" s="394"/>
      <c r="AH10" s="405"/>
    </row>
    <row r="11" spans="1:34" x14ac:dyDescent="0.3">
      <c r="A11" s="185" t="s">
        <v>134</v>
      </c>
      <c r="B11" s="202">
        <f xml:space="preserve">
IF($A$4&lt;=12,SUMIFS('ON Data'!F:F,'ON Data'!$D:$D,$A$4,'ON Data'!$E:$E,2),SUMIFS('ON Data'!F:F,'ON Data'!$E:$E,2))</f>
        <v>5602.4</v>
      </c>
      <c r="C11" s="203">
        <f xml:space="preserve">
IF($A$4&lt;=12,SUMIFS('ON Data'!G:G,'ON Data'!$D:$D,$A$4,'ON Data'!$E:$E,2),SUMIFS('ON Data'!G:G,'ON Data'!$E:$E,2))</f>
        <v>0</v>
      </c>
      <c r="D11" s="204">
        <f xml:space="preserve">
IF($A$4&lt;=12,SUMIFS('ON Data'!H:H,'ON Data'!$D:$D,$A$4,'ON Data'!$E:$E,2),SUMIFS('ON Data'!H:H,'ON Data'!$E:$E,2))</f>
        <v>2794.4</v>
      </c>
      <c r="E11" s="204">
        <f xml:space="preserve">
IF($A$4&lt;=12,SUMIFS('ON Data'!I:I,'ON Data'!$D:$D,$A$4,'ON Data'!$E:$E,2),SUMIFS('ON Data'!I:I,'ON Data'!$E:$E,2))</f>
        <v>0</v>
      </c>
      <c r="F11" s="204">
        <f xml:space="preserve">
IF($A$4&lt;=12,SUMIFS('ON Data'!K:K,'ON Data'!$D:$D,$A$4,'ON Data'!$E:$E,2),SUMIFS('ON Data'!K:K,'ON Data'!$E:$E,2))</f>
        <v>0</v>
      </c>
      <c r="G11" s="204">
        <f xml:space="preserve">
IF($A$4&lt;=12,SUMIFS('ON Data'!L:L,'ON Data'!$D:$D,$A$4,'ON Data'!$E:$E,2),SUMIFS('ON Data'!L:L,'ON Data'!$E:$E,2))</f>
        <v>0</v>
      </c>
      <c r="H11" s="204">
        <f xml:space="preserve">
IF($A$4&lt;=12,SUMIFS('ON Data'!M:M,'ON Data'!$D:$D,$A$4,'ON Data'!$E:$E,2),SUMIFS('ON Data'!M:M,'ON Data'!$E:$E,2))</f>
        <v>0</v>
      </c>
      <c r="I11" s="204">
        <f xml:space="preserve">
IF($A$4&lt;=12,SUMIFS('ON Data'!N:N,'ON Data'!$D:$D,$A$4,'ON Data'!$E:$E,2),SUMIFS('ON Data'!N:N,'ON Data'!$E:$E,2))</f>
        <v>1376</v>
      </c>
      <c r="J11" s="204">
        <f xml:space="preserve">
IF($A$4&lt;=12,SUMIFS('ON Data'!O:O,'ON Data'!$D:$D,$A$4,'ON Data'!$E:$E,2),SUMIFS('ON Data'!O:O,'ON Data'!$E:$E,2))</f>
        <v>0</v>
      </c>
      <c r="K11" s="204">
        <f xml:space="preserve">
IF($A$4&lt;=12,SUMIFS('ON Data'!P:P,'ON Data'!$D:$D,$A$4,'ON Data'!$E:$E,2),SUMIFS('ON Data'!P:P,'ON Data'!$E:$E,2))</f>
        <v>0</v>
      </c>
      <c r="L11" s="204">
        <f xml:space="preserve">
IF($A$4&lt;=12,SUMIFS('ON Data'!Q:Q,'ON Data'!$D:$D,$A$4,'ON Data'!$E:$E,2),SUMIFS('ON Data'!Q:Q,'ON Data'!$E:$E,2))</f>
        <v>0</v>
      </c>
      <c r="M11" s="204">
        <f xml:space="preserve">
IF($A$4&lt;=12,SUMIFS('ON Data'!R:R,'ON Data'!$D:$D,$A$4,'ON Data'!$E:$E,2),SUMIFS('ON Data'!R:R,'ON Data'!$E:$E,2))</f>
        <v>0</v>
      </c>
      <c r="N11" s="204">
        <f xml:space="preserve">
IF($A$4&lt;=12,SUMIFS('ON Data'!S:S,'ON Data'!$D:$D,$A$4,'ON Data'!$E:$E,2),SUMIFS('ON Data'!S:S,'ON Data'!$E:$E,2))</f>
        <v>0</v>
      </c>
      <c r="O11" s="204">
        <f xml:space="preserve">
IF($A$4&lt;=12,SUMIFS('ON Data'!T:T,'ON Data'!$D:$D,$A$4,'ON Data'!$E:$E,2),SUMIFS('ON Data'!T:T,'ON Data'!$E:$E,2))</f>
        <v>0</v>
      </c>
      <c r="P11" s="204">
        <f xml:space="preserve">
IF($A$4&lt;=12,SUMIFS('ON Data'!U:U,'ON Data'!$D:$D,$A$4,'ON Data'!$E:$E,2),SUMIFS('ON Data'!U:U,'ON Data'!$E:$E,2))</f>
        <v>0</v>
      </c>
      <c r="Q11" s="204">
        <f xml:space="preserve">
IF($A$4&lt;=12,SUMIFS('ON Data'!V:V,'ON Data'!$D:$D,$A$4,'ON Data'!$E:$E,2),SUMIFS('ON Data'!V:V,'ON Data'!$E:$E,2))</f>
        <v>0</v>
      </c>
      <c r="R11" s="204">
        <f xml:space="preserve">
IF($A$4&lt;=12,SUMIFS('ON Data'!W:W,'ON Data'!$D:$D,$A$4,'ON Data'!$E:$E,2),SUMIFS('ON Data'!W:W,'ON Data'!$E:$E,2))</f>
        <v>0</v>
      </c>
      <c r="S11" s="204">
        <f xml:space="preserve">
IF($A$4&lt;=12,SUMIFS('ON Data'!X:X,'ON Data'!$D:$D,$A$4,'ON Data'!$E:$E,2),SUMIFS('ON Data'!X:X,'ON Data'!$E:$E,2))</f>
        <v>0</v>
      </c>
      <c r="T11" s="204">
        <f xml:space="preserve">
IF($A$4&lt;=12,SUMIFS('ON Data'!Y:Y,'ON Data'!$D:$D,$A$4,'ON Data'!$E:$E,2),SUMIFS('ON Data'!Y:Y,'ON Data'!$E:$E,2))</f>
        <v>0</v>
      </c>
      <c r="U11" s="204">
        <f xml:space="preserve">
IF($A$4&lt;=12,SUMIFS('ON Data'!Z:Z,'ON Data'!$D:$D,$A$4,'ON Data'!$E:$E,2),SUMIFS('ON Data'!Z:Z,'ON Data'!$E:$E,2))</f>
        <v>0</v>
      </c>
      <c r="V11" s="204">
        <f xml:space="preserve">
IF($A$4&lt;=12,SUMIFS('ON Data'!AA:AA,'ON Data'!$D:$D,$A$4,'ON Data'!$E:$E,2),SUMIFS('ON Data'!AA:AA,'ON Data'!$E:$E,2))</f>
        <v>0</v>
      </c>
      <c r="W11" s="204">
        <f xml:space="preserve">
IF($A$4&lt;=12,SUMIFS('ON Data'!AB:AB,'ON Data'!$D:$D,$A$4,'ON Data'!$E:$E,2),SUMIFS('ON Data'!AB:AB,'ON Data'!$E:$E,2))</f>
        <v>1432</v>
      </c>
      <c r="X11" s="204">
        <f xml:space="preserve">
IF($A$4&lt;=12,SUMIFS('ON Data'!AC:AC,'ON Data'!$D:$D,$A$4,'ON Data'!$E:$E,2),SUMIFS('ON Data'!AC:AC,'ON Data'!$E:$E,2))</f>
        <v>0</v>
      </c>
      <c r="Y11" s="204">
        <f xml:space="preserve">
IF($A$4&lt;=12,SUMIFS('ON Data'!AD:AD,'ON Data'!$D:$D,$A$4,'ON Data'!$E:$E,2),SUMIFS('ON Data'!AD:AD,'ON Data'!$E:$E,2))</f>
        <v>0</v>
      </c>
      <c r="Z11" s="204">
        <f xml:space="preserve">
IF($A$4&lt;=12,SUMIFS('ON Data'!AE:AE,'ON Data'!$D:$D,$A$4,'ON Data'!$E:$E,2),SUMIFS('ON Data'!AE:AE,'ON Data'!$E:$E,2))</f>
        <v>0</v>
      </c>
      <c r="AA11" s="204">
        <f xml:space="preserve">
IF($A$4&lt;=12,SUMIFS('ON Data'!AF:AF,'ON Data'!$D:$D,$A$4,'ON Data'!$E:$E,2),SUMIFS('ON Data'!AF:AF,'ON Data'!$E:$E,2))</f>
        <v>0</v>
      </c>
      <c r="AB11" s="204">
        <f xml:space="preserve">
IF($A$4&lt;=12,SUMIFS('ON Data'!AG:AG,'ON Data'!$D:$D,$A$4,'ON Data'!$E:$E,2),SUMIFS('ON Data'!AG:AG,'ON Data'!$E:$E,2))</f>
        <v>0</v>
      </c>
      <c r="AC11" s="204">
        <f xml:space="preserve">
IF($A$4&lt;=12,SUMIFS('ON Data'!AH:AH,'ON Data'!$D:$D,$A$4,'ON Data'!$E:$E,2),SUMIFS('ON Data'!AH:AH,'ON Data'!$E:$E,2))</f>
        <v>0</v>
      </c>
      <c r="AD11" s="204">
        <f xml:space="preserve">
IF($A$4&lt;=12,SUMIFS('ON Data'!AI:AI,'ON Data'!$D:$D,$A$4,'ON Data'!$E:$E,2),SUMIFS('ON Data'!AI:AI,'ON Data'!$E:$E,2))</f>
        <v>0</v>
      </c>
      <c r="AE11" s="204">
        <f xml:space="preserve">
IF($A$4&lt;=12,SUMIFS('ON Data'!AJ:AJ,'ON Data'!$D:$D,$A$4,'ON Data'!$E:$E,2),SUMIFS('ON Data'!AJ:AJ,'ON Data'!$E:$E,2))</f>
        <v>0</v>
      </c>
      <c r="AF11" s="204">
        <f xml:space="preserve">
IF($A$4&lt;=12,SUMIFS('ON Data'!AK:AK,'ON Data'!$D:$D,$A$4,'ON Data'!$E:$E,2),SUMIFS('ON Data'!AK:AK,'ON Data'!$E:$E,2))</f>
        <v>0</v>
      </c>
      <c r="AG11" s="395">
        <f xml:space="preserve">
IF($A$4&lt;=12,SUMIFS('ON Data'!AM:AM,'ON Data'!$D:$D,$A$4,'ON Data'!$E:$E,2),SUMIFS('ON Data'!AM:AM,'ON Data'!$E:$E,2))</f>
        <v>0</v>
      </c>
      <c r="AH11" s="405"/>
    </row>
    <row r="12" spans="1:34" x14ac:dyDescent="0.3">
      <c r="A12" s="185" t="s">
        <v>135</v>
      </c>
      <c r="B12" s="202">
        <f xml:space="preserve">
IF($A$4&lt;=12,SUMIFS('ON Data'!F:F,'ON Data'!$D:$D,$A$4,'ON Data'!$E:$E,3),SUMIFS('ON Data'!F:F,'ON Data'!$E:$E,3))</f>
        <v>0</v>
      </c>
      <c r="C12" s="203">
        <f xml:space="preserve">
IF($A$4&lt;=12,SUMIFS('ON Data'!G:G,'ON Data'!$D:$D,$A$4,'ON Data'!$E:$E,3),SUMIFS('ON Data'!G:G,'ON Data'!$E:$E,3))</f>
        <v>0</v>
      </c>
      <c r="D12" s="204">
        <f xml:space="preserve">
IF($A$4&lt;=12,SUMIFS('ON Data'!H:H,'ON Data'!$D:$D,$A$4,'ON Data'!$E:$E,3),SUMIFS('ON Data'!H:H,'ON Data'!$E:$E,3))</f>
        <v>0</v>
      </c>
      <c r="E12" s="204">
        <f xml:space="preserve">
IF($A$4&lt;=12,SUMIFS('ON Data'!I:I,'ON Data'!$D:$D,$A$4,'ON Data'!$E:$E,3),SUMIFS('ON Data'!I:I,'ON Data'!$E:$E,3))</f>
        <v>0</v>
      </c>
      <c r="F12" s="204">
        <f xml:space="preserve">
IF($A$4&lt;=12,SUMIFS('ON Data'!K:K,'ON Data'!$D:$D,$A$4,'ON Data'!$E:$E,3),SUMIFS('ON Data'!K:K,'ON Data'!$E:$E,3))</f>
        <v>0</v>
      </c>
      <c r="G12" s="204">
        <f xml:space="preserve">
IF($A$4&lt;=12,SUMIFS('ON Data'!L:L,'ON Data'!$D:$D,$A$4,'ON Data'!$E:$E,3),SUMIFS('ON Data'!L:L,'ON Data'!$E:$E,3))</f>
        <v>0</v>
      </c>
      <c r="H12" s="204">
        <f xml:space="preserve">
IF($A$4&lt;=12,SUMIFS('ON Data'!M:M,'ON Data'!$D:$D,$A$4,'ON Data'!$E:$E,3),SUMIFS('ON Data'!M:M,'ON Data'!$E:$E,3))</f>
        <v>0</v>
      </c>
      <c r="I12" s="204">
        <f xml:space="preserve">
IF($A$4&lt;=12,SUMIFS('ON Data'!N:N,'ON Data'!$D:$D,$A$4,'ON Data'!$E:$E,3),SUMIFS('ON Data'!N:N,'ON Data'!$E:$E,3))</f>
        <v>0</v>
      </c>
      <c r="J12" s="204">
        <f xml:space="preserve">
IF($A$4&lt;=12,SUMIFS('ON Data'!O:O,'ON Data'!$D:$D,$A$4,'ON Data'!$E:$E,3),SUMIFS('ON Data'!O:O,'ON Data'!$E:$E,3))</f>
        <v>0</v>
      </c>
      <c r="K12" s="204">
        <f xml:space="preserve">
IF($A$4&lt;=12,SUMIFS('ON Data'!P:P,'ON Data'!$D:$D,$A$4,'ON Data'!$E:$E,3),SUMIFS('ON Data'!P:P,'ON Data'!$E:$E,3))</f>
        <v>0</v>
      </c>
      <c r="L12" s="204">
        <f xml:space="preserve">
IF($A$4&lt;=12,SUMIFS('ON Data'!Q:Q,'ON Data'!$D:$D,$A$4,'ON Data'!$E:$E,3),SUMIFS('ON Data'!Q:Q,'ON Data'!$E:$E,3))</f>
        <v>0</v>
      </c>
      <c r="M12" s="204">
        <f xml:space="preserve">
IF($A$4&lt;=12,SUMIFS('ON Data'!R:R,'ON Data'!$D:$D,$A$4,'ON Data'!$E:$E,3),SUMIFS('ON Data'!R:R,'ON Data'!$E:$E,3))</f>
        <v>0</v>
      </c>
      <c r="N12" s="204">
        <f xml:space="preserve">
IF($A$4&lt;=12,SUMIFS('ON Data'!S:S,'ON Data'!$D:$D,$A$4,'ON Data'!$E:$E,3),SUMIFS('ON Data'!S:S,'ON Data'!$E:$E,3))</f>
        <v>0</v>
      </c>
      <c r="O12" s="204">
        <f xml:space="preserve">
IF($A$4&lt;=12,SUMIFS('ON Data'!T:T,'ON Data'!$D:$D,$A$4,'ON Data'!$E:$E,3),SUMIFS('ON Data'!T:T,'ON Data'!$E:$E,3))</f>
        <v>0</v>
      </c>
      <c r="P12" s="204">
        <f xml:space="preserve">
IF($A$4&lt;=12,SUMIFS('ON Data'!U:U,'ON Data'!$D:$D,$A$4,'ON Data'!$E:$E,3),SUMIFS('ON Data'!U:U,'ON Data'!$E:$E,3))</f>
        <v>0</v>
      </c>
      <c r="Q12" s="204">
        <f xml:space="preserve">
IF($A$4&lt;=12,SUMIFS('ON Data'!V:V,'ON Data'!$D:$D,$A$4,'ON Data'!$E:$E,3),SUMIFS('ON Data'!V:V,'ON Data'!$E:$E,3))</f>
        <v>0</v>
      </c>
      <c r="R12" s="204">
        <f xml:space="preserve">
IF($A$4&lt;=12,SUMIFS('ON Data'!W:W,'ON Data'!$D:$D,$A$4,'ON Data'!$E:$E,3),SUMIFS('ON Data'!W:W,'ON Data'!$E:$E,3))</f>
        <v>0</v>
      </c>
      <c r="S12" s="204">
        <f xml:space="preserve">
IF($A$4&lt;=12,SUMIFS('ON Data'!X:X,'ON Data'!$D:$D,$A$4,'ON Data'!$E:$E,3),SUMIFS('ON Data'!X:X,'ON Data'!$E:$E,3))</f>
        <v>0</v>
      </c>
      <c r="T12" s="204">
        <f xml:space="preserve">
IF($A$4&lt;=12,SUMIFS('ON Data'!Y:Y,'ON Data'!$D:$D,$A$4,'ON Data'!$E:$E,3),SUMIFS('ON Data'!Y:Y,'ON Data'!$E:$E,3))</f>
        <v>0</v>
      </c>
      <c r="U12" s="204">
        <f xml:space="preserve">
IF($A$4&lt;=12,SUMIFS('ON Data'!Z:Z,'ON Data'!$D:$D,$A$4,'ON Data'!$E:$E,3),SUMIFS('ON Data'!Z:Z,'ON Data'!$E:$E,3))</f>
        <v>0</v>
      </c>
      <c r="V12" s="204">
        <f xml:space="preserve">
IF($A$4&lt;=12,SUMIFS('ON Data'!AA:AA,'ON Data'!$D:$D,$A$4,'ON Data'!$E:$E,3),SUMIFS('ON Data'!AA:AA,'ON Data'!$E:$E,3))</f>
        <v>0</v>
      </c>
      <c r="W12" s="204">
        <f xml:space="preserve">
IF($A$4&lt;=12,SUMIFS('ON Data'!AB:AB,'ON Data'!$D:$D,$A$4,'ON Data'!$E:$E,3),SUMIFS('ON Data'!AB:AB,'ON Data'!$E:$E,3))</f>
        <v>0</v>
      </c>
      <c r="X12" s="204">
        <f xml:space="preserve">
IF($A$4&lt;=12,SUMIFS('ON Data'!AC:AC,'ON Data'!$D:$D,$A$4,'ON Data'!$E:$E,3),SUMIFS('ON Data'!AC:AC,'ON Data'!$E:$E,3))</f>
        <v>0</v>
      </c>
      <c r="Y12" s="204">
        <f xml:space="preserve">
IF($A$4&lt;=12,SUMIFS('ON Data'!AD:AD,'ON Data'!$D:$D,$A$4,'ON Data'!$E:$E,3),SUMIFS('ON Data'!AD:AD,'ON Data'!$E:$E,3))</f>
        <v>0</v>
      </c>
      <c r="Z12" s="204">
        <f xml:space="preserve">
IF($A$4&lt;=12,SUMIFS('ON Data'!AE:AE,'ON Data'!$D:$D,$A$4,'ON Data'!$E:$E,3),SUMIFS('ON Data'!AE:AE,'ON Data'!$E:$E,3))</f>
        <v>0</v>
      </c>
      <c r="AA12" s="204">
        <f xml:space="preserve">
IF($A$4&lt;=12,SUMIFS('ON Data'!AF:AF,'ON Data'!$D:$D,$A$4,'ON Data'!$E:$E,3),SUMIFS('ON Data'!AF:AF,'ON Data'!$E:$E,3))</f>
        <v>0</v>
      </c>
      <c r="AB12" s="204">
        <f xml:space="preserve">
IF($A$4&lt;=12,SUMIFS('ON Data'!AG:AG,'ON Data'!$D:$D,$A$4,'ON Data'!$E:$E,3),SUMIFS('ON Data'!AG:AG,'ON Data'!$E:$E,3))</f>
        <v>0</v>
      </c>
      <c r="AC12" s="204">
        <f xml:space="preserve">
IF($A$4&lt;=12,SUMIFS('ON Data'!AH:AH,'ON Data'!$D:$D,$A$4,'ON Data'!$E:$E,3),SUMIFS('ON Data'!AH:AH,'ON Data'!$E:$E,3))</f>
        <v>0</v>
      </c>
      <c r="AD12" s="204">
        <f xml:space="preserve">
IF($A$4&lt;=12,SUMIFS('ON Data'!AI:AI,'ON Data'!$D:$D,$A$4,'ON Data'!$E:$E,3),SUMIFS('ON Data'!AI:AI,'ON Data'!$E:$E,3))</f>
        <v>0</v>
      </c>
      <c r="AE12" s="204">
        <f xml:space="preserve">
IF($A$4&lt;=12,SUMIFS('ON Data'!AJ:AJ,'ON Data'!$D:$D,$A$4,'ON Data'!$E:$E,3),SUMIFS('ON Data'!AJ:AJ,'ON Data'!$E:$E,3))</f>
        <v>0</v>
      </c>
      <c r="AF12" s="204">
        <f xml:space="preserve">
IF($A$4&lt;=12,SUMIFS('ON Data'!AK:AK,'ON Data'!$D:$D,$A$4,'ON Data'!$E:$E,3),SUMIFS('ON Data'!AK:AK,'ON Data'!$E:$E,3))</f>
        <v>0</v>
      </c>
      <c r="AG12" s="395">
        <f xml:space="preserve">
IF($A$4&lt;=12,SUMIFS('ON Data'!AM:AM,'ON Data'!$D:$D,$A$4,'ON Data'!$E:$E,3),SUMIFS('ON Data'!AM:AM,'ON Data'!$E:$E,3))</f>
        <v>0</v>
      </c>
      <c r="AH12" s="405"/>
    </row>
    <row r="13" spans="1:34" x14ac:dyDescent="0.3">
      <c r="A13" s="185" t="s">
        <v>142</v>
      </c>
      <c r="B13" s="202">
        <f xml:space="preserve">
IF($A$4&lt;=12,SUMIFS('ON Data'!F:F,'ON Data'!$D:$D,$A$4,'ON Data'!$E:$E,4),SUMIFS('ON Data'!F:F,'ON Data'!$E:$E,4))</f>
        <v>0</v>
      </c>
      <c r="C13" s="203">
        <f xml:space="preserve">
IF($A$4&lt;=12,SUMIFS('ON Data'!G:G,'ON Data'!$D:$D,$A$4,'ON Data'!$E:$E,4),SUMIFS('ON Data'!G:G,'ON Data'!$E:$E,4))</f>
        <v>0</v>
      </c>
      <c r="D13" s="204">
        <f xml:space="preserve">
IF($A$4&lt;=12,SUMIFS('ON Data'!H:H,'ON Data'!$D:$D,$A$4,'ON Data'!$E:$E,4),SUMIFS('ON Data'!H:H,'ON Data'!$E:$E,4))</f>
        <v>0</v>
      </c>
      <c r="E13" s="204">
        <f xml:space="preserve">
IF($A$4&lt;=12,SUMIFS('ON Data'!I:I,'ON Data'!$D:$D,$A$4,'ON Data'!$E:$E,4),SUMIFS('ON Data'!I:I,'ON Data'!$E:$E,4))</f>
        <v>0</v>
      </c>
      <c r="F13" s="204">
        <f xml:space="preserve">
IF($A$4&lt;=12,SUMIFS('ON Data'!K:K,'ON Data'!$D:$D,$A$4,'ON Data'!$E:$E,4),SUMIFS('ON Data'!K:K,'ON Data'!$E:$E,4))</f>
        <v>0</v>
      </c>
      <c r="G13" s="204">
        <f xml:space="preserve">
IF($A$4&lt;=12,SUMIFS('ON Data'!L:L,'ON Data'!$D:$D,$A$4,'ON Data'!$E:$E,4),SUMIFS('ON Data'!L:L,'ON Data'!$E:$E,4))</f>
        <v>0</v>
      </c>
      <c r="H13" s="204">
        <f xml:space="preserve">
IF($A$4&lt;=12,SUMIFS('ON Data'!M:M,'ON Data'!$D:$D,$A$4,'ON Data'!$E:$E,4),SUMIFS('ON Data'!M:M,'ON Data'!$E:$E,4))</f>
        <v>0</v>
      </c>
      <c r="I13" s="204">
        <f xml:space="preserve">
IF($A$4&lt;=12,SUMIFS('ON Data'!N:N,'ON Data'!$D:$D,$A$4,'ON Data'!$E:$E,4),SUMIFS('ON Data'!N:N,'ON Data'!$E:$E,4))</f>
        <v>0</v>
      </c>
      <c r="J13" s="204">
        <f xml:space="preserve">
IF($A$4&lt;=12,SUMIFS('ON Data'!O:O,'ON Data'!$D:$D,$A$4,'ON Data'!$E:$E,4),SUMIFS('ON Data'!O:O,'ON Data'!$E:$E,4))</f>
        <v>0</v>
      </c>
      <c r="K13" s="204">
        <f xml:space="preserve">
IF($A$4&lt;=12,SUMIFS('ON Data'!P:P,'ON Data'!$D:$D,$A$4,'ON Data'!$E:$E,4),SUMIFS('ON Data'!P:P,'ON Data'!$E:$E,4))</f>
        <v>0</v>
      </c>
      <c r="L13" s="204">
        <f xml:space="preserve">
IF($A$4&lt;=12,SUMIFS('ON Data'!Q:Q,'ON Data'!$D:$D,$A$4,'ON Data'!$E:$E,4),SUMIFS('ON Data'!Q:Q,'ON Data'!$E:$E,4))</f>
        <v>0</v>
      </c>
      <c r="M13" s="204">
        <f xml:space="preserve">
IF($A$4&lt;=12,SUMIFS('ON Data'!R:R,'ON Data'!$D:$D,$A$4,'ON Data'!$E:$E,4),SUMIFS('ON Data'!R:R,'ON Data'!$E:$E,4))</f>
        <v>0</v>
      </c>
      <c r="N13" s="204">
        <f xml:space="preserve">
IF($A$4&lt;=12,SUMIFS('ON Data'!S:S,'ON Data'!$D:$D,$A$4,'ON Data'!$E:$E,4),SUMIFS('ON Data'!S:S,'ON Data'!$E:$E,4))</f>
        <v>0</v>
      </c>
      <c r="O13" s="204">
        <f xml:space="preserve">
IF($A$4&lt;=12,SUMIFS('ON Data'!T:T,'ON Data'!$D:$D,$A$4,'ON Data'!$E:$E,4),SUMIFS('ON Data'!T:T,'ON Data'!$E:$E,4))</f>
        <v>0</v>
      </c>
      <c r="P13" s="204">
        <f xml:space="preserve">
IF($A$4&lt;=12,SUMIFS('ON Data'!U:U,'ON Data'!$D:$D,$A$4,'ON Data'!$E:$E,4),SUMIFS('ON Data'!U:U,'ON Data'!$E:$E,4))</f>
        <v>0</v>
      </c>
      <c r="Q13" s="204">
        <f xml:space="preserve">
IF($A$4&lt;=12,SUMIFS('ON Data'!V:V,'ON Data'!$D:$D,$A$4,'ON Data'!$E:$E,4),SUMIFS('ON Data'!V:V,'ON Data'!$E:$E,4))</f>
        <v>0</v>
      </c>
      <c r="R13" s="204">
        <f xml:space="preserve">
IF($A$4&lt;=12,SUMIFS('ON Data'!W:W,'ON Data'!$D:$D,$A$4,'ON Data'!$E:$E,4),SUMIFS('ON Data'!W:W,'ON Data'!$E:$E,4))</f>
        <v>0</v>
      </c>
      <c r="S13" s="204">
        <f xml:space="preserve">
IF($A$4&lt;=12,SUMIFS('ON Data'!X:X,'ON Data'!$D:$D,$A$4,'ON Data'!$E:$E,4),SUMIFS('ON Data'!X:X,'ON Data'!$E:$E,4))</f>
        <v>0</v>
      </c>
      <c r="T13" s="204">
        <f xml:space="preserve">
IF($A$4&lt;=12,SUMIFS('ON Data'!Y:Y,'ON Data'!$D:$D,$A$4,'ON Data'!$E:$E,4),SUMIFS('ON Data'!Y:Y,'ON Data'!$E:$E,4))</f>
        <v>0</v>
      </c>
      <c r="U13" s="204">
        <f xml:space="preserve">
IF($A$4&lt;=12,SUMIFS('ON Data'!Z:Z,'ON Data'!$D:$D,$A$4,'ON Data'!$E:$E,4),SUMIFS('ON Data'!Z:Z,'ON Data'!$E:$E,4))</f>
        <v>0</v>
      </c>
      <c r="V13" s="204">
        <f xml:space="preserve">
IF($A$4&lt;=12,SUMIFS('ON Data'!AA:AA,'ON Data'!$D:$D,$A$4,'ON Data'!$E:$E,4),SUMIFS('ON Data'!AA:AA,'ON Data'!$E:$E,4))</f>
        <v>0</v>
      </c>
      <c r="W13" s="204">
        <f xml:space="preserve">
IF($A$4&lt;=12,SUMIFS('ON Data'!AB:AB,'ON Data'!$D:$D,$A$4,'ON Data'!$E:$E,4),SUMIFS('ON Data'!AB:AB,'ON Data'!$E:$E,4))</f>
        <v>0</v>
      </c>
      <c r="X13" s="204">
        <f xml:space="preserve">
IF($A$4&lt;=12,SUMIFS('ON Data'!AC:AC,'ON Data'!$D:$D,$A$4,'ON Data'!$E:$E,4),SUMIFS('ON Data'!AC:AC,'ON Data'!$E:$E,4))</f>
        <v>0</v>
      </c>
      <c r="Y13" s="204">
        <f xml:space="preserve">
IF($A$4&lt;=12,SUMIFS('ON Data'!AD:AD,'ON Data'!$D:$D,$A$4,'ON Data'!$E:$E,4),SUMIFS('ON Data'!AD:AD,'ON Data'!$E:$E,4))</f>
        <v>0</v>
      </c>
      <c r="Z13" s="204">
        <f xml:space="preserve">
IF($A$4&lt;=12,SUMIFS('ON Data'!AE:AE,'ON Data'!$D:$D,$A$4,'ON Data'!$E:$E,4),SUMIFS('ON Data'!AE:AE,'ON Data'!$E:$E,4))</f>
        <v>0</v>
      </c>
      <c r="AA13" s="204">
        <f xml:space="preserve">
IF($A$4&lt;=12,SUMIFS('ON Data'!AF:AF,'ON Data'!$D:$D,$A$4,'ON Data'!$E:$E,4),SUMIFS('ON Data'!AF:AF,'ON Data'!$E:$E,4))</f>
        <v>0</v>
      </c>
      <c r="AB13" s="204">
        <f xml:space="preserve">
IF($A$4&lt;=12,SUMIFS('ON Data'!AG:AG,'ON Data'!$D:$D,$A$4,'ON Data'!$E:$E,4),SUMIFS('ON Data'!AG:AG,'ON Data'!$E:$E,4))</f>
        <v>0</v>
      </c>
      <c r="AC13" s="204">
        <f xml:space="preserve">
IF($A$4&lt;=12,SUMIFS('ON Data'!AH:AH,'ON Data'!$D:$D,$A$4,'ON Data'!$E:$E,4),SUMIFS('ON Data'!AH:AH,'ON Data'!$E:$E,4))</f>
        <v>0</v>
      </c>
      <c r="AD13" s="204">
        <f xml:space="preserve">
IF($A$4&lt;=12,SUMIFS('ON Data'!AI:AI,'ON Data'!$D:$D,$A$4,'ON Data'!$E:$E,4),SUMIFS('ON Data'!AI:AI,'ON Data'!$E:$E,4))</f>
        <v>0</v>
      </c>
      <c r="AE13" s="204">
        <f xml:space="preserve">
IF($A$4&lt;=12,SUMIFS('ON Data'!AJ:AJ,'ON Data'!$D:$D,$A$4,'ON Data'!$E:$E,4),SUMIFS('ON Data'!AJ:AJ,'ON Data'!$E:$E,4))</f>
        <v>0</v>
      </c>
      <c r="AF13" s="204">
        <f xml:space="preserve">
IF($A$4&lt;=12,SUMIFS('ON Data'!AK:AK,'ON Data'!$D:$D,$A$4,'ON Data'!$E:$E,4),SUMIFS('ON Data'!AK:AK,'ON Data'!$E:$E,4))</f>
        <v>0</v>
      </c>
      <c r="AG13" s="395">
        <f xml:space="preserve">
IF($A$4&lt;=12,SUMIFS('ON Data'!AM:AM,'ON Data'!$D:$D,$A$4,'ON Data'!$E:$E,4),SUMIFS('ON Data'!AM:AM,'ON Data'!$E:$E,4))</f>
        <v>0</v>
      </c>
      <c r="AH13" s="405"/>
    </row>
    <row r="14" spans="1:34" ht="15" thickBot="1" x14ac:dyDescent="0.35">
      <c r="A14" s="186" t="s">
        <v>136</v>
      </c>
      <c r="B14" s="205">
        <f xml:space="preserve">
IF($A$4&lt;=12,SUMIFS('ON Data'!F:F,'ON Data'!$D:$D,$A$4,'ON Data'!$E:$E,5),SUMIFS('ON Data'!F:F,'ON Data'!$E:$E,5))</f>
        <v>160</v>
      </c>
      <c r="C14" s="206">
        <f xml:space="preserve">
IF($A$4&lt;=12,SUMIFS('ON Data'!G:G,'ON Data'!$D:$D,$A$4,'ON Data'!$E:$E,5),SUMIFS('ON Data'!G:G,'ON Data'!$E:$E,5))</f>
        <v>160</v>
      </c>
      <c r="D14" s="207">
        <f xml:space="preserve">
IF($A$4&lt;=12,SUMIFS('ON Data'!H:H,'ON Data'!$D:$D,$A$4,'ON Data'!$E:$E,5),SUMIFS('ON Data'!H:H,'ON Data'!$E:$E,5))</f>
        <v>0</v>
      </c>
      <c r="E14" s="207">
        <f xml:space="preserve">
IF($A$4&lt;=12,SUMIFS('ON Data'!I:I,'ON Data'!$D:$D,$A$4,'ON Data'!$E:$E,5),SUMIFS('ON Data'!I:I,'ON Data'!$E:$E,5))</f>
        <v>0</v>
      </c>
      <c r="F14" s="207">
        <f xml:space="preserve">
IF($A$4&lt;=12,SUMIFS('ON Data'!K:K,'ON Data'!$D:$D,$A$4,'ON Data'!$E:$E,5),SUMIFS('ON Data'!K:K,'ON Data'!$E:$E,5))</f>
        <v>0</v>
      </c>
      <c r="G14" s="207">
        <f xml:space="preserve">
IF($A$4&lt;=12,SUMIFS('ON Data'!L:L,'ON Data'!$D:$D,$A$4,'ON Data'!$E:$E,5),SUMIFS('ON Data'!L:L,'ON Data'!$E:$E,5))</f>
        <v>0</v>
      </c>
      <c r="H14" s="207">
        <f xml:space="preserve">
IF($A$4&lt;=12,SUMIFS('ON Data'!M:M,'ON Data'!$D:$D,$A$4,'ON Data'!$E:$E,5),SUMIFS('ON Data'!M:M,'ON Data'!$E:$E,5))</f>
        <v>0</v>
      </c>
      <c r="I14" s="207">
        <f xml:space="preserve">
IF($A$4&lt;=12,SUMIFS('ON Data'!N:N,'ON Data'!$D:$D,$A$4,'ON Data'!$E:$E,5),SUMIFS('ON Data'!N:N,'ON Data'!$E:$E,5))</f>
        <v>0</v>
      </c>
      <c r="J14" s="207">
        <f xml:space="preserve">
IF($A$4&lt;=12,SUMIFS('ON Data'!O:O,'ON Data'!$D:$D,$A$4,'ON Data'!$E:$E,5),SUMIFS('ON Data'!O:O,'ON Data'!$E:$E,5))</f>
        <v>0</v>
      </c>
      <c r="K14" s="207">
        <f xml:space="preserve">
IF($A$4&lt;=12,SUMIFS('ON Data'!P:P,'ON Data'!$D:$D,$A$4,'ON Data'!$E:$E,5),SUMIFS('ON Data'!P:P,'ON Data'!$E:$E,5))</f>
        <v>0</v>
      </c>
      <c r="L14" s="207">
        <f xml:space="preserve">
IF($A$4&lt;=12,SUMIFS('ON Data'!Q:Q,'ON Data'!$D:$D,$A$4,'ON Data'!$E:$E,5),SUMIFS('ON Data'!Q:Q,'ON Data'!$E:$E,5))</f>
        <v>0</v>
      </c>
      <c r="M14" s="207">
        <f xml:space="preserve">
IF($A$4&lt;=12,SUMIFS('ON Data'!R:R,'ON Data'!$D:$D,$A$4,'ON Data'!$E:$E,5),SUMIFS('ON Data'!R:R,'ON Data'!$E:$E,5))</f>
        <v>0</v>
      </c>
      <c r="N14" s="207">
        <f xml:space="preserve">
IF($A$4&lt;=12,SUMIFS('ON Data'!S:S,'ON Data'!$D:$D,$A$4,'ON Data'!$E:$E,5),SUMIFS('ON Data'!S:S,'ON Data'!$E:$E,5))</f>
        <v>0</v>
      </c>
      <c r="O14" s="207">
        <f xml:space="preserve">
IF($A$4&lt;=12,SUMIFS('ON Data'!T:T,'ON Data'!$D:$D,$A$4,'ON Data'!$E:$E,5),SUMIFS('ON Data'!T:T,'ON Data'!$E:$E,5))</f>
        <v>0</v>
      </c>
      <c r="P14" s="207">
        <f xml:space="preserve">
IF($A$4&lt;=12,SUMIFS('ON Data'!U:U,'ON Data'!$D:$D,$A$4,'ON Data'!$E:$E,5),SUMIFS('ON Data'!U:U,'ON Data'!$E:$E,5))</f>
        <v>0</v>
      </c>
      <c r="Q14" s="207">
        <f xml:space="preserve">
IF($A$4&lt;=12,SUMIFS('ON Data'!V:V,'ON Data'!$D:$D,$A$4,'ON Data'!$E:$E,5),SUMIFS('ON Data'!V:V,'ON Data'!$E:$E,5))</f>
        <v>0</v>
      </c>
      <c r="R14" s="207">
        <f xml:space="preserve">
IF($A$4&lt;=12,SUMIFS('ON Data'!W:W,'ON Data'!$D:$D,$A$4,'ON Data'!$E:$E,5),SUMIFS('ON Data'!W:W,'ON Data'!$E:$E,5))</f>
        <v>0</v>
      </c>
      <c r="S14" s="207">
        <f xml:space="preserve">
IF($A$4&lt;=12,SUMIFS('ON Data'!X:X,'ON Data'!$D:$D,$A$4,'ON Data'!$E:$E,5),SUMIFS('ON Data'!X:X,'ON Data'!$E:$E,5))</f>
        <v>0</v>
      </c>
      <c r="T14" s="207">
        <f xml:space="preserve">
IF($A$4&lt;=12,SUMIFS('ON Data'!Y:Y,'ON Data'!$D:$D,$A$4,'ON Data'!$E:$E,5),SUMIFS('ON Data'!Y:Y,'ON Data'!$E:$E,5))</f>
        <v>0</v>
      </c>
      <c r="U14" s="207">
        <f xml:space="preserve">
IF($A$4&lt;=12,SUMIFS('ON Data'!Z:Z,'ON Data'!$D:$D,$A$4,'ON Data'!$E:$E,5),SUMIFS('ON Data'!Z:Z,'ON Data'!$E:$E,5))</f>
        <v>0</v>
      </c>
      <c r="V14" s="207">
        <f xml:space="preserve">
IF($A$4&lt;=12,SUMIFS('ON Data'!AA:AA,'ON Data'!$D:$D,$A$4,'ON Data'!$E:$E,5),SUMIFS('ON Data'!AA:AA,'ON Data'!$E:$E,5))</f>
        <v>0</v>
      </c>
      <c r="W14" s="207">
        <f xml:space="preserve">
IF($A$4&lt;=12,SUMIFS('ON Data'!AB:AB,'ON Data'!$D:$D,$A$4,'ON Data'!$E:$E,5),SUMIFS('ON Data'!AB:AB,'ON Data'!$E:$E,5))</f>
        <v>0</v>
      </c>
      <c r="X14" s="207">
        <f xml:space="preserve">
IF($A$4&lt;=12,SUMIFS('ON Data'!AC:AC,'ON Data'!$D:$D,$A$4,'ON Data'!$E:$E,5),SUMIFS('ON Data'!AC:AC,'ON Data'!$E:$E,5))</f>
        <v>0</v>
      </c>
      <c r="Y14" s="207">
        <f xml:space="preserve">
IF($A$4&lt;=12,SUMIFS('ON Data'!AD:AD,'ON Data'!$D:$D,$A$4,'ON Data'!$E:$E,5),SUMIFS('ON Data'!AD:AD,'ON Data'!$E:$E,5))</f>
        <v>0</v>
      </c>
      <c r="Z14" s="207">
        <f xml:space="preserve">
IF($A$4&lt;=12,SUMIFS('ON Data'!AE:AE,'ON Data'!$D:$D,$A$4,'ON Data'!$E:$E,5),SUMIFS('ON Data'!AE:AE,'ON Data'!$E:$E,5))</f>
        <v>0</v>
      </c>
      <c r="AA14" s="207">
        <f xml:space="preserve">
IF($A$4&lt;=12,SUMIFS('ON Data'!AF:AF,'ON Data'!$D:$D,$A$4,'ON Data'!$E:$E,5),SUMIFS('ON Data'!AF:AF,'ON Data'!$E:$E,5))</f>
        <v>0</v>
      </c>
      <c r="AB14" s="207">
        <f xml:space="preserve">
IF($A$4&lt;=12,SUMIFS('ON Data'!AG:AG,'ON Data'!$D:$D,$A$4,'ON Data'!$E:$E,5),SUMIFS('ON Data'!AG:AG,'ON Data'!$E:$E,5))</f>
        <v>0</v>
      </c>
      <c r="AC14" s="207">
        <f xml:space="preserve">
IF($A$4&lt;=12,SUMIFS('ON Data'!AH:AH,'ON Data'!$D:$D,$A$4,'ON Data'!$E:$E,5),SUMIFS('ON Data'!AH:AH,'ON Data'!$E:$E,5))</f>
        <v>0</v>
      </c>
      <c r="AD14" s="207">
        <f xml:space="preserve">
IF($A$4&lt;=12,SUMIFS('ON Data'!AI:AI,'ON Data'!$D:$D,$A$4,'ON Data'!$E:$E,5),SUMIFS('ON Data'!AI:AI,'ON Data'!$E:$E,5))</f>
        <v>0</v>
      </c>
      <c r="AE14" s="207">
        <f xml:space="preserve">
IF($A$4&lt;=12,SUMIFS('ON Data'!AJ:AJ,'ON Data'!$D:$D,$A$4,'ON Data'!$E:$E,5),SUMIFS('ON Data'!AJ:AJ,'ON Data'!$E:$E,5))</f>
        <v>0</v>
      </c>
      <c r="AF14" s="207">
        <f xml:space="preserve">
IF($A$4&lt;=12,SUMIFS('ON Data'!AK:AK,'ON Data'!$D:$D,$A$4,'ON Data'!$E:$E,5),SUMIFS('ON Data'!AK:AK,'ON Data'!$E:$E,5))</f>
        <v>0</v>
      </c>
      <c r="AG14" s="396">
        <f xml:space="preserve">
IF($A$4&lt;=12,SUMIFS('ON Data'!AM:AM,'ON Data'!$D:$D,$A$4,'ON Data'!$E:$E,5),SUMIFS('ON Data'!AM:AM,'ON Data'!$E:$E,5))</f>
        <v>0</v>
      </c>
      <c r="AH14" s="405"/>
    </row>
    <row r="15" spans="1:34" x14ac:dyDescent="0.3">
      <c r="A15" s="126" t="s">
        <v>146</v>
      </c>
      <c r="B15" s="208"/>
      <c r="C15" s="209"/>
      <c r="D15" s="210"/>
      <c r="E15" s="210"/>
      <c r="F15" s="210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  <c r="AA15" s="210"/>
      <c r="AB15" s="210"/>
      <c r="AC15" s="210"/>
      <c r="AD15" s="210"/>
      <c r="AE15" s="210"/>
      <c r="AF15" s="210"/>
      <c r="AG15" s="397"/>
      <c r="AH15" s="405"/>
    </row>
    <row r="16" spans="1:34" x14ac:dyDescent="0.3">
      <c r="A16" s="187" t="s">
        <v>137</v>
      </c>
      <c r="B16" s="202">
        <f xml:space="preserve">
IF($A$4&lt;=12,SUMIFS('ON Data'!F:F,'ON Data'!$D:$D,$A$4,'ON Data'!$E:$E,7),SUMIFS('ON Data'!F:F,'ON Data'!$E:$E,7))</f>
        <v>0</v>
      </c>
      <c r="C16" s="203">
        <f xml:space="preserve">
IF($A$4&lt;=12,SUMIFS('ON Data'!G:G,'ON Data'!$D:$D,$A$4,'ON Data'!$E:$E,7),SUMIFS('ON Data'!G:G,'ON Data'!$E:$E,7))</f>
        <v>0</v>
      </c>
      <c r="D16" s="204">
        <f xml:space="preserve">
IF($A$4&lt;=12,SUMIFS('ON Data'!H:H,'ON Data'!$D:$D,$A$4,'ON Data'!$E:$E,7),SUMIFS('ON Data'!H:H,'ON Data'!$E:$E,7))</f>
        <v>0</v>
      </c>
      <c r="E16" s="204">
        <f xml:space="preserve">
IF($A$4&lt;=12,SUMIFS('ON Data'!I:I,'ON Data'!$D:$D,$A$4,'ON Data'!$E:$E,7),SUMIFS('ON Data'!I:I,'ON Data'!$E:$E,7))</f>
        <v>0</v>
      </c>
      <c r="F16" s="204">
        <f xml:space="preserve">
IF($A$4&lt;=12,SUMIFS('ON Data'!K:K,'ON Data'!$D:$D,$A$4,'ON Data'!$E:$E,7),SUMIFS('ON Data'!K:K,'ON Data'!$E:$E,7))</f>
        <v>0</v>
      </c>
      <c r="G16" s="204">
        <f xml:space="preserve">
IF($A$4&lt;=12,SUMIFS('ON Data'!L:L,'ON Data'!$D:$D,$A$4,'ON Data'!$E:$E,7),SUMIFS('ON Data'!L:L,'ON Data'!$E:$E,7))</f>
        <v>0</v>
      </c>
      <c r="H16" s="204">
        <f xml:space="preserve">
IF($A$4&lt;=12,SUMIFS('ON Data'!M:M,'ON Data'!$D:$D,$A$4,'ON Data'!$E:$E,7),SUMIFS('ON Data'!M:M,'ON Data'!$E:$E,7))</f>
        <v>0</v>
      </c>
      <c r="I16" s="204">
        <f xml:space="preserve">
IF($A$4&lt;=12,SUMIFS('ON Data'!N:N,'ON Data'!$D:$D,$A$4,'ON Data'!$E:$E,7),SUMIFS('ON Data'!N:N,'ON Data'!$E:$E,7))</f>
        <v>0</v>
      </c>
      <c r="J16" s="204">
        <f xml:space="preserve">
IF($A$4&lt;=12,SUMIFS('ON Data'!O:O,'ON Data'!$D:$D,$A$4,'ON Data'!$E:$E,7),SUMIFS('ON Data'!O:O,'ON Data'!$E:$E,7))</f>
        <v>0</v>
      </c>
      <c r="K16" s="204">
        <f xml:space="preserve">
IF($A$4&lt;=12,SUMIFS('ON Data'!P:P,'ON Data'!$D:$D,$A$4,'ON Data'!$E:$E,7),SUMIFS('ON Data'!P:P,'ON Data'!$E:$E,7))</f>
        <v>0</v>
      </c>
      <c r="L16" s="204">
        <f xml:space="preserve">
IF($A$4&lt;=12,SUMIFS('ON Data'!Q:Q,'ON Data'!$D:$D,$A$4,'ON Data'!$E:$E,7),SUMIFS('ON Data'!Q:Q,'ON Data'!$E:$E,7))</f>
        <v>0</v>
      </c>
      <c r="M16" s="204">
        <f xml:space="preserve">
IF($A$4&lt;=12,SUMIFS('ON Data'!R:R,'ON Data'!$D:$D,$A$4,'ON Data'!$E:$E,7),SUMIFS('ON Data'!R:R,'ON Data'!$E:$E,7))</f>
        <v>0</v>
      </c>
      <c r="N16" s="204">
        <f xml:space="preserve">
IF($A$4&lt;=12,SUMIFS('ON Data'!S:S,'ON Data'!$D:$D,$A$4,'ON Data'!$E:$E,7),SUMIFS('ON Data'!S:S,'ON Data'!$E:$E,7))</f>
        <v>0</v>
      </c>
      <c r="O16" s="204">
        <f xml:space="preserve">
IF($A$4&lt;=12,SUMIFS('ON Data'!T:T,'ON Data'!$D:$D,$A$4,'ON Data'!$E:$E,7),SUMIFS('ON Data'!T:T,'ON Data'!$E:$E,7))</f>
        <v>0</v>
      </c>
      <c r="P16" s="204">
        <f xml:space="preserve">
IF($A$4&lt;=12,SUMIFS('ON Data'!U:U,'ON Data'!$D:$D,$A$4,'ON Data'!$E:$E,7),SUMIFS('ON Data'!U:U,'ON Data'!$E:$E,7))</f>
        <v>0</v>
      </c>
      <c r="Q16" s="204">
        <f xml:space="preserve">
IF($A$4&lt;=12,SUMIFS('ON Data'!V:V,'ON Data'!$D:$D,$A$4,'ON Data'!$E:$E,7),SUMIFS('ON Data'!V:V,'ON Data'!$E:$E,7))</f>
        <v>0</v>
      </c>
      <c r="R16" s="204">
        <f xml:space="preserve">
IF($A$4&lt;=12,SUMIFS('ON Data'!W:W,'ON Data'!$D:$D,$A$4,'ON Data'!$E:$E,7),SUMIFS('ON Data'!W:W,'ON Data'!$E:$E,7))</f>
        <v>0</v>
      </c>
      <c r="S16" s="204">
        <f xml:space="preserve">
IF($A$4&lt;=12,SUMIFS('ON Data'!X:X,'ON Data'!$D:$D,$A$4,'ON Data'!$E:$E,7),SUMIFS('ON Data'!X:X,'ON Data'!$E:$E,7))</f>
        <v>0</v>
      </c>
      <c r="T16" s="204">
        <f xml:space="preserve">
IF($A$4&lt;=12,SUMIFS('ON Data'!Y:Y,'ON Data'!$D:$D,$A$4,'ON Data'!$E:$E,7),SUMIFS('ON Data'!Y:Y,'ON Data'!$E:$E,7))</f>
        <v>0</v>
      </c>
      <c r="U16" s="204">
        <f xml:space="preserve">
IF($A$4&lt;=12,SUMIFS('ON Data'!Z:Z,'ON Data'!$D:$D,$A$4,'ON Data'!$E:$E,7),SUMIFS('ON Data'!Z:Z,'ON Data'!$E:$E,7))</f>
        <v>0</v>
      </c>
      <c r="V16" s="204">
        <f xml:space="preserve">
IF($A$4&lt;=12,SUMIFS('ON Data'!AA:AA,'ON Data'!$D:$D,$A$4,'ON Data'!$E:$E,7),SUMIFS('ON Data'!AA:AA,'ON Data'!$E:$E,7))</f>
        <v>0</v>
      </c>
      <c r="W16" s="204">
        <f xml:space="preserve">
IF($A$4&lt;=12,SUMIFS('ON Data'!AB:AB,'ON Data'!$D:$D,$A$4,'ON Data'!$E:$E,7),SUMIFS('ON Data'!AB:AB,'ON Data'!$E:$E,7))</f>
        <v>0</v>
      </c>
      <c r="X16" s="204">
        <f xml:space="preserve">
IF($A$4&lt;=12,SUMIFS('ON Data'!AC:AC,'ON Data'!$D:$D,$A$4,'ON Data'!$E:$E,7),SUMIFS('ON Data'!AC:AC,'ON Data'!$E:$E,7))</f>
        <v>0</v>
      </c>
      <c r="Y16" s="204">
        <f xml:space="preserve">
IF($A$4&lt;=12,SUMIFS('ON Data'!AD:AD,'ON Data'!$D:$D,$A$4,'ON Data'!$E:$E,7),SUMIFS('ON Data'!AD:AD,'ON Data'!$E:$E,7))</f>
        <v>0</v>
      </c>
      <c r="Z16" s="204">
        <f xml:space="preserve">
IF($A$4&lt;=12,SUMIFS('ON Data'!AE:AE,'ON Data'!$D:$D,$A$4,'ON Data'!$E:$E,7),SUMIFS('ON Data'!AE:AE,'ON Data'!$E:$E,7))</f>
        <v>0</v>
      </c>
      <c r="AA16" s="204">
        <f xml:space="preserve">
IF($A$4&lt;=12,SUMIFS('ON Data'!AF:AF,'ON Data'!$D:$D,$A$4,'ON Data'!$E:$E,7),SUMIFS('ON Data'!AF:AF,'ON Data'!$E:$E,7))</f>
        <v>0</v>
      </c>
      <c r="AB16" s="204">
        <f xml:space="preserve">
IF($A$4&lt;=12,SUMIFS('ON Data'!AG:AG,'ON Data'!$D:$D,$A$4,'ON Data'!$E:$E,7),SUMIFS('ON Data'!AG:AG,'ON Data'!$E:$E,7))</f>
        <v>0</v>
      </c>
      <c r="AC16" s="204">
        <f xml:space="preserve">
IF($A$4&lt;=12,SUMIFS('ON Data'!AH:AH,'ON Data'!$D:$D,$A$4,'ON Data'!$E:$E,7),SUMIFS('ON Data'!AH:AH,'ON Data'!$E:$E,7))</f>
        <v>0</v>
      </c>
      <c r="AD16" s="204">
        <f xml:space="preserve">
IF($A$4&lt;=12,SUMIFS('ON Data'!AI:AI,'ON Data'!$D:$D,$A$4,'ON Data'!$E:$E,7),SUMIFS('ON Data'!AI:AI,'ON Data'!$E:$E,7))</f>
        <v>0</v>
      </c>
      <c r="AE16" s="204">
        <f xml:space="preserve">
IF($A$4&lt;=12,SUMIFS('ON Data'!AJ:AJ,'ON Data'!$D:$D,$A$4,'ON Data'!$E:$E,7),SUMIFS('ON Data'!AJ:AJ,'ON Data'!$E:$E,7))</f>
        <v>0</v>
      </c>
      <c r="AF16" s="204">
        <f xml:space="preserve">
IF($A$4&lt;=12,SUMIFS('ON Data'!AK:AK,'ON Data'!$D:$D,$A$4,'ON Data'!$E:$E,7),SUMIFS('ON Data'!AK:AK,'ON Data'!$E:$E,7))</f>
        <v>0</v>
      </c>
      <c r="AG16" s="395">
        <f xml:space="preserve">
IF($A$4&lt;=12,SUMIFS('ON Data'!AM:AM,'ON Data'!$D:$D,$A$4,'ON Data'!$E:$E,7),SUMIFS('ON Data'!AM:AM,'ON Data'!$E:$E,7))</f>
        <v>0</v>
      </c>
      <c r="AH16" s="405"/>
    </row>
    <row r="17" spans="1:34" x14ac:dyDescent="0.3">
      <c r="A17" s="187" t="s">
        <v>138</v>
      </c>
      <c r="B17" s="202">
        <f xml:space="preserve">
IF($A$4&lt;=12,SUMIFS('ON Data'!F:F,'ON Data'!$D:$D,$A$4,'ON Data'!$E:$E,8),SUMIFS('ON Data'!F:F,'ON Data'!$E:$E,8))</f>
        <v>0</v>
      </c>
      <c r="C17" s="203">
        <f xml:space="preserve">
IF($A$4&lt;=12,SUMIFS('ON Data'!G:G,'ON Data'!$D:$D,$A$4,'ON Data'!$E:$E,8),SUMIFS('ON Data'!G:G,'ON Data'!$E:$E,8))</f>
        <v>0</v>
      </c>
      <c r="D17" s="204">
        <f xml:space="preserve">
IF($A$4&lt;=12,SUMIFS('ON Data'!H:H,'ON Data'!$D:$D,$A$4,'ON Data'!$E:$E,8),SUMIFS('ON Data'!H:H,'ON Data'!$E:$E,8))</f>
        <v>0</v>
      </c>
      <c r="E17" s="204">
        <f xml:space="preserve">
IF($A$4&lt;=12,SUMIFS('ON Data'!I:I,'ON Data'!$D:$D,$A$4,'ON Data'!$E:$E,8),SUMIFS('ON Data'!I:I,'ON Data'!$E:$E,8))</f>
        <v>0</v>
      </c>
      <c r="F17" s="204">
        <f xml:space="preserve">
IF($A$4&lt;=12,SUMIFS('ON Data'!K:K,'ON Data'!$D:$D,$A$4,'ON Data'!$E:$E,8),SUMIFS('ON Data'!K:K,'ON Data'!$E:$E,8))</f>
        <v>0</v>
      </c>
      <c r="G17" s="204">
        <f xml:space="preserve">
IF($A$4&lt;=12,SUMIFS('ON Data'!L:L,'ON Data'!$D:$D,$A$4,'ON Data'!$E:$E,8),SUMIFS('ON Data'!L:L,'ON Data'!$E:$E,8))</f>
        <v>0</v>
      </c>
      <c r="H17" s="204">
        <f xml:space="preserve">
IF($A$4&lt;=12,SUMIFS('ON Data'!M:M,'ON Data'!$D:$D,$A$4,'ON Data'!$E:$E,8),SUMIFS('ON Data'!M:M,'ON Data'!$E:$E,8))</f>
        <v>0</v>
      </c>
      <c r="I17" s="204">
        <f xml:space="preserve">
IF($A$4&lt;=12,SUMIFS('ON Data'!N:N,'ON Data'!$D:$D,$A$4,'ON Data'!$E:$E,8),SUMIFS('ON Data'!N:N,'ON Data'!$E:$E,8))</f>
        <v>0</v>
      </c>
      <c r="J17" s="204">
        <f xml:space="preserve">
IF($A$4&lt;=12,SUMIFS('ON Data'!O:O,'ON Data'!$D:$D,$A$4,'ON Data'!$E:$E,8),SUMIFS('ON Data'!O:O,'ON Data'!$E:$E,8))</f>
        <v>0</v>
      </c>
      <c r="K17" s="204">
        <f xml:space="preserve">
IF($A$4&lt;=12,SUMIFS('ON Data'!P:P,'ON Data'!$D:$D,$A$4,'ON Data'!$E:$E,8),SUMIFS('ON Data'!P:P,'ON Data'!$E:$E,8))</f>
        <v>0</v>
      </c>
      <c r="L17" s="204">
        <f xml:space="preserve">
IF($A$4&lt;=12,SUMIFS('ON Data'!Q:Q,'ON Data'!$D:$D,$A$4,'ON Data'!$E:$E,8),SUMIFS('ON Data'!Q:Q,'ON Data'!$E:$E,8))</f>
        <v>0</v>
      </c>
      <c r="M17" s="204">
        <f xml:space="preserve">
IF($A$4&lt;=12,SUMIFS('ON Data'!R:R,'ON Data'!$D:$D,$A$4,'ON Data'!$E:$E,8),SUMIFS('ON Data'!R:R,'ON Data'!$E:$E,8))</f>
        <v>0</v>
      </c>
      <c r="N17" s="204">
        <f xml:space="preserve">
IF($A$4&lt;=12,SUMIFS('ON Data'!S:S,'ON Data'!$D:$D,$A$4,'ON Data'!$E:$E,8),SUMIFS('ON Data'!S:S,'ON Data'!$E:$E,8))</f>
        <v>0</v>
      </c>
      <c r="O17" s="204">
        <f xml:space="preserve">
IF($A$4&lt;=12,SUMIFS('ON Data'!T:T,'ON Data'!$D:$D,$A$4,'ON Data'!$E:$E,8),SUMIFS('ON Data'!T:T,'ON Data'!$E:$E,8))</f>
        <v>0</v>
      </c>
      <c r="P17" s="204">
        <f xml:space="preserve">
IF($A$4&lt;=12,SUMIFS('ON Data'!U:U,'ON Data'!$D:$D,$A$4,'ON Data'!$E:$E,8),SUMIFS('ON Data'!U:U,'ON Data'!$E:$E,8))</f>
        <v>0</v>
      </c>
      <c r="Q17" s="204">
        <f xml:space="preserve">
IF($A$4&lt;=12,SUMIFS('ON Data'!V:V,'ON Data'!$D:$D,$A$4,'ON Data'!$E:$E,8),SUMIFS('ON Data'!V:V,'ON Data'!$E:$E,8))</f>
        <v>0</v>
      </c>
      <c r="R17" s="204">
        <f xml:space="preserve">
IF($A$4&lt;=12,SUMIFS('ON Data'!W:W,'ON Data'!$D:$D,$A$4,'ON Data'!$E:$E,8),SUMIFS('ON Data'!W:W,'ON Data'!$E:$E,8))</f>
        <v>0</v>
      </c>
      <c r="S17" s="204">
        <f xml:space="preserve">
IF($A$4&lt;=12,SUMIFS('ON Data'!X:X,'ON Data'!$D:$D,$A$4,'ON Data'!$E:$E,8),SUMIFS('ON Data'!X:X,'ON Data'!$E:$E,8))</f>
        <v>0</v>
      </c>
      <c r="T17" s="204">
        <f xml:space="preserve">
IF($A$4&lt;=12,SUMIFS('ON Data'!Y:Y,'ON Data'!$D:$D,$A$4,'ON Data'!$E:$E,8),SUMIFS('ON Data'!Y:Y,'ON Data'!$E:$E,8))</f>
        <v>0</v>
      </c>
      <c r="U17" s="204">
        <f xml:space="preserve">
IF($A$4&lt;=12,SUMIFS('ON Data'!Z:Z,'ON Data'!$D:$D,$A$4,'ON Data'!$E:$E,8),SUMIFS('ON Data'!Z:Z,'ON Data'!$E:$E,8))</f>
        <v>0</v>
      </c>
      <c r="V17" s="204">
        <f xml:space="preserve">
IF($A$4&lt;=12,SUMIFS('ON Data'!AA:AA,'ON Data'!$D:$D,$A$4,'ON Data'!$E:$E,8),SUMIFS('ON Data'!AA:AA,'ON Data'!$E:$E,8))</f>
        <v>0</v>
      </c>
      <c r="W17" s="204">
        <f xml:space="preserve">
IF($A$4&lt;=12,SUMIFS('ON Data'!AB:AB,'ON Data'!$D:$D,$A$4,'ON Data'!$E:$E,8),SUMIFS('ON Data'!AB:AB,'ON Data'!$E:$E,8))</f>
        <v>0</v>
      </c>
      <c r="X17" s="204">
        <f xml:space="preserve">
IF($A$4&lt;=12,SUMIFS('ON Data'!AC:AC,'ON Data'!$D:$D,$A$4,'ON Data'!$E:$E,8),SUMIFS('ON Data'!AC:AC,'ON Data'!$E:$E,8))</f>
        <v>0</v>
      </c>
      <c r="Y17" s="204">
        <f xml:space="preserve">
IF($A$4&lt;=12,SUMIFS('ON Data'!AD:AD,'ON Data'!$D:$D,$A$4,'ON Data'!$E:$E,8),SUMIFS('ON Data'!AD:AD,'ON Data'!$E:$E,8))</f>
        <v>0</v>
      </c>
      <c r="Z17" s="204">
        <f xml:space="preserve">
IF($A$4&lt;=12,SUMIFS('ON Data'!AE:AE,'ON Data'!$D:$D,$A$4,'ON Data'!$E:$E,8),SUMIFS('ON Data'!AE:AE,'ON Data'!$E:$E,8))</f>
        <v>0</v>
      </c>
      <c r="AA17" s="204">
        <f xml:space="preserve">
IF($A$4&lt;=12,SUMIFS('ON Data'!AF:AF,'ON Data'!$D:$D,$A$4,'ON Data'!$E:$E,8),SUMIFS('ON Data'!AF:AF,'ON Data'!$E:$E,8))</f>
        <v>0</v>
      </c>
      <c r="AB17" s="204">
        <f xml:space="preserve">
IF($A$4&lt;=12,SUMIFS('ON Data'!AG:AG,'ON Data'!$D:$D,$A$4,'ON Data'!$E:$E,8),SUMIFS('ON Data'!AG:AG,'ON Data'!$E:$E,8))</f>
        <v>0</v>
      </c>
      <c r="AC17" s="204">
        <f xml:space="preserve">
IF($A$4&lt;=12,SUMIFS('ON Data'!AH:AH,'ON Data'!$D:$D,$A$4,'ON Data'!$E:$E,8),SUMIFS('ON Data'!AH:AH,'ON Data'!$E:$E,8))</f>
        <v>0</v>
      </c>
      <c r="AD17" s="204">
        <f xml:space="preserve">
IF($A$4&lt;=12,SUMIFS('ON Data'!AI:AI,'ON Data'!$D:$D,$A$4,'ON Data'!$E:$E,8),SUMIFS('ON Data'!AI:AI,'ON Data'!$E:$E,8))</f>
        <v>0</v>
      </c>
      <c r="AE17" s="204">
        <f xml:space="preserve">
IF($A$4&lt;=12,SUMIFS('ON Data'!AJ:AJ,'ON Data'!$D:$D,$A$4,'ON Data'!$E:$E,8),SUMIFS('ON Data'!AJ:AJ,'ON Data'!$E:$E,8))</f>
        <v>0</v>
      </c>
      <c r="AF17" s="204">
        <f xml:space="preserve">
IF($A$4&lt;=12,SUMIFS('ON Data'!AK:AK,'ON Data'!$D:$D,$A$4,'ON Data'!$E:$E,8),SUMIFS('ON Data'!AK:AK,'ON Data'!$E:$E,8))</f>
        <v>0</v>
      </c>
      <c r="AG17" s="395">
        <f xml:space="preserve">
IF($A$4&lt;=12,SUMIFS('ON Data'!AM:AM,'ON Data'!$D:$D,$A$4,'ON Data'!$E:$E,8),SUMIFS('ON Data'!AM:AM,'ON Data'!$E:$E,8))</f>
        <v>0</v>
      </c>
      <c r="AH17" s="405"/>
    </row>
    <row r="18" spans="1:34" x14ac:dyDescent="0.3">
      <c r="A18" s="187" t="s">
        <v>139</v>
      </c>
      <c r="B18" s="202">
        <f xml:space="preserve">
B19-B16-B17</f>
        <v>67545</v>
      </c>
      <c r="C18" s="203">
        <f t="shared" ref="C18" si="0" xml:space="preserve">
C19-C16-C17</f>
        <v>0</v>
      </c>
      <c r="D18" s="204">
        <f t="shared" ref="D18:AG18" si="1" xml:space="preserve">
D19-D16-D17</f>
        <v>49926</v>
      </c>
      <c r="E18" s="204">
        <f t="shared" si="1"/>
        <v>0</v>
      </c>
      <c r="F18" s="204">
        <f t="shared" si="1"/>
        <v>0</v>
      </c>
      <c r="G18" s="204">
        <f t="shared" si="1"/>
        <v>0</v>
      </c>
      <c r="H18" s="204">
        <f t="shared" si="1"/>
        <v>0</v>
      </c>
      <c r="I18" s="204">
        <f t="shared" si="1"/>
        <v>9752</v>
      </c>
      <c r="J18" s="204">
        <f t="shared" si="1"/>
        <v>0</v>
      </c>
      <c r="K18" s="204">
        <f t="shared" si="1"/>
        <v>0</v>
      </c>
      <c r="L18" s="204">
        <f t="shared" si="1"/>
        <v>0</v>
      </c>
      <c r="M18" s="204">
        <f t="shared" si="1"/>
        <v>0</v>
      </c>
      <c r="N18" s="204">
        <f t="shared" si="1"/>
        <v>0</v>
      </c>
      <c r="O18" s="204">
        <f t="shared" si="1"/>
        <v>0</v>
      </c>
      <c r="P18" s="204">
        <f t="shared" si="1"/>
        <v>0</v>
      </c>
      <c r="Q18" s="204">
        <f t="shared" si="1"/>
        <v>0</v>
      </c>
      <c r="R18" s="204">
        <f t="shared" si="1"/>
        <v>0</v>
      </c>
      <c r="S18" s="204">
        <f t="shared" si="1"/>
        <v>0</v>
      </c>
      <c r="T18" s="204">
        <f t="shared" si="1"/>
        <v>0</v>
      </c>
      <c r="U18" s="204">
        <f t="shared" si="1"/>
        <v>0</v>
      </c>
      <c r="V18" s="204">
        <f t="shared" si="1"/>
        <v>0</v>
      </c>
      <c r="W18" s="204">
        <f t="shared" si="1"/>
        <v>7867</v>
      </c>
      <c r="X18" s="204">
        <f t="shared" si="1"/>
        <v>0</v>
      </c>
      <c r="Y18" s="204">
        <f t="shared" si="1"/>
        <v>0</v>
      </c>
      <c r="Z18" s="204">
        <f t="shared" si="1"/>
        <v>0</v>
      </c>
      <c r="AA18" s="204">
        <f t="shared" si="1"/>
        <v>0</v>
      </c>
      <c r="AB18" s="204">
        <f t="shared" si="1"/>
        <v>0</v>
      </c>
      <c r="AC18" s="204">
        <f t="shared" si="1"/>
        <v>0</v>
      </c>
      <c r="AD18" s="204">
        <f t="shared" si="1"/>
        <v>0</v>
      </c>
      <c r="AE18" s="204">
        <f t="shared" si="1"/>
        <v>0</v>
      </c>
      <c r="AF18" s="204">
        <f t="shared" si="1"/>
        <v>0</v>
      </c>
      <c r="AG18" s="395">
        <f t="shared" si="1"/>
        <v>0</v>
      </c>
      <c r="AH18" s="405"/>
    </row>
    <row r="19" spans="1:34" ht="15" thickBot="1" x14ac:dyDescent="0.35">
      <c r="A19" s="188" t="s">
        <v>140</v>
      </c>
      <c r="B19" s="211">
        <f xml:space="preserve">
IF($A$4&lt;=12,SUMIFS('ON Data'!F:F,'ON Data'!$D:$D,$A$4,'ON Data'!$E:$E,9),SUMIFS('ON Data'!F:F,'ON Data'!$E:$E,9))</f>
        <v>67545</v>
      </c>
      <c r="C19" s="212">
        <f xml:space="preserve">
IF($A$4&lt;=12,SUMIFS('ON Data'!G:G,'ON Data'!$D:$D,$A$4,'ON Data'!$E:$E,9),SUMIFS('ON Data'!G:G,'ON Data'!$E:$E,9))</f>
        <v>0</v>
      </c>
      <c r="D19" s="213">
        <f xml:space="preserve">
IF($A$4&lt;=12,SUMIFS('ON Data'!H:H,'ON Data'!$D:$D,$A$4,'ON Data'!$E:$E,9),SUMIFS('ON Data'!H:H,'ON Data'!$E:$E,9))</f>
        <v>49926</v>
      </c>
      <c r="E19" s="213">
        <f xml:space="preserve">
IF($A$4&lt;=12,SUMIFS('ON Data'!I:I,'ON Data'!$D:$D,$A$4,'ON Data'!$E:$E,9),SUMIFS('ON Data'!I:I,'ON Data'!$E:$E,9))</f>
        <v>0</v>
      </c>
      <c r="F19" s="213">
        <f xml:space="preserve">
IF($A$4&lt;=12,SUMIFS('ON Data'!K:K,'ON Data'!$D:$D,$A$4,'ON Data'!$E:$E,9),SUMIFS('ON Data'!K:K,'ON Data'!$E:$E,9))</f>
        <v>0</v>
      </c>
      <c r="G19" s="213">
        <f xml:space="preserve">
IF($A$4&lt;=12,SUMIFS('ON Data'!L:L,'ON Data'!$D:$D,$A$4,'ON Data'!$E:$E,9),SUMIFS('ON Data'!L:L,'ON Data'!$E:$E,9))</f>
        <v>0</v>
      </c>
      <c r="H19" s="213">
        <f xml:space="preserve">
IF($A$4&lt;=12,SUMIFS('ON Data'!M:M,'ON Data'!$D:$D,$A$4,'ON Data'!$E:$E,9),SUMIFS('ON Data'!M:M,'ON Data'!$E:$E,9))</f>
        <v>0</v>
      </c>
      <c r="I19" s="213">
        <f xml:space="preserve">
IF($A$4&lt;=12,SUMIFS('ON Data'!N:N,'ON Data'!$D:$D,$A$4,'ON Data'!$E:$E,9),SUMIFS('ON Data'!N:N,'ON Data'!$E:$E,9))</f>
        <v>9752</v>
      </c>
      <c r="J19" s="213">
        <f xml:space="preserve">
IF($A$4&lt;=12,SUMIFS('ON Data'!O:O,'ON Data'!$D:$D,$A$4,'ON Data'!$E:$E,9),SUMIFS('ON Data'!O:O,'ON Data'!$E:$E,9))</f>
        <v>0</v>
      </c>
      <c r="K19" s="213">
        <f xml:space="preserve">
IF($A$4&lt;=12,SUMIFS('ON Data'!P:P,'ON Data'!$D:$D,$A$4,'ON Data'!$E:$E,9),SUMIFS('ON Data'!P:P,'ON Data'!$E:$E,9))</f>
        <v>0</v>
      </c>
      <c r="L19" s="213">
        <f xml:space="preserve">
IF($A$4&lt;=12,SUMIFS('ON Data'!Q:Q,'ON Data'!$D:$D,$A$4,'ON Data'!$E:$E,9),SUMIFS('ON Data'!Q:Q,'ON Data'!$E:$E,9))</f>
        <v>0</v>
      </c>
      <c r="M19" s="213">
        <f xml:space="preserve">
IF($A$4&lt;=12,SUMIFS('ON Data'!R:R,'ON Data'!$D:$D,$A$4,'ON Data'!$E:$E,9),SUMIFS('ON Data'!R:R,'ON Data'!$E:$E,9))</f>
        <v>0</v>
      </c>
      <c r="N19" s="213">
        <f xml:space="preserve">
IF($A$4&lt;=12,SUMIFS('ON Data'!S:S,'ON Data'!$D:$D,$A$4,'ON Data'!$E:$E,9),SUMIFS('ON Data'!S:S,'ON Data'!$E:$E,9))</f>
        <v>0</v>
      </c>
      <c r="O19" s="213">
        <f xml:space="preserve">
IF($A$4&lt;=12,SUMIFS('ON Data'!T:T,'ON Data'!$D:$D,$A$4,'ON Data'!$E:$E,9),SUMIFS('ON Data'!T:T,'ON Data'!$E:$E,9))</f>
        <v>0</v>
      </c>
      <c r="P19" s="213">
        <f xml:space="preserve">
IF($A$4&lt;=12,SUMIFS('ON Data'!U:U,'ON Data'!$D:$D,$A$4,'ON Data'!$E:$E,9),SUMIFS('ON Data'!U:U,'ON Data'!$E:$E,9))</f>
        <v>0</v>
      </c>
      <c r="Q19" s="213">
        <f xml:space="preserve">
IF($A$4&lt;=12,SUMIFS('ON Data'!V:V,'ON Data'!$D:$D,$A$4,'ON Data'!$E:$E,9),SUMIFS('ON Data'!V:V,'ON Data'!$E:$E,9))</f>
        <v>0</v>
      </c>
      <c r="R19" s="213">
        <f xml:space="preserve">
IF($A$4&lt;=12,SUMIFS('ON Data'!W:W,'ON Data'!$D:$D,$A$4,'ON Data'!$E:$E,9),SUMIFS('ON Data'!W:W,'ON Data'!$E:$E,9))</f>
        <v>0</v>
      </c>
      <c r="S19" s="213">
        <f xml:space="preserve">
IF($A$4&lt;=12,SUMIFS('ON Data'!X:X,'ON Data'!$D:$D,$A$4,'ON Data'!$E:$E,9),SUMIFS('ON Data'!X:X,'ON Data'!$E:$E,9))</f>
        <v>0</v>
      </c>
      <c r="T19" s="213">
        <f xml:space="preserve">
IF($A$4&lt;=12,SUMIFS('ON Data'!Y:Y,'ON Data'!$D:$D,$A$4,'ON Data'!$E:$E,9),SUMIFS('ON Data'!Y:Y,'ON Data'!$E:$E,9))</f>
        <v>0</v>
      </c>
      <c r="U19" s="213">
        <f xml:space="preserve">
IF($A$4&lt;=12,SUMIFS('ON Data'!Z:Z,'ON Data'!$D:$D,$A$4,'ON Data'!$E:$E,9),SUMIFS('ON Data'!Z:Z,'ON Data'!$E:$E,9))</f>
        <v>0</v>
      </c>
      <c r="V19" s="213">
        <f xml:space="preserve">
IF($A$4&lt;=12,SUMIFS('ON Data'!AA:AA,'ON Data'!$D:$D,$A$4,'ON Data'!$E:$E,9),SUMIFS('ON Data'!AA:AA,'ON Data'!$E:$E,9))</f>
        <v>0</v>
      </c>
      <c r="W19" s="213">
        <f xml:space="preserve">
IF($A$4&lt;=12,SUMIFS('ON Data'!AB:AB,'ON Data'!$D:$D,$A$4,'ON Data'!$E:$E,9),SUMIFS('ON Data'!AB:AB,'ON Data'!$E:$E,9))</f>
        <v>7867</v>
      </c>
      <c r="X19" s="213">
        <f xml:space="preserve">
IF($A$4&lt;=12,SUMIFS('ON Data'!AC:AC,'ON Data'!$D:$D,$A$4,'ON Data'!$E:$E,9),SUMIFS('ON Data'!AC:AC,'ON Data'!$E:$E,9))</f>
        <v>0</v>
      </c>
      <c r="Y19" s="213">
        <f xml:space="preserve">
IF($A$4&lt;=12,SUMIFS('ON Data'!AD:AD,'ON Data'!$D:$D,$A$4,'ON Data'!$E:$E,9),SUMIFS('ON Data'!AD:AD,'ON Data'!$E:$E,9))</f>
        <v>0</v>
      </c>
      <c r="Z19" s="213">
        <f xml:space="preserve">
IF($A$4&lt;=12,SUMIFS('ON Data'!AE:AE,'ON Data'!$D:$D,$A$4,'ON Data'!$E:$E,9),SUMIFS('ON Data'!AE:AE,'ON Data'!$E:$E,9))</f>
        <v>0</v>
      </c>
      <c r="AA19" s="213">
        <f xml:space="preserve">
IF($A$4&lt;=12,SUMIFS('ON Data'!AF:AF,'ON Data'!$D:$D,$A$4,'ON Data'!$E:$E,9),SUMIFS('ON Data'!AF:AF,'ON Data'!$E:$E,9))</f>
        <v>0</v>
      </c>
      <c r="AB19" s="213">
        <f xml:space="preserve">
IF($A$4&lt;=12,SUMIFS('ON Data'!AG:AG,'ON Data'!$D:$D,$A$4,'ON Data'!$E:$E,9),SUMIFS('ON Data'!AG:AG,'ON Data'!$E:$E,9))</f>
        <v>0</v>
      </c>
      <c r="AC19" s="213">
        <f xml:space="preserve">
IF($A$4&lt;=12,SUMIFS('ON Data'!AH:AH,'ON Data'!$D:$D,$A$4,'ON Data'!$E:$E,9),SUMIFS('ON Data'!AH:AH,'ON Data'!$E:$E,9))</f>
        <v>0</v>
      </c>
      <c r="AD19" s="213">
        <f xml:space="preserve">
IF($A$4&lt;=12,SUMIFS('ON Data'!AI:AI,'ON Data'!$D:$D,$A$4,'ON Data'!$E:$E,9),SUMIFS('ON Data'!AI:AI,'ON Data'!$E:$E,9))</f>
        <v>0</v>
      </c>
      <c r="AE19" s="213">
        <f xml:space="preserve">
IF($A$4&lt;=12,SUMIFS('ON Data'!AJ:AJ,'ON Data'!$D:$D,$A$4,'ON Data'!$E:$E,9),SUMIFS('ON Data'!AJ:AJ,'ON Data'!$E:$E,9))</f>
        <v>0</v>
      </c>
      <c r="AF19" s="213">
        <f xml:space="preserve">
IF($A$4&lt;=12,SUMIFS('ON Data'!AK:AK,'ON Data'!$D:$D,$A$4,'ON Data'!$E:$E,9),SUMIFS('ON Data'!AK:AK,'ON Data'!$E:$E,9))</f>
        <v>0</v>
      </c>
      <c r="AG19" s="398">
        <f xml:space="preserve">
IF($A$4&lt;=12,SUMIFS('ON Data'!AM:AM,'ON Data'!$D:$D,$A$4,'ON Data'!$E:$E,9),SUMIFS('ON Data'!AM:AM,'ON Data'!$E:$E,9))</f>
        <v>0</v>
      </c>
      <c r="AH19" s="405"/>
    </row>
    <row r="20" spans="1:34" ht="15" collapsed="1" thickBot="1" x14ac:dyDescent="0.35">
      <c r="A20" s="189" t="s">
        <v>51</v>
      </c>
      <c r="B20" s="214">
        <f xml:space="preserve">
IF($A$4&lt;=12,SUMIFS('ON Data'!F:F,'ON Data'!$D:$D,$A$4,'ON Data'!$E:$E,6),SUMIFS('ON Data'!F:F,'ON Data'!$E:$E,6))</f>
        <v>1361849</v>
      </c>
      <c r="C20" s="215">
        <f xml:space="preserve">
IF($A$4&lt;=12,SUMIFS('ON Data'!G:G,'ON Data'!$D:$D,$A$4,'ON Data'!$E:$E,6),SUMIFS('ON Data'!G:G,'ON Data'!$E:$E,6))</f>
        <v>40000</v>
      </c>
      <c r="D20" s="216">
        <f xml:space="preserve">
IF($A$4&lt;=12,SUMIFS('ON Data'!H:H,'ON Data'!$D:$D,$A$4,'ON Data'!$E:$E,6),SUMIFS('ON Data'!H:H,'ON Data'!$E:$E,6))</f>
        <v>911014</v>
      </c>
      <c r="E20" s="216">
        <f xml:space="preserve">
IF($A$4&lt;=12,SUMIFS('ON Data'!I:I,'ON Data'!$D:$D,$A$4,'ON Data'!$E:$E,6),SUMIFS('ON Data'!I:I,'ON Data'!$E:$E,6))</f>
        <v>0</v>
      </c>
      <c r="F20" s="216">
        <f xml:space="preserve">
IF($A$4&lt;=12,SUMIFS('ON Data'!K:K,'ON Data'!$D:$D,$A$4,'ON Data'!$E:$E,6),SUMIFS('ON Data'!K:K,'ON Data'!$E:$E,6))</f>
        <v>0</v>
      </c>
      <c r="G20" s="216">
        <f xml:space="preserve">
IF($A$4&lt;=12,SUMIFS('ON Data'!L:L,'ON Data'!$D:$D,$A$4,'ON Data'!$E:$E,6),SUMIFS('ON Data'!L:L,'ON Data'!$E:$E,6))</f>
        <v>0</v>
      </c>
      <c r="H20" s="216">
        <f xml:space="preserve">
IF($A$4&lt;=12,SUMIFS('ON Data'!M:M,'ON Data'!$D:$D,$A$4,'ON Data'!$E:$E,6),SUMIFS('ON Data'!M:M,'ON Data'!$E:$E,6))</f>
        <v>0</v>
      </c>
      <c r="I20" s="216">
        <f xml:space="preserve">
IF($A$4&lt;=12,SUMIFS('ON Data'!N:N,'ON Data'!$D:$D,$A$4,'ON Data'!$E:$E,6),SUMIFS('ON Data'!N:N,'ON Data'!$E:$E,6))</f>
        <v>221660</v>
      </c>
      <c r="J20" s="216">
        <f xml:space="preserve">
IF($A$4&lt;=12,SUMIFS('ON Data'!O:O,'ON Data'!$D:$D,$A$4,'ON Data'!$E:$E,6),SUMIFS('ON Data'!O:O,'ON Data'!$E:$E,6))</f>
        <v>0</v>
      </c>
      <c r="K20" s="216">
        <f xml:space="preserve">
IF($A$4&lt;=12,SUMIFS('ON Data'!P:P,'ON Data'!$D:$D,$A$4,'ON Data'!$E:$E,6),SUMIFS('ON Data'!P:P,'ON Data'!$E:$E,6))</f>
        <v>0</v>
      </c>
      <c r="L20" s="216">
        <f xml:space="preserve">
IF($A$4&lt;=12,SUMIFS('ON Data'!Q:Q,'ON Data'!$D:$D,$A$4,'ON Data'!$E:$E,6),SUMIFS('ON Data'!Q:Q,'ON Data'!$E:$E,6))</f>
        <v>0</v>
      </c>
      <c r="M20" s="216">
        <f xml:space="preserve">
IF($A$4&lt;=12,SUMIFS('ON Data'!R:R,'ON Data'!$D:$D,$A$4,'ON Data'!$E:$E,6),SUMIFS('ON Data'!R:R,'ON Data'!$E:$E,6))</f>
        <v>0</v>
      </c>
      <c r="N20" s="216">
        <f xml:space="preserve">
IF($A$4&lt;=12,SUMIFS('ON Data'!S:S,'ON Data'!$D:$D,$A$4,'ON Data'!$E:$E,6),SUMIFS('ON Data'!S:S,'ON Data'!$E:$E,6))</f>
        <v>0</v>
      </c>
      <c r="O20" s="216">
        <f xml:space="preserve">
IF($A$4&lt;=12,SUMIFS('ON Data'!T:T,'ON Data'!$D:$D,$A$4,'ON Data'!$E:$E,6),SUMIFS('ON Data'!T:T,'ON Data'!$E:$E,6))</f>
        <v>0</v>
      </c>
      <c r="P20" s="216">
        <f xml:space="preserve">
IF($A$4&lt;=12,SUMIFS('ON Data'!U:U,'ON Data'!$D:$D,$A$4,'ON Data'!$E:$E,6),SUMIFS('ON Data'!U:U,'ON Data'!$E:$E,6))</f>
        <v>0</v>
      </c>
      <c r="Q20" s="216">
        <f xml:space="preserve">
IF($A$4&lt;=12,SUMIFS('ON Data'!V:V,'ON Data'!$D:$D,$A$4,'ON Data'!$E:$E,6),SUMIFS('ON Data'!V:V,'ON Data'!$E:$E,6))</f>
        <v>0</v>
      </c>
      <c r="R20" s="216">
        <f xml:space="preserve">
IF($A$4&lt;=12,SUMIFS('ON Data'!W:W,'ON Data'!$D:$D,$A$4,'ON Data'!$E:$E,6),SUMIFS('ON Data'!W:W,'ON Data'!$E:$E,6))</f>
        <v>0</v>
      </c>
      <c r="S20" s="216">
        <f xml:space="preserve">
IF($A$4&lt;=12,SUMIFS('ON Data'!X:X,'ON Data'!$D:$D,$A$4,'ON Data'!$E:$E,6),SUMIFS('ON Data'!X:X,'ON Data'!$E:$E,6))</f>
        <v>0</v>
      </c>
      <c r="T20" s="216">
        <f xml:space="preserve">
IF($A$4&lt;=12,SUMIFS('ON Data'!Y:Y,'ON Data'!$D:$D,$A$4,'ON Data'!$E:$E,6),SUMIFS('ON Data'!Y:Y,'ON Data'!$E:$E,6))</f>
        <v>0</v>
      </c>
      <c r="U20" s="216">
        <f xml:space="preserve">
IF($A$4&lt;=12,SUMIFS('ON Data'!Z:Z,'ON Data'!$D:$D,$A$4,'ON Data'!$E:$E,6),SUMIFS('ON Data'!Z:Z,'ON Data'!$E:$E,6))</f>
        <v>0</v>
      </c>
      <c r="V20" s="216">
        <f xml:space="preserve">
IF($A$4&lt;=12,SUMIFS('ON Data'!AA:AA,'ON Data'!$D:$D,$A$4,'ON Data'!$E:$E,6),SUMIFS('ON Data'!AA:AA,'ON Data'!$E:$E,6))</f>
        <v>0</v>
      </c>
      <c r="W20" s="216">
        <f xml:space="preserve">
IF($A$4&lt;=12,SUMIFS('ON Data'!AB:AB,'ON Data'!$D:$D,$A$4,'ON Data'!$E:$E,6),SUMIFS('ON Data'!AB:AB,'ON Data'!$E:$E,6))</f>
        <v>184482</v>
      </c>
      <c r="X20" s="216">
        <f xml:space="preserve">
IF($A$4&lt;=12,SUMIFS('ON Data'!AC:AC,'ON Data'!$D:$D,$A$4,'ON Data'!$E:$E,6),SUMIFS('ON Data'!AC:AC,'ON Data'!$E:$E,6))</f>
        <v>0</v>
      </c>
      <c r="Y20" s="216">
        <f xml:space="preserve">
IF($A$4&lt;=12,SUMIFS('ON Data'!AD:AD,'ON Data'!$D:$D,$A$4,'ON Data'!$E:$E,6),SUMIFS('ON Data'!AD:AD,'ON Data'!$E:$E,6))</f>
        <v>0</v>
      </c>
      <c r="Z20" s="216">
        <f xml:space="preserve">
IF($A$4&lt;=12,SUMIFS('ON Data'!AE:AE,'ON Data'!$D:$D,$A$4,'ON Data'!$E:$E,6),SUMIFS('ON Data'!AE:AE,'ON Data'!$E:$E,6))</f>
        <v>0</v>
      </c>
      <c r="AA20" s="216">
        <f xml:space="preserve">
IF($A$4&lt;=12,SUMIFS('ON Data'!AF:AF,'ON Data'!$D:$D,$A$4,'ON Data'!$E:$E,6),SUMIFS('ON Data'!AF:AF,'ON Data'!$E:$E,6))</f>
        <v>0</v>
      </c>
      <c r="AB20" s="216">
        <f xml:space="preserve">
IF($A$4&lt;=12,SUMIFS('ON Data'!AG:AG,'ON Data'!$D:$D,$A$4,'ON Data'!$E:$E,6),SUMIFS('ON Data'!AG:AG,'ON Data'!$E:$E,6))</f>
        <v>0</v>
      </c>
      <c r="AC20" s="216">
        <f xml:space="preserve">
IF($A$4&lt;=12,SUMIFS('ON Data'!AH:AH,'ON Data'!$D:$D,$A$4,'ON Data'!$E:$E,6),SUMIFS('ON Data'!AH:AH,'ON Data'!$E:$E,6))</f>
        <v>0</v>
      </c>
      <c r="AD20" s="216">
        <f xml:space="preserve">
IF($A$4&lt;=12,SUMIFS('ON Data'!AI:AI,'ON Data'!$D:$D,$A$4,'ON Data'!$E:$E,6),SUMIFS('ON Data'!AI:AI,'ON Data'!$E:$E,6))</f>
        <v>0</v>
      </c>
      <c r="AE20" s="216">
        <f xml:space="preserve">
IF($A$4&lt;=12,SUMIFS('ON Data'!AJ:AJ,'ON Data'!$D:$D,$A$4,'ON Data'!$E:$E,6),SUMIFS('ON Data'!AJ:AJ,'ON Data'!$E:$E,6))</f>
        <v>0</v>
      </c>
      <c r="AF20" s="216">
        <f xml:space="preserve">
IF($A$4&lt;=12,SUMIFS('ON Data'!AK:AK,'ON Data'!$D:$D,$A$4,'ON Data'!$E:$E,6),SUMIFS('ON Data'!AK:AK,'ON Data'!$E:$E,6))</f>
        <v>4693</v>
      </c>
      <c r="AG20" s="399">
        <f xml:space="preserve">
IF($A$4&lt;=12,SUMIFS('ON Data'!AM:AM,'ON Data'!$D:$D,$A$4,'ON Data'!$E:$E,6),SUMIFS('ON Data'!AM:AM,'ON Data'!$E:$E,6))</f>
        <v>0</v>
      </c>
      <c r="AH20" s="405"/>
    </row>
    <row r="21" spans="1:34" ht="15" hidden="1" outlineLevel="1" thickBot="1" x14ac:dyDescent="0.35">
      <c r="A21" s="182" t="s">
        <v>58</v>
      </c>
      <c r="B21" s="202">
        <f xml:space="preserve">
IF($A$4&lt;=12,SUMIFS('ON Data'!F:F,'ON Data'!$D:$D,$A$4,'ON Data'!$E:$E,12),SUMIFS('ON Data'!F:F,'ON Data'!$E:$E,12))</f>
        <v>0</v>
      </c>
      <c r="C21" s="203">
        <f xml:space="preserve">
IF($A$4&lt;=12,SUMIFS('ON Data'!G:G,'ON Data'!$D:$D,$A$4,'ON Data'!$E:$E,12),SUMIFS('ON Data'!G:G,'ON Data'!$E:$E,12))</f>
        <v>0</v>
      </c>
      <c r="D21" s="204">
        <f xml:space="preserve">
IF($A$4&lt;=12,SUMIFS('ON Data'!H:H,'ON Data'!$D:$D,$A$4,'ON Data'!$E:$E,12),SUMIFS('ON Data'!H:H,'ON Data'!$E:$E,12))</f>
        <v>0</v>
      </c>
      <c r="E21" s="204">
        <f xml:space="preserve">
IF($A$4&lt;=12,SUMIFS('ON Data'!I:I,'ON Data'!$D:$D,$A$4,'ON Data'!$E:$E,12),SUMIFS('ON Data'!I:I,'ON Data'!$E:$E,12))</f>
        <v>0</v>
      </c>
      <c r="F21" s="204">
        <f xml:space="preserve">
IF($A$4&lt;=12,SUMIFS('ON Data'!K:K,'ON Data'!$D:$D,$A$4,'ON Data'!$E:$E,12),SUMIFS('ON Data'!K:K,'ON Data'!$E:$E,12))</f>
        <v>0</v>
      </c>
      <c r="G21" s="204">
        <f xml:space="preserve">
IF($A$4&lt;=12,SUMIFS('ON Data'!L:L,'ON Data'!$D:$D,$A$4,'ON Data'!$E:$E,12),SUMIFS('ON Data'!L:L,'ON Data'!$E:$E,12))</f>
        <v>0</v>
      </c>
      <c r="H21" s="204">
        <f xml:space="preserve">
IF($A$4&lt;=12,SUMIFS('ON Data'!M:M,'ON Data'!$D:$D,$A$4,'ON Data'!$E:$E,12),SUMIFS('ON Data'!M:M,'ON Data'!$E:$E,12))</f>
        <v>0</v>
      </c>
      <c r="I21" s="204">
        <f xml:space="preserve">
IF($A$4&lt;=12,SUMIFS('ON Data'!N:N,'ON Data'!$D:$D,$A$4,'ON Data'!$E:$E,12),SUMIFS('ON Data'!N:N,'ON Data'!$E:$E,12))</f>
        <v>0</v>
      </c>
      <c r="J21" s="204">
        <f xml:space="preserve">
IF($A$4&lt;=12,SUMIFS('ON Data'!O:O,'ON Data'!$D:$D,$A$4,'ON Data'!$E:$E,12),SUMIFS('ON Data'!O:O,'ON Data'!$E:$E,12))</f>
        <v>0</v>
      </c>
      <c r="K21" s="204">
        <f xml:space="preserve">
IF($A$4&lt;=12,SUMIFS('ON Data'!P:P,'ON Data'!$D:$D,$A$4,'ON Data'!$E:$E,12),SUMIFS('ON Data'!P:P,'ON Data'!$E:$E,12))</f>
        <v>0</v>
      </c>
      <c r="L21" s="204">
        <f xml:space="preserve">
IF($A$4&lt;=12,SUMIFS('ON Data'!Q:Q,'ON Data'!$D:$D,$A$4,'ON Data'!$E:$E,12),SUMIFS('ON Data'!Q:Q,'ON Data'!$E:$E,12))</f>
        <v>0</v>
      </c>
      <c r="M21" s="204">
        <f xml:space="preserve">
IF($A$4&lt;=12,SUMIFS('ON Data'!R:R,'ON Data'!$D:$D,$A$4,'ON Data'!$E:$E,12),SUMIFS('ON Data'!R:R,'ON Data'!$E:$E,12))</f>
        <v>0</v>
      </c>
      <c r="N21" s="204">
        <f xml:space="preserve">
IF($A$4&lt;=12,SUMIFS('ON Data'!S:S,'ON Data'!$D:$D,$A$4,'ON Data'!$E:$E,12),SUMIFS('ON Data'!S:S,'ON Data'!$E:$E,12))</f>
        <v>0</v>
      </c>
      <c r="O21" s="204">
        <f xml:space="preserve">
IF($A$4&lt;=12,SUMIFS('ON Data'!T:T,'ON Data'!$D:$D,$A$4,'ON Data'!$E:$E,12),SUMIFS('ON Data'!T:T,'ON Data'!$E:$E,12))</f>
        <v>0</v>
      </c>
      <c r="P21" s="204">
        <f xml:space="preserve">
IF($A$4&lt;=12,SUMIFS('ON Data'!U:U,'ON Data'!$D:$D,$A$4,'ON Data'!$E:$E,12),SUMIFS('ON Data'!U:U,'ON Data'!$E:$E,12))</f>
        <v>0</v>
      </c>
      <c r="Q21" s="204">
        <f xml:space="preserve">
IF($A$4&lt;=12,SUMIFS('ON Data'!V:V,'ON Data'!$D:$D,$A$4,'ON Data'!$E:$E,12),SUMIFS('ON Data'!V:V,'ON Data'!$E:$E,12))</f>
        <v>0</v>
      </c>
      <c r="R21" s="204">
        <f xml:space="preserve">
IF($A$4&lt;=12,SUMIFS('ON Data'!W:W,'ON Data'!$D:$D,$A$4,'ON Data'!$E:$E,12),SUMIFS('ON Data'!W:W,'ON Data'!$E:$E,12))</f>
        <v>0</v>
      </c>
      <c r="S21" s="204">
        <f xml:space="preserve">
IF($A$4&lt;=12,SUMIFS('ON Data'!X:X,'ON Data'!$D:$D,$A$4,'ON Data'!$E:$E,12),SUMIFS('ON Data'!X:X,'ON Data'!$E:$E,12))</f>
        <v>0</v>
      </c>
      <c r="T21" s="204">
        <f xml:space="preserve">
IF($A$4&lt;=12,SUMIFS('ON Data'!Y:Y,'ON Data'!$D:$D,$A$4,'ON Data'!$E:$E,12),SUMIFS('ON Data'!Y:Y,'ON Data'!$E:$E,12))</f>
        <v>0</v>
      </c>
      <c r="U21" s="204">
        <f xml:space="preserve">
IF($A$4&lt;=12,SUMIFS('ON Data'!Z:Z,'ON Data'!$D:$D,$A$4,'ON Data'!$E:$E,12),SUMIFS('ON Data'!Z:Z,'ON Data'!$E:$E,12))</f>
        <v>0</v>
      </c>
      <c r="V21" s="204">
        <f xml:space="preserve">
IF($A$4&lt;=12,SUMIFS('ON Data'!AA:AA,'ON Data'!$D:$D,$A$4,'ON Data'!$E:$E,12),SUMIFS('ON Data'!AA:AA,'ON Data'!$E:$E,12))</f>
        <v>0</v>
      </c>
      <c r="W21" s="204">
        <f xml:space="preserve">
IF($A$4&lt;=12,SUMIFS('ON Data'!AB:AB,'ON Data'!$D:$D,$A$4,'ON Data'!$E:$E,12),SUMIFS('ON Data'!AB:AB,'ON Data'!$E:$E,12))</f>
        <v>0</v>
      </c>
      <c r="X21" s="204">
        <f xml:space="preserve">
IF($A$4&lt;=12,SUMIFS('ON Data'!AC:AC,'ON Data'!$D:$D,$A$4,'ON Data'!$E:$E,12),SUMIFS('ON Data'!AC:AC,'ON Data'!$E:$E,12))</f>
        <v>0</v>
      </c>
      <c r="Y21" s="204">
        <f xml:space="preserve">
IF($A$4&lt;=12,SUMIFS('ON Data'!AD:AD,'ON Data'!$D:$D,$A$4,'ON Data'!$E:$E,12),SUMIFS('ON Data'!AD:AD,'ON Data'!$E:$E,12))</f>
        <v>0</v>
      </c>
      <c r="Z21" s="204">
        <f xml:space="preserve">
IF($A$4&lt;=12,SUMIFS('ON Data'!AE:AE,'ON Data'!$D:$D,$A$4,'ON Data'!$E:$E,12),SUMIFS('ON Data'!AE:AE,'ON Data'!$E:$E,12))</f>
        <v>0</v>
      </c>
      <c r="AA21" s="204">
        <f xml:space="preserve">
IF($A$4&lt;=12,SUMIFS('ON Data'!AF:AF,'ON Data'!$D:$D,$A$4,'ON Data'!$E:$E,12),SUMIFS('ON Data'!AF:AF,'ON Data'!$E:$E,12))</f>
        <v>0</v>
      </c>
      <c r="AB21" s="204">
        <f xml:space="preserve">
IF($A$4&lt;=12,SUMIFS('ON Data'!AG:AG,'ON Data'!$D:$D,$A$4,'ON Data'!$E:$E,12),SUMIFS('ON Data'!AG:AG,'ON Data'!$E:$E,12))</f>
        <v>0</v>
      </c>
      <c r="AC21" s="204">
        <f xml:space="preserve">
IF($A$4&lt;=12,SUMIFS('ON Data'!AH:AH,'ON Data'!$D:$D,$A$4,'ON Data'!$E:$E,12),SUMIFS('ON Data'!AH:AH,'ON Data'!$E:$E,12))</f>
        <v>0</v>
      </c>
      <c r="AD21" s="204">
        <f xml:space="preserve">
IF($A$4&lt;=12,SUMIFS('ON Data'!AI:AI,'ON Data'!$D:$D,$A$4,'ON Data'!$E:$E,12),SUMIFS('ON Data'!AI:AI,'ON Data'!$E:$E,12))</f>
        <v>0</v>
      </c>
      <c r="AE21" s="204">
        <f xml:space="preserve">
IF($A$4&lt;=12,SUMIFS('ON Data'!AJ:AJ,'ON Data'!$D:$D,$A$4,'ON Data'!$E:$E,12),SUMIFS('ON Data'!AJ:AJ,'ON Data'!$E:$E,12))</f>
        <v>0</v>
      </c>
      <c r="AF21" s="204">
        <f xml:space="preserve">
IF($A$4&lt;=12,SUMIFS('ON Data'!AK:AK,'ON Data'!$D:$D,$A$4,'ON Data'!$E:$E,12),SUMIFS('ON Data'!AK:AK,'ON Data'!$E:$E,12))</f>
        <v>0</v>
      </c>
      <c r="AG21" s="395">
        <f xml:space="preserve">
IF($A$4&lt;=12,SUMIFS('ON Data'!AM:AM,'ON Data'!$D:$D,$A$4,'ON Data'!$E:$E,12),SUMIFS('ON Data'!AM:AM,'ON Data'!$E:$E,12))</f>
        <v>0</v>
      </c>
      <c r="AH21" s="405"/>
    </row>
    <row r="22" spans="1:34" ht="15" hidden="1" outlineLevel="1" thickBot="1" x14ac:dyDescent="0.35">
      <c r="A22" s="182" t="s">
        <v>53</v>
      </c>
      <c r="B22" s="254" t="str">
        <f xml:space="preserve">
IF(OR(B21="",B21=0),"",B20/B21)</f>
        <v/>
      </c>
      <c r="C22" s="255" t="str">
        <f t="shared" ref="C22:AG22" si="2" xml:space="preserve">
IF(OR(C21="",C21=0),"",C20/C21)</f>
        <v/>
      </c>
      <c r="D22" s="256" t="str">
        <f t="shared" si="2"/>
        <v/>
      </c>
      <c r="E22" s="256" t="str">
        <f t="shared" si="2"/>
        <v/>
      </c>
      <c r="F22" s="256" t="str">
        <f t="shared" si="2"/>
        <v/>
      </c>
      <c r="G22" s="256" t="str">
        <f t="shared" si="2"/>
        <v/>
      </c>
      <c r="H22" s="256" t="str">
        <f t="shared" si="2"/>
        <v/>
      </c>
      <c r="I22" s="256" t="str">
        <f t="shared" si="2"/>
        <v/>
      </c>
      <c r="J22" s="256" t="str">
        <f t="shared" si="2"/>
        <v/>
      </c>
      <c r="K22" s="256" t="str">
        <f t="shared" si="2"/>
        <v/>
      </c>
      <c r="L22" s="256" t="str">
        <f t="shared" si="2"/>
        <v/>
      </c>
      <c r="M22" s="256" t="str">
        <f t="shared" si="2"/>
        <v/>
      </c>
      <c r="N22" s="256" t="str">
        <f t="shared" si="2"/>
        <v/>
      </c>
      <c r="O22" s="256" t="str">
        <f t="shared" si="2"/>
        <v/>
      </c>
      <c r="P22" s="256" t="str">
        <f t="shared" si="2"/>
        <v/>
      </c>
      <c r="Q22" s="256" t="str">
        <f t="shared" si="2"/>
        <v/>
      </c>
      <c r="R22" s="256" t="str">
        <f t="shared" si="2"/>
        <v/>
      </c>
      <c r="S22" s="256" t="str">
        <f t="shared" si="2"/>
        <v/>
      </c>
      <c r="T22" s="256" t="str">
        <f t="shared" si="2"/>
        <v/>
      </c>
      <c r="U22" s="256" t="str">
        <f t="shared" si="2"/>
        <v/>
      </c>
      <c r="V22" s="256" t="str">
        <f t="shared" si="2"/>
        <v/>
      </c>
      <c r="W22" s="256" t="str">
        <f t="shared" si="2"/>
        <v/>
      </c>
      <c r="X22" s="256" t="str">
        <f t="shared" si="2"/>
        <v/>
      </c>
      <c r="Y22" s="256" t="str">
        <f t="shared" si="2"/>
        <v/>
      </c>
      <c r="Z22" s="256" t="str">
        <f t="shared" si="2"/>
        <v/>
      </c>
      <c r="AA22" s="256" t="str">
        <f t="shared" si="2"/>
        <v/>
      </c>
      <c r="AB22" s="256" t="str">
        <f t="shared" si="2"/>
        <v/>
      </c>
      <c r="AC22" s="256" t="str">
        <f t="shared" si="2"/>
        <v/>
      </c>
      <c r="AD22" s="256" t="str">
        <f t="shared" si="2"/>
        <v/>
      </c>
      <c r="AE22" s="256" t="str">
        <f t="shared" si="2"/>
        <v/>
      </c>
      <c r="AF22" s="256" t="str">
        <f t="shared" si="2"/>
        <v/>
      </c>
      <c r="AG22" s="400" t="str">
        <f t="shared" si="2"/>
        <v/>
      </c>
      <c r="AH22" s="405"/>
    </row>
    <row r="23" spans="1:34" ht="15" hidden="1" outlineLevel="1" thickBot="1" x14ac:dyDescent="0.35">
      <c r="A23" s="190" t="s">
        <v>48</v>
      </c>
      <c r="B23" s="205">
        <f xml:space="preserve">
IF(B21="","",B20-B21)</f>
        <v>1361849</v>
      </c>
      <c r="C23" s="206">
        <f t="shared" ref="C23:AG23" si="3" xml:space="preserve">
IF(C21="","",C20-C21)</f>
        <v>40000</v>
      </c>
      <c r="D23" s="207">
        <f t="shared" si="3"/>
        <v>911014</v>
      </c>
      <c r="E23" s="207">
        <f t="shared" si="3"/>
        <v>0</v>
      </c>
      <c r="F23" s="207">
        <f t="shared" si="3"/>
        <v>0</v>
      </c>
      <c r="G23" s="207">
        <f t="shared" si="3"/>
        <v>0</v>
      </c>
      <c r="H23" s="207">
        <f t="shared" si="3"/>
        <v>0</v>
      </c>
      <c r="I23" s="207">
        <f t="shared" si="3"/>
        <v>221660</v>
      </c>
      <c r="J23" s="207">
        <f t="shared" si="3"/>
        <v>0</v>
      </c>
      <c r="K23" s="207">
        <f t="shared" si="3"/>
        <v>0</v>
      </c>
      <c r="L23" s="207">
        <f t="shared" si="3"/>
        <v>0</v>
      </c>
      <c r="M23" s="207">
        <f t="shared" si="3"/>
        <v>0</v>
      </c>
      <c r="N23" s="207">
        <f t="shared" si="3"/>
        <v>0</v>
      </c>
      <c r="O23" s="207">
        <f t="shared" si="3"/>
        <v>0</v>
      </c>
      <c r="P23" s="207">
        <f t="shared" si="3"/>
        <v>0</v>
      </c>
      <c r="Q23" s="207">
        <f t="shared" si="3"/>
        <v>0</v>
      </c>
      <c r="R23" s="207">
        <f t="shared" si="3"/>
        <v>0</v>
      </c>
      <c r="S23" s="207">
        <f t="shared" si="3"/>
        <v>0</v>
      </c>
      <c r="T23" s="207">
        <f t="shared" si="3"/>
        <v>0</v>
      </c>
      <c r="U23" s="207">
        <f t="shared" si="3"/>
        <v>0</v>
      </c>
      <c r="V23" s="207">
        <f t="shared" si="3"/>
        <v>0</v>
      </c>
      <c r="W23" s="207">
        <f t="shared" si="3"/>
        <v>184482</v>
      </c>
      <c r="X23" s="207">
        <f t="shared" si="3"/>
        <v>0</v>
      </c>
      <c r="Y23" s="207">
        <f t="shared" si="3"/>
        <v>0</v>
      </c>
      <c r="Z23" s="207">
        <f t="shared" si="3"/>
        <v>0</v>
      </c>
      <c r="AA23" s="207">
        <f t="shared" si="3"/>
        <v>0</v>
      </c>
      <c r="AB23" s="207">
        <f t="shared" si="3"/>
        <v>0</v>
      </c>
      <c r="AC23" s="207">
        <f t="shared" si="3"/>
        <v>0</v>
      </c>
      <c r="AD23" s="207">
        <f t="shared" si="3"/>
        <v>0</v>
      </c>
      <c r="AE23" s="207">
        <f t="shared" si="3"/>
        <v>0</v>
      </c>
      <c r="AF23" s="207">
        <f t="shared" si="3"/>
        <v>4693</v>
      </c>
      <c r="AG23" s="396">
        <f t="shared" si="3"/>
        <v>0</v>
      </c>
      <c r="AH23" s="405"/>
    </row>
    <row r="24" spans="1:34" x14ac:dyDescent="0.3">
      <c r="A24" s="184" t="s">
        <v>141</v>
      </c>
      <c r="B24" s="231" t="s">
        <v>2</v>
      </c>
      <c r="C24" s="406" t="s">
        <v>152</v>
      </c>
      <c r="D24" s="380"/>
      <c r="E24" s="381"/>
      <c r="F24" s="381" t="s">
        <v>153</v>
      </c>
      <c r="G24" s="381"/>
      <c r="H24" s="381"/>
      <c r="I24" s="381"/>
      <c r="J24" s="381"/>
      <c r="K24" s="381"/>
      <c r="L24" s="381"/>
      <c r="M24" s="381"/>
      <c r="N24" s="381"/>
      <c r="O24" s="381"/>
      <c r="P24" s="381"/>
      <c r="Q24" s="381"/>
      <c r="R24" s="381"/>
      <c r="S24" s="381"/>
      <c r="T24" s="381"/>
      <c r="U24" s="381"/>
      <c r="V24" s="381"/>
      <c r="W24" s="381"/>
      <c r="X24" s="381"/>
      <c r="Y24" s="381"/>
      <c r="Z24" s="381"/>
      <c r="AA24" s="381"/>
      <c r="AB24" s="381"/>
      <c r="AC24" s="381"/>
      <c r="AD24" s="381"/>
      <c r="AE24" s="381"/>
      <c r="AF24" s="381"/>
      <c r="AG24" s="401" t="s">
        <v>154</v>
      </c>
      <c r="AH24" s="405"/>
    </row>
    <row r="25" spans="1:34" x14ac:dyDescent="0.3">
      <c r="A25" s="185" t="s">
        <v>51</v>
      </c>
      <c r="B25" s="202">
        <f xml:space="preserve">
SUM(C25:AG25)</f>
        <v>1100</v>
      </c>
      <c r="C25" s="407">
        <f xml:space="preserve">
IF($A$4&lt;=12,SUMIFS('ON Data'!H:H,'ON Data'!$D:$D,$A$4,'ON Data'!$E:$E,10),SUMIFS('ON Data'!H:H,'ON Data'!$E:$E,10))</f>
        <v>600</v>
      </c>
      <c r="D25" s="382"/>
      <c r="E25" s="383"/>
      <c r="F25" s="383">
        <f xml:space="preserve">
IF($A$4&lt;=12,SUMIFS('ON Data'!K:K,'ON Data'!$D:$D,$A$4,'ON Data'!$E:$E,10),SUMIFS('ON Data'!K:K,'ON Data'!$E:$E,10))</f>
        <v>500</v>
      </c>
      <c r="G25" s="383"/>
      <c r="H25" s="383"/>
      <c r="I25" s="383"/>
      <c r="J25" s="383"/>
      <c r="K25" s="383"/>
      <c r="L25" s="383"/>
      <c r="M25" s="383"/>
      <c r="N25" s="383"/>
      <c r="O25" s="383"/>
      <c r="P25" s="383"/>
      <c r="Q25" s="383"/>
      <c r="R25" s="383"/>
      <c r="S25" s="383"/>
      <c r="T25" s="383"/>
      <c r="U25" s="383"/>
      <c r="V25" s="383"/>
      <c r="W25" s="383"/>
      <c r="X25" s="383"/>
      <c r="Y25" s="383"/>
      <c r="Z25" s="383"/>
      <c r="AA25" s="383"/>
      <c r="AB25" s="383"/>
      <c r="AC25" s="383"/>
      <c r="AD25" s="383"/>
      <c r="AE25" s="383"/>
      <c r="AF25" s="383"/>
      <c r="AG25" s="402">
        <f xml:space="preserve">
IF($A$4&lt;=12,SUMIFS('ON Data'!AM:AM,'ON Data'!$D:$D,$A$4,'ON Data'!$E:$E,10),SUMIFS('ON Data'!AM:AM,'ON Data'!$E:$E,10))</f>
        <v>0</v>
      </c>
      <c r="AH25" s="405"/>
    </row>
    <row r="26" spans="1:34" x14ac:dyDescent="0.3">
      <c r="A26" s="191" t="s">
        <v>151</v>
      </c>
      <c r="B26" s="211">
        <f xml:space="preserve">
SUM(C26:AG26)</f>
        <v>5572.5</v>
      </c>
      <c r="C26" s="407">
        <f xml:space="preserve">
IF($A$4&lt;=12,SUMIFS('ON Data'!H:H,'ON Data'!$D:$D,$A$4,'ON Data'!$E:$E,11),SUMIFS('ON Data'!H:H,'ON Data'!$E:$E,11))</f>
        <v>5572.5</v>
      </c>
      <c r="D26" s="382"/>
      <c r="E26" s="383"/>
      <c r="F26" s="384">
        <f xml:space="preserve">
IF($A$4&lt;=12,SUMIFS('ON Data'!K:K,'ON Data'!$D:$D,$A$4,'ON Data'!$E:$E,11),SUMIFS('ON Data'!K:K,'ON Data'!$E:$E,11))</f>
        <v>0</v>
      </c>
      <c r="G26" s="384"/>
      <c r="H26" s="384"/>
      <c r="I26" s="384"/>
      <c r="J26" s="384"/>
      <c r="K26" s="384"/>
      <c r="L26" s="384"/>
      <c r="M26" s="384"/>
      <c r="N26" s="384"/>
      <c r="O26" s="384"/>
      <c r="P26" s="384"/>
      <c r="Q26" s="384"/>
      <c r="R26" s="384"/>
      <c r="S26" s="384"/>
      <c r="T26" s="384"/>
      <c r="U26" s="384"/>
      <c r="V26" s="384"/>
      <c r="W26" s="384"/>
      <c r="X26" s="384"/>
      <c r="Y26" s="384"/>
      <c r="Z26" s="384"/>
      <c r="AA26" s="384"/>
      <c r="AB26" s="384"/>
      <c r="AC26" s="384"/>
      <c r="AD26" s="384"/>
      <c r="AE26" s="384"/>
      <c r="AF26" s="384"/>
      <c r="AG26" s="402">
        <f xml:space="preserve">
IF($A$4&lt;=12,SUMIFS('ON Data'!AM:AM,'ON Data'!$D:$D,$A$4,'ON Data'!$E:$E,11),SUMIFS('ON Data'!AM:AM,'ON Data'!$E:$E,11))</f>
        <v>0</v>
      </c>
      <c r="AH26" s="405"/>
    </row>
    <row r="27" spans="1:34" x14ac:dyDescent="0.3">
      <c r="A27" s="191" t="s">
        <v>53</v>
      </c>
      <c r="B27" s="232">
        <f xml:space="preserve">
IF(B26=0,0,B25/B26)</f>
        <v>0.19739793629430238</v>
      </c>
      <c r="C27" s="408">
        <f xml:space="preserve">
IF(C26=0,0,C25/C26)</f>
        <v>0.10767160161507403</v>
      </c>
      <c r="D27" s="385"/>
      <c r="E27" s="386"/>
      <c r="F27" s="386">
        <f xml:space="preserve">
IF(F26=0,0,F25/F26)</f>
        <v>0</v>
      </c>
      <c r="G27" s="386"/>
      <c r="H27" s="386"/>
      <c r="I27" s="386"/>
      <c r="J27" s="386"/>
      <c r="K27" s="386"/>
      <c r="L27" s="386"/>
      <c r="M27" s="386"/>
      <c r="N27" s="386"/>
      <c r="O27" s="386"/>
      <c r="P27" s="386"/>
      <c r="Q27" s="386"/>
      <c r="R27" s="386"/>
      <c r="S27" s="386"/>
      <c r="T27" s="386"/>
      <c r="U27" s="386"/>
      <c r="V27" s="386"/>
      <c r="W27" s="386"/>
      <c r="X27" s="386"/>
      <c r="Y27" s="386"/>
      <c r="Z27" s="386"/>
      <c r="AA27" s="386"/>
      <c r="AB27" s="386"/>
      <c r="AC27" s="386"/>
      <c r="AD27" s="386"/>
      <c r="AE27" s="386"/>
      <c r="AF27" s="386"/>
      <c r="AG27" s="403">
        <f xml:space="preserve">
IF(AG26=0,0,AG25/AG26)</f>
        <v>0</v>
      </c>
      <c r="AH27" s="405"/>
    </row>
    <row r="28" spans="1:34" ht="15" thickBot="1" x14ac:dyDescent="0.35">
      <c r="A28" s="191" t="s">
        <v>150</v>
      </c>
      <c r="B28" s="211">
        <f xml:space="preserve">
SUM(C28:AG28)</f>
        <v>4472.5</v>
      </c>
      <c r="C28" s="409">
        <f xml:space="preserve">
C26-C25</f>
        <v>4972.5</v>
      </c>
      <c r="D28" s="387"/>
      <c r="E28" s="388"/>
      <c r="F28" s="388">
        <f xml:space="preserve">
F26-F25</f>
        <v>-500</v>
      </c>
      <c r="G28" s="388"/>
      <c r="H28" s="388"/>
      <c r="I28" s="388"/>
      <c r="J28" s="388"/>
      <c r="K28" s="388"/>
      <c r="L28" s="388"/>
      <c r="M28" s="388"/>
      <c r="N28" s="388"/>
      <c r="O28" s="388"/>
      <c r="P28" s="388"/>
      <c r="Q28" s="388"/>
      <c r="R28" s="388"/>
      <c r="S28" s="388"/>
      <c r="T28" s="388"/>
      <c r="U28" s="388"/>
      <c r="V28" s="388"/>
      <c r="W28" s="388"/>
      <c r="X28" s="388"/>
      <c r="Y28" s="388"/>
      <c r="Z28" s="388"/>
      <c r="AA28" s="388"/>
      <c r="AB28" s="388"/>
      <c r="AC28" s="388"/>
      <c r="AD28" s="388"/>
      <c r="AE28" s="388"/>
      <c r="AF28" s="388"/>
      <c r="AG28" s="404">
        <f xml:space="preserve">
AG26-AG25</f>
        <v>0</v>
      </c>
      <c r="AH28" s="405"/>
    </row>
    <row r="29" spans="1:34" x14ac:dyDescent="0.3">
      <c r="A29" s="192"/>
      <c r="B29" s="192"/>
      <c r="C29" s="193"/>
      <c r="D29" s="192"/>
      <c r="E29" s="192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2"/>
      <c r="AF29" s="192"/>
      <c r="AG29" s="192"/>
    </row>
    <row r="30" spans="1:34" x14ac:dyDescent="0.3">
      <c r="A30" s="79" t="s">
        <v>85</v>
      </c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114"/>
    </row>
    <row r="31" spans="1:34" x14ac:dyDescent="0.3">
      <c r="A31" s="80" t="s">
        <v>148</v>
      </c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114"/>
    </row>
    <row r="32" spans="1:34" ht="14.4" customHeight="1" x14ac:dyDescent="0.3">
      <c r="A32" s="228" t="s">
        <v>145</v>
      </c>
      <c r="B32" s="229"/>
      <c r="C32" s="229"/>
      <c r="D32" s="229"/>
      <c r="E32" s="229"/>
      <c r="F32" s="229"/>
      <c r="G32" s="229"/>
      <c r="H32" s="229"/>
      <c r="I32" s="229"/>
      <c r="J32" s="229"/>
      <c r="K32" s="229"/>
      <c r="L32" s="229"/>
      <c r="M32" s="229"/>
      <c r="N32" s="229"/>
      <c r="O32" s="229"/>
      <c r="P32" s="229"/>
      <c r="Q32" s="229"/>
      <c r="R32" s="229"/>
      <c r="S32" s="229"/>
      <c r="T32" s="229"/>
      <c r="U32" s="229"/>
      <c r="V32" s="229"/>
      <c r="W32" s="229"/>
      <c r="X32" s="229"/>
      <c r="Y32" s="229"/>
      <c r="Z32" s="229"/>
      <c r="AA32" s="229"/>
      <c r="AB32" s="229"/>
      <c r="AC32" s="229"/>
      <c r="AD32" s="229"/>
      <c r="AE32" s="229"/>
      <c r="AF32" s="229"/>
    </row>
    <row r="33" spans="1:1" x14ac:dyDescent="0.3">
      <c r="A33" s="230" t="s">
        <v>155</v>
      </c>
    </row>
    <row r="34" spans="1:1" x14ac:dyDescent="0.3">
      <c r="A34" s="230" t="s">
        <v>156</v>
      </c>
    </row>
    <row r="35" spans="1:1" x14ac:dyDescent="0.3">
      <c r="A35" s="230" t="s">
        <v>157</v>
      </c>
    </row>
    <row r="36" spans="1:1" x14ac:dyDescent="0.3">
      <c r="A36" s="230" t="s">
        <v>158</v>
      </c>
    </row>
  </sheetData>
  <mergeCells count="12">
    <mergeCell ref="C28:E28"/>
    <mergeCell ref="C27:E27"/>
    <mergeCell ref="F27:AF27"/>
    <mergeCell ref="F28:AF28"/>
    <mergeCell ref="C25:E25"/>
    <mergeCell ref="C26:E26"/>
    <mergeCell ref="F24:AF24"/>
    <mergeCell ref="F25:AF25"/>
    <mergeCell ref="F26:AF26"/>
    <mergeCell ref="A1:AG1"/>
    <mergeCell ref="B3:B4"/>
    <mergeCell ref="C24:E24"/>
  </mergeCells>
  <conditionalFormatting sqref="C27 AG27 F27">
    <cfRule type="cellIs" dxfId="3" priority="4" operator="greaterThan">
      <formula>1</formula>
    </cfRule>
  </conditionalFormatting>
  <conditionalFormatting sqref="C28 AG28 F28">
    <cfRule type="cellIs" dxfId="2" priority="3" operator="lessThan">
      <formula>0</formula>
    </cfRule>
  </conditionalFormatting>
  <conditionalFormatting sqref="B22:AG22">
    <cfRule type="cellIs" dxfId="1" priority="2" operator="greaterThan">
      <formula>1</formula>
    </cfRule>
  </conditionalFormatting>
  <conditionalFormatting sqref="B23:AG23">
    <cfRule type="cellIs" dxfId="0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52"/>
  <sheetViews>
    <sheetView showGridLines="0" showRowColHeaders="0" workbookViewId="0"/>
  </sheetViews>
  <sheetFormatPr defaultRowHeight="14.4" x14ac:dyDescent="0.3"/>
  <cols>
    <col min="1" max="16384" width="8.88671875" style="171"/>
  </cols>
  <sheetData>
    <row r="1" spans="1:40" x14ac:dyDescent="0.3">
      <c r="A1" s="171" t="s">
        <v>354</v>
      </c>
    </row>
    <row r="2" spans="1:40" x14ac:dyDescent="0.3">
      <c r="A2" s="175" t="s">
        <v>199</v>
      </c>
    </row>
    <row r="3" spans="1:40" x14ac:dyDescent="0.3">
      <c r="A3" s="171" t="s">
        <v>115</v>
      </c>
      <c r="B3" s="196">
        <v>2014</v>
      </c>
      <c r="D3" s="172">
        <f>MAX(D5:D1048576)</f>
        <v>9</v>
      </c>
      <c r="F3" s="172">
        <f>SUMIF($E5:$E1048576,"&lt;10",F5:F1048576)</f>
        <v>1435192.5</v>
      </c>
      <c r="G3" s="172">
        <f t="shared" ref="G3:AN3" si="0">SUMIF($E5:$E1048576,"&lt;10",G5:G1048576)</f>
        <v>40160</v>
      </c>
      <c r="H3" s="172">
        <f t="shared" si="0"/>
        <v>963752.5</v>
      </c>
      <c r="I3" s="172">
        <f t="shared" si="0"/>
        <v>0</v>
      </c>
      <c r="J3" s="172">
        <f t="shared" si="0"/>
        <v>0</v>
      </c>
      <c r="K3" s="172">
        <f t="shared" si="0"/>
        <v>0</v>
      </c>
      <c r="L3" s="172">
        <f t="shared" si="0"/>
        <v>0</v>
      </c>
      <c r="M3" s="172">
        <f t="shared" si="0"/>
        <v>0</v>
      </c>
      <c r="N3" s="172">
        <f t="shared" si="0"/>
        <v>232797</v>
      </c>
      <c r="O3" s="172">
        <f t="shared" si="0"/>
        <v>0</v>
      </c>
      <c r="P3" s="172">
        <f t="shared" si="0"/>
        <v>0</v>
      </c>
      <c r="Q3" s="172">
        <f t="shared" si="0"/>
        <v>0</v>
      </c>
      <c r="R3" s="172">
        <f t="shared" si="0"/>
        <v>0</v>
      </c>
      <c r="S3" s="172">
        <f t="shared" si="0"/>
        <v>0</v>
      </c>
      <c r="T3" s="172">
        <f t="shared" si="0"/>
        <v>0</v>
      </c>
      <c r="U3" s="172">
        <f t="shared" si="0"/>
        <v>0</v>
      </c>
      <c r="V3" s="172">
        <f t="shared" si="0"/>
        <v>0</v>
      </c>
      <c r="W3" s="172">
        <f t="shared" si="0"/>
        <v>0</v>
      </c>
      <c r="X3" s="172">
        <f t="shared" si="0"/>
        <v>0</v>
      </c>
      <c r="Y3" s="172">
        <f t="shared" si="0"/>
        <v>0</v>
      </c>
      <c r="Z3" s="172">
        <f t="shared" si="0"/>
        <v>0</v>
      </c>
      <c r="AA3" s="172">
        <f t="shared" si="0"/>
        <v>0</v>
      </c>
      <c r="AB3" s="172">
        <f t="shared" si="0"/>
        <v>193790</v>
      </c>
      <c r="AC3" s="172">
        <f t="shared" si="0"/>
        <v>0</v>
      </c>
      <c r="AD3" s="172">
        <f t="shared" si="0"/>
        <v>0</v>
      </c>
      <c r="AE3" s="172">
        <f t="shared" si="0"/>
        <v>0</v>
      </c>
      <c r="AF3" s="172">
        <f t="shared" si="0"/>
        <v>0</v>
      </c>
      <c r="AG3" s="172">
        <f t="shared" si="0"/>
        <v>0</v>
      </c>
      <c r="AH3" s="172">
        <f t="shared" si="0"/>
        <v>0</v>
      </c>
      <c r="AI3" s="172">
        <f t="shared" si="0"/>
        <v>0</v>
      </c>
      <c r="AJ3" s="172">
        <f t="shared" si="0"/>
        <v>0</v>
      </c>
      <c r="AK3" s="172">
        <f t="shared" si="0"/>
        <v>4693</v>
      </c>
      <c r="AL3" s="172">
        <f t="shared" si="0"/>
        <v>0</v>
      </c>
      <c r="AM3" s="172">
        <f t="shared" si="0"/>
        <v>0</v>
      </c>
      <c r="AN3" s="172">
        <f t="shared" si="0"/>
        <v>0</v>
      </c>
    </row>
    <row r="4" spans="1:40" x14ac:dyDescent="0.3">
      <c r="A4" s="171" t="s">
        <v>116</v>
      </c>
      <c r="B4" s="196">
        <v>1</v>
      </c>
      <c r="C4" s="173" t="s">
        <v>4</v>
      </c>
      <c r="D4" s="174" t="s">
        <v>47</v>
      </c>
      <c r="E4" s="174" t="s">
        <v>110</v>
      </c>
      <c r="F4" s="174" t="s">
        <v>2</v>
      </c>
      <c r="G4" s="174" t="s">
        <v>111</v>
      </c>
      <c r="H4" s="174" t="s">
        <v>112</v>
      </c>
      <c r="I4" s="174" t="s">
        <v>113</v>
      </c>
      <c r="J4" s="174" t="s">
        <v>114</v>
      </c>
      <c r="K4" s="174">
        <v>305</v>
      </c>
      <c r="L4" s="174">
        <v>306</v>
      </c>
      <c r="M4" s="174">
        <v>408</v>
      </c>
      <c r="N4" s="174">
        <v>409</v>
      </c>
      <c r="O4" s="174">
        <v>410</v>
      </c>
      <c r="P4" s="174">
        <v>415</v>
      </c>
      <c r="Q4" s="174">
        <v>416</v>
      </c>
      <c r="R4" s="174">
        <v>418</v>
      </c>
      <c r="S4" s="174">
        <v>419</v>
      </c>
      <c r="T4" s="174">
        <v>420</v>
      </c>
      <c r="U4" s="174">
        <v>421</v>
      </c>
      <c r="V4" s="174">
        <v>522</v>
      </c>
      <c r="W4" s="174">
        <v>523</v>
      </c>
      <c r="X4" s="174">
        <v>524</v>
      </c>
      <c r="Y4" s="174">
        <v>525</v>
      </c>
      <c r="Z4" s="174">
        <v>526</v>
      </c>
      <c r="AA4" s="174">
        <v>527</v>
      </c>
      <c r="AB4" s="174">
        <v>528</v>
      </c>
      <c r="AC4" s="174">
        <v>629</v>
      </c>
      <c r="AD4" s="174">
        <v>630</v>
      </c>
      <c r="AE4" s="174">
        <v>636</v>
      </c>
      <c r="AF4" s="174">
        <v>637</v>
      </c>
      <c r="AG4" s="174">
        <v>640</v>
      </c>
      <c r="AH4" s="174">
        <v>642</v>
      </c>
      <c r="AI4" s="174">
        <v>743</v>
      </c>
      <c r="AJ4" s="174">
        <v>745</v>
      </c>
      <c r="AK4" s="174">
        <v>746</v>
      </c>
      <c r="AL4" s="174">
        <v>747</v>
      </c>
      <c r="AM4" s="174">
        <v>930</v>
      </c>
      <c r="AN4" s="174">
        <v>940</v>
      </c>
    </row>
    <row r="5" spans="1:40" x14ac:dyDescent="0.3">
      <c r="A5" s="171" t="s">
        <v>117</v>
      </c>
      <c r="B5" s="196">
        <v>2</v>
      </c>
      <c r="C5" s="171">
        <v>54</v>
      </c>
      <c r="D5" s="171">
        <v>1</v>
      </c>
      <c r="E5" s="171">
        <v>1</v>
      </c>
      <c r="F5" s="171">
        <v>4.0999999999999996</v>
      </c>
      <c r="G5" s="171">
        <v>0</v>
      </c>
      <c r="H5" s="171">
        <v>2.1</v>
      </c>
      <c r="I5" s="171">
        <v>0</v>
      </c>
      <c r="J5" s="171">
        <v>0</v>
      </c>
      <c r="K5" s="171">
        <v>0</v>
      </c>
      <c r="L5" s="171">
        <v>0</v>
      </c>
      <c r="M5" s="171">
        <v>0</v>
      </c>
      <c r="N5" s="171">
        <v>1</v>
      </c>
      <c r="O5" s="171">
        <v>0</v>
      </c>
      <c r="P5" s="171">
        <v>0</v>
      </c>
      <c r="Q5" s="171">
        <v>0</v>
      </c>
      <c r="R5" s="171">
        <v>0</v>
      </c>
      <c r="S5" s="171">
        <v>0</v>
      </c>
      <c r="T5" s="171">
        <v>0</v>
      </c>
      <c r="U5" s="171">
        <v>0</v>
      </c>
      <c r="V5" s="171">
        <v>0</v>
      </c>
      <c r="W5" s="171">
        <v>0</v>
      </c>
      <c r="X5" s="171">
        <v>0</v>
      </c>
      <c r="Y5" s="171">
        <v>0</v>
      </c>
      <c r="Z5" s="171">
        <v>0</v>
      </c>
      <c r="AA5" s="171">
        <v>0</v>
      </c>
      <c r="AB5" s="171">
        <v>1</v>
      </c>
      <c r="AC5" s="171">
        <v>0</v>
      </c>
      <c r="AD5" s="171">
        <v>0</v>
      </c>
      <c r="AE5" s="171">
        <v>0</v>
      </c>
      <c r="AF5" s="171">
        <v>0</v>
      </c>
      <c r="AG5" s="171">
        <v>0</v>
      </c>
      <c r="AH5" s="171">
        <v>0</v>
      </c>
      <c r="AI5" s="171">
        <v>0</v>
      </c>
      <c r="AJ5" s="171">
        <v>0</v>
      </c>
      <c r="AK5" s="171">
        <v>0</v>
      </c>
      <c r="AL5" s="171">
        <v>0</v>
      </c>
      <c r="AM5" s="171">
        <v>0</v>
      </c>
      <c r="AN5" s="171">
        <v>0</v>
      </c>
    </row>
    <row r="6" spans="1:40" x14ac:dyDescent="0.3">
      <c r="A6" s="171" t="s">
        <v>118</v>
      </c>
      <c r="B6" s="196">
        <v>3</v>
      </c>
      <c r="C6" s="171">
        <v>54</v>
      </c>
      <c r="D6" s="171">
        <v>1</v>
      </c>
      <c r="E6" s="171">
        <v>2</v>
      </c>
      <c r="F6" s="171">
        <v>714.4</v>
      </c>
      <c r="G6" s="171">
        <v>0</v>
      </c>
      <c r="H6" s="171">
        <v>362.4</v>
      </c>
      <c r="I6" s="171">
        <v>0</v>
      </c>
      <c r="J6" s="171">
        <v>0</v>
      </c>
      <c r="K6" s="171">
        <v>0</v>
      </c>
      <c r="L6" s="171">
        <v>0</v>
      </c>
      <c r="M6" s="171">
        <v>0</v>
      </c>
      <c r="N6" s="171">
        <v>168</v>
      </c>
      <c r="O6" s="171">
        <v>0</v>
      </c>
      <c r="P6" s="171">
        <v>0</v>
      </c>
      <c r="Q6" s="171">
        <v>0</v>
      </c>
      <c r="R6" s="171">
        <v>0</v>
      </c>
      <c r="S6" s="171">
        <v>0</v>
      </c>
      <c r="T6" s="171">
        <v>0</v>
      </c>
      <c r="U6" s="171">
        <v>0</v>
      </c>
      <c r="V6" s="171">
        <v>0</v>
      </c>
      <c r="W6" s="171">
        <v>0</v>
      </c>
      <c r="X6" s="171">
        <v>0</v>
      </c>
      <c r="Y6" s="171">
        <v>0</v>
      </c>
      <c r="Z6" s="171">
        <v>0</v>
      </c>
      <c r="AA6" s="171">
        <v>0</v>
      </c>
      <c r="AB6" s="171">
        <v>184</v>
      </c>
      <c r="AC6" s="171">
        <v>0</v>
      </c>
      <c r="AD6" s="171">
        <v>0</v>
      </c>
      <c r="AE6" s="171">
        <v>0</v>
      </c>
      <c r="AF6" s="171">
        <v>0</v>
      </c>
      <c r="AG6" s="171">
        <v>0</v>
      </c>
      <c r="AH6" s="171">
        <v>0</v>
      </c>
      <c r="AI6" s="171">
        <v>0</v>
      </c>
      <c r="AJ6" s="171">
        <v>0</v>
      </c>
      <c r="AK6" s="171">
        <v>0</v>
      </c>
      <c r="AL6" s="171">
        <v>0</v>
      </c>
      <c r="AM6" s="171">
        <v>0</v>
      </c>
      <c r="AN6" s="171">
        <v>0</v>
      </c>
    </row>
    <row r="7" spans="1:40" x14ac:dyDescent="0.3">
      <c r="A7" s="171" t="s">
        <v>119</v>
      </c>
      <c r="B7" s="196">
        <v>4</v>
      </c>
      <c r="C7" s="171">
        <v>54</v>
      </c>
      <c r="D7" s="171">
        <v>1</v>
      </c>
      <c r="E7" s="171">
        <v>6</v>
      </c>
      <c r="F7" s="171">
        <v>138858</v>
      </c>
      <c r="G7" s="171">
        <v>0</v>
      </c>
      <c r="H7" s="171">
        <v>97900</v>
      </c>
      <c r="I7" s="171">
        <v>0</v>
      </c>
      <c r="J7" s="171">
        <v>0</v>
      </c>
      <c r="K7" s="171">
        <v>0</v>
      </c>
      <c r="L7" s="171">
        <v>0</v>
      </c>
      <c r="M7" s="171">
        <v>0</v>
      </c>
      <c r="N7" s="171">
        <v>23018</v>
      </c>
      <c r="O7" s="171">
        <v>0</v>
      </c>
      <c r="P7" s="171">
        <v>0</v>
      </c>
      <c r="Q7" s="171">
        <v>0</v>
      </c>
      <c r="R7" s="171">
        <v>0</v>
      </c>
      <c r="S7" s="171">
        <v>0</v>
      </c>
      <c r="T7" s="171">
        <v>0</v>
      </c>
      <c r="U7" s="171">
        <v>0</v>
      </c>
      <c r="V7" s="171">
        <v>0</v>
      </c>
      <c r="W7" s="171">
        <v>0</v>
      </c>
      <c r="X7" s="171">
        <v>0</v>
      </c>
      <c r="Y7" s="171">
        <v>0</v>
      </c>
      <c r="Z7" s="171">
        <v>0</v>
      </c>
      <c r="AA7" s="171">
        <v>0</v>
      </c>
      <c r="AB7" s="171">
        <v>17340</v>
      </c>
      <c r="AC7" s="171">
        <v>0</v>
      </c>
      <c r="AD7" s="171">
        <v>0</v>
      </c>
      <c r="AE7" s="171">
        <v>0</v>
      </c>
      <c r="AF7" s="171">
        <v>0</v>
      </c>
      <c r="AG7" s="171">
        <v>0</v>
      </c>
      <c r="AH7" s="171">
        <v>0</v>
      </c>
      <c r="AI7" s="171">
        <v>0</v>
      </c>
      <c r="AJ7" s="171">
        <v>0</v>
      </c>
      <c r="AK7" s="171">
        <v>600</v>
      </c>
      <c r="AL7" s="171">
        <v>0</v>
      </c>
      <c r="AM7" s="171">
        <v>0</v>
      </c>
      <c r="AN7" s="171">
        <v>0</v>
      </c>
    </row>
    <row r="8" spans="1:40" x14ac:dyDescent="0.3">
      <c r="A8" s="171" t="s">
        <v>120</v>
      </c>
      <c r="B8" s="196">
        <v>5</v>
      </c>
      <c r="C8" s="171">
        <v>54</v>
      </c>
      <c r="D8" s="171">
        <v>1</v>
      </c>
      <c r="E8" s="171">
        <v>11</v>
      </c>
      <c r="F8" s="171">
        <v>619.16666666666663</v>
      </c>
      <c r="G8" s="171">
        <v>0</v>
      </c>
      <c r="H8" s="171">
        <v>619.16666666666663</v>
      </c>
      <c r="I8" s="171">
        <v>0</v>
      </c>
      <c r="J8" s="171">
        <v>0</v>
      </c>
      <c r="K8" s="171">
        <v>0</v>
      </c>
      <c r="L8" s="171">
        <v>0</v>
      </c>
      <c r="M8" s="171">
        <v>0</v>
      </c>
      <c r="N8" s="171">
        <v>0</v>
      </c>
      <c r="O8" s="171">
        <v>0</v>
      </c>
      <c r="P8" s="171">
        <v>0</v>
      </c>
      <c r="Q8" s="171">
        <v>0</v>
      </c>
      <c r="R8" s="171">
        <v>0</v>
      </c>
      <c r="S8" s="171">
        <v>0</v>
      </c>
      <c r="T8" s="171">
        <v>0</v>
      </c>
      <c r="U8" s="171">
        <v>0</v>
      </c>
      <c r="V8" s="171">
        <v>0</v>
      </c>
      <c r="W8" s="171">
        <v>0</v>
      </c>
      <c r="X8" s="171">
        <v>0</v>
      </c>
      <c r="Y8" s="171">
        <v>0</v>
      </c>
      <c r="Z8" s="171">
        <v>0</v>
      </c>
      <c r="AA8" s="171">
        <v>0</v>
      </c>
      <c r="AB8" s="171">
        <v>0</v>
      </c>
      <c r="AC8" s="171">
        <v>0</v>
      </c>
      <c r="AD8" s="171">
        <v>0</v>
      </c>
      <c r="AE8" s="171">
        <v>0</v>
      </c>
      <c r="AF8" s="171">
        <v>0</v>
      </c>
      <c r="AG8" s="171">
        <v>0</v>
      </c>
      <c r="AH8" s="171">
        <v>0</v>
      </c>
      <c r="AI8" s="171">
        <v>0</v>
      </c>
      <c r="AJ8" s="171">
        <v>0</v>
      </c>
      <c r="AK8" s="171">
        <v>0</v>
      </c>
      <c r="AL8" s="171">
        <v>0</v>
      </c>
      <c r="AM8" s="171">
        <v>0</v>
      </c>
      <c r="AN8" s="171">
        <v>0</v>
      </c>
    </row>
    <row r="9" spans="1:40" x14ac:dyDescent="0.3">
      <c r="A9" s="171" t="s">
        <v>121</v>
      </c>
      <c r="B9" s="196">
        <v>6</v>
      </c>
      <c r="C9" s="171">
        <v>54</v>
      </c>
      <c r="D9" s="171">
        <v>2</v>
      </c>
      <c r="E9" s="171">
        <v>1</v>
      </c>
      <c r="F9" s="171">
        <v>4</v>
      </c>
      <c r="G9" s="171">
        <v>0</v>
      </c>
      <c r="H9" s="171">
        <v>2</v>
      </c>
      <c r="I9" s="171">
        <v>0</v>
      </c>
      <c r="J9" s="171">
        <v>0</v>
      </c>
      <c r="K9" s="171">
        <v>0</v>
      </c>
      <c r="L9" s="171">
        <v>0</v>
      </c>
      <c r="M9" s="171">
        <v>0</v>
      </c>
      <c r="N9" s="171">
        <v>1</v>
      </c>
      <c r="O9" s="171">
        <v>0</v>
      </c>
      <c r="P9" s="171">
        <v>0</v>
      </c>
      <c r="Q9" s="171">
        <v>0</v>
      </c>
      <c r="R9" s="171">
        <v>0</v>
      </c>
      <c r="S9" s="171">
        <v>0</v>
      </c>
      <c r="T9" s="171">
        <v>0</v>
      </c>
      <c r="U9" s="171">
        <v>0</v>
      </c>
      <c r="V9" s="171">
        <v>0</v>
      </c>
      <c r="W9" s="171">
        <v>0</v>
      </c>
      <c r="X9" s="171">
        <v>0</v>
      </c>
      <c r="Y9" s="171">
        <v>0</v>
      </c>
      <c r="Z9" s="171">
        <v>0</v>
      </c>
      <c r="AA9" s="171">
        <v>0</v>
      </c>
      <c r="AB9" s="171">
        <v>1</v>
      </c>
      <c r="AC9" s="171">
        <v>0</v>
      </c>
      <c r="AD9" s="171">
        <v>0</v>
      </c>
      <c r="AE9" s="171">
        <v>0</v>
      </c>
      <c r="AF9" s="171">
        <v>0</v>
      </c>
      <c r="AG9" s="171">
        <v>0</v>
      </c>
      <c r="AH9" s="171">
        <v>0</v>
      </c>
      <c r="AI9" s="171">
        <v>0</v>
      </c>
      <c r="AJ9" s="171">
        <v>0</v>
      </c>
      <c r="AK9" s="171">
        <v>0</v>
      </c>
      <c r="AL9" s="171">
        <v>0</v>
      </c>
      <c r="AM9" s="171">
        <v>0</v>
      </c>
      <c r="AN9" s="171">
        <v>0</v>
      </c>
    </row>
    <row r="10" spans="1:40" x14ac:dyDescent="0.3">
      <c r="A10" s="171" t="s">
        <v>122</v>
      </c>
      <c r="B10" s="196">
        <v>7</v>
      </c>
      <c r="C10" s="171">
        <v>54</v>
      </c>
      <c r="D10" s="171">
        <v>2</v>
      </c>
      <c r="E10" s="171">
        <v>2</v>
      </c>
      <c r="F10" s="171">
        <v>624</v>
      </c>
      <c r="G10" s="171">
        <v>0</v>
      </c>
      <c r="H10" s="171">
        <v>304</v>
      </c>
      <c r="I10" s="171">
        <v>0</v>
      </c>
      <c r="J10" s="171">
        <v>0</v>
      </c>
      <c r="K10" s="171">
        <v>0</v>
      </c>
      <c r="L10" s="171">
        <v>0</v>
      </c>
      <c r="M10" s="171">
        <v>0</v>
      </c>
      <c r="N10" s="171">
        <v>160</v>
      </c>
      <c r="O10" s="171">
        <v>0</v>
      </c>
      <c r="P10" s="171">
        <v>0</v>
      </c>
      <c r="Q10" s="171">
        <v>0</v>
      </c>
      <c r="R10" s="171">
        <v>0</v>
      </c>
      <c r="S10" s="171">
        <v>0</v>
      </c>
      <c r="T10" s="171">
        <v>0</v>
      </c>
      <c r="U10" s="171">
        <v>0</v>
      </c>
      <c r="V10" s="171">
        <v>0</v>
      </c>
      <c r="W10" s="171">
        <v>0</v>
      </c>
      <c r="X10" s="171">
        <v>0</v>
      </c>
      <c r="Y10" s="171">
        <v>0</v>
      </c>
      <c r="Z10" s="171">
        <v>0</v>
      </c>
      <c r="AA10" s="171">
        <v>0</v>
      </c>
      <c r="AB10" s="171">
        <v>160</v>
      </c>
      <c r="AC10" s="171">
        <v>0</v>
      </c>
      <c r="AD10" s="171">
        <v>0</v>
      </c>
      <c r="AE10" s="171">
        <v>0</v>
      </c>
      <c r="AF10" s="171">
        <v>0</v>
      </c>
      <c r="AG10" s="171">
        <v>0</v>
      </c>
      <c r="AH10" s="171">
        <v>0</v>
      </c>
      <c r="AI10" s="171">
        <v>0</v>
      </c>
      <c r="AJ10" s="171">
        <v>0</v>
      </c>
      <c r="AK10" s="171">
        <v>0</v>
      </c>
      <c r="AL10" s="171">
        <v>0</v>
      </c>
      <c r="AM10" s="171">
        <v>0</v>
      </c>
      <c r="AN10" s="171">
        <v>0</v>
      </c>
    </row>
    <row r="11" spans="1:40" x14ac:dyDescent="0.3">
      <c r="A11" s="171" t="s">
        <v>123</v>
      </c>
      <c r="B11" s="196">
        <v>8</v>
      </c>
      <c r="C11" s="171">
        <v>54</v>
      </c>
      <c r="D11" s="171">
        <v>2</v>
      </c>
      <c r="E11" s="171">
        <v>5</v>
      </c>
      <c r="F11" s="171">
        <v>20</v>
      </c>
      <c r="G11" s="171">
        <v>20</v>
      </c>
      <c r="H11" s="171">
        <v>0</v>
      </c>
      <c r="I11" s="171">
        <v>0</v>
      </c>
      <c r="J11" s="171">
        <v>0</v>
      </c>
      <c r="K11" s="171">
        <v>0</v>
      </c>
      <c r="L11" s="171">
        <v>0</v>
      </c>
      <c r="M11" s="171">
        <v>0</v>
      </c>
      <c r="N11" s="171">
        <v>0</v>
      </c>
      <c r="O11" s="171">
        <v>0</v>
      </c>
      <c r="P11" s="171">
        <v>0</v>
      </c>
      <c r="Q11" s="171">
        <v>0</v>
      </c>
      <c r="R11" s="171">
        <v>0</v>
      </c>
      <c r="S11" s="171">
        <v>0</v>
      </c>
      <c r="T11" s="171">
        <v>0</v>
      </c>
      <c r="U11" s="171">
        <v>0</v>
      </c>
      <c r="V11" s="171">
        <v>0</v>
      </c>
      <c r="W11" s="171">
        <v>0</v>
      </c>
      <c r="X11" s="171">
        <v>0</v>
      </c>
      <c r="Y11" s="171">
        <v>0</v>
      </c>
      <c r="Z11" s="171">
        <v>0</v>
      </c>
      <c r="AA11" s="171">
        <v>0</v>
      </c>
      <c r="AB11" s="171">
        <v>0</v>
      </c>
      <c r="AC11" s="171">
        <v>0</v>
      </c>
      <c r="AD11" s="171">
        <v>0</v>
      </c>
      <c r="AE11" s="171">
        <v>0</v>
      </c>
      <c r="AF11" s="171">
        <v>0</v>
      </c>
      <c r="AG11" s="171">
        <v>0</v>
      </c>
      <c r="AH11" s="171">
        <v>0</v>
      </c>
      <c r="AI11" s="171">
        <v>0</v>
      </c>
      <c r="AJ11" s="171">
        <v>0</v>
      </c>
      <c r="AK11" s="171">
        <v>0</v>
      </c>
      <c r="AL11" s="171">
        <v>0</v>
      </c>
      <c r="AM11" s="171">
        <v>0</v>
      </c>
      <c r="AN11" s="171">
        <v>0</v>
      </c>
    </row>
    <row r="12" spans="1:40" x14ac:dyDescent="0.3">
      <c r="A12" s="171" t="s">
        <v>124</v>
      </c>
      <c r="B12" s="196">
        <v>9</v>
      </c>
      <c r="C12" s="171">
        <v>54</v>
      </c>
      <c r="D12" s="171">
        <v>2</v>
      </c>
      <c r="E12" s="171">
        <v>6</v>
      </c>
      <c r="F12" s="171">
        <v>137214</v>
      </c>
      <c r="G12" s="171">
        <v>5000</v>
      </c>
      <c r="H12" s="171">
        <v>91794</v>
      </c>
      <c r="I12" s="171">
        <v>0</v>
      </c>
      <c r="J12" s="171">
        <v>0</v>
      </c>
      <c r="K12" s="171">
        <v>0</v>
      </c>
      <c r="L12" s="171">
        <v>0</v>
      </c>
      <c r="M12" s="171">
        <v>0</v>
      </c>
      <c r="N12" s="171">
        <v>22480</v>
      </c>
      <c r="O12" s="171">
        <v>0</v>
      </c>
      <c r="P12" s="171">
        <v>0</v>
      </c>
      <c r="Q12" s="171">
        <v>0</v>
      </c>
      <c r="R12" s="171">
        <v>0</v>
      </c>
      <c r="S12" s="171">
        <v>0</v>
      </c>
      <c r="T12" s="171">
        <v>0</v>
      </c>
      <c r="U12" s="171">
        <v>0</v>
      </c>
      <c r="V12" s="171">
        <v>0</v>
      </c>
      <c r="W12" s="171">
        <v>0</v>
      </c>
      <c r="X12" s="171">
        <v>0</v>
      </c>
      <c r="Y12" s="171">
        <v>0</v>
      </c>
      <c r="Z12" s="171">
        <v>0</v>
      </c>
      <c r="AA12" s="171">
        <v>0</v>
      </c>
      <c r="AB12" s="171">
        <v>17340</v>
      </c>
      <c r="AC12" s="171">
        <v>0</v>
      </c>
      <c r="AD12" s="171">
        <v>0</v>
      </c>
      <c r="AE12" s="171">
        <v>0</v>
      </c>
      <c r="AF12" s="171">
        <v>0</v>
      </c>
      <c r="AG12" s="171">
        <v>0</v>
      </c>
      <c r="AH12" s="171">
        <v>0</v>
      </c>
      <c r="AI12" s="171">
        <v>0</v>
      </c>
      <c r="AJ12" s="171">
        <v>0</v>
      </c>
      <c r="AK12" s="171">
        <v>600</v>
      </c>
      <c r="AL12" s="171">
        <v>0</v>
      </c>
      <c r="AM12" s="171">
        <v>0</v>
      </c>
      <c r="AN12" s="171">
        <v>0</v>
      </c>
    </row>
    <row r="13" spans="1:40" x14ac:dyDescent="0.3">
      <c r="A13" s="171" t="s">
        <v>125</v>
      </c>
      <c r="B13" s="196">
        <v>10</v>
      </c>
      <c r="C13" s="171">
        <v>54</v>
      </c>
      <c r="D13" s="171">
        <v>2</v>
      </c>
      <c r="E13" s="171">
        <v>11</v>
      </c>
      <c r="F13" s="171">
        <v>619.16666666666663</v>
      </c>
      <c r="G13" s="171">
        <v>0</v>
      </c>
      <c r="H13" s="171">
        <v>619.16666666666663</v>
      </c>
      <c r="I13" s="171">
        <v>0</v>
      </c>
      <c r="J13" s="171">
        <v>0</v>
      </c>
      <c r="K13" s="171">
        <v>0</v>
      </c>
      <c r="L13" s="171">
        <v>0</v>
      </c>
      <c r="M13" s="171">
        <v>0</v>
      </c>
      <c r="N13" s="171">
        <v>0</v>
      </c>
      <c r="O13" s="171">
        <v>0</v>
      </c>
      <c r="P13" s="171">
        <v>0</v>
      </c>
      <c r="Q13" s="171">
        <v>0</v>
      </c>
      <c r="R13" s="171">
        <v>0</v>
      </c>
      <c r="S13" s="171">
        <v>0</v>
      </c>
      <c r="T13" s="171">
        <v>0</v>
      </c>
      <c r="U13" s="171">
        <v>0</v>
      </c>
      <c r="V13" s="171">
        <v>0</v>
      </c>
      <c r="W13" s="171">
        <v>0</v>
      </c>
      <c r="X13" s="171">
        <v>0</v>
      </c>
      <c r="Y13" s="171">
        <v>0</v>
      </c>
      <c r="Z13" s="171">
        <v>0</v>
      </c>
      <c r="AA13" s="171">
        <v>0</v>
      </c>
      <c r="AB13" s="171">
        <v>0</v>
      </c>
      <c r="AC13" s="171">
        <v>0</v>
      </c>
      <c r="AD13" s="171">
        <v>0</v>
      </c>
      <c r="AE13" s="171">
        <v>0</v>
      </c>
      <c r="AF13" s="171">
        <v>0</v>
      </c>
      <c r="AG13" s="171">
        <v>0</v>
      </c>
      <c r="AH13" s="171">
        <v>0</v>
      </c>
      <c r="AI13" s="171">
        <v>0</v>
      </c>
      <c r="AJ13" s="171">
        <v>0</v>
      </c>
      <c r="AK13" s="171">
        <v>0</v>
      </c>
      <c r="AL13" s="171">
        <v>0</v>
      </c>
      <c r="AM13" s="171">
        <v>0</v>
      </c>
      <c r="AN13" s="171">
        <v>0</v>
      </c>
    </row>
    <row r="14" spans="1:40" x14ac:dyDescent="0.3">
      <c r="A14" s="171" t="s">
        <v>126</v>
      </c>
      <c r="B14" s="196">
        <v>11</v>
      </c>
      <c r="C14" s="171">
        <v>54</v>
      </c>
      <c r="D14" s="171">
        <v>3</v>
      </c>
      <c r="E14" s="171">
        <v>1</v>
      </c>
      <c r="F14" s="171">
        <v>4</v>
      </c>
      <c r="G14" s="171">
        <v>0</v>
      </c>
      <c r="H14" s="171">
        <v>2</v>
      </c>
      <c r="I14" s="171">
        <v>0</v>
      </c>
      <c r="J14" s="171">
        <v>0</v>
      </c>
      <c r="K14" s="171">
        <v>0</v>
      </c>
      <c r="L14" s="171">
        <v>0</v>
      </c>
      <c r="M14" s="171">
        <v>0</v>
      </c>
      <c r="N14" s="171">
        <v>1</v>
      </c>
      <c r="O14" s="171">
        <v>0</v>
      </c>
      <c r="P14" s="171">
        <v>0</v>
      </c>
      <c r="Q14" s="171">
        <v>0</v>
      </c>
      <c r="R14" s="171">
        <v>0</v>
      </c>
      <c r="S14" s="171">
        <v>0</v>
      </c>
      <c r="T14" s="171">
        <v>0</v>
      </c>
      <c r="U14" s="171">
        <v>0</v>
      </c>
      <c r="V14" s="171">
        <v>0</v>
      </c>
      <c r="W14" s="171">
        <v>0</v>
      </c>
      <c r="X14" s="171">
        <v>0</v>
      </c>
      <c r="Y14" s="171">
        <v>0</v>
      </c>
      <c r="Z14" s="171">
        <v>0</v>
      </c>
      <c r="AA14" s="171">
        <v>0</v>
      </c>
      <c r="AB14" s="171">
        <v>1</v>
      </c>
      <c r="AC14" s="171">
        <v>0</v>
      </c>
      <c r="AD14" s="171">
        <v>0</v>
      </c>
      <c r="AE14" s="171">
        <v>0</v>
      </c>
      <c r="AF14" s="171">
        <v>0</v>
      </c>
      <c r="AG14" s="171">
        <v>0</v>
      </c>
      <c r="AH14" s="171">
        <v>0</v>
      </c>
      <c r="AI14" s="171">
        <v>0</v>
      </c>
      <c r="AJ14" s="171">
        <v>0</v>
      </c>
      <c r="AK14" s="171">
        <v>0</v>
      </c>
      <c r="AL14" s="171">
        <v>0</v>
      </c>
      <c r="AM14" s="171">
        <v>0</v>
      </c>
      <c r="AN14" s="171">
        <v>0</v>
      </c>
    </row>
    <row r="15" spans="1:40" x14ac:dyDescent="0.3">
      <c r="A15" s="171" t="s">
        <v>127</v>
      </c>
      <c r="B15" s="196">
        <v>12</v>
      </c>
      <c r="C15" s="171">
        <v>54</v>
      </c>
      <c r="D15" s="171">
        <v>3</v>
      </c>
      <c r="E15" s="171">
        <v>2</v>
      </c>
      <c r="F15" s="171">
        <v>624</v>
      </c>
      <c r="G15" s="171">
        <v>0</v>
      </c>
      <c r="H15" s="171">
        <v>304</v>
      </c>
      <c r="I15" s="171">
        <v>0</v>
      </c>
      <c r="J15" s="171">
        <v>0</v>
      </c>
      <c r="K15" s="171">
        <v>0</v>
      </c>
      <c r="L15" s="171">
        <v>0</v>
      </c>
      <c r="M15" s="171">
        <v>0</v>
      </c>
      <c r="N15" s="171">
        <v>160</v>
      </c>
      <c r="O15" s="171">
        <v>0</v>
      </c>
      <c r="P15" s="171">
        <v>0</v>
      </c>
      <c r="Q15" s="171">
        <v>0</v>
      </c>
      <c r="R15" s="171">
        <v>0</v>
      </c>
      <c r="S15" s="171">
        <v>0</v>
      </c>
      <c r="T15" s="171">
        <v>0</v>
      </c>
      <c r="U15" s="171">
        <v>0</v>
      </c>
      <c r="V15" s="171">
        <v>0</v>
      </c>
      <c r="W15" s="171">
        <v>0</v>
      </c>
      <c r="X15" s="171">
        <v>0</v>
      </c>
      <c r="Y15" s="171">
        <v>0</v>
      </c>
      <c r="Z15" s="171">
        <v>0</v>
      </c>
      <c r="AA15" s="171">
        <v>0</v>
      </c>
      <c r="AB15" s="171">
        <v>160</v>
      </c>
      <c r="AC15" s="171">
        <v>0</v>
      </c>
      <c r="AD15" s="171">
        <v>0</v>
      </c>
      <c r="AE15" s="171">
        <v>0</v>
      </c>
      <c r="AF15" s="171">
        <v>0</v>
      </c>
      <c r="AG15" s="171">
        <v>0</v>
      </c>
      <c r="AH15" s="171">
        <v>0</v>
      </c>
      <c r="AI15" s="171">
        <v>0</v>
      </c>
      <c r="AJ15" s="171">
        <v>0</v>
      </c>
      <c r="AK15" s="171">
        <v>0</v>
      </c>
      <c r="AL15" s="171">
        <v>0</v>
      </c>
      <c r="AM15" s="171">
        <v>0</v>
      </c>
      <c r="AN15" s="171">
        <v>0</v>
      </c>
    </row>
    <row r="16" spans="1:40" x14ac:dyDescent="0.3">
      <c r="A16" s="171" t="s">
        <v>115</v>
      </c>
      <c r="B16" s="196">
        <v>2014</v>
      </c>
      <c r="C16" s="171">
        <v>54</v>
      </c>
      <c r="D16" s="171">
        <v>3</v>
      </c>
      <c r="E16" s="171">
        <v>5</v>
      </c>
      <c r="F16" s="171">
        <v>20</v>
      </c>
      <c r="G16" s="171">
        <v>20</v>
      </c>
      <c r="H16" s="171">
        <v>0</v>
      </c>
      <c r="I16" s="171">
        <v>0</v>
      </c>
      <c r="J16" s="171">
        <v>0</v>
      </c>
      <c r="K16" s="171">
        <v>0</v>
      </c>
      <c r="L16" s="171">
        <v>0</v>
      </c>
      <c r="M16" s="171">
        <v>0</v>
      </c>
      <c r="N16" s="171">
        <v>0</v>
      </c>
      <c r="O16" s="171">
        <v>0</v>
      </c>
      <c r="P16" s="171">
        <v>0</v>
      </c>
      <c r="Q16" s="171">
        <v>0</v>
      </c>
      <c r="R16" s="171">
        <v>0</v>
      </c>
      <c r="S16" s="171">
        <v>0</v>
      </c>
      <c r="T16" s="171">
        <v>0</v>
      </c>
      <c r="U16" s="171">
        <v>0</v>
      </c>
      <c r="V16" s="171">
        <v>0</v>
      </c>
      <c r="W16" s="171">
        <v>0</v>
      </c>
      <c r="X16" s="171">
        <v>0</v>
      </c>
      <c r="Y16" s="171">
        <v>0</v>
      </c>
      <c r="Z16" s="171">
        <v>0</v>
      </c>
      <c r="AA16" s="171">
        <v>0</v>
      </c>
      <c r="AB16" s="171">
        <v>0</v>
      </c>
      <c r="AC16" s="171">
        <v>0</v>
      </c>
      <c r="AD16" s="171">
        <v>0</v>
      </c>
      <c r="AE16" s="171">
        <v>0</v>
      </c>
      <c r="AF16" s="171">
        <v>0</v>
      </c>
      <c r="AG16" s="171">
        <v>0</v>
      </c>
      <c r="AH16" s="171">
        <v>0</v>
      </c>
      <c r="AI16" s="171">
        <v>0</v>
      </c>
      <c r="AJ16" s="171">
        <v>0</v>
      </c>
      <c r="AK16" s="171">
        <v>0</v>
      </c>
      <c r="AL16" s="171">
        <v>0</v>
      </c>
      <c r="AM16" s="171">
        <v>0</v>
      </c>
      <c r="AN16" s="171">
        <v>0</v>
      </c>
    </row>
    <row r="17" spans="3:40" x14ac:dyDescent="0.3">
      <c r="C17" s="171">
        <v>54</v>
      </c>
      <c r="D17" s="171">
        <v>3</v>
      </c>
      <c r="E17" s="171">
        <v>6</v>
      </c>
      <c r="F17" s="171">
        <v>137715</v>
      </c>
      <c r="G17" s="171">
        <v>5000</v>
      </c>
      <c r="H17" s="171">
        <v>92280</v>
      </c>
      <c r="I17" s="171">
        <v>0</v>
      </c>
      <c r="J17" s="171">
        <v>0</v>
      </c>
      <c r="K17" s="171">
        <v>0</v>
      </c>
      <c r="L17" s="171">
        <v>0</v>
      </c>
      <c r="M17" s="171">
        <v>0</v>
      </c>
      <c r="N17" s="171">
        <v>22656</v>
      </c>
      <c r="O17" s="171">
        <v>0</v>
      </c>
      <c r="P17" s="171">
        <v>0</v>
      </c>
      <c r="Q17" s="171">
        <v>0</v>
      </c>
      <c r="R17" s="171">
        <v>0</v>
      </c>
      <c r="S17" s="171">
        <v>0</v>
      </c>
      <c r="T17" s="171">
        <v>0</v>
      </c>
      <c r="U17" s="171">
        <v>0</v>
      </c>
      <c r="V17" s="171">
        <v>0</v>
      </c>
      <c r="W17" s="171">
        <v>0</v>
      </c>
      <c r="X17" s="171">
        <v>0</v>
      </c>
      <c r="Y17" s="171">
        <v>0</v>
      </c>
      <c r="Z17" s="171">
        <v>0</v>
      </c>
      <c r="AA17" s="171">
        <v>0</v>
      </c>
      <c r="AB17" s="171">
        <v>17322</v>
      </c>
      <c r="AC17" s="171">
        <v>0</v>
      </c>
      <c r="AD17" s="171">
        <v>0</v>
      </c>
      <c r="AE17" s="171">
        <v>0</v>
      </c>
      <c r="AF17" s="171">
        <v>0</v>
      </c>
      <c r="AG17" s="171">
        <v>0</v>
      </c>
      <c r="AH17" s="171">
        <v>0</v>
      </c>
      <c r="AI17" s="171">
        <v>0</v>
      </c>
      <c r="AJ17" s="171">
        <v>0</v>
      </c>
      <c r="AK17" s="171">
        <v>457</v>
      </c>
      <c r="AL17" s="171">
        <v>0</v>
      </c>
      <c r="AM17" s="171">
        <v>0</v>
      </c>
      <c r="AN17" s="171">
        <v>0</v>
      </c>
    </row>
    <row r="18" spans="3:40" x14ac:dyDescent="0.3">
      <c r="C18" s="171">
        <v>54</v>
      </c>
      <c r="D18" s="171">
        <v>3</v>
      </c>
      <c r="E18" s="171">
        <v>10</v>
      </c>
      <c r="F18" s="171">
        <v>100</v>
      </c>
      <c r="G18" s="171">
        <v>0</v>
      </c>
      <c r="H18" s="171">
        <v>100</v>
      </c>
      <c r="I18" s="171">
        <v>0</v>
      </c>
      <c r="J18" s="171">
        <v>0</v>
      </c>
      <c r="K18" s="171">
        <v>0</v>
      </c>
      <c r="L18" s="171">
        <v>0</v>
      </c>
      <c r="M18" s="171">
        <v>0</v>
      </c>
      <c r="N18" s="171">
        <v>0</v>
      </c>
      <c r="O18" s="171">
        <v>0</v>
      </c>
      <c r="P18" s="171">
        <v>0</v>
      </c>
      <c r="Q18" s="171">
        <v>0</v>
      </c>
      <c r="R18" s="171">
        <v>0</v>
      </c>
      <c r="S18" s="171">
        <v>0</v>
      </c>
      <c r="T18" s="171">
        <v>0</v>
      </c>
      <c r="U18" s="171">
        <v>0</v>
      </c>
      <c r="V18" s="171">
        <v>0</v>
      </c>
      <c r="W18" s="171">
        <v>0</v>
      </c>
      <c r="X18" s="171">
        <v>0</v>
      </c>
      <c r="Y18" s="171">
        <v>0</v>
      </c>
      <c r="Z18" s="171">
        <v>0</v>
      </c>
      <c r="AA18" s="171">
        <v>0</v>
      </c>
      <c r="AB18" s="171">
        <v>0</v>
      </c>
      <c r="AC18" s="171">
        <v>0</v>
      </c>
      <c r="AD18" s="171">
        <v>0</v>
      </c>
      <c r="AE18" s="171">
        <v>0</v>
      </c>
      <c r="AF18" s="171">
        <v>0</v>
      </c>
      <c r="AG18" s="171">
        <v>0</v>
      </c>
      <c r="AH18" s="171">
        <v>0</v>
      </c>
      <c r="AI18" s="171">
        <v>0</v>
      </c>
      <c r="AJ18" s="171">
        <v>0</v>
      </c>
      <c r="AK18" s="171">
        <v>0</v>
      </c>
      <c r="AL18" s="171">
        <v>0</v>
      </c>
      <c r="AM18" s="171">
        <v>0</v>
      </c>
      <c r="AN18" s="171">
        <v>0</v>
      </c>
    </row>
    <row r="19" spans="3:40" x14ac:dyDescent="0.3">
      <c r="C19" s="171">
        <v>54</v>
      </c>
      <c r="D19" s="171">
        <v>3</v>
      </c>
      <c r="E19" s="171">
        <v>11</v>
      </c>
      <c r="F19" s="171">
        <v>619.16666666666663</v>
      </c>
      <c r="G19" s="171">
        <v>0</v>
      </c>
      <c r="H19" s="171">
        <v>619.16666666666663</v>
      </c>
      <c r="I19" s="171">
        <v>0</v>
      </c>
      <c r="J19" s="171">
        <v>0</v>
      </c>
      <c r="K19" s="171">
        <v>0</v>
      </c>
      <c r="L19" s="171">
        <v>0</v>
      </c>
      <c r="M19" s="171">
        <v>0</v>
      </c>
      <c r="N19" s="171">
        <v>0</v>
      </c>
      <c r="O19" s="171">
        <v>0</v>
      </c>
      <c r="P19" s="171">
        <v>0</v>
      </c>
      <c r="Q19" s="171">
        <v>0</v>
      </c>
      <c r="R19" s="171">
        <v>0</v>
      </c>
      <c r="S19" s="171">
        <v>0</v>
      </c>
      <c r="T19" s="171">
        <v>0</v>
      </c>
      <c r="U19" s="171">
        <v>0</v>
      </c>
      <c r="V19" s="171">
        <v>0</v>
      </c>
      <c r="W19" s="171">
        <v>0</v>
      </c>
      <c r="X19" s="171">
        <v>0</v>
      </c>
      <c r="Y19" s="171">
        <v>0</v>
      </c>
      <c r="Z19" s="171">
        <v>0</v>
      </c>
      <c r="AA19" s="171">
        <v>0</v>
      </c>
      <c r="AB19" s="171">
        <v>0</v>
      </c>
      <c r="AC19" s="171">
        <v>0</v>
      </c>
      <c r="AD19" s="171">
        <v>0</v>
      </c>
      <c r="AE19" s="171">
        <v>0</v>
      </c>
      <c r="AF19" s="171">
        <v>0</v>
      </c>
      <c r="AG19" s="171">
        <v>0</v>
      </c>
      <c r="AH19" s="171">
        <v>0</v>
      </c>
      <c r="AI19" s="171">
        <v>0</v>
      </c>
      <c r="AJ19" s="171">
        <v>0</v>
      </c>
      <c r="AK19" s="171">
        <v>0</v>
      </c>
      <c r="AL19" s="171">
        <v>0</v>
      </c>
      <c r="AM19" s="171">
        <v>0</v>
      </c>
      <c r="AN19" s="171">
        <v>0</v>
      </c>
    </row>
    <row r="20" spans="3:40" x14ac:dyDescent="0.3">
      <c r="C20" s="171">
        <v>54</v>
      </c>
      <c r="D20" s="171">
        <v>4</v>
      </c>
      <c r="E20" s="171">
        <v>1</v>
      </c>
      <c r="F20" s="171">
        <v>4</v>
      </c>
      <c r="G20" s="171">
        <v>0</v>
      </c>
      <c r="H20" s="171">
        <v>2</v>
      </c>
      <c r="I20" s="171">
        <v>0</v>
      </c>
      <c r="J20" s="171">
        <v>0</v>
      </c>
      <c r="K20" s="171">
        <v>0</v>
      </c>
      <c r="L20" s="171">
        <v>0</v>
      </c>
      <c r="M20" s="171">
        <v>0</v>
      </c>
      <c r="N20" s="171">
        <v>1</v>
      </c>
      <c r="O20" s="171">
        <v>0</v>
      </c>
      <c r="P20" s="171">
        <v>0</v>
      </c>
      <c r="Q20" s="171">
        <v>0</v>
      </c>
      <c r="R20" s="171">
        <v>0</v>
      </c>
      <c r="S20" s="171">
        <v>0</v>
      </c>
      <c r="T20" s="171">
        <v>0</v>
      </c>
      <c r="U20" s="171">
        <v>0</v>
      </c>
      <c r="V20" s="171">
        <v>0</v>
      </c>
      <c r="W20" s="171">
        <v>0</v>
      </c>
      <c r="X20" s="171">
        <v>0</v>
      </c>
      <c r="Y20" s="171">
        <v>0</v>
      </c>
      <c r="Z20" s="171">
        <v>0</v>
      </c>
      <c r="AA20" s="171">
        <v>0</v>
      </c>
      <c r="AB20" s="171">
        <v>1</v>
      </c>
      <c r="AC20" s="171">
        <v>0</v>
      </c>
      <c r="AD20" s="171">
        <v>0</v>
      </c>
      <c r="AE20" s="171">
        <v>0</v>
      </c>
      <c r="AF20" s="171">
        <v>0</v>
      </c>
      <c r="AG20" s="171">
        <v>0</v>
      </c>
      <c r="AH20" s="171">
        <v>0</v>
      </c>
      <c r="AI20" s="171">
        <v>0</v>
      </c>
      <c r="AJ20" s="171">
        <v>0</v>
      </c>
      <c r="AK20" s="171">
        <v>0</v>
      </c>
      <c r="AL20" s="171">
        <v>0</v>
      </c>
      <c r="AM20" s="171">
        <v>0</v>
      </c>
      <c r="AN20" s="171">
        <v>0</v>
      </c>
    </row>
    <row r="21" spans="3:40" x14ac:dyDescent="0.3">
      <c r="C21" s="171">
        <v>54</v>
      </c>
      <c r="D21" s="171">
        <v>4</v>
      </c>
      <c r="E21" s="171">
        <v>2</v>
      </c>
      <c r="F21" s="171">
        <v>632</v>
      </c>
      <c r="G21" s="171">
        <v>0</v>
      </c>
      <c r="H21" s="171">
        <v>312</v>
      </c>
      <c r="I21" s="171">
        <v>0</v>
      </c>
      <c r="J21" s="171">
        <v>0</v>
      </c>
      <c r="K21" s="171">
        <v>0</v>
      </c>
      <c r="L21" s="171">
        <v>0</v>
      </c>
      <c r="M21" s="171">
        <v>0</v>
      </c>
      <c r="N21" s="171">
        <v>168</v>
      </c>
      <c r="O21" s="171">
        <v>0</v>
      </c>
      <c r="P21" s="171">
        <v>0</v>
      </c>
      <c r="Q21" s="171">
        <v>0</v>
      </c>
      <c r="R21" s="171">
        <v>0</v>
      </c>
      <c r="S21" s="171">
        <v>0</v>
      </c>
      <c r="T21" s="171">
        <v>0</v>
      </c>
      <c r="U21" s="171">
        <v>0</v>
      </c>
      <c r="V21" s="171">
        <v>0</v>
      </c>
      <c r="W21" s="171">
        <v>0</v>
      </c>
      <c r="X21" s="171">
        <v>0</v>
      </c>
      <c r="Y21" s="171">
        <v>0</v>
      </c>
      <c r="Z21" s="171">
        <v>0</v>
      </c>
      <c r="AA21" s="171">
        <v>0</v>
      </c>
      <c r="AB21" s="171">
        <v>152</v>
      </c>
      <c r="AC21" s="171">
        <v>0</v>
      </c>
      <c r="AD21" s="171">
        <v>0</v>
      </c>
      <c r="AE21" s="171">
        <v>0</v>
      </c>
      <c r="AF21" s="171">
        <v>0</v>
      </c>
      <c r="AG21" s="171">
        <v>0</v>
      </c>
      <c r="AH21" s="171">
        <v>0</v>
      </c>
      <c r="AI21" s="171">
        <v>0</v>
      </c>
      <c r="AJ21" s="171">
        <v>0</v>
      </c>
      <c r="AK21" s="171">
        <v>0</v>
      </c>
      <c r="AL21" s="171">
        <v>0</v>
      </c>
      <c r="AM21" s="171">
        <v>0</v>
      </c>
      <c r="AN21" s="171">
        <v>0</v>
      </c>
    </row>
    <row r="22" spans="3:40" x14ac:dyDescent="0.3">
      <c r="C22" s="171">
        <v>54</v>
      </c>
      <c r="D22" s="171">
        <v>4</v>
      </c>
      <c r="E22" s="171">
        <v>5</v>
      </c>
      <c r="F22" s="171">
        <v>20</v>
      </c>
      <c r="G22" s="171">
        <v>20</v>
      </c>
      <c r="H22" s="171">
        <v>0</v>
      </c>
      <c r="I22" s="171">
        <v>0</v>
      </c>
      <c r="J22" s="171">
        <v>0</v>
      </c>
      <c r="K22" s="171">
        <v>0</v>
      </c>
      <c r="L22" s="171">
        <v>0</v>
      </c>
      <c r="M22" s="171">
        <v>0</v>
      </c>
      <c r="N22" s="171">
        <v>0</v>
      </c>
      <c r="O22" s="171">
        <v>0</v>
      </c>
      <c r="P22" s="171">
        <v>0</v>
      </c>
      <c r="Q22" s="171">
        <v>0</v>
      </c>
      <c r="R22" s="171">
        <v>0</v>
      </c>
      <c r="S22" s="171">
        <v>0</v>
      </c>
      <c r="T22" s="171">
        <v>0</v>
      </c>
      <c r="U22" s="171">
        <v>0</v>
      </c>
      <c r="V22" s="171">
        <v>0</v>
      </c>
      <c r="W22" s="171">
        <v>0</v>
      </c>
      <c r="X22" s="171">
        <v>0</v>
      </c>
      <c r="Y22" s="171">
        <v>0</v>
      </c>
      <c r="Z22" s="171">
        <v>0</v>
      </c>
      <c r="AA22" s="171">
        <v>0</v>
      </c>
      <c r="AB22" s="171">
        <v>0</v>
      </c>
      <c r="AC22" s="171">
        <v>0</v>
      </c>
      <c r="AD22" s="171">
        <v>0</v>
      </c>
      <c r="AE22" s="171">
        <v>0</v>
      </c>
      <c r="AF22" s="171">
        <v>0</v>
      </c>
      <c r="AG22" s="171">
        <v>0</v>
      </c>
      <c r="AH22" s="171">
        <v>0</v>
      </c>
      <c r="AI22" s="171">
        <v>0</v>
      </c>
      <c r="AJ22" s="171">
        <v>0</v>
      </c>
      <c r="AK22" s="171">
        <v>0</v>
      </c>
      <c r="AL22" s="171">
        <v>0</v>
      </c>
      <c r="AM22" s="171">
        <v>0</v>
      </c>
      <c r="AN22" s="171">
        <v>0</v>
      </c>
    </row>
    <row r="23" spans="3:40" x14ac:dyDescent="0.3">
      <c r="C23" s="171">
        <v>54</v>
      </c>
      <c r="D23" s="171">
        <v>4</v>
      </c>
      <c r="E23" s="171">
        <v>6</v>
      </c>
      <c r="F23" s="171">
        <v>146395</v>
      </c>
      <c r="G23" s="171">
        <v>5000</v>
      </c>
      <c r="H23" s="171">
        <v>96583</v>
      </c>
      <c r="I23" s="171">
        <v>0</v>
      </c>
      <c r="J23" s="171">
        <v>0</v>
      </c>
      <c r="K23" s="171">
        <v>0</v>
      </c>
      <c r="L23" s="171">
        <v>0</v>
      </c>
      <c r="M23" s="171">
        <v>0</v>
      </c>
      <c r="N23" s="171">
        <v>23928</v>
      </c>
      <c r="O23" s="171">
        <v>0</v>
      </c>
      <c r="P23" s="171">
        <v>0</v>
      </c>
      <c r="Q23" s="171">
        <v>0</v>
      </c>
      <c r="R23" s="171">
        <v>0</v>
      </c>
      <c r="S23" s="171">
        <v>0</v>
      </c>
      <c r="T23" s="171">
        <v>0</v>
      </c>
      <c r="U23" s="171">
        <v>0</v>
      </c>
      <c r="V23" s="171">
        <v>0</v>
      </c>
      <c r="W23" s="171">
        <v>0</v>
      </c>
      <c r="X23" s="171">
        <v>0</v>
      </c>
      <c r="Y23" s="171">
        <v>0</v>
      </c>
      <c r="Z23" s="171">
        <v>0</v>
      </c>
      <c r="AA23" s="171">
        <v>0</v>
      </c>
      <c r="AB23" s="171">
        <v>20393</v>
      </c>
      <c r="AC23" s="171">
        <v>0</v>
      </c>
      <c r="AD23" s="171">
        <v>0</v>
      </c>
      <c r="AE23" s="171">
        <v>0</v>
      </c>
      <c r="AF23" s="171">
        <v>0</v>
      </c>
      <c r="AG23" s="171">
        <v>0</v>
      </c>
      <c r="AH23" s="171">
        <v>0</v>
      </c>
      <c r="AI23" s="171">
        <v>0</v>
      </c>
      <c r="AJ23" s="171">
        <v>0</v>
      </c>
      <c r="AK23" s="171">
        <v>491</v>
      </c>
      <c r="AL23" s="171">
        <v>0</v>
      </c>
      <c r="AM23" s="171">
        <v>0</v>
      </c>
      <c r="AN23" s="171">
        <v>0</v>
      </c>
    </row>
    <row r="24" spans="3:40" x14ac:dyDescent="0.3">
      <c r="C24" s="171">
        <v>54</v>
      </c>
      <c r="D24" s="171">
        <v>4</v>
      </c>
      <c r="E24" s="171">
        <v>11</v>
      </c>
      <c r="F24" s="171">
        <v>619.16666666666663</v>
      </c>
      <c r="G24" s="171">
        <v>0</v>
      </c>
      <c r="H24" s="171">
        <v>619.16666666666663</v>
      </c>
      <c r="I24" s="171">
        <v>0</v>
      </c>
      <c r="J24" s="171">
        <v>0</v>
      </c>
      <c r="K24" s="171">
        <v>0</v>
      </c>
      <c r="L24" s="171">
        <v>0</v>
      </c>
      <c r="M24" s="171">
        <v>0</v>
      </c>
      <c r="N24" s="171">
        <v>0</v>
      </c>
      <c r="O24" s="171">
        <v>0</v>
      </c>
      <c r="P24" s="171">
        <v>0</v>
      </c>
      <c r="Q24" s="171">
        <v>0</v>
      </c>
      <c r="R24" s="171">
        <v>0</v>
      </c>
      <c r="S24" s="171">
        <v>0</v>
      </c>
      <c r="T24" s="171">
        <v>0</v>
      </c>
      <c r="U24" s="171">
        <v>0</v>
      </c>
      <c r="V24" s="171">
        <v>0</v>
      </c>
      <c r="W24" s="171">
        <v>0</v>
      </c>
      <c r="X24" s="171">
        <v>0</v>
      </c>
      <c r="Y24" s="171">
        <v>0</v>
      </c>
      <c r="Z24" s="171">
        <v>0</v>
      </c>
      <c r="AA24" s="171">
        <v>0</v>
      </c>
      <c r="AB24" s="171">
        <v>0</v>
      </c>
      <c r="AC24" s="171">
        <v>0</v>
      </c>
      <c r="AD24" s="171">
        <v>0</v>
      </c>
      <c r="AE24" s="171">
        <v>0</v>
      </c>
      <c r="AF24" s="171">
        <v>0</v>
      </c>
      <c r="AG24" s="171">
        <v>0</v>
      </c>
      <c r="AH24" s="171">
        <v>0</v>
      </c>
      <c r="AI24" s="171">
        <v>0</v>
      </c>
      <c r="AJ24" s="171">
        <v>0</v>
      </c>
      <c r="AK24" s="171">
        <v>0</v>
      </c>
      <c r="AL24" s="171">
        <v>0</v>
      </c>
      <c r="AM24" s="171">
        <v>0</v>
      </c>
      <c r="AN24" s="171">
        <v>0</v>
      </c>
    </row>
    <row r="25" spans="3:40" x14ac:dyDescent="0.3">
      <c r="C25" s="171">
        <v>54</v>
      </c>
      <c r="D25" s="171">
        <v>5</v>
      </c>
      <c r="E25" s="171">
        <v>1</v>
      </c>
      <c r="F25" s="171">
        <v>4</v>
      </c>
      <c r="G25" s="171">
        <v>0</v>
      </c>
      <c r="H25" s="171">
        <v>2</v>
      </c>
      <c r="I25" s="171">
        <v>0</v>
      </c>
      <c r="J25" s="171">
        <v>0</v>
      </c>
      <c r="K25" s="171">
        <v>0</v>
      </c>
      <c r="L25" s="171">
        <v>0</v>
      </c>
      <c r="M25" s="171">
        <v>0</v>
      </c>
      <c r="N25" s="171">
        <v>1</v>
      </c>
      <c r="O25" s="171">
        <v>0</v>
      </c>
      <c r="P25" s="171">
        <v>0</v>
      </c>
      <c r="Q25" s="171">
        <v>0</v>
      </c>
      <c r="R25" s="171">
        <v>0</v>
      </c>
      <c r="S25" s="171">
        <v>0</v>
      </c>
      <c r="T25" s="171">
        <v>0</v>
      </c>
      <c r="U25" s="171">
        <v>0</v>
      </c>
      <c r="V25" s="171">
        <v>0</v>
      </c>
      <c r="W25" s="171">
        <v>0</v>
      </c>
      <c r="X25" s="171">
        <v>0</v>
      </c>
      <c r="Y25" s="171">
        <v>0</v>
      </c>
      <c r="Z25" s="171">
        <v>0</v>
      </c>
      <c r="AA25" s="171">
        <v>0</v>
      </c>
      <c r="AB25" s="171">
        <v>1</v>
      </c>
      <c r="AC25" s="171">
        <v>0</v>
      </c>
      <c r="AD25" s="171">
        <v>0</v>
      </c>
      <c r="AE25" s="171">
        <v>0</v>
      </c>
      <c r="AF25" s="171">
        <v>0</v>
      </c>
      <c r="AG25" s="171">
        <v>0</v>
      </c>
      <c r="AH25" s="171">
        <v>0</v>
      </c>
      <c r="AI25" s="171">
        <v>0</v>
      </c>
      <c r="AJ25" s="171">
        <v>0</v>
      </c>
      <c r="AK25" s="171">
        <v>0</v>
      </c>
      <c r="AL25" s="171">
        <v>0</v>
      </c>
      <c r="AM25" s="171">
        <v>0</v>
      </c>
      <c r="AN25" s="171">
        <v>0</v>
      </c>
    </row>
    <row r="26" spans="3:40" x14ac:dyDescent="0.3">
      <c r="C26" s="171">
        <v>54</v>
      </c>
      <c r="D26" s="171">
        <v>5</v>
      </c>
      <c r="E26" s="171">
        <v>2</v>
      </c>
      <c r="F26" s="171">
        <v>656</v>
      </c>
      <c r="G26" s="171">
        <v>0</v>
      </c>
      <c r="H26" s="171">
        <v>336</v>
      </c>
      <c r="I26" s="171">
        <v>0</v>
      </c>
      <c r="J26" s="171">
        <v>0</v>
      </c>
      <c r="K26" s="171">
        <v>0</v>
      </c>
      <c r="L26" s="171">
        <v>0</v>
      </c>
      <c r="M26" s="171">
        <v>0</v>
      </c>
      <c r="N26" s="171">
        <v>160</v>
      </c>
      <c r="O26" s="171">
        <v>0</v>
      </c>
      <c r="P26" s="171">
        <v>0</v>
      </c>
      <c r="Q26" s="171">
        <v>0</v>
      </c>
      <c r="R26" s="171">
        <v>0</v>
      </c>
      <c r="S26" s="171">
        <v>0</v>
      </c>
      <c r="T26" s="171">
        <v>0</v>
      </c>
      <c r="U26" s="171">
        <v>0</v>
      </c>
      <c r="V26" s="171">
        <v>0</v>
      </c>
      <c r="W26" s="171">
        <v>0</v>
      </c>
      <c r="X26" s="171">
        <v>0</v>
      </c>
      <c r="Y26" s="171">
        <v>0</v>
      </c>
      <c r="Z26" s="171">
        <v>0</v>
      </c>
      <c r="AA26" s="171">
        <v>0</v>
      </c>
      <c r="AB26" s="171">
        <v>160</v>
      </c>
      <c r="AC26" s="171">
        <v>0</v>
      </c>
      <c r="AD26" s="171">
        <v>0</v>
      </c>
      <c r="AE26" s="171">
        <v>0</v>
      </c>
      <c r="AF26" s="171">
        <v>0</v>
      </c>
      <c r="AG26" s="171">
        <v>0</v>
      </c>
      <c r="AH26" s="171">
        <v>0</v>
      </c>
      <c r="AI26" s="171">
        <v>0</v>
      </c>
      <c r="AJ26" s="171">
        <v>0</v>
      </c>
      <c r="AK26" s="171">
        <v>0</v>
      </c>
      <c r="AL26" s="171">
        <v>0</v>
      </c>
      <c r="AM26" s="171">
        <v>0</v>
      </c>
      <c r="AN26" s="171">
        <v>0</v>
      </c>
    </row>
    <row r="27" spans="3:40" x14ac:dyDescent="0.3">
      <c r="C27" s="171">
        <v>54</v>
      </c>
      <c r="D27" s="171">
        <v>5</v>
      </c>
      <c r="E27" s="171">
        <v>5</v>
      </c>
      <c r="F27" s="171">
        <v>20</v>
      </c>
      <c r="G27" s="171">
        <v>20</v>
      </c>
      <c r="H27" s="171">
        <v>0</v>
      </c>
      <c r="I27" s="171">
        <v>0</v>
      </c>
      <c r="J27" s="171">
        <v>0</v>
      </c>
      <c r="K27" s="171">
        <v>0</v>
      </c>
      <c r="L27" s="171">
        <v>0</v>
      </c>
      <c r="M27" s="171">
        <v>0</v>
      </c>
      <c r="N27" s="171">
        <v>0</v>
      </c>
      <c r="O27" s="171">
        <v>0</v>
      </c>
      <c r="P27" s="171">
        <v>0</v>
      </c>
      <c r="Q27" s="171">
        <v>0</v>
      </c>
      <c r="R27" s="171">
        <v>0</v>
      </c>
      <c r="S27" s="171">
        <v>0</v>
      </c>
      <c r="T27" s="171">
        <v>0</v>
      </c>
      <c r="U27" s="171">
        <v>0</v>
      </c>
      <c r="V27" s="171">
        <v>0</v>
      </c>
      <c r="W27" s="171">
        <v>0</v>
      </c>
      <c r="X27" s="171">
        <v>0</v>
      </c>
      <c r="Y27" s="171">
        <v>0</v>
      </c>
      <c r="Z27" s="171">
        <v>0</v>
      </c>
      <c r="AA27" s="171">
        <v>0</v>
      </c>
      <c r="AB27" s="171">
        <v>0</v>
      </c>
      <c r="AC27" s="171">
        <v>0</v>
      </c>
      <c r="AD27" s="171">
        <v>0</v>
      </c>
      <c r="AE27" s="171">
        <v>0</v>
      </c>
      <c r="AF27" s="171">
        <v>0</v>
      </c>
      <c r="AG27" s="171">
        <v>0</v>
      </c>
      <c r="AH27" s="171">
        <v>0</v>
      </c>
      <c r="AI27" s="171">
        <v>0</v>
      </c>
      <c r="AJ27" s="171">
        <v>0</v>
      </c>
      <c r="AK27" s="171">
        <v>0</v>
      </c>
      <c r="AL27" s="171">
        <v>0</v>
      </c>
      <c r="AM27" s="171">
        <v>0</v>
      </c>
      <c r="AN27" s="171">
        <v>0</v>
      </c>
    </row>
    <row r="28" spans="3:40" x14ac:dyDescent="0.3">
      <c r="C28" s="171">
        <v>54</v>
      </c>
      <c r="D28" s="171">
        <v>5</v>
      </c>
      <c r="E28" s="171">
        <v>6</v>
      </c>
      <c r="F28" s="171">
        <v>146276</v>
      </c>
      <c r="G28" s="171">
        <v>5000</v>
      </c>
      <c r="H28" s="171">
        <v>96221</v>
      </c>
      <c r="I28" s="171">
        <v>0</v>
      </c>
      <c r="J28" s="171">
        <v>0</v>
      </c>
      <c r="K28" s="171">
        <v>0</v>
      </c>
      <c r="L28" s="171">
        <v>0</v>
      </c>
      <c r="M28" s="171">
        <v>0</v>
      </c>
      <c r="N28" s="171">
        <v>23956</v>
      </c>
      <c r="O28" s="171">
        <v>0</v>
      </c>
      <c r="P28" s="171">
        <v>0</v>
      </c>
      <c r="Q28" s="171">
        <v>0</v>
      </c>
      <c r="R28" s="171">
        <v>0</v>
      </c>
      <c r="S28" s="171">
        <v>0</v>
      </c>
      <c r="T28" s="171">
        <v>0</v>
      </c>
      <c r="U28" s="171">
        <v>0</v>
      </c>
      <c r="V28" s="171">
        <v>0</v>
      </c>
      <c r="W28" s="171">
        <v>0</v>
      </c>
      <c r="X28" s="171">
        <v>0</v>
      </c>
      <c r="Y28" s="171">
        <v>0</v>
      </c>
      <c r="Z28" s="171">
        <v>0</v>
      </c>
      <c r="AA28" s="171">
        <v>0</v>
      </c>
      <c r="AB28" s="171">
        <v>20526</v>
      </c>
      <c r="AC28" s="171">
        <v>0</v>
      </c>
      <c r="AD28" s="171">
        <v>0</v>
      </c>
      <c r="AE28" s="171">
        <v>0</v>
      </c>
      <c r="AF28" s="171">
        <v>0</v>
      </c>
      <c r="AG28" s="171">
        <v>0</v>
      </c>
      <c r="AH28" s="171">
        <v>0</v>
      </c>
      <c r="AI28" s="171">
        <v>0</v>
      </c>
      <c r="AJ28" s="171">
        <v>0</v>
      </c>
      <c r="AK28" s="171">
        <v>573</v>
      </c>
      <c r="AL28" s="171">
        <v>0</v>
      </c>
      <c r="AM28" s="171">
        <v>0</v>
      </c>
      <c r="AN28" s="171">
        <v>0</v>
      </c>
    </row>
    <row r="29" spans="3:40" x14ac:dyDescent="0.3">
      <c r="C29" s="171">
        <v>54</v>
      </c>
      <c r="D29" s="171">
        <v>5</v>
      </c>
      <c r="E29" s="171">
        <v>11</v>
      </c>
      <c r="F29" s="171">
        <v>619.16666666666663</v>
      </c>
      <c r="G29" s="171">
        <v>0</v>
      </c>
      <c r="H29" s="171">
        <v>619.16666666666663</v>
      </c>
      <c r="I29" s="171">
        <v>0</v>
      </c>
      <c r="J29" s="171">
        <v>0</v>
      </c>
      <c r="K29" s="171">
        <v>0</v>
      </c>
      <c r="L29" s="171">
        <v>0</v>
      </c>
      <c r="M29" s="171">
        <v>0</v>
      </c>
      <c r="N29" s="171">
        <v>0</v>
      </c>
      <c r="O29" s="171">
        <v>0</v>
      </c>
      <c r="P29" s="171">
        <v>0</v>
      </c>
      <c r="Q29" s="171">
        <v>0</v>
      </c>
      <c r="R29" s="171">
        <v>0</v>
      </c>
      <c r="S29" s="171">
        <v>0</v>
      </c>
      <c r="T29" s="171">
        <v>0</v>
      </c>
      <c r="U29" s="171">
        <v>0</v>
      </c>
      <c r="V29" s="171">
        <v>0</v>
      </c>
      <c r="W29" s="171">
        <v>0</v>
      </c>
      <c r="X29" s="171">
        <v>0</v>
      </c>
      <c r="Y29" s="171">
        <v>0</v>
      </c>
      <c r="Z29" s="171">
        <v>0</v>
      </c>
      <c r="AA29" s="171">
        <v>0</v>
      </c>
      <c r="AB29" s="171">
        <v>0</v>
      </c>
      <c r="AC29" s="171">
        <v>0</v>
      </c>
      <c r="AD29" s="171">
        <v>0</v>
      </c>
      <c r="AE29" s="171">
        <v>0</v>
      </c>
      <c r="AF29" s="171">
        <v>0</v>
      </c>
      <c r="AG29" s="171">
        <v>0</v>
      </c>
      <c r="AH29" s="171">
        <v>0</v>
      </c>
      <c r="AI29" s="171">
        <v>0</v>
      </c>
      <c r="AJ29" s="171">
        <v>0</v>
      </c>
      <c r="AK29" s="171">
        <v>0</v>
      </c>
      <c r="AL29" s="171">
        <v>0</v>
      </c>
      <c r="AM29" s="171">
        <v>0</v>
      </c>
      <c r="AN29" s="171">
        <v>0</v>
      </c>
    </row>
    <row r="30" spans="3:40" x14ac:dyDescent="0.3">
      <c r="C30" s="171">
        <v>54</v>
      </c>
      <c r="D30" s="171">
        <v>6</v>
      </c>
      <c r="E30" s="171">
        <v>1</v>
      </c>
      <c r="F30" s="171">
        <v>4</v>
      </c>
      <c r="G30" s="171">
        <v>0</v>
      </c>
      <c r="H30" s="171">
        <v>2</v>
      </c>
      <c r="I30" s="171">
        <v>0</v>
      </c>
      <c r="J30" s="171">
        <v>0</v>
      </c>
      <c r="K30" s="171">
        <v>0</v>
      </c>
      <c r="L30" s="171">
        <v>0</v>
      </c>
      <c r="M30" s="171">
        <v>0</v>
      </c>
      <c r="N30" s="171">
        <v>1</v>
      </c>
      <c r="O30" s="171">
        <v>0</v>
      </c>
      <c r="P30" s="171">
        <v>0</v>
      </c>
      <c r="Q30" s="171">
        <v>0</v>
      </c>
      <c r="R30" s="171">
        <v>0</v>
      </c>
      <c r="S30" s="171">
        <v>0</v>
      </c>
      <c r="T30" s="171">
        <v>0</v>
      </c>
      <c r="U30" s="171">
        <v>0</v>
      </c>
      <c r="V30" s="171">
        <v>0</v>
      </c>
      <c r="W30" s="171">
        <v>0</v>
      </c>
      <c r="X30" s="171">
        <v>0</v>
      </c>
      <c r="Y30" s="171">
        <v>0</v>
      </c>
      <c r="Z30" s="171">
        <v>0</v>
      </c>
      <c r="AA30" s="171">
        <v>0</v>
      </c>
      <c r="AB30" s="171">
        <v>1</v>
      </c>
      <c r="AC30" s="171">
        <v>0</v>
      </c>
      <c r="AD30" s="171">
        <v>0</v>
      </c>
      <c r="AE30" s="171">
        <v>0</v>
      </c>
      <c r="AF30" s="171">
        <v>0</v>
      </c>
      <c r="AG30" s="171">
        <v>0</v>
      </c>
      <c r="AH30" s="171">
        <v>0</v>
      </c>
      <c r="AI30" s="171">
        <v>0</v>
      </c>
      <c r="AJ30" s="171">
        <v>0</v>
      </c>
      <c r="AK30" s="171">
        <v>0</v>
      </c>
      <c r="AL30" s="171">
        <v>0</v>
      </c>
      <c r="AM30" s="171">
        <v>0</v>
      </c>
      <c r="AN30" s="171">
        <v>0</v>
      </c>
    </row>
    <row r="31" spans="3:40" x14ac:dyDescent="0.3">
      <c r="C31" s="171">
        <v>54</v>
      </c>
      <c r="D31" s="171">
        <v>6</v>
      </c>
      <c r="E31" s="171">
        <v>2</v>
      </c>
      <c r="F31" s="171">
        <v>576</v>
      </c>
      <c r="G31" s="171">
        <v>0</v>
      </c>
      <c r="H31" s="171">
        <v>264</v>
      </c>
      <c r="I31" s="171">
        <v>0</v>
      </c>
      <c r="J31" s="171">
        <v>0</v>
      </c>
      <c r="K31" s="171">
        <v>0</v>
      </c>
      <c r="L31" s="171">
        <v>0</v>
      </c>
      <c r="M31" s="171">
        <v>0</v>
      </c>
      <c r="N31" s="171">
        <v>160</v>
      </c>
      <c r="O31" s="171">
        <v>0</v>
      </c>
      <c r="P31" s="171">
        <v>0</v>
      </c>
      <c r="Q31" s="171">
        <v>0</v>
      </c>
      <c r="R31" s="171">
        <v>0</v>
      </c>
      <c r="S31" s="171">
        <v>0</v>
      </c>
      <c r="T31" s="171">
        <v>0</v>
      </c>
      <c r="U31" s="171">
        <v>0</v>
      </c>
      <c r="V31" s="171">
        <v>0</v>
      </c>
      <c r="W31" s="171">
        <v>0</v>
      </c>
      <c r="X31" s="171">
        <v>0</v>
      </c>
      <c r="Y31" s="171">
        <v>0</v>
      </c>
      <c r="Z31" s="171">
        <v>0</v>
      </c>
      <c r="AA31" s="171">
        <v>0</v>
      </c>
      <c r="AB31" s="171">
        <v>152</v>
      </c>
      <c r="AC31" s="171">
        <v>0</v>
      </c>
      <c r="AD31" s="171">
        <v>0</v>
      </c>
      <c r="AE31" s="171">
        <v>0</v>
      </c>
      <c r="AF31" s="171">
        <v>0</v>
      </c>
      <c r="AG31" s="171">
        <v>0</v>
      </c>
      <c r="AH31" s="171">
        <v>0</v>
      </c>
      <c r="AI31" s="171">
        <v>0</v>
      </c>
      <c r="AJ31" s="171">
        <v>0</v>
      </c>
      <c r="AK31" s="171">
        <v>0</v>
      </c>
      <c r="AL31" s="171">
        <v>0</v>
      </c>
      <c r="AM31" s="171">
        <v>0</v>
      </c>
      <c r="AN31" s="171">
        <v>0</v>
      </c>
    </row>
    <row r="32" spans="3:40" x14ac:dyDescent="0.3">
      <c r="C32" s="171">
        <v>54</v>
      </c>
      <c r="D32" s="171">
        <v>6</v>
      </c>
      <c r="E32" s="171">
        <v>5</v>
      </c>
      <c r="F32" s="171">
        <v>20</v>
      </c>
      <c r="G32" s="171">
        <v>20</v>
      </c>
      <c r="H32" s="171">
        <v>0</v>
      </c>
      <c r="I32" s="171">
        <v>0</v>
      </c>
      <c r="J32" s="171">
        <v>0</v>
      </c>
      <c r="K32" s="171">
        <v>0</v>
      </c>
      <c r="L32" s="171">
        <v>0</v>
      </c>
      <c r="M32" s="171">
        <v>0</v>
      </c>
      <c r="N32" s="171">
        <v>0</v>
      </c>
      <c r="O32" s="171">
        <v>0</v>
      </c>
      <c r="P32" s="171">
        <v>0</v>
      </c>
      <c r="Q32" s="171">
        <v>0</v>
      </c>
      <c r="R32" s="171">
        <v>0</v>
      </c>
      <c r="S32" s="171">
        <v>0</v>
      </c>
      <c r="T32" s="171">
        <v>0</v>
      </c>
      <c r="U32" s="171">
        <v>0</v>
      </c>
      <c r="V32" s="171">
        <v>0</v>
      </c>
      <c r="W32" s="171">
        <v>0</v>
      </c>
      <c r="X32" s="171">
        <v>0</v>
      </c>
      <c r="Y32" s="171">
        <v>0</v>
      </c>
      <c r="Z32" s="171">
        <v>0</v>
      </c>
      <c r="AA32" s="171">
        <v>0</v>
      </c>
      <c r="AB32" s="171">
        <v>0</v>
      </c>
      <c r="AC32" s="171">
        <v>0</v>
      </c>
      <c r="AD32" s="171">
        <v>0</v>
      </c>
      <c r="AE32" s="171">
        <v>0</v>
      </c>
      <c r="AF32" s="171">
        <v>0</v>
      </c>
      <c r="AG32" s="171">
        <v>0</v>
      </c>
      <c r="AH32" s="171">
        <v>0</v>
      </c>
      <c r="AI32" s="171">
        <v>0</v>
      </c>
      <c r="AJ32" s="171">
        <v>0</v>
      </c>
      <c r="AK32" s="171">
        <v>0</v>
      </c>
      <c r="AL32" s="171">
        <v>0</v>
      </c>
      <c r="AM32" s="171">
        <v>0</v>
      </c>
      <c r="AN32" s="171">
        <v>0</v>
      </c>
    </row>
    <row r="33" spans="3:40" x14ac:dyDescent="0.3">
      <c r="C33" s="171">
        <v>54</v>
      </c>
      <c r="D33" s="171">
        <v>6</v>
      </c>
      <c r="E33" s="171">
        <v>6</v>
      </c>
      <c r="F33" s="171">
        <v>145570</v>
      </c>
      <c r="G33" s="171">
        <v>5000</v>
      </c>
      <c r="H33" s="171">
        <v>95944</v>
      </c>
      <c r="I33" s="171">
        <v>0</v>
      </c>
      <c r="J33" s="171">
        <v>0</v>
      </c>
      <c r="K33" s="171">
        <v>0</v>
      </c>
      <c r="L33" s="171">
        <v>0</v>
      </c>
      <c r="M33" s="171">
        <v>0</v>
      </c>
      <c r="N33" s="171">
        <v>23876</v>
      </c>
      <c r="O33" s="171">
        <v>0</v>
      </c>
      <c r="P33" s="171">
        <v>0</v>
      </c>
      <c r="Q33" s="171">
        <v>0</v>
      </c>
      <c r="R33" s="171">
        <v>0</v>
      </c>
      <c r="S33" s="171">
        <v>0</v>
      </c>
      <c r="T33" s="171">
        <v>0</v>
      </c>
      <c r="U33" s="171">
        <v>0</v>
      </c>
      <c r="V33" s="171">
        <v>0</v>
      </c>
      <c r="W33" s="171">
        <v>0</v>
      </c>
      <c r="X33" s="171">
        <v>0</v>
      </c>
      <c r="Y33" s="171">
        <v>0</v>
      </c>
      <c r="Z33" s="171">
        <v>0</v>
      </c>
      <c r="AA33" s="171">
        <v>0</v>
      </c>
      <c r="AB33" s="171">
        <v>20435</v>
      </c>
      <c r="AC33" s="171">
        <v>0</v>
      </c>
      <c r="AD33" s="171">
        <v>0</v>
      </c>
      <c r="AE33" s="171">
        <v>0</v>
      </c>
      <c r="AF33" s="171">
        <v>0</v>
      </c>
      <c r="AG33" s="171">
        <v>0</v>
      </c>
      <c r="AH33" s="171">
        <v>0</v>
      </c>
      <c r="AI33" s="171">
        <v>0</v>
      </c>
      <c r="AJ33" s="171">
        <v>0</v>
      </c>
      <c r="AK33" s="171">
        <v>315</v>
      </c>
      <c r="AL33" s="171">
        <v>0</v>
      </c>
      <c r="AM33" s="171">
        <v>0</v>
      </c>
      <c r="AN33" s="171">
        <v>0</v>
      </c>
    </row>
    <row r="34" spans="3:40" x14ac:dyDescent="0.3">
      <c r="C34" s="171">
        <v>54</v>
      </c>
      <c r="D34" s="171">
        <v>6</v>
      </c>
      <c r="E34" s="171">
        <v>9</v>
      </c>
      <c r="F34" s="171">
        <v>250</v>
      </c>
      <c r="G34" s="171">
        <v>0</v>
      </c>
      <c r="H34" s="171">
        <v>250</v>
      </c>
      <c r="I34" s="171">
        <v>0</v>
      </c>
      <c r="J34" s="171">
        <v>0</v>
      </c>
      <c r="K34" s="171">
        <v>0</v>
      </c>
      <c r="L34" s="171">
        <v>0</v>
      </c>
      <c r="M34" s="171">
        <v>0</v>
      </c>
      <c r="N34" s="171">
        <v>0</v>
      </c>
      <c r="O34" s="171">
        <v>0</v>
      </c>
      <c r="P34" s="171">
        <v>0</v>
      </c>
      <c r="Q34" s="171">
        <v>0</v>
      </c>
      <c r="R34" s="171">
        <v>0</v>
      </c>
      <c r="S34" s="171">
        <v>0</v>
      </c>
      <c r="T34" s="171">
        <v>0</v>
      </c>
      <c r="U34" s="171">
        <v>0</v>
      </c>
      <c r="V34" s="171">
        <v>0</v>
      </c>
      <c r="W34" s="171">
        <v>0</v>
      </c>
      <c r="X34" s="171">
        <v>0</v>
      </c>
      <c r="Y34" s="171">
        <v>0</v>
      </c>
      <c r="Z34" s="171">
        <v>0</v>
      </c>
      <c r="AA34" s="171">
        <v>0</v>
      </c>
      <c r="AB34" s="171">
        <v>0</v>
      </c>
      <c r="AC34" s="171">
        <v>0</v>
      </c>
      <c r="AD34" s="171">
        <v>0</v>
      </c>
      <c r="AE34" s="171">
        <v>0</v>
      </c>
      <c r="AF34" s="171">
        <v>0</v>
      </c>
      <c r="AG34" s="171">
        <v>0</v>
      </c>
      <c r="AH34" s="171">
        <v>0</v>
      </c>
      <c r="AI34" s="171">
        <v>0</v>
      </c>
      <c r="AJ34" s="171">
        <v>0</v>
      </c>
      <c r="AK34" s="171">
        <v>0</v>
      </c>
      <c r="AL34" s="171">
        <v>0</v>
      </c>
      <c r="AM34" s="171">
        <v>0</v>
      </c>
      <c r="AN34" s="171">
        <v>0</v>
      </c>
    </row>
    <row r="35" spans="3:40" x14ac:dyDescent="0.3">
      <c r="C35" s="171">
        <v>54</v>
      </c>
      <c r="D35" s="171">
        <v>6</v>
      </c>
      <c r="E35" s="171">
        <v>11</v>
      </c>
      <c r="F35" s="171">
        <v>619.16666666666663</v>
      </c>
      <c r="G35" s="171">
        <v>0</v>
      </c>
      <c r="H35" s="171">
        <v>619.16666666666663</v>
      </c>
      <c r="I35" s="171">
        <v>0</v>
      </c>
      <c r="J35" s="171">
        <v>0</v>
      </c>
      <c r="K35" s="171">
        <v>0</v>
      </c>
      <c r="L35" s="171">
        <v>0</v>
      </c>
      <c r="M35" s="171">
        <v>0</v>
      </c>
      <c r="N35" s="171">
        <v>0</v>
      </c>
      <c r="O35" s="171">
        <v>0</v>
      </c>
      <c r="P35" s="171">
        <v>0</v>
      </c>
      <c r="Q35" s="171">
        <v>0</v>
      </c>
      <c r="R35" s="171">
        <v>0</v>
      </c>
      <c r="S35" s="171">
        <v>0</v>
      </c>
      <c r="T35" s="171">
        <v>0</v>
      </c>
      <c r="U35" s="171">
        <v>0</v>
      </c>
      <c r="V35" s="171">
        <v>0</v>
      </c>
      <c r="W35" s="171">
        <v>0</v>
      </c>
      <c r="X35" s="171">
        <v>0</v>
      </c>
      <c r="Y35" s="171">
        <v>0</v>
      </c>
      <c r="Z35" s="171">
        <v>0</v>
      </c>
      <c r="AA35" s="171">
        <v>0</v>
      </c>
      <c r="AB35" s="171">
        <v>0</v>
      </c>
      <c r="AC35" s="171">
        <v>0</v>
      </c>
      <c r="AD35" s="171">
        <v>0</v>
      </c>
      <c r="AE35" s="171">
        <v>0</v>
      </c>
      <c r="AF35" s="171">
        <v>0</v>
      </c>
      <c r="AG35" s="171">
        <v>0</v>
      </c>
      <c r="AH35" s="171">
        <v>0</v>
      </c>
      <c r="AI35" s="171">
        <v>0</v>
      </c>
      <c r="AJ35" s="171">
        <v>0</v>
      </c>
      <c r="AK35" s="171">
        <v>0</v>
      </c>
      <c r="AL35" s="171">
        <v>0</v>
      </c>
      <c r="AM35" s="171">
        <v>0</v>
      </c>
      <c r="AN35" s="171">
        <v>0</v>
      </c>
    </row>
    <row r="36" spans="3:40" x14ac:dyDescent="0.3">
      <c r="C36" s="171">
        <v>54</v>
      </c>
      <c r="D36" s="171">
        <v>7</v>
      </c>
      <c r="E36" s="171">
        <v>1</v>
      </c>
      <c r="F36" s="171">
        <v>4</v>
      </c>
      <c r="G36" s="171">
        <v>0</v>
      </c>
      <c r="H36" s="171">
        <v>2</v>
      </c>
      <c r="I36" s="171">
        <v>0</v>
      </c>
      <c r="J36" s="171">
        <v>0</v>
      </c>
      <c r="K36" s="171">
        <v>0</v>
      </c>
      <c r="L36" s="171">
        <v>0</v>
      </c>
      <c r="M36" s="171">
        <v>0</v>
      </c>
      <c r="N36" s="171">
        <v>1</v>
      </c>
      <c r="O36" s="171">
        <v>0</v>
      </c>
      <c r="P36" s="171">
        <v>0</v>
      </c>
      <c r="Q36" s="171">
        <v>0</v>
      </c>
      <c r="R36" s="171">
        <v>0</v>
      </c>
      <c r="S36" s="171">
        <v>0</v>
      </c>
      <c r="T36" s="171">
        <v>0</v>
      </c>
      <c r="U36" s="171">
        <v>0</v>
      </c>
      <c r="V36" s="171">
        <v>0</v>
      </c>
      <c r="W36" s="171">
        <v>0</v>
      </c>
      <c r="X36" s="171">
        <v>0</v>
      </c>
      <c r="Y36" s="171">
        <v>0</v>
      </c>
      <c r="Z36" s="171">
        <v>0</v>
      </c>
      <c r="AA36" s="171">
        <v>0</v>
      </c>
      <c r="AB36" s="171">
        <v>1</v>
      </c>
      <c r="AC36" s="171">
        <v>0</v>
      </c>
      <c r="AD36" s="171">
        <v>0</v>
      </c>
      <c r="AE36" s="171">
        <v>0</v>
      </c>
      <c r="AF36" s="171">
        <v>0</v>
      </c>
      <c r="AG36" s="171">
        <v>0</v>
      </c>
      <c r="AH36" s="171">
        <v>0</v>
      </c>
      <c r="AI36" s="171">
        <v>0</v>
      </c>
      <c r="AJ36" s="171">
        <v>0</v>
      </c>
      <c r="AK36" s="171">
        <v>0</v>
      </c>
      <c r="AL36" s="171">
        <v>0</v>
      </c>
      <c r="AM36" s="171">
        <v>0</v>
      </c>
      <c r="AN36" s="171">
        <v>0</v>
      </c>
    </row>
    <row r="37" spans="3:40" x14ac:dyDescent="0.3">
      <c r="C37" s="171">
        <v>54</v>
      </c>
      <c r="D37" s="171">
        <v>7</v>
      </c>
      <c r="E37" s="171">
        <v>2</v>
      </c>
      <c r="F37" s="171">
        <v>608</v>
      </c>
      <c r="G37" s="171">
        <v>0</v>
      </c>
      <c r="H37" s="171">
        <v>336</v>
      </c>
      <c r="I37" s="171">
        <v>0</v>
      </c>
      <c r="J37" s="171">
        <v>0</v>
      </c>
      <c r="K37" s="171">
        <v>0</v>
      </c>
      <c r="L37" s="171">
        <v>0</v>
      </c>
      <c r="M37" s="171">
        <v>0</v>
      </c>
      <c r="N37" s="171">
        <v>128</v>
      </c>
      <c r="O37" s="171">
        <v>0</v>
      </c>
      <c r="P37" s="171">
        <v>0</v>
      </c>
      <c r="Q37" s="171">
        <v>0</v>
      </c>
      <c r="R37" s="171">
        <v>0</v>
      </c>
      <c r="S37" s="171">
        <v>0</v>
      </c>
      <c r="T37" s="171">
        <v>0</v>
      </c>
      <c r="U37" s="171">
        <v>0</v>
      </c>
      <c r="V37" s="171">
        <v>0</v>
      </c>
      <c r="W37" s="171">
        <v>0</v>
      </c>
      <c r="X37" s="171">
        <v>0</v>
      </c>
      <c r="Y37" s="171">
        <v>0</v>
      </c>
      <c r="Z37" s="171">
        <v>0</v>
      </c>
      <c r="AA37" s="171">
        <v>0</v>
      </c>
      <c r="AB37" s="171">
        <v>144</v>
      </c>
      <c r="AC37" s="171">
        <v>0</v>
      </c>
      <c r="AD37" s="171">
        <v>0</v>
      </c>
      <c r="AE37" s="171">
        <v>0</v>
      </c>
      <c r="AF37" s="171">
        <v>0</v>
      </c>
      <c r="AG37" s="171">
        <v>0</v>
      </c>
      <c r="AH37" s="171">
        <v>0</v>
      </c>
      <c r="AI37" s="171">
        <v>0</v>
      </c>
      <c r="AJ37" s="171">
        <v>0</v>
      </c>
      <c r="AK37" s="171">
        <v>0</v>
      </c>
      <c r="AL37" s="171">
        <v>0</v>
      </c>
      <c r="AM37" s="171">
        <v>0</v>
      </c>
      <c r="AN37" s="171">
        <v>0</v>
      </c>
    </row>
    <row r="38" spans="3:40" x14ac:dyDescent="0.3">
      <c r="C38" s="171">
        <v>54</v>
      </c>
      <c r="D38" s="171">
        <v>7</v>
      </c>
      <c r="E38" s="171">
        <v>5</v>
      </c>
      <c r="F38" s="171">
        <v>20</v>
      </c>
      <c r="G38" s="171">
        <v>20</v>
      </c>
      <c r="H38" s="171">
        <v>0</v>
      </c>
      <c r="I38" s="171">
        <v>0</v>
      </c>
      <c r="J38" s="171">
        <v>0</v>
      </c>
      <c r="K38" s="171">
        <v>0</v>
      </c>
      <c r="L38" s="171">
        <v>0</v>
      </c>
      <c r="M38" s="171">
        <v>0</v>
      </c>
      <c r="N38" s="171">
        <v>0</v>
      </c>
      <c r="O38" s="171">
        <v>0</v>
      </c>
      <c r="P38" s="171">
        <v>0</v>
      </c>
      <c r="Q38" s="171">
        <v>0</v>
      </c>
      <c r="R38" s="171">
        <v>0</v>
      </c>
      <c r="S38" s="171">
        <v>0</v>
      </c>
      <c r="T38" s="171">
        <v>0</v>
      </c>
      <c r="U38" s="171">
        <v>0</v>
      </c>
      <c r="V38" s="171">
        <v>0</v>
      </c>
      <c r="W38" s="171">
        <v>0</v>
      </c>
      <c r="X38" s="171">
        <v>0</v>
      </c>
      <c r="Y38" s="171">
        <v>0</v>
      </c>
      <c r="Z38" s="171">
        <v>0</v>
      </c>
      <c r="AA38" s="171">
        <v>0</v>
      </c>
      <c r="AB38" s="171">
        <v>0</v>
      </c>
      <c r="AC38" s="171">
        <v>0</v>
      </c>
      <c r="AD38" s="171">
        <v>0</v>
      </c>
      <c r="AE38" s="171">
        <v>0</v>
      </c>
      <c r="AF38" s="171">
        <v>0</v>
      </c>
      <c r="AG38" s="171">
        <v>0</v>
      </c>
      <c r="AH38" s="171">
        <v>0</v>
      </c>
      <c r="AI38" s="171">
        <v>0</v>
      </c>
      <c r="AJ38" s="171">
        <v>0</v>
      </c>
      <c r="AK38" s="171">
        <v>0</v>
      </c>
      <c r="AL38" s="171">
        <v>0</v>
      </c>
      <c r="AM38" s="171">
        <v>0</v>
      </c>
      <c r="AN38" s="171">
        <v>0</v>
      </c>
    </row>
    <row r="39" spans="3:40" x14ac:dyDescent="0.3">
      <c r="C39" s="171">
        <v>54</v>
      </c>
      <c r="D39" s="171">
        <v>7</v>
      </c>
      <c r="E39" s="171">
        <v>6</v>
      </c>
      <c r="F39" s="171">
        <v>214607</v>
      </c>
      <c r="G39" s="171">
        <v>5000</v>
      </c>
      <c r="H39" s="171">
        <v>145967</v>
      </c>
      <c r="I39" s="171">
        <v>0</v>
      </c>
      <c r="J39" s="171">
        <v>0</v>
      </c>
      <c r="K39" s="171">
        <v>0</v>
      </c>
      <c r="L39" s="171">
        <v>0</v>
      </c>
      <c r="M39" s="171">
        <v>0</v>
      </c>
      <c r="N39" s="171">
        <v>34103</v>
      </c>
      <c r="O39" s="171">
        <v>0</v>
      </c>
      <c r="P39" s="171">
        <v>0</v>
      </c>
      <c r="Q39" s="171">
        <v>0</v>
      </c>
      <c r="R39" s="171">
        <v>0</v>
      </c>
      <c r="S39" s="171">
        <v>0</v>
      </c>
      <c r="T39" s="171">
        <v>0</v>
      </c>
      <c r="U39" s="171">
        <v>0</v>
      </c>
      <c r="V39" s="171">
        <v>0</v>
      </c>
      <c r="W39" s="171">
        <v>0</v>
      </c>
      <c r="X39" s="171">
        <v>0</v>
      </c>
      <c r="Y39" s="171">
        <v>0</v>
      </c>
      <c r="Z39" s="171">
        <v>0</v>
      </c>
      <c r="AA39" s="171">
        <v>0</v>
      </c>
      <c r="AB39" s="171">
        <v>28937</v>
      </c>
      <c r="AC39" s="171">
        <v>0</v>
      </c>
      <c r="AD39" s="171">
        <v>0</v>
      </c>
      <c r="AE39" s="171">
        <v>0</v>
      </c>
      <c r="AF39" s="171">
        <v>0</v>
      </c>
      <c r="AG39" s="171">
        <v>0</v>
      </c>
      <c r="AH39" s="171">
        <v>0</v>
      </c>
      <c r="AI39" s="171">
        <v>0</v>
      </c>
      <c r="AJ39" s="171">
        <v>0</v>
      </c>
      <c r="AK39" s="171">
        <v>600</v>
      </c>
      <c r="AL39" s="171">
        <v>0</v>
      </c>
      <c r="AM39" s="171">
        <v>0</v>
      </c>
      <c r="AN39" s="171">
        <v>0</v>
      </c>
    </row>
    <row r="40" spans="3:40" x14ac:dyDescent="0.3">
      <c r="C40" s="171">
        <v>54</v>
      </c>
      <c r="D40" s="171">
        <v>7</v>
      </c>
      <c r="E40" s="171">
        <v>9</v>
      </c>
      <c r="F40" s="171">
        <v>67295</v>
      </c>
      <c r="G40" s="171">
        <v>0</v>
      </c>
      <c r="H40" s="171">
        <v>49676</v>
      </c>
      <c r="I40" s="171">
        <v>0</v>
      </c>
      <c r="J40" s="171">
        <v>0</v>
      </c>
      <c r="K40" s="171">
        <v>0</v>
      </c>
      <c r="L40" s="171">
        <v>0</v>
      </c>
      <c r="M40" s="171">
        <v>0</v>
      </c>
      <c r="N40" s="171">
        <v>9752</v>
      </c>
      <c r="O40" s="171">
        <v>0</v>
      </c>
      <c r="P40" s="171">
        <v>0</v>
      </c>
      <c r="Q40" s="171">
        <v>0</v>
      </c>
      <c r="R40" s="171">
        <v>0</v>
      </c>
      <c r="S40" s="171">
        <v>0</v>
      </c>
      <c r="T40" s="171">
        <v>0</v>
      </c>
      <c r="U40" s="171">
        <v>0</v>
      </c>
      <c r="V40" s="171">
        <v>0</v>
      </c>
      <c r="W40" s="171">
        <v>0</v>
      </c>
      <c r="X40" s="171">
        <v>0</v>
      </c>
      <c r="Y40" s="171">
        <v>0</v>
      </c>
      <c r="Z40" s="171">
        <v>0</v>
      </c>
      <c r="AA40" s="171">
        <v>0</v>
      </c>
      <c r="AB40" s="171">
        <v>7867</v>
      </c>
      <c r="AC40" s="171">
        <v>0</v>
      </c>
      <c r="AD40" s="171">
        <v>0</v>
      </c>
      <c r="AE40" s="171">
        <v>0</v>
      </c>
      <c r="AF40" s="171">
        <v>0</v>
      </c>
      <c r="AG40" s="171">
        <v>0</v>
      </c>
      <c r="AH40" s="171">
        <v>0</v>
      </c>
      <c r="AI40" s="171">
        <v>0</v>
      </c>
      <c r="AJ40" s="171">
        <v>0</v>
      </c>
      <c r="AK40" s="171">
        <v>0</v>
      </c>
      <c r="AL40" s="171">
        <v>0</v>
      </c>
      <c r="AM40" s="171">
        <v>0</v>
      </c>
      <c r="AN40" s="171">
        <v>0</v>
      </c>
    </row>
    <row r="41" spans="3:40" x14ac:dyDescent="0.3">
      <c r="C41" s="171">
        <v>54</v>
      </c>
      <c r="D41" s="171">
        <v>7</v>
      </c>
      <c r="E41" s="171">
        <v>11</v>
      </c>
      <c r="F41" s="171">
        <v>619.16666666666663</v>
      </c>
      <c r="G41" s="171">
        <v>0</v>
      </c>
      <c r="H41" s="171">
        <v>619.16666666666663</v>
      </c>
      <c r="I41" s="171">
        <v>0</v>
      </c>
      <c r="J41" s="171">
        <v>0</v>
      </c>
      <c r="K41" s="171">
        <v>0</v>
      </c>
      <c r="L41" s="171">
        <v>0</v>
      </c>
      <c r="M41" s="171">
        <v>0</v>
      </c>
      <c r="N41" s="171">
        <v>0</v>
      </c>
      <c r="O41" s="171">
        <v>0</v>
      </c>
      <c r="P41" s="171">
        <v>0</v>
      </c>
      <c r="Q41" s="171">
        <v>0</v>
      </c>
      <c r="R41" s="171">
        <v>0</v>
      </c>
      <c r="S41" s="171">
        <v>0</v>
      </c>
      <c r="T41" s="171">
        <v>0</v>
      </c>
      <c r="U41" s="171">
        <v>0</v>
      </c>
      <c r="V41" s="171">
        <v>0</v>
      </c>
      <c r="W41" s="171">
        <v>0</v>
      </c>
      <c r="X41" s="171">
        <v>0</v>
      </c>
      <c r="Y41" s="171">
        <v>0</v>
      </c>
      <c r="Z41" s="171">
        <v>0</v>
      </c>
      <c r="AA41" s="171">
        <v>0</v>
      </c>
      <c r="AB41" s="171">
        <v>0</v>
      </c>
      <c r="AC41" s="171">
        <v>0</v>
      </c>
      <c r="AD41" s="171">
        <v>0</v>
      </c>
      <c r="AE41" s="171">
        <v>0</v>
      </c>
      <c r="AF41" s="171">
        <v>0</v>
      </c>
      <c r="AG41" s="171">
        <v>0</v>
      </c>
      <c r="AH41" s="171">
        <v>0</v>
      </c>
      <c r="AI41" s="171">
        <v>0</v>
      </c>
      <c r="AJ41" s="171">
        <v>0</v>
      </c>
      <c r="AK41" s="171">
        <v>0</v>
      </c>
      <c r="AL41" s="171">
        <v>0</v>
      </c>
      <c r="AM41" s="171">
        <v>0</v>
      </c>
      <c r="AN41" s="171">
        <v>0</v>
      </c>
    </row>
    <row r="42" spans="3:40" x14ac:dyDescent="0.3">
      <c r="C42" s="171">
        <v>54</v>
      </c>
      <c r="D42" s="171">
        <v>8</v>
      </c>
      <c r="E42" s="171">
        <v>1</v>
      </c>
      <c r="F42" s="171">
        <v>4</v>
      </c>
      <c r="G42" s="171">
        <v>0</v>
      </c>
      <c r="H42" s="171">
        <v>2</v>
      </c>
      <c r="I42" s="171">
        <v>0</v>
      </c>
      <c r="J42" s="171">
        <v>0</v>
      </c>
      <c r="K42" s="171">
        <v>0</v>
      </c>
      <c r="L42" s="171">
        <v>0</v>
      </c>
      <c r="M42" s="171">
        <v>0</v>
      </c>
      <c r="N42" s="171">
        <v>1</v>
      </c>
      <c r="O42" s="171">
        <v>0</v>
      </c>
      <c r="P42" s="171">
        <v>0</v>
      </c>
      <c r="Q42" s="171">
        <v>0</v>
      </c>
      <c r="R42" s="171">
        <v>0</v>
      </c>
      <c r="S42" s="171">
        <v>0</v>
      </c>
      <c r="T42" s="171">
        <v>0</v>
      </c>
      <c r="U42" s="171">
        <v>0</v>
      </c>
      <c r="V42" s="171">
        <v>0</v>
      </c>
      <c r="W42" s="171">
        <v>0</v>
      </c>
      <c r="X42" s="171">
        <v>0</v>
      </c>
      <c r="Y42" s="171">
        <v>0</v>
      </c>
      <c r="Z42" s="171">
        <v>0</v>
      </c>
      <c r="AA42" s="171">
        <v>0</v>
      </c>
      <c r="AB42" s="171">
        <v>1</v>
      </c>
      <c r="AC42" s="171">
        <v>0</v>
      </c>
      <c r="AD42" s="171">
        <v>0</v>
      </c>
      <c r="AE42" s="171">
        <v>0</v>
      </c>
      <c r="AF42" s="171">
        <v>0</v>
      </c>
      <c r="AG42" s="171">
        <v>0</v>
      </c>
      <c r="AH42" s="171">
        <v>0</v>
      </c>
      <c r="AI42" s="171">
        <v>0</v>
      </c>
      <c r="AJ42" s="171">
        <v>0</v>
      </c>
      <c r="AK42" s="171">
        <v>0</v>
      </c>
      <c r="AL42" s="171">
        <v>0</v>
      </c>
      <c r="AM42" s="171">
        <v>0</v>
      </c>
      <c r="AN42" s="171">
        <v>0</v>
      </c>
    </row>
    <row r="43" spans="3:40" x14ac:dyDescent="0.3">
      <c r="C43" s="171">
        <v>54</v>
      </c>
      <c r="D43" s="171">
        <v>8</v>
      </c>
      <c r="E43" s="171">
        <v>2</v>
      </c>
      <c r="F43" s="171">
        <v>576</v>
      </c>
      <c r="G43" s="171">
        <v>0</v>
      </c>
      <c r="H43" s="171">
        <v>312</v>
      </c>
      <c r="I43" s="171">
        <v>0</v>
      </c>
      <c r="J43" s="171">
        <v>0</v>
      </c>
      <c r="K43" s="171">
        <v>0</v>
      </c>
      <c r="L43" s="171">
        <v>0</v>
      </c>
      <c r="M43" s="171">
        <v>0</v>
      </c>
      <c r="N43" s="171">
        <v>120</v>
      </c>
      <c r="O43" s="171">
        <v>0</v>
      </c>
      <c r="P43" s="171">
        <v>0</v>
      </c>
      <c r="Q43" s="171">
        <v>0</v>
      </c>
      <c r="R43" s="171">
        <v>0</v>
      </c>
      <c r="S43" s="171">
        <v>0</v>
      </c>
      <c r="T43" s="171">
        <v>0</v>
      </c>
      <c r="U43" s="171">
        <v>0</v>
      </c>
      <c r="V43" s="171">
        <v>0</v>
      </c>
      <c r="W43" s="171">
        <v>0</v>
      </c>
      <c r="X43" s="171">
        <v>0</v>
      </c>
      <c r="Y43" s="171">
        <v>0</v>
      </c>
      <c r="Z43" s="171">
        <v>0</v>
      </c>
      <c r="AA43" s="171">
        <v>0</v>
      </c>
      <c r="AB43" s="171">
        <v>144</v>
      </c>
      <c r="AC43" s="171">
        <v>0</v>
      </c>
      <c r="AD43" s="171">
        <v>0</v>
      </c>
      <c r="AE43" s="171">
        <v>0</v>
      </c>
      <c r="AF43" s="171">
        <v>0</v>
      </c>
      <c r="AG43" s="171">
        <v>0</v>
      </c>
      <c r="AH43" s="171">
        <v>0</v>
      </c>
      <c r="AI43" s="171">
        <v>0</v>
      </c>
      <c r="AJ43" s="171">
        <v>0</v>
      </c>
      <c r="AK43" s="171">
        <v>0</v>
      </c>
      <c r="AL43" s="171">
        <v>0</v>
      </c>
      <c r="AM43" s="171">
        <v>0</v>
      </c>
      <c r="AN43" s="171">
        <v>0</v>
      </c>
    </row>
    <row r="44" spans="3:40" x14ac:dyDescent="0.3">
      <c r="C44" s="171">
        <v>54</v>
      </c>
      <c r="D44" s="171">
        <v>8</v>
      </c>
      <c r="E44" s="171">
        <v>5</v>
      </c>
      <c r="F44" s="171">
        <v>20</v>
      </c>
      <c r="G44" s="171">
        <v>20</v>
      </c>
      <c r="H44" s="171">
        <v>0</v>
      </c>
      <c r="I44" s="171">
        <v>0</v>
      </c>
      <c r="J44" s="171">
        <v>0</v>
      </c>
      <c r="K44" s="171">
        <v>0</v>
      </c>
      <c r="L44" s="171">
        <v>0</v>
      </c>
      <c r="M44" s="171">
        <v>0</v>
      </c>
      <c r="N44" s="171">
        <v>0</v>
      </c>
      <c r="O44" s="171">
        <v>0</v>
      </c>
      <c r="P44" s="171">
        <v>0</v>
      </c>
      <c r="Q44" s="171">
        <v>0</v>
      </c>
      <c r="R44" s="171">
        <v>0</v>
      </c>
      <c r="S44" s="171">
        <v>0</v>
      </c>
      <c r="T44" s="171">
        <v>0</v>
      </c>
      <c r="U44" s="171">
        <v>0</v>
      </c>
      <c r="V44" s="171">
        <v>0</v>
      </c>
      <c r="W44" s="171">
        <v>0</v>
      </c>
      <c r="X44" s="171">
        <v>0</v>
      </c>
      <c r="Y44" s="171">
        <v>0</v>
      </c>
      <c r="Z44" s="171">
        <v>0</v>
      </c>
      <c r="AA44" s="171">
        <v>0</v>
      </c>
      <c r="AB44" s="171">
        <v>0</v>
      </c>
      <c r="AC44" s="171">
        <v>0</v>
      </c>
      <c r="AD44" s="171">
        <v>0</v>
      </c>
      <c r="AE44" s="171">
        <v>0</v>
      </c>
      <c r="AF44" s="171">
        <v>0</v>
      </c>
      <c r="AG44" s="171">
        <v>0</v>
      </c>
      <c r="AH44" s="171">
        <v>0</v>
      </c>
      <c r="AI44" s="171">
        <v>0</v>
      </c>
      <c r="AJ44" s="171">
        <v>0</v>
      </c>
      <c r="AK44" s="171">
        <v>0</v>
      </c>
      <c r="AL44" s="171">
        <v>0</v>
      </c>
      <c r="AM44" s="171">
        <v>0</v>
      </c>
      <c r="AN44" s="171">
        <v>0</v>
      </c>
    </row>
    <row r="45" spans="3:40" x14ac:dyDescent="0.3">
      <c r="C45" s="171">
        <v>54</v>
      </c>
      <c r="D45" s="171">
        <v>8</v>
      </c>
      <c r="E45" s="171">
        <v>6</v>
      </c>
      <c r="F45" s="171">
        <v>146770</v>
      </c>
      <c r="G45" s="171">
        <v>5000</v>
      </c>
      <c r="H45" s="171">
        <v>96922</v>
      </c>
      <c r="I45" s="171">
        <v>0</v>
      </c>
      <c r="J45" s="171">
        <v>0</v>
      </c>
      <c r="K45" s="171">
        <v>0</v>
      </c>
      <c r="L45" s="171">
        <v>0</v>
      </c>
      <c r="M45" s="171">
        <v>0</v>
      </c>
      <c r="N45" s="171">
        <v>23692</v>
      </c>
      <c r="O45" s="171">
        <v>0</v>
      </c>
      <c r="P45" s="171">
        <v>0</v>
      </c>
      <c r="Q45" s="171">
        <v>0</v>
      </c>
      <c r="R45" s="171">
        <v>0</v>
      </c>
      <c r="S45" s="171">
        <v>0</v>
      </c>
      <c r="T45" s="171">
        <v>0</v>
      </c>
      <c r="U45" s="171">
        <v>0</v>
      </c>
      <c r="V45" s="171">
        <v>0</v>
      </c>
      <c r="W45" s="171">
        <v>0</v>
      </c>
      <c r="X45" s="171">
        <v>0</v>
      </c>
      <c r="Y45" s="171">
        <v>0</v>
      </c>
      <c r="Z45" s="171">
        <v>0</v>
      </c>
      <c r="AA45" s="171">
        <v>0</v>
      </c>
      <c r="AB45" s="171">
        <v>20699</v>
      </c>
      <c r="AC45" s="171">
        <v>0</v>
      </c>
      <c r="AD45" s="171">
        <v>0</v>
      </c>
      <c r="AE45" s="171">
        <v>0</v>
      </c>
      <c r="AF45" s="171">
        <v>0</v>
      </c>
      <c r="AG45" s="171">
        <v>0</v>
      </c>
      <c r="AH45" s="171">
        <v>0</v>
      </c>
      <c r="AI45" s="171">
        <v>0</v>
      </c>
      <c r="AJ45" s="171">
        <v>0</v>
      </c>
      <c r="AK45" s="171">
        <v>457</v>
      </c>
      <c r="AL45" s="171">
        <v>0</v>
      </c>
      <c r="AM45" s="171">
        <v>0</v>
      </c>
      <c r="AN45" s="171">
        <v>0</v>
      </c>
    </row>
    <row r="46" spans="3:40" x14ac:dyDescent="0.3">
      <c r="C46" s="171">
        <v>54</v>
      </c>
      <c r="D46" s="171">
        <v>8</v>
      </c>
      <c r="E46" s="171">
        <v>11</v>
      </c>
      <c r="F46" s="171">
        <v>619.16666666666663</v>
      </c>
      <c r="G46" s="171">
        <v>0</v>
      </c>
      <c r="H46" s="171">
        <v>619.16666666666663</v>
      </c>
      <c r="I46" s="171">
        <v>0</v>
      </c>
      <c r="J46" s="171">
        <v>0</v>
      </c>
      <c r="K46" s="171">
        <v>0</v>
      </c>
      <c r="L46" s="171">
        <v>0</v>
      </c>
      <c r="M46" s="171">
        <v>0</v>
      </c>
      <c r="N46" s="171">
        <v>0</v>
      </c>
      <c r="O46" s="171">
        <v>0</v>
      </c>
      <c r="P46" s="171">
        <v>0</v>
      </c>
      <c r="Q46" s="171">
        <v>0</v>
      </c>
      <c r="R46" s="171">
        <v>0</v>
      </c>
      <c r="S46" s="171">
        <v>0</v>
      </c>
      <c r="T46" s="171">
        <v>0</v>
      </c>
      <c r="U46" s="171">
        <v>0</v>
      </c>
      <c r="V46" s="171">
        <v>0</v>
      </c>
      <c r="W46" s="171">
        <v>0</v>
      </c>
      <c r="X46" s="171">
        <v>0</v>
      </c>
      <c r="Y46" s="171">
        <v>0</v>
      </c>
      <c r="Z46" s="171">
        <v>0</v>
      </c>
      <c r="AA46" s="171">
        <v>0</v>
      </c>
      <c r="AB46" s="171">
        <v>0</v>
      </c>
      <c r="AC46" s="171">
        <v>0</v>
      </c>
      <c r="AD46" s="171">
        <v>0</v>
      </c>
      <c r="AE46" s="171">
        <v>0</v>
      </c>
      <c r="AF46" s="171">
        <v>0</v>
      </c>
      <c r="AG46" s="171">
        <v>0</v>
      </c>
      <c r="AH46" s="171">
        <v>0</v>
      </c>
      <c r="AI46" s="171">
        <v>0</v>
      </c>
      <c r="AJ46" s="171">
        <v>0</v>
      </c>
      <c r="AK46" s="171">
        <v>0</v>
      </c>
      <c r="AL46" s="171">
        <v>0</v>
      </c>
      <c r="AM46" s="171">
        <v>0</v>
      </c>
      <c r="AN46" s="171">
        <v>0</v>
      </c>
    </row>
    <row r="47" spans="3:40" x14ac:dyDescent="0.3">
      <c r="C47" s="171">
        <v>54</v>
      </c>
      <c r="D47" s="171">
        <v>9</v>
      </c>
      <c r="E47" s="171">
        <v>1</v>
      </c>
      <c r="F47" s="171">
        <v>4</v>
      </c>
      <c r="G47" s="171">
        <v>0</v>
      </c>
      <c r="H47" s="171">
        <v>2</v>
      </c>
      <c r="I47" s="171">
        <v>0</v>
      </c>
      <c r="J47" s="171">
        <v>0</v>
      </c>
      <c r="K47" s="171">
        <v>0</v>
      </c>
      <c r="L47" s="171">
        <v>0</v>
      </c>
      <c r="M47" s="171">
        <v>0</v>
      </c>
      <c r="N47" s="171">
        <v>1</v>
      </c>
      <c r="O47" s="171">
        <v>0</v>
      </c>
      <c r="P47" s="171">
        <v>0</v>
      </c>
      <c r="Q47" s="171">
        <v>0</v>
      </c>
      <c r="R47" s="171">
        <v>0</v>
      </c>
      <c r="S47" s="171">
        <v>0</v>
      </c>
      <c r="T47" s="171">
        <v>0</v>
      </c>
      <c r="U47" s="171">
        <v>0</v>
      </c>
      <c r="V47" s="171">
        <v>0</v>
      </c>
      <c r="W47" s="171">
        <v>0</v>
      </c>
      <c r="X47" s="171">
        <v>0</v>
      </c>
      <c r="Y47" s="171">
        <v>0</v>
      </c>
      <c r="Z47" s="171">
        <v>0</v>
      </c>
      <c r="AA47" s="171">
        <v>0</v>
      </c>
      <c r="AB47" s="171">
        <v>1</v>
      </c>
      <c r="AC47" s="171">
        <v>0</v>
      </c>
      <c r="AD47" s="171">
        <v>0</v>
      </c>
      <c r="AE47" s="171">
        <v>0</v>
      </c>
      <c r="AF47" s="171">
        <v>0</v>
      </c>
      <c r="AG47" s="171">
        <v>0</v>
      </c>
      <c r="AH47" s="171">
        <v>0</v>
      </c>
      <c r="AI47" s="171">
        <v>0</v>
      </c>
      <c r="AJ47" s="171">
        <v>0</v>
      </c>
      <c r="AK47" s="171">
        <v>0</v>
      </c>
      <c r="AL47" s="171">
        <v>0</v>
      </c>
      <c r="AM47" s="171">
        <v>0</v>
      </c>
      <c r="AN47" s="171">
        <v>0</v>
      </c>
    </row>
    <row r="48" spans="3:40" x14ac:dyDescent="0.3">
      <c r="C48" s="171">
        <v>54</v>
      </c>
      <c r="D48" s="171">
        <v>9</v>
      </c>
      <c r="E48" s="171">
        <v>2</v>
      </c>
      <c r="F48" s="171">
        <v>592</v>
      </c>
      <c r="G48" s="171">
        <v>0</v>
      </c>
      <c r="H48" s="171">
        <v>264</v>
      </c>
      <c r="I48" s="171">
        <v>0</v>
      </c>
      <c r="J48" s="171">
        <v>0</v>
      </c>
      <c r="K48" s="171">
        <v>0</v>
      </c>
      <c r="L48" s="171">
        <v>0</v>
      </c>
      <c r="M48" s="171">
        <v>0</v>
      </c>
      <c r="N48" s="171">
        <v>152</v>
      </c>
      <c r="O48" s="171">
        <v>0</v>
      </c>
      <c r="P48" s="171">
        <v>0</v>
      </c>
      <c r="Q48" s="171">
        <v>0</v>
      </c>
      <c r="R48" s="171">
        <v>0</v>
      </c>
      <c r="S48" s="171">
        <v>0</v>
      </c>
      <c r="T48" s="171">
        <v>0</v>
      </c>
      <c r="U48" s="171">
        <v>0</v>
      </c>
      <c r="V48" s="171">
        <v>0</v>
      </c>
      <c r="W48" s="171">
        <v>0</v>
      </c>
      <c r="X48" s="171">
        <v>0</v>
      </c>
      <c r="Y48" s="171">
        <v>0</v>
      </c>
      <c r="Z48" s="171">
        <v>0</v>
      </c>
      <c r="AA48" s="171">
        <v>0</v>
      </c>
      <c r="AB48" s="171">
        <v>176</v>
      </c>
      <c r="AC48" s="171">
        <v>0</v>
      </c>
      <c r="AD48" s="171">
        <v>0</v>
      </c>
      <c r="AE48" s="171">
        <v>0</v>
      </c>
      <c r="AF48" s="171">
        <v>0</v>
      </c>
      <c r="AG48" s="171">
        <v>0</v>
      </c>
      <c r="AH48" s="171">
        <v>0</v>
      </c>
      <c r="AI48" s="171">
        <v>0</v>
      </c>
      <c r="AJ48" s="171">
        <v>0</v>
      </c>
      <c r="AK48" s="171">
        <v>0</v>
      </c>
      <c r="AL48" s="171">
        <v>0</v>
      </c>
      <c r="AM48" s="171">
        <v>0</v>
      </c>
      <c r="AN48" s="171">
        <v>0</v>
      </c>
    </row>
    <row r="49" spans="3:40" x14ac:dyDescent="0.3">
      <c r="C49" s="171">
        <v>54</v>
      </c>
      <c r="D49" s="171">
        <v>9</v>
      </c>
      <c r="E49" s="171">
        <v>5</v>
      </c>
      <c r="F49" s="171">
        <v>20</v>
      </c>
      <c r="G49" s="171">
        <v>20</v>
      </c>
      <c r="H49" s="171">
        <v>0</v>
      </c>
      <c r="I49" s="171">
        <v>0</v>
      </c>
      <c r="J49" s="171">
        <v>0</v>
      </c>
      <c r="K49" s="171">
        <v>0</v>
      </c>
      <c r="L49" s="171">
        <v>0</v>
      </c>
      <c r="M49" s="171">
        <v>0</v>
      </c>
      <c r="N49" s="171">
        <v>0</v>
      </c>
      <c r="O49" s="171">
        <v>0</v>
      </c>
      <c r="P49" s="171">
        <v>0</v>
      </c>
      <c r="Q49" s="171">
        <v>0</v>
      </c>
      <c r="R49" s="171">
        <v>0</v>
      </c>
      <c r="S49" s="171">
        <v>0</v>
      </c>
      <c r="T49" s="171">
        <v>0</v>
      </c>
      <c r="U49" s="171">
        <v>0</v>
      </c>
      <c r="V49" s="171">
        <v>0</v>
      </c>
      <c r="W49" s="171">
        <v>0</v>
      </c>
      <c r="X49" s="171">
        <v>0</v>
      </c>
      <c r="Y49" s="171">
        <v>0</v>
      </c>
      <c r="Z49" s="171">
        <v>0</v>
      </c>
      <c r="AA49" s="171">
        <v>0</v>
      </c>
      <c r="AB49" s="171">
        <v>0</v>
      </c>
      <c r="AC49" s="171">
        <v>0</v>
      </c>
      <c r="AD49" s="171">
        <v>0</v>
      </c>
      <c r="AE49" s="171">
        <v>0</v>
      </c>
      <c r="AF49" s="171">
        <v>0</v>
      </c>
      <c r="AG49" s="171">
        <v>0</v>
      </c>
      <c r="AH49" s="171">
        <v>0</v>
      </c>
      <c r="AI49" s="171">
        <v>0</v>
      </c>
      <c r="AJ49" s="171">
        <v>0</v>
      </c>
      <c r="AK49" s="171">
        <v>0</v>
      </c>
      <c r="AL49" s="171">
        <v>0</v>
      </c>
      <c r="AM49" s="171">
        <v>0</v>
      </c>
      <c r="AN49" s="171">
        <v>0</v>
      </c>
    </row>
    <row r="50" spans="3:40" x14ac:dyDescent="0.3">
      <c r="C50" s="171">
        <v>54</v>
      </c>
      <c r="D50" s="171">
        <v>9</v>
      </c>
      <c r="E50" s="171">
        <v>6</v>
      </c>
      <c r="F50" s="171">
        <v>148444</v>
      </c>
      <c r="G50" s="171">
        <v>5000</v>
      </c>
      <c r="H50" s="171">
        <v>97403</v>
      </c>
      <c r="I50" s="171">
        <v>0</v>
      </c>
      <c r="J50" s="171">
        <v>0</v>
      </c>
      <c r="K50" s="171">
        <v>0</v>
      </c>
      <c r="L50" s="171">
        <v>0</v>
      </c>
      <c r="M50" s="171">
        <v>0</v>
      </c>
      <c r="N50" s="171">
        <v>23951</v>
      </c>
      <c r="O50" s="171">
        <v>0</v>
      </c>
      <c r="P50" s="171">
        <v>0</v>
      </c>
      <c r="Q50" s="171">
        <v>0</v>
      </c>
      <c r="R50" s="171">
        <v>0</v>
      </c>
      <c r="S50" s="171">
        <v>0</v>
      </c>
      <c r="T50" s="171">
        <v>0</v>
      </c>
      <c r="U50" s="171">
        <v>0</v>
      </c>
      <c r="V50" s="171">
        <v>0</v>
      </c>
      <c r="W50" s="171">
        <v>0</v>
      </c>
      <c r="X50" s="171">
        <v>0</v>
      </c>
      <c r="Y50" s="171">
        <v>0</v>
      </c>
      <c r="Z50" s="171">
        <v>0</v>
      </c>
      <c r="AA50" s="171">
        <v>0</v>
      </c>
      <c r="AB50" s="171">
        <v>21490</v>
      </c>
      <c r="AC50" s="171">
        <v>0</v>
      </c>
      <c r="AD50" s="171">
        <v>0</v>
      </c>
      <c r="AE50" s="171">
        <v>0</v>
      </c>
      <c r="AF50" s="171">
        <v>0</v>
      </c>
      <c r="AG50" s="171">
        <v>0</v>
      </c>
      <c r="AH50" s="171">
        <v>0</v>
      </c>
      <c r="AI50" s="171">
        <v>0</v>
      </c>
      <c r="AJ50" s="171">
        <v>0</v>
      </c>
      <c r="AK50" s="171">
        <v>600</v>
      </c>
      <c r="AL50" s="171">
        <v>0</v>
      </c>
      <c r="AM50" s="171">
        <v>0</v>
      </c>
      <c r="AN50" s="171">
        <v>0</v>
      </c>
    </row>
    <row r="51" spans="3:40" x14ac:dyDescent="0.3">
      <c r="C51" s="171">
        <v>54</v>
      </c>
      <c r="D51" s="171">
        <v>9</v>
      </c>
      <c r="E51" s="171">
        <v>10</v>
      </c>
      <c r="F51" s="171">
        <v>1000</v>
      </c>
      <c r="G51" s="171">
        <v>0</v>
      </c>
      <c r="H51" s="171">
        <v>500</v>
      </c>
      <c r="I51" s="171">
        <v>0</v>
      </c>
      <c r="J51" s="171">
        <v>0</v>
      </c>
      <c r="K51" s="171">
        <v>500</v>
      </c>
      <c r="L51" s="171">
        <v>0</v>
      </c>
      <c r="M51" s="171">
        <v>0</v>
      </c>
      <c r="N51" s="171">
        <v>0</v>
      </c>
      <c r="O51" s="171">
        <v>0</v>
      </c>
      <c r="P51" s="171">
        <v>0</v>
      </c>
      <c r="Q51" s="171">
        <v>0</v>
      </c>
      <c r="R51" s="171">
        <v>0</v>
      </c>
      <c r="S51" s="171">
        <v>0</v>
      </c>
      <c r="T51" s="171">
        <v>0</v>
      </c>
      <c r="U51" s="171">
        <v>0</v>
      </c>
      <c r="V51" s="171">
        <v>0</v>
      </c>
      <c r="W51" s="171">
        <v>0</v>
      </c>
      <c r="X51" s="171">
        <v>0</v>
      </c>
      <c r="Y51" s="171">
        <v>0</v>
      </c>
      <c r="Z51" s="171">
        <v>0</v>
      </c>
      <c r="AA51" s="171">
        <v>0</v>
      </c>
      <c r="AB51" s="171">
        <v>0</v>
      </c>
      <c r="AC51" s="171">
        <v>0</v>
      </c>
      <c r="AD51" s="171">
        <v>0</v>
      </c>
      <c r="AE51" s="171">
        <v>0</v>
      </c>
      <c r="AF51" s="171">
        <v>0</v>
      </c>
      <c r="AG51" s="171">
        <v>0</v>
      </c>
      <c r="AH51" s="171">
        <v>0</v>
      </c>
      <c r="AI51" s="171">
        <v>0</v>
      </c>
      <c r="AJ51" s="171">
        <v>0</v>
      </c>
      <c r="AK51" s="171">
        <v>0</v>
      </c>
      <c r="AL51" s="171">
        <v>0</v>
      </c>
      <c r="AM51" s="171">
        <v>0</v>
      </c>
      <c r="AN51" s="171">
        <v>0</v>
      </c>
    </row>
    <row r="52" spans="3:40" x14ac:dyDescent="0.3">
      <c r="C52" s="171">
        <v>54</v>
      </c>
      <c r="D52" s="171">
        <v>9</v>
      </c>
      <c r="E52" s="171">
        <v>11</v>
      </c>
      <c r="F52" s="171">
        <v>619.16666666666663</v>
      </c>
      <c r="G52" s="171">
        <v>0</v>
      </c>
      <c r="H52" s="171">
        <v>619.16666666666663</v>
      </c>
      <c r="I52" s="171">
        <v>0</v>
      </c>
      <c r="J52" s="171">
        <v>0</v>
      </c>
      <c r="K52" s="171">
        <v>0</v>
      </c>
      <c r="L52" s="171">
        <v>0</v>
      </c>
      <c r="M52" s="171">
        <v>0</v>
      </c>
      <c r="N52" s="171">
        <v>0</v>
      </c>
      <c r="O52" s="171">
        <v>0</v>
      </c>
      <c r="P52" s="171">
        <v>0</v>
      </c>
      <c r="Q52" s="171">
        <v>0</v>
      </c>
      <c r="R52" s="171">
        <v>0</v>
      </c>
      <c r="S52" s="171">
        <v>0</v>
      </c>
      <c r="T52" s="171">
        <v>0</v>
      </c>
      <c r="U52" s="171">
        <v>0</v>
      </c>
      <c r="V52" s="171">
        <v>0</v>
      </c>
      <c r="W52" s="171">
        <v>0</v>
      </c>
      <c r="X52" s="171">
        <v>0</v>
      </c>
      <c r="Y52" s="171">
        <v>0</v>
      </c>
      <c r="Z52" s="171">
        <v>0</v>
      </c>
      <c r="AA52" s="171">
        <v>0</v>
      </c>
      <c r="AB52" s="171">
        <v>0</v>
      </c>
      <c r="AC52" s="171">
        <v>0</v>
      </c>
      <c r="AD52" s="171">
        <v>0</v>
      </c>
      <c r="AE52" s="171">
        <v>0</v>
      </c>
      <c r="AF52" s="171">
        <v>0</v>
      </c>
      <c r="AG52" s="171">
        <v>0</v>
      </c>
      <c r="AH52" s="171">
        <v>0</v>
      </c>
      <c r="AI52" s="171">
        <v>0</v>
      </c>
      <c r="AJ52" s="171">
        <v>0</v>
      </c>
      <c r="AK52" s="171">
        <v>0</v>
      </c>
      <c r="AL52" s="171">
        <v>0</v>
      </c>
      <c r="AM52" s="171">
        <v>0</v>
      </c>
      <c r="AN52" s="171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Obsah</vt:lpstr>
      <vt:lpstr>Motivace</vt:lpstr>
      <vt:lpstr>HI</vt:lpstr>
      <vt:lpstr>Man Tab</vt:lpstr>
      <vt:lpstr>HV</vt:lpstr>
      <vt:lpstr>Léky Žádanky</vt:lpstr>
      <vt:lpstr>LŽ Statim</vt:lpstr>
      <vt:lpstr>Materiál Žádanky</vt:lpstr>
      <vt:lpstr>MŽ Detail</vt:lpstr>
      <vt:lpstr>Osobní náklady</vt:lpstr>
      <vt:lpstr>ON 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2014-08-21T08:13:26Z</cp:lastPrinted>
  <dcterms:created xsi:type="dcterms:W3CDTF">2013-04-17T20:15:29Z</dcterms:created>
  <dcterms:modified xsi:type="dcterms:W3CDTF">2014-10-22T13:39:53Z</dcterms:modified>
</cp:coreProperties>
</file>