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4956" yWindow="708" windowWidth="15300" windowHeight="8544" tabRatio="930"/>
  </bookViews>
  <sheets>
    <sheet name="Obsah" sheetId="383" r:id="rId1"/>
    <sheet name="Motivace" sheetId="414" r:id="rId2"/>
    <sheet name="HI" sheetId="339" r:id="rId3"/>
    <sheet name="Man Tab" sheetId="366" r:id="rId4"/>
    <sheet name="HV" sheetId="367" r:id="rId5"/>
    <sheet name="Léky Žádanky" sheetId="219" r:id="rId6"/>
    <sheet name="LŽ Statim" sheetId="427" r:id="rId7"/>
    <sheet name="Materiál Žádanky" sheetId="420" r:id="rId8"/>
    <sheet name="MŽ Detail" sheetId="403" r:id="rId9"/>
    <sheet name="Osobní náklady" sheetId="419" r:id="rId10"/>
    <sheet name="ON Data" sheetId="418" state="hidden" r:id="rId11"/>
  </sheets>
  <definedNames>
    <definedName name="_xlnm._FilterDatabase" localSheetId="4" hidden="1">HV!$A$5:$A$5</definedName>
    <definedName name="_xlnm._FilterDatabase" localSheetId="5" hidden="1">'Léky Žádanky'!$A$4:$I$4</definedName>
    <definedName name="_xlnm._FilterDatabase" localSheetId="6" hidden="1">'LŽ Statim'!$A$5:$I$5</definedName>
    <definedName name="_xlnm._FilterDatabase" localSheetId="3" hidden="1">'Man Tab'!$A$5:$A$31</definedName>
    <definedName name="_xlnm._FilterDatabase" localSheetId="7" hidden="1">'Materiál Žádanky'!$A$4:$I$4</definedName>
    <definedName name="_xlnm._FilterDatabase" localSheetId="8" hidden="1">'MŽ Detail'!$A$4:$K$4</definedName>
    <definedName name="doměsíce">#REF!</definedName>
  </definedNames>
  <calcPr calcId="145621"/>
</workbook>
</file>

<file path=xl/calcChain.xml><?xml version="1.0" encoding="utf-8"?>
<calcChain xmlns="http://schemas.openxmlformats.org/spreadsheetml/2006/main">
  <c r="AG21" i="419" l="1"/>
  <c r="AF21" i="419"/>
  <c r="AE21" i="419"/>
  <c r="AD21" i="419"/>
  <c r="AC21" i="419"/>
  <c r="AB21" i="419"/>
  <c r="AA21" i="419"/>
  <c r="Z21" i="419"/>
  <c r="Y21" i="419"/>
  <c r="X21" i="419"/>
  <c r="W21" i="419"/>
  <c r="V21" i="419"/>
  <c r="U21" i="419"/>
  <c r="T21" i="419"/>
  <c r="S21" i="419"/>
  <c r="R21" i="419"/>
  <c r="Q21" i="419"/>
  <c r="P21" i="419"/>
  <c r="O21" i="419"/>
  <c r="N21" i="419"/>
  <c r="M21" i="419"/>
  <c r="L21" i="419"/>
  <c r="K21" i="419"/>
  <c r="J21" i="419"/>
  <c r="I21" i="419"/>
  <c r="H21" i="419"/>
  <c r="G21" i="419"/>
  <c r="F21" i="419"/>
  <c r="E21" i="419"/>
  <c r="D21" i="419"/>
  <c r="C21" i="419"/>
  <c r="B21" i="419"/>
  <c r="H22" i="419" l="1"/>
  <c r="AF22" i="419"/>
  <c r="L22" i="419"/>
  <c r="T22" i="419"/>
  <c r="AB22" i="419"/>
  <c r="B22" i="419"/>
  <c r="I22" i="419"/>
  <c r="M22" i="419"/>
  <c r="Q22" i="419"/>
  <c r="U22" i="419"/>
  <c r="Y22" i="419"/>
  <c r="AC22" i="419"/>
  <c r="E22" i="419"/>
  <c r="P22" i="419"/>
  <c r="X22" i="419"/>
  <c r="C22" i="419"/>
  <c r="F22" i="419"/>
  <c r="J22" i="419"/>
  <c r="N22" i="419"/>
  <c r="R22" i="419"/>
  <c r="V22" i="419"/>
  <c r="Z22" i="419"/>
  <c r="AD22" i="419"/>
  <c r="AG22" i="419"/>
  <c r="D22" i="419"/>
  <c r="G22" i="419"/>
  <c r="K22" i="419"/>
  <c r="O22" i="419"/>
  <c r="S22" i="419"/>
  <c r="W22" i="419"/>
  <c r="AA22" i="419"/>
  <c r="AE22" i="419"/>
  <c r="A8" i="414" l="1"/>
  <c r="A11" i="383" l="1"/>
  <c r="M3" i="427"/>
  <c r="L3" i="427"/>
  <c r="K3" i="427"/>
  <c r="J3" i="427"/>
  <c r="E3" i="427"/>
  <c r="D3" i="427"/>
  <c r="C3" i="427"/>
  <c r="B3" i="427"/>
  <c r="N3" i="427" l="1"/>
  <c r="O3" i="427"/>
  <c r="P3" i="427"/>
  <c r="Q3" i="427"/>
  <c r="G3" i="427"/>
  <c r="D8" i="414" s="1"/>
  <c r="E8" i="414" s="1"/>
  <c r="H3" i="427"/>
  <c r="I3" i="427"/>
  <c r="F3" i="427"/>
  <c r="AG26" i="419" l="1"/>
  <c r="AG25" i="419"/>
  <c r="A12" i="383" l="1"/>
  <c r="A10" i="383"/>
  <c r="C13" i="414"/>
  <c r="D13" i="414"/>
  <c r="AG20" i="419" l="1"/>
  <c r="AG23" i="419" s="1"/>
  <c r="AF20" i="419"/>
  <c r="AF23" i="419" s="1"/>
  <c r="AE20" i="419"/>
  <c r="AE23" i="419" s="1"/>
  <c r="AD20" i="419"/>
  <c r="AD23" i="419" s="1"/>
  <c r="AC20" i="419"/>
  <c r="AC23" i="419" s="1"/>
  <c r="AB20" i="419"/>
  <c r="AB23" i="419" s="1"/>
  <c r="AA20" i="419"/>
  <c r="AA23" i="419" s="1"/>
  <c r="Z20" i="419"/>
  <c r="Z23" i="419" s="1"/>
  <c r="Y20" i="419"/>
  <c r="Y23" i="419" s="1"/>
  <c r="X20" i="419"/>
  <c r="X23" i="419" s="1"/>
  <c r="W20" i="419"/>
  <c r="W23" i="419" s="1"/>
  <c r="V20" i="419"/>
  <c r="V23" i="419" s="1"/>
  <c r="U20" i="419"/>
  <c r="U23" i="419" s="1"/>
  <c r="T20" i="419"/>
  <c r="T23" i="419" s="1"/>
  <c r="S20" i="419"/>
  <c r="S23" i="419" s="1"/>
  <c r="R20" i="419"/>
  <c r="R23" i="419" s="1"/>
  <c r="Q20" i="419"/>
  <c r="Q23" i="419" s="1"/>
  <c r="P20" i="419"/>
  <c r="P23" i="419" s="1"/>
  <c r="O20" i="419"/>
  <c r="O23" i="419" s="1"/>
  <c r="N20" i="419"/>
  <c r="N23" i="419" s="1"/>
  <c r="M20" i="419"/>
  <c r="M23" i="419" s="1"/>
  <c r="L20" i="419"/>
  <c r="L23" i="419" s="1"/>
  <c r="K20" i="419"/>
  <c r="K23" i="419" s="1"/>
  <c r="J20" i="419"/>
  <c r="J23" i="419" s="1"/>
  <c r="I20" i="419"/>
  <c r="I23" i="419" s="1"/>
  <c r="H20" i="419"/>
  <c r="H23" i="419" s="1"/>
  <c r="G20" i="419"/>
  <c r="G23" i="419" s="1"/>
  <c r="F20" i="419"/>
  <c r="F23" i="419" s="1"/>
  <c r="E20" i="419"/>
  <c r="E23" i="419" s="1"/>
  <c r="D20" i="419"/>
  <c r="D23" i="419" s="1"/>
  <c r="AG19" i="419"/>
  <c r="AF19" i="419"/>
  <c r="AE19" i="419"/>
  <c r="AD19" i="419"/>
  <c r="AC19" i="419"/>
  <c r="AB19" i="419"/>
  <c r="AA19" i="419"/>
  <c r="Z19" i="419"/>
  <c r="Y19" i="419"/>
  <c r="X19" i="419"/>
  <c r="W19" i="419"/>
  <c r="V19" i="419"/>
  <c r="U19" i="419"/>
  <c r="T19" i="419"/>
  <c r="S19" i="419"/>
  <c r="R19" i="419"/>
  <c r="Q19" i="419"/>
  <c r="P19" i="419"/>
  <c r="O19" i="419"/>
  <c r="N19" i="419"/>
  <c r="M19" i="419"/>
  <c r="L19" i="419"/>
  <c r="K19" i="419"/>
  <c r="J19" i="419"/>
  <c r="I19" i="419"/>
  <c r="H19" i="419"/>
  <c r="G19" i="419"/>
  <c r="F19" i="419"/>
  <c r="E19" i="419"/>
  <c r="D19" i="419"/>
  <c r="AG17" i="419"/>
  <c r="AF17" i="419"/>
  <c r="AE17" i="419"/>
  <c r="AD17" i="419"/>
  <c r="AC17" i="419"/>
  <c r="AB17" i="419"/>
  <c r="AA17" i="419"/>
  <c r="Z17" i="419"/>
  <c r="Y17" i="419"/>
  <c r="X17" i="419"/>
  <c r="W17" i="419"/>
  <c r="V17" i="419"/>
  <c r="U17" i="419"/>
  <c r="T17" i="419"/>
  <c r="S17" i="419"/>
  <c r="R17" i="419"/>
  <c r="Q17" i="419"/>
  <c r="P17" i="419"/>
  <c r="O17" i="419"/>
  <c r="N17" i="419"/>
  <c r="M17" i="419"/>
  <c r="L17" i="419"/>
  <c r="K17" i="419"/>
  <c r="J17" i="419"/>
  <c r="I17" i="419"/>
  <c r="H17" i="419"/>
  <c r="G17" i="419"/>
  <c r="F17" i="419"/>
  <c r="E17" i="419"/>
  <c r="D17" i="419"/>
  <c r="AG16" i="419"/>
  <c r="AF16" i="419"/>
  <c r="AE16" i="419"/>
  <c r="AD16" i="419"/>
  <c r="AC16" i="419"/>
  <c r="AB16" i="419"/>
  <c r="AA16" i="419"/>
  <c r="AA18" i="419" s="1"/>
  <c r="Z16" i="419"/>
  <c r="Y16" i="419"/>
  <c r="X16" i="419"/>
  <c r="W16" i="419"/>
  <c r="W18" i="419" s="1"/>
  <c r="V16" i="419"/>
  <c r="U16" i="419"/>
  <c r="T16" i="419"/>
  <c r="S16" i="419"/>
  <c r="S18" i="419" s="1"/>
  <c r="R16" i="419"/>
  <c r="Q16" i="419"/>
  <c r="P16" i="419"/>
  <c r="O16" i="419"/>
  <c r="N16" i="419"/>
  <c r="M16" i="419"/>
  <c r="L16" i="419"/>
  <c r="K16" i="419"/>
  <c r="J16" i="419"/>
  <c r="I16" i="419"/>
  <c r="H16" i="419"/>
  <c r="G16" i="419"/>
  <c r="G18" i="419" s="1"/>
  <c r="F16" i="419"/>
  <c r="E16" i="419"/>
  <c r="D16" i="419"/>
  <c r="D18" i="419" s="1"/>
  <c r="AG14" i="419"/>
  <c r="AF14" i="419"/>
  <c r="AE14" i="419"/>
  <c r="AD14" i="419"/>
  <c r="AC14" i="419"/>
  <c r="AB14" i="419"/>
  <c r="AA14" i="419"/>
  <c r="Z14" i="419"/>
  <c r="Y14" i="419"/>
  <c r="X14" i="419"/>
  <c r="W14" i="419"/>
  <c r="V14" i="419"/>
  <c r="U14" i="419"/>
  <c r="T14" i="419"/>
  <c r="S14" i="419"/>
  <c r="R14" i="419"/>
  <c r="Q14" i="419"/>
  <c r="P14" i="419"/>
  <c r="O14" i="419"/>
  <c r="N14" i="419"/>
  <c r="M14" i="419"/>
  <c r="L14" i="419"/>
  <c r="K14" i="419"/>
  <c r="J14" i="419"/>
  <c r="I14" i="419"/>
  <c r="H14" i="419"/>
  <c r="G14" i="419"/>
  <c r="F14" i="419"/>
  <c r="E14" i="419"/>
  <c r="D14" i="419"/>
  <c r="AG13" i="419"/>
  <c r="AF13" i="419"/>
  <c r="AE13" i="419"/>
  <c r="AD13" i="419"/>
  <c r="AC13" i="419"/>
  <c r="AB13" i="419"/>
  <c r="AA13" i="419"/>
  <c r="Z13" i="419"/>
  <c r="Y13" i="419"/>
  <c r="X13" i="419"/>
  <c r="W13" i="419"/>
  <c r="V13" i="419"/>
  <c r="U13" i="419"/>
  <c r="T13" i="419"/>
  <c r="S13" i="419"/>
  <c r="R13" i="419"/>
  <c r="Q13" i="419"/>
  <c r="P13" i="419"/>
  <c r="O13" i="419"/>
  <c r="N13" i="419"/>
  <c r="M13" i="419"/>
  <c r="L13" i="419"/>
  <c r="K13" i="419"/>
  <c r="J13" i="419"/>
  <c r="I13" i="419"/>
  <c r="H13" i="419"/>
  <c r="G13" i="419"/>
  <c r="F13" i="419"/>
  <c r="E13" i="419"/>
  <c r="D13" i="419"/>
  <c r="AG12" i="419"/>
  <c r="AF12" i="419"/>
  <c r="AE12" i="419"/>
  <c r="AD12" i="419"/>
  <c r="AC12" i="419"/>
  <c r="AB12" i="419"/>
  <c r="AA12" i="419"/>
  <c r="Z12" i="419"/>
  <c r="Y12" i="419"/>
  <c r="X12" i="419"/>
  <c r="W12" i="419"/>
  <c r="V12" i="419"/>
  <c r="U12" i="419"/>
  <c r="T12" i="419"/>
  <c r="S12" i="419"/>
  <c r="R12" i="419"/>
  <c r="Q12" i="419"/>
  <c r="P12" i="419"/>
  <c r="O12" i="419"/>
  <c r="N12" i="419"/>
  <c r="M12" i="419"/>
  <c r="L12" i="419"/>
  <c r="K12" i="419"/>
  <c r="J12" i="419"/>
  <c r="I12" i="419"/>
  <c r="H12" i="419"/>
  <c r="G12" i="419"/>
  <c r="F12" i="419"/>
  <c r="E12" i="419"/>
  <c r="D12" i="419"/>
  <c r="AG11" i="419"/>
  <c r="AF11" i="419"/>
  <c r="AE11" i="419"/>
  <c r="AD11" i="419"/>
  <c r="AC11" i="419"/>
  <c r="AB11" i="419"/>
  <c r="AA11" i="419"/>
  <c r="Z11" i="419"/>
  <c r="Y11" i="419"/>
  <c r="X11" i="419"/>
  <c r="W11" i="419"/>
  <c r="V11" i="419"/>
  <c r="U11" i="419"/>
  <c r="T11" i="419"/>
  <c r="S11" i="419"/>
  <c r="R11" i="419"/>
  <c r="Q11" i="419"/>
  <c r="P11" i="419"/>
  <c r="O11" i="419"/>
  <c r="N11" i="419"/>
  <c r="M11" i="419"/>
  <c r="L11" i="419"/>
  <c r="K11" i="419"/>
  <c r="J11" i="419"/>
  <c r="I11" i="419"/>
  <c r="H11" i="419"/>
  <c r="G11" i="419"/>
  <c r="F11" i="419"/>
  <c r="E11" i="419"/>
  <c r="D11" i="419"/>
  <c r="AN3" i="418"/>
  <c r="AM3" i="418"/>
  <c r="AL3" i="418"/>
  <c r="AK3" i="418"/>
  <c r="AJ3" i="418"/>
  <c r="AI3" i="418"/>
  <c r="AH3" i="418"/>
  <c r="AG3" i="418"/>
  <c r="AF3" i="418"/>
  <c r="AE3" i="418"/>
  <c r="AD3" i="418"/>
  <c r="AC3" i="418"/>
  <c r="AB3" i="418"/>
  <c r="AA3" i="418"/>
  <c r="Z3" i="418"/>
  <c r="Y3" i="418"/>
  <c r="X3" i="418"/>
  <c r="W3" i="418"/>
  <c r="V3" i="418"/>
  <c r="U3" i="418"/>
  <c r="T3" i="418"/>
  <c r="S3" i="418"/>
  <c r="R3" i="418"/>
  <c r="I18" i="419" l="1"/>
  <c r="M18" i="419"/>
  <c r="Q18" i="419"/>
  <c r="U18" i="419"/>
  <c r="Y18" i="419"/>
  <c r="AC18" i="419"/>
  <c r="E18" i="419"/>
  <c r="H18" i="419"/>
  <c r="L18" i="419"/>
  <c r="P18" i="419"/>
  <c r="T18" i="419"/>
  <c r="X18" i="419"/>
  <c r="AB18" i="419"/>
  <c r="AF18" i="419"/>
  <c r="K18" i="419"/>
  <c r="O18" i="419"/>
  <c r="AE18" i="419"/>
  <c r="F18" i="419"/>
  <c r="J18" i="419"/>
  <c r="N18" i="419"/>
  <c r="R18" i="419"/>
  <c r="V18" i="419"/>
  <c r="Z18" i="419"/>
  <c r="AD18" i="419"/>
  <c r="AG18" i="419"/>
  <c r="C25" i="419"/>
  <c r="AG27" i="419" l="1"/>
  <c r="F26" i="419"/>
  <c r="C26" i="419"/>
  <c r="B26" i="419" l="1"/>
  <c r="C28" i="419"/>
  <c r="F27" i="419"/>
  <c r="C27" i="419"/>
  <c r="Q3" i="418"/>
  <c r="P3" i="418"/>
  <c r="O3" i="418"/>
  <c r="N3" i="418"/>
  <c r="M3" i="418"/>
  <c r="L3" i="418"/>
  <c r="K3" i="418"/>
  <c r="J3" i="418"/>
  <c r="I3" i="418"/>
  <c r="H3" i="418"/>
  <c r="G3" i="418"/>
  <c r="F3" i="418"/>
  <c r="AG28" i="419" l="1"/>
  <c r="F25" i="419"/>
  <c r="B25" i="419" l="1"/>
  <c r="B27" i="419" s="1"/>
  <c r="F28" i="419"/>
  <c r="B28" i="419" s="1"/>
  <c r="A7" i="339"/>
  <c r="D3" i="418" l="1"/>
  <c r="AF6" i="419" l="1"/>
  <c r="AB6" i="419"/>
  <c r="X6" i="419"/>
  <c r="T6" i="419"/>
  <c r="P6" i="419"/>
  <c r="L6" i="419"/>
  <c r="H6" i="419"/>
  <c r="E6" i="419"/>
  <c r="AE6" i="419"/>
  <c r="AA6" i="419"/>
  <c r="W6" i="419"/>
  <c r="S6" i="419"/>
  <c r="O6" i="419"/>
  <c r="K6" i="419"/>
  <c r="G6" i="419"/>
  <c r="D6" i="419"/>
  <c r="AG6" i="419"/>
  <c r="AD6" i="419"/>
  <c r="Z6" i="419"/>
  <c r="V6" i="419"/>
  <c r="R6" i="419"/>
  <c r="N6" i="419"/>
  <c r="J6" i="419"/>
  <c r="F6" i="419"/>
  <c r="AC6" i="419"/>
  <c r="Y6" i="419"/>
  <c r="U6" i="419"/>
  <c r="Q6" i="419"/>
  <c r="M6" i="419"/>
  <c r="I6" i="419"/>
  <c r="C6" i="419"/>
  <c r="B6" i="419"/>
  <c r="C20" i="419"/>
  <c r="C23" i="419" s="1"/>
  <c r="B20" i="419"/>
  <c r="B23" i="419" s="1"/>
  <c r="C19" i="419"/>
  <c r="B19" i="419"/>
  <c r="C17" i="419"/>
  <c r="B17" i="419"/>
  <c r="C16" i="419"/>
  <c r="B16" i="419"/>
  <c r="C14" i="419"/>
  <c r="B14" i="419"/>
  <c r="C13" i="419"/>
  <c r="B13" i="419"/>
  <c r="C12" i="419"/>
  <c r="B12" i="419"/>
  <c r="C11" i="419"/>
  <c r="B11" i="419"/>
  <c r="C18" i="419" l="1"/>
  <c r="B18" i="419" l="1"/>
  <c r="D12" i="414" l="1"/>
  <c r="D7" i="414"/>
  <c r="A15" i="414" l="1"/>
  <c r="H9" i="339" l="1"/>
  <c r="G9" i="339"/>
  <c r="H8" i="339"/>
  <c r="G8" i="339"/>
  <c r="H7" i="339"/>
  <c r="G7" i="339"/>
  <c r="H6" i="339"/>
  <c r="G6" i="339"/>
  <c r="H5" i="339"/>
  <c r="G5" i="339"/>
  <c r="A15" i="339" l="1"/>
  <c r="A12" i="339"/>
  <c r="A11" i="339"/>
  <c r="A17" i="414" l="1"/>
  <c r="A16" i="414"/>
  <c r="E11" i="339" l="1"/>
  <c r="B11" i="339"/>
  <c r="F11" i="339" l="1"/>
  <c r="C11" i="339"/>
  <c r="H11" i="339" l="1"/>
  <c r="G11" i="339"/>
  <c r="A12" i="414"/>
  <c r="A7" i="414"/>
  <c r="A13" i="414"/>
  <c r="A4" i="414"/>
  <c r="A6" i="339" l="1"/>
  <c r="A5" i="339"/>
  <c r="D4" i="414"/>
  <c r="C16" i="414"/>
  <c r="D16" i="414"/>
  <c r="C12" i="414" l="1"/>
  <c r="C7" i="414"/>
  <c r="E12" i="414" l="1"/>
  <c r="E7" i="414"/>
  <c r="B15" i="339" l="1"/>
  <c r="K3" i="403" l="1"/>
  <c r="J3" i="403"/>
  <c r="I3" i="403" s="1"/>
  <c r="E12" i="339" l="1"/>
  <c r="C12" i="339"/>
  <c r="B12" i="339"/>
  <c r="F12" i="339" s="1"/>
  <c r="D17" i="414"/>
  <c r="C17" i="414"/>
  <c r="F13" i="339" l="1"/>
  <c r="E13" i="339"/>
  <c r="E15" i="339" s="1"/>
  <c r="H12" i="339"/>
  <c r="G12" i="339"/>
  <c r="A4" i="383"/>
  <c r="A14" i="383"/>
  <c r="A13" i="383"/>
  <c r="A7" i="383"/>
  <c r="A6" i="383"/>
  <c r="A5" i="383"/>
  <c r="C13" i="339"/>
  <c r="C15" i="339" s="1"/>
  <c r="B13" i="339"/>
  <c r="D15" i="414"/>
  <c r="C4" i="414"/>
  <c r="H13" i="339" l="1"/>
  <c r="F15" i="339"/>
  <c r="E13" i="414"/>
  <c r="E4" i="414"/>
  <c r="G13" i="339"/>
  <c r="G15" i="339" l="1"/>
  <c r="H15" i="339"/>
  <c r="E16" i="414"/>
  <c r="E17" i="414"/>
  <c r="C15" i="414"/>
  <c r="E15" i="414" l="1"/>
</calcChain>
</file>

<file path=xl/comments1.xml><?xml version="1.0" encoding="utf-8"?>
<comments xmlns="http://schemas.openxmlformats.org/spreadsheetml/2006/main">
  <authors>
    <author>62361</author>
  </authors>
  <commentList>
    <comment ref="A4" authorId="0">
      <text>
        <r>
          <rPr>
            <b/>
            <sz val="9"/>
            <color indexed="81"/>
            <rFont val="Tahoma"/>
            <family val="2"/>
            <charset val="238"/>
          </rPr>
          <t>Zadejte číslo měsíce nebo rok, případně klikněte myší na tuto buňku a pomocí tlačítka s šipkou, které se objeví vpravo, vyberte požadovanou hodnotu.</t>
        </r>
      </text>
    </comment>
  </commentList>
</comments>
</file>

<file path=xl/sharedStrings.xml><?xml version="1.0" encoding="utf-8"?>
<sst xmlns="http://schemas.openxmlformats.org/spreadsheetml/2006/main" count="706" uniqueCount="355">
  <si>
    <t>NS</t>
  </si>
  <si>
    <t>Účet</t>
  </si>
  <si>
    <t>Celkem</t>
  </si>
  <si>
    <t>Č.kl.</t>
  </si>
  <si>
    <t>Klinika</t>
  </si>
  <si>
    <t>Oddělení</t>
  </si>
  <si>
    <t>Č.účtu</t>
  </si>
  <si>
    <t>Název</t>
  </si>
  <si>
    <t>Mn.</t>
  </si>
  <si>
    <t>Poměrové plnění rozpočtu  v tis. Kč.</t>
  </si>
  <si>
    <t>Rozp. měs. 1/12</t>
  </si>
  <si>
    <t>Rozp.rok tis. Kč</t>
  </si>
  <si>
    <t>Sk. tis Kč</t>
  </si>
  <si>
    <t>% podil</t>
  </si>
  <si>
    <t>501 10     Biologické implantáty</t>
  </si>
  <si>
    <t>501 13 Léky</t>
  </si>
  <si>
    <t>501 14     Krev</t>
  </si>
  <si>
    <t>501 15 SZM</t>
  </si>
  <si>
    <t>501 16     Potraviny</t>
  </si>
  <si>
    <t>501 17     Všeobecný materiál</t>
  </si>
  <si>
    <t>501 18     Náhradní díly</t>
  </si>
  <si>
    <t>501 19     Textil</t>
  </si>
  <si>
    <t>502     Spotřeba energie</t>
  </si>
  <si>
    <t>504     Prodané zboží</t>
  </si>
  <si>
    <t>507 Aktivace</t>
  </si>
  <si>
    <t>511     Opravy a udržování</t>
  </si>
  <si>
    <t>512     Cestovné</t>
  </si>
  <si>
    <t>518     Ostatní služby</t>
  </si>
  <si>
    <t>52     Osobní náklady</t>
  </si>
  <si>
    <t>551, 552, 553 Odpisy, ZC</t>
  </si>
  <si>
    <t>558 DDHM</t>
  </si>
  <si>
    <t>544, 554 - 556 Prodaný materiál a zák.rezervy,opr.p</t>
  </si>
  <si>
    <t>5xx  OStatní náklady</t>
  </si>
  <si>
    <t>501 - 598 Přímé náklady</t>
  </si>
  <si>
    <t>799     Vnitropodnikové náklady</t>
  </si>
  <si>
    <t>501-598, 799 Náklady celkem</t>
  </si>
  <si>
    <t>602 10-15 Přímé platby za zdrav.péči ostatní</t>
  </si>
  <si>
    <t>602 27  ředění cytostatik</t>
  </si>
  <si>
    <t>604, 644 Prodané zboží</t>
  </si>
  <si>
    <t>Čerpání darů, FKSP</t>
  </si>
  <si>
    <t>UKAZATEL ( % Plnění) = vypovídá, zda  čerpání skutečnosti odpovídá plánovanému rozpočtu. Překročení =   &gt; než 100%, úspora = &lt; než 100%, 100% čerpání  = rovnoměrné čerpání rozpočtu</t>
  </si>
  <si>
    <t>Sestava hospodaření za kliniky</t>
  </si>
  <si>
    <t xml:space="preserve">Minulé období </t>
  </si>
  <si>
    <t xml:space="preserve">Aktuální období  </t>
  </si>
  <si>
    <t>1/12 * Měs.do data</t>
  </si>
  <si>
    <t>Sk.do data</t>
  </si>
  <si>
    <t>HV</t>
  </si>
  <si>
    <t>Měsíc</t>
  </si>
  <si>
    <t>Rozdíl</t>
  </si>
  <si>
    <t>KL</t>
  </si>
  <si>
    <t>Kód</t>
  </si>
  <si>
    <t>Skutečnost</t>
  </si>
  <si>
    <t>Rozpočet</t>
  </si>
  <si>
    <t>Plnění</t>
  </si>
  <si>
    <t>Ostatní (Kč)</t>
  </si>
  <si>
    <t>Náklady celkem</t>
  </si>
  <si>
    <t>Výnosy celkem</t>
  </si>
  <si>
    <t>Osobní náklady zdravotnického pracoviště</t>
  </si>
  <si>
    <t>Plán</t>
  </si>
  <si>
    <t>Obsah sešitu</t>
  </si>
  <si>
    <t>Náklady a související sestavy</t>
  </si>
  <si>
    <t>Výnosy a související sestavy</t>
  </si>
  <si>
    <t>HI</t>
  </si>
  <si>
    <t>Man Tab</t>
  </si>
  <si>
    <t>Léky Žádanky</t>
  </si>
  <si>
    <t>Materiál Žádanky</t>
  </si>
  <si>
    <t>MŽ Detail</t>
  </si>
  <si>
    <t>Osobní náklady</t>
  </si>
  <si>
    <t>Motivační kritéria</t>
  </si>
  <si>
    <t>Motivace</t>
  </si>
  <si>
    <t>Celkem:</t>
  </si>
  <si>
    <t>Hospodaření zdravotnického pracoviště (v tisících)</t>
  </si>
  <si>
    <t>Spotřeba léčivých přípravků</t>
  </si>
  <si>
    <t>Spotřeba zdravotnického materiálu</t>
  </si>
  <si>
    <t>Přehledové sestavy</t>
  </si>
  <si>
    <t>Akt. měsíc</t>
  </si>
  <si>
    <t>Kč/ks</t>
  </si>
  <si>
    <t>Léky</t>
  </si>
  <si>
    <t>Recepty</t>
  </si>
  <si>
    <t>Centrové léky (dodržení rozpočtu)</t>
  </si>
  <si>
    <t>"Klinická dokumentace" = metodicky správně sestavený "Hospitalizační účet"</t>
  </si>
  <si>
    <t>KVALITA PÉČE (vyžádaný interní AUDIT "Oddělení jakosti")</t>
  </si>
  <si>
    <t>Žádanky</t>
  </si>
  <si>
    <t>Materiál</t>
  </si>
  <si>
    <t>Celk. Kč</t>
  </si>
  <si>
    <t>* Legenda:</t>
  </si>
  <si>
    <t>Hospitalizace = casemix "DRG total" (dle aktuálního grouperu) vynásobený 30000 Kč</t>
  </si>
  <si>
    <t>Rozpočet výnosů pro rok 2014 je stanoven jako 100% skutečnosti referenčního období (2012)</t>
  </si>
  <si>
    <t>Hospodářský index (Výnosy / Náklady) se hodnotí pouze v případě dodržení rozpočtu nákladů</t>
  </si>
  <si>
    <t>01/2014</t>
  </si>
  <si>
    <t>02/2014</t>
  </si>
  <si>
    <t>03/2014</t>
  </si>
  <si>
    <t>04/2014</t>
  </si>
  <si>
    <t>05/2014</t>
  </si>
  <si>
    <t>06/2014</t>
  </si>
  <si>
    <t>07/2014</t>
  </si>
  <si>
    <t>08/2014</t>
  </si>
  <si>
    <t>09/2014</t>
  </si>
  <si>
    <t>10/2014</t>
  </si>
  <si>
    <t>11/2014</t>
  </si>
  <si>
    <t>12/2014</t>
  </si>
  <si>
    <t>Rozp. 2013            CELKEM</t>
  </si>
  <si>
    <t>Skut. 2013 CELKEM</t>
  </si>
  <si>
    <t>ROZDÍL  Skut. - Rozp. 2013</t>
  </si>
  <si>
    <t>% plnění rozp.2013</t>
  </si>
  <si>
    <t>Rozp.rok 2014</t>
  </si>
  <si>
    <t>Sk.v tis 2014</t>
  </si>
  <si>
    <t>ROZDÍL (Sk.do data - Rozp.do data 2014)</t>
  </si>
  <si>
    <t>% plnění (Skut.do data/Rozp.rok 2014)</t>
  </si>
  <si>
    <t>POMĚROVÉ  PLNĚNÍ = Rozpočet na rok 2014 celkem a 1/12  ročního rozpočtu, skutečnost daných měsíců a % plnění načítané skutečnosti do data k poměrné části rozpočtu do data.</t>
  </si>
  <si>
    <t>Pol</t>
  </si>
  <si>
    <t>0</t>
  </si>
  <si>
    <t>101</t>
  </si>
  <si>
    <t>102</t>
  </si>
  <si>
    <t>203</t>
  </si>
  <si>
    <t>celý rok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</si>
  <si>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</si>
  <si>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</si>
  <si>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</si>
  <si>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</si>
  <si>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</si>
  <si>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</si>
  <si>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</si>
  <si>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</si>
  <si>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</si>
  <si>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</si>
  <si>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</si>
  <si>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</si>
  <si>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 xml:space="preserve">Celkem </t>
  </si>
  <si>
    <t>dohody</t>
  </si>
  <si>
    <t>lékaři</t>
  </si>
  <si>
    <t>zubní lékaři</t>
  </si>
  <si>
    <t>ÚVAZKY</t>
  </si>
  <si>
    <t>HODINY</t>
  </si>
  <si>
    <t>V rámci úvazku</t>
  </si>
  <si>
    <t>Nad rámec zkráceného úvazku</t>
  </si>
  <si>
    <t>OON (DPP + DPČ)</t>
  </si>
  <si>
    <t>Klinické studie</t>
  </si>
  <si>
    <t>Granty</t>
  </si>
  <si>
    <t>Jiné odměny</t>
  </si>
  <si>
    <t>Odměny celkem (odměny, studie, granty)</t>
  </si>
  <si>
    <t>VZDĚLÁVÁNÍ (Kč)</t>
  </si>
  <si>
    <t>Nad rámec úvazku 1,0 (přesčas)</t>
  </si>
  <si>
    <t>sociálního a zdravotního pojištění hrazeného zaměstnavatelem</t>
  </si>
  <si>
    <t>Osobní náklady = komplexní mzdové náklady zaměstnavatele – vyplacené mzdy, náhrady, odměny atd. včetně</t>
  </si>
  <si>
    <t>Mzdové náklady zaměstnavatele – vyplacené hrubé mzdy, náhrady, odměny atd. bez sociálního a zdravotního pojištění hrazeného zaměstnavatelem</t>
  </si>
  <si>
    <t>MZDY (Kč) *</t>
  </si>
  <si>
    <t>Měsíc/Rok *</t>
  </si>
  <si>
    <t>Požadované období lze zvolit zapsáním konkrétního čísla měsíce či roku do odpovídající buňky v levém horním rohu tabulky, nebo výběrem z nabídky (nápověda se zobrazí po najetí myší na číslo měsíce/rok).</t>
  </si>
  <si>
    <t>THP</t>
  </si>
  <si>
    <t>Rozdíl (zbývá)</t>
  </si>
  <si>
    <t>Plán *</t>
  </si>
  <si>
    <t>lékaři, VŠ NLZP *</t>
  </si>
  <si>
    <t>NLZP *</t>
  </si>
  <si>
    <t>THP *</t>
  </si>
  <si>
    <t>Lékaři, VŠ NLZP = kategorie 101-203, 522-523, 525-529, 743-747</t>
  </si>
  <si>
    <t>NLZP = kategorie 305-520, 524, 530-642, 748-749</t>
  </si>
  <si>
    <t>THP = kategorie 930-940</t>
  </si>
  <si>
    <t>Rozpočet na vzdělávání je plánován na rok, měsíční plány jsou v tabulce dvanáctinou ročního rozpočtu</t>
  </si>
  <si>
    <t>všeobecné sestry</t>
  </si>
  <si>
    <t>porodní asistenti</t>
  </si>
  <si>
    <t>radiologičtí asistenti</t>
  </si>
  <si>
    <t>zdravotní laboranti</t>
  </si>
  <si>
    <t>zdravotně - sociální pracovníci</t>
  </si>
  <si>
    <t>nutriční terapeuti</t>
  </si>
  <si>
    <t>zubní technici</t>
  </si>
  <si>
    <t>zdravotničtí záchranáři</t>
  </si>
  <si>
    <t>farmaceutičtí asistenti</t>
  </si>
  <si>
    <t>biomedicínští technici</t>
  </si>
  <si>
    <t>radiologičtí technici</t>
  </si>
  <si>
    <t>psychologové a kliničtí psychologové</t>
  </si>
  <si>
    <t>kliničtí logopedové</t>
  </si>
  <si>
    <t>fyzioterapeuti</t>
  </si>
  <si>
    <t>radiologičtí fyzici</t>
  </si>
  <si>
    <t>odborní pracovníci v lab. metodách</t>
  </si>
  <si>
    <t>biomedicínští inženýři</t>
  </si>
  <si>
    <t>zdravotničtí asistenti</t>
  </si>
  <si>
    <t>ošetřovatelé</t>
  </si>
  <si>
    <t>maséři</t>
  </si>
  <si>
    <t>řidiči dopravy nemocných a raněných</t>
  </si>
  <si>
    <t>sanitáři</t>
  </si>
  <si>
    <t>psychologové</t>
  </si>
  <si>
    <t>abs. stud. oboru mat.-fyz. zaměření</t>
  </si>
  <si>
    <t>abs. stud. oboru přirodověd. zaměření</t>
  </si>
  <si>
    <t>odb. pracovníci v ochraně veřejného zdraví</t>
  </si>
  <si>
    <t>laboratorní asistenti</t>
  </si>
  <si>
    <t>Pracoviště/účet</t>
  </si>
  <si>
    <t>Podíl počtu položek žádanek na léky dle typů žádanek</t>
  </si>
  <si>
    <t>Pracoviště</t>
  </si>
  <si>
    <t>Počet položek žádanek</t>
  </si>
  <si>
    <t>Svoz</t>
  </si>
  <si>
    <t>Statim</t>
  </si>
  <si>
    <t>Váz.ATB</t>
  </si>
  <si>
    <t>Centra</t>
  </si>
  <si>
    <t>Počet položek žádanek %</t>
  </si>
  <si>
    <t>Počet žádanek (dokladů)</t>
  </si>
  <si>
    <t>Počet žádanek (dokladů) %</t>
  </si>
  <si>
    <t>LŽ Statim</t>
  </si>
  <si>
    <t>Ambulance = vykázané výkony (body)</t>
  </si>
  <si>
    <r>
      <t>Zpět na Obsah</t>
    </r>
    <r>
      <rPr>
        <sz val="9"/>
        <rFont val="Calibri"/>
        <family val="2"/>
        <charset val="238"/>
        <scheme val="minor"/>
      </rPr>
      <t xml:space="preserve"> | 1.-8.měsíc | Oddělení nemocniční hygieny</t>
    </r>
  </si>
  <si>
    <t>/0</t>
  </si>
  <si>
    <t>Plnění rozpočtu po měsících</t>
  </si>
  <si>
    <t>5     Účtová třída 5 - Náklady</t>
  </si>
  <si>
    <t>50     Spotřebované nákupy</t>
  </si>
  <si>
    <t>501     Spotřeba materiálu</t>
  </si>
  <si>
    <t>50113     Léky a léčiva</t>
  </si>
  <si>
    <t>--</t>
  </si>
  <si>
    <t>50113001     léky - paušál+TISS (LEK)</t>
  </si>
  <si>
    <t>50115     Zdravotnické prostředky</t>
  </si>
  <si>
    <t>50115020     diagnostika laboratorní-LEK (sk.Z_501)</t>
  </si>
  <si>
    <t>50115050     obvazový materiál (sk.Z_502)</t>
  </si>
  <si>
    <t>50115067     ostatní ZPr - rukavice (sk.Z_532)</t>
  </si>
  <si>
    <t>50117     Všeobecný materiál</t>
  </si>
  <si>
    <t>50117001     všeobecný materiál (sk.V30,32,33,34,42,43,Z510)</t>
  </si>
  <si>
    <t>50117002     prací a čistící prostř.,drog.zboží (sk.V41)</t>
  </si>
  <si>
    <t>50117003     desinf. prostř. LEK</t>
  </si>
  <si>
    <t>50117004     tiskopisy a kanc.potřeby (sk.V42, 43)</t>
  </si>
  <si>
    <t>50117005     údržbový materiál ZVIT (sk.B36,61,62,64)</t>
  </si>
  <si>
    <t>50117011     obalový mat. pro sterilizaci (sk.V20)</t>
  </si>
  <si>
    <t>50117015     IT - spotřební materiál (sk. P37, 48)</t>
  </si>
  <si>
    <t>50117021     všeob.mat. - hosp.přístr.a nářadí (V32) od 1tis do 2999,99</t>
  </si>
  <si>
    <t>50117024     všeob.mat. - ostatní-vyjímky (V44) od 0,01 do 999,99</t>
  </si>
  <si>
    <t>50117190     technické plyny</t>
  </si>
  <si>
    <t>50118     Náhradní díly</t>
  </si>
  <si>
    <t>50118006     ND - ZVIT (sk.B63)</t>
  </si>
  <si>
    <t>50119     DDHM a textil</t>
  </si>
  <si>
    <t>50119077     OOPP a prádlo pro zaměstnance (sk.T14)</t>
  </si>
  <si>
    <t>50210     Spotřeba energie</t>
  </si>
  <si>
    <t>50210071     elektřina</t>
  </si>
  <si>
    <t>50210072     vodné, stočné</t>
  </si>
  <si>
    <t>50210073     pára</t>
  </si>
  <si>
    <t>50210075     plyn</t>
  </si>
  <si>
    <t>51     Služby</t>
  </si>
  <si>
    <t>51101     Budovy</t>
  </si>
  <si>
    <t>51101026     opravy budov - hl.energetik</t>
  </si>
  <si>
    <t>51102     Technika a stavby</t>
  </si>
  <si>
    <t>51102024     opravy - správa budov</t>
  </si>
  <si>
    <t>51102025     opravy - hl.energetik</t>
  </si>
  <si>
    <t>51201     Cestovné zaměstnanců-tuzemské</t>
  </si>
  <si>
    <t>51201000     cestovné z mezd</t>
  </si>
  <si>
    <t>51201001     cestovné tuzemské - OUC</t>
  </si>
  <si>
    <t>51801     Přepravné</t>
  </si>
  <si>
    <t>51801000     přepravné-lab. vzorky,...</t>
  </si>
  <si>
    <t>51802     Spoje</t>
  </si>
  <si>
    <t>51802001     poštovné</t>
  </si>
  <si>
    <t>51802003     spoje - telekom.styk</t>
  </si>
  <si>
    <t>51804     Nájemné</t>
  </si>
  <si>
    <t>51804004     popl. za R a TV, veř. produkce</t>
  </si>
  <si>
    <t>51806     Úklid, odpad, desinf., deratizace</t>
  </si>
  <si>
    <t>51806001     úklid pravidelný</t>
  </si>
  <si>
    <t>51806005     odpad (spalovna)</t>
  </si>
  <si>
    <t>51808     Revize a smluvní servisy majetku</t>
  </si>
  <si>
    <t>51808007     revize, sml.servis - energetik</t>
  </si>
  <si>
    <t>51808008     revize, tech.kontroly, prev.prohl.- OHM</t>
  </si>
  <si>
    <t>51808009     revize, sml.servis PO - OBKR</t>
  </si>
  <si>
    <t>51808013     revize - kalibrace - metrolog</t>
  </si>
  <si>
    <t>51874     Ostatní služby</t>
  </si>
  <si>
    <t>51874011     zkoušky kvality</t>
  </si>
  <si>
    <t>51874015     organ.rozvoj (certif., akred.)</t>
  </si>
  <si>
    <t>521     Mzdové náklady</t>
  </si>
  <si>
    <t>52111     Hrubé mzdy</t>
  </si>
  <si>
    <t>52111000     hrubé mzdy</t>
  </si>
  <si>
    <t>52121     OON - dohody</t>
  </si>
  <si>
    <t>52121000     OON - dohody</t>
  </si>
  <si>
    <t>52128     Náhrada mzdy po dobu dočas.prac.neschopnosti</t>
  </si>
  <si>
    <t>52128000     náhrada mzdy po dobu dočas.prac.neschop.-hraz.org.</t>
  </si>
  <si>
    <t>524     Zákonné sociální pojištění</t>
  </si>
  <si>
    <t>52401     Zdravotní pojištění organizace</t>
  </si>
  <si>
    <t>52401000     zdravotní poj. organizace</t>
  </si>
  <si>
    <t>52402     Sociální pojištění organizace</t>
  </si>
  <si>
    <t>52402000     sociální poj. organizace</t>
  </si>
  <si>
    <t>527     Zákonné sociální náklady</t>
  </si>
  <si>
    <t>52710     Zákonné sociální náklady</t>
  </si>
  <si>
    <t>52710001     FKSP - jednotný příděl</t>
  </si>
  <si>
    <t>54     Jiné provozní náklady</t>
  </si>
  <si>
    <t>549     Ostatní náklady z činnosti</t>
  </si>
  <si>
    <t>54910     Ostatní náklady z činnosti</t>
  </si>
  <si>
    <t>54910008     školení, kongresové poplatky tuzemské - lékaři</t>
  </si>
  <si>
    <t>54910010     školení - nezdrav.pracov.</t>
  </si>
  <si>
    <t>54970     Předpis - KDF za služby</t>
  </si>
  <si>
    <t>54970000     předpis KDF - služby</t>
  </si>
  <si>
    <t>54972     Školení, kongres.popl.tuzemské - lékaři (pouze OPMČ)</t>
  </si>
  <si>
    <t>54972000     školení, kongres.popl.tuzemské - lékaři (pouze OPMČ)</t>
  </si>
  <si>
    <t>54973     Školení, kongres.popl.tuzemské - ostatní zdrav.prac.(pouze OPMČ)</t>
  </si>
  <si>
    <t>54973000     školení, kongres.popl.tuzemské - ostatní zdrav.prac.(pouze OPMČ)</t>
  </si>
  <si>
    <t>55     Odpisy, rezervy, komplexní náklady příštích období  a opravné položky provozních nákladů</t>
  </si>
  <si>
    <t>551     Odpisy DM</t>
  </si>
  <si>
    <t>55110     Odpisy DM</t>
  </si>
  <si>
    <t>55110003     odpisy DHM - budovy z odpisů</t>
  </si>
  <si>
    <t>55110004     odpisy DHM - zdravot.techn. z odpisů</t>
  </si>
  <si>
    <t>558     Náklady z drobného dlouhodobého majetku</t>
  </si>
  <si>
    <t>55805     DDHM - inventář</t>
  </si>
  <si>
    <t>55805002     DDHM - nábytek (sk.V_31)</t>
  </si>
  <si>
    <t>6     Účtová třída 6 - Výnosy</t>
  </si>
  <si>
    <t>64     Jiné provozní výnosy</t>
  </si>
  <si>
    <t>648     Čerpání fondů</t>
  </si>
  <si>
    <t>64804     Čerpání FRM</t>
  </si>
  <si>
    <t>64804126     čerp. FRM - opravy budov OHE</t>
  </si>
  <si>
    <t>64804225     čerp. FRM - údržba OHE</t>
  </si>
  <si>
    <t>649     Ostatní výnosy z činnosti</t>
  </si>
  <si>
    <t>64924     Ostatní služby - mimo zdrav.výkony  FAKTURACE</t>
  </si>
  <si>
    <t>64924442     telekom.služby, soukr. hovory</t>
  </si>
  <si>
    <t>7     Účtová třída 7 - Vnitropodnikové účetnictví - náklady</t>
  </si>
  <si>
    <t>79     Vnitropodnikové náklady</t>
  </si>
  <si>
    <t>79902     VPN - ZVIT technická údržba</t>
  </si>
  <si>
    <t>79902000     výkony ZVIT - technická údržba</t>
  </si>
  <si>
    <t>79903     VPN - doprava</t>
  </si>
  <si>
    <t>79903000     výkony dopravy</t>
  </si>
  <si>
    <t>79906     VPN - prádelna</t>
  </si>
  <si>
    <t>79906000     výkony prádelny - praní prádla</t>
  </si>
  <si>
    <t>79910     VPN - informační technologie</t>
  </si>
  <si>
    <t>79910001     výkony IT - fixní náklady (z 9086)</t>
  </si>
  <si>
    <t>79920     VPN - mezistřediskové převody</t>
  </si>
  <si>
    <t>79920000     mezistřediskové převody</t>
  </si>
  <si>
    <t>79950     VPN - správní režie</t>
  </si>
  <si>
    <t>79950001     režie HTS</t>
  </si>
  <si>
    <t>54</t>
  </si>
  <si>
    <t>Oddělení nemocniční hygieny</t>
  </si>
  <si>
    <t/>
  </si>
  <si>
    <t>Oddělení nemocniční hygieny Celkem</t>
  </si>
  <si>
    <t>SumaKL</t>
  </si>
  <si>
    <t>5498</t>
  </si>
  <si>
    <t>SumaNS</t>
  </si>
  <si>
    <t>mezeraNS</t>
  </si>
  <si>
    <t>54 - Oddělení nemocniční hygieny</t>
  </si>
  <si>
    <t>5498 - Oddělení nemocniční hygieny</t>
  </si>
  <si>
    <t>ZA604</t>
  </si>
  <si>
    <t>Tyčinka vatová sterilní jednotlivě balalená bal. á 1000 ks 5100/SG/CS</t>
  </si>
  <si>
    <t>ZI758</t>
  </si>
  <si>
    <t>Rukavice vinyl bez p. M á 100 ks EFEKTVR03</t>
  </si>
  <si>
    <t>DC859</t>
  </si>
  <si>
    <t>COLUMBIA AGAR</t>
  </si>
  <si>
    <t>DD596</t>
  </si>
  <si>
    <t>Sabouraud agar s CMP</t>
  </si>
  <si>
    <t>DD409</t>
  </si>
  <si>
    <t>TRYPTON-SOJOVÝ BUJON</t>
  </si>
  <si>
    <t>DA999</t>
  </si>
  <si>
    <t>Půda s bromkresolem (kontrola sterility)</t>
  </si>
  <si>
    <t>DB001</t>
  </si>
  <si>
    <t>Glukózový bujon (5 ml)</t>
  </si>
  <si>
    <t>DB709</t>
  </si>
  <si>
    <t>ENDO AGAR</t>
  </si>
  <si>
    <t>DD558</t>
  </si>
  <si>
    <t>DE728</t>
  </si>
  <si>
    <t>PASTOREX STAPH PLUS 1x50 testů</t>
  </si>
  <si>
    <t>DG379</t>
  </si>
  <si>
    <t>Doprava 21%</t>
  </si>
  <si>
    <t>50115050</t>
  </si>
  <si>
    <t>502 SZM obvazový (112 02 040)</t>
  </si>
  <si>
    <t>50115067</t>
  </si>
  <si>
    <t>532 SZM Rukavice (112 02 108)</t>
  </si>
  <si>
    <t>50115020</t>
  </si>
  <si>
    <t>Diagnostika (132 03 001)</t>
  </si>
  <si>
    <t>Spotřeba zdravotnického materiálu - orientační přehled</t>
  </si>
  <si>
    <t>ON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</si>
</sst>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\ &quot;Kč&quot;_-;\-* #,##0.00\ &quot;Kč&quot;_-;_-* &quot;-&quot;??\ &quot;Kč&quot;_-;_-@_-"/>
    <numFmt numFmtId="165" formatCode="#\ ###\ ###\ ##0"/>
    <numFmt numFmtId="167" formatCode="#,##0.0"/>
    <numFmt numFmtId="172" formatCode="0.000"/>
    <numFmt numFmtId="174" formatCode="#,##0;\-#,##0;"/>
    <numFmt numFmtId="175" formatCode="General;\-General;"/>
    <numFmt numFmtId="176" formatCode="0%;\-0%;"/>
    <numFmt numFmtId="177" formatCode="#,##0%"/>
  </numFmts>
  <fonts count="57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4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indexed="8"/>
      <name val="Tahoma"/>
      <family val="2"/>
    </font>
    <font>
      <b/>
      <u/>
      <sz val="10"/>
      <color indexed="63"/>
      <name val="Calibri"/>
      <family val="2"/>
      <charset val="238"/>
    </font>
    <font>
      <sz val="11"/>
      <color indexed="8"/>
      <name val="Calibri"/>
      <family val="2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454545"/>
      <name val="Calibri"/>
      <family val="2"/>
      <charset val="238"/>
    </font>
    <font>
      <sz val="10"/>
      <color rgb="FF222222"/>
      <name val="Calibri"/>
      <family val="2"/>
      <charset val="238"/>
    </font>
    <font>
      <b/>
      <sz val="10"/>
      <color rgb="FF454545"/>
      <name val="Calibri"/>
      <family val="2"/>
      <charset val="238"/>
    </font>
    <font>
      <b/>
      <sz val="10"/>
      <color rgb="FF222222"/>
      <name val="Calibri"/>
      <family val="2"/>
      <charset val="238"/>
    </font>
    <font>
      <sz val="10"/>
      <color rgb="FF333333"/>
      <name val="Calibri"/>
      <family val="2"/>
      <charset val="238"/>
    </font>
    <font>
      <b/>
      <sz val="10"/>
      <color rgb="FF333333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0"/>
      <color theme="0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4"/>
      <color indexed="8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0"/>
      <color theme="1"/>
      <name val="Calibri"/>
      <family val="2"/>
      <charset val="238"/>
    </font>
    <font>
      <b/>
      <u/>
      <sz val="10"/>
      <color theme="10"/>
      <name val="Calibri"/>
      <family val="2"/>
      <charset val="238"/>
      <scheme val="minor"/>
    </font>
    <font>
      <b/>
      <u/>
      <sz val="10"/>
      <color indexed="63"/>
      <name val="Arial"/>
      <family val="2"/>
    </font>
    <font>
      <b/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i/>
      <sz val="10"/>
      <color rgb="FF000000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  <fill>
      <patternFill patternType="solid">
        <fgColor rgb="FFFFFFFF"/>
      </patternFill>
    </fill>
    <fill>
      <patternFill patternType="solid">
        <fgColor theme="3" tint="0.79995117038483843"/>
        <bgColor indexed="64"/>
      </patternFill>
    </fill>
  </fills>
  <borders count="1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rgb="FFC0C0C0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rgb="FFEFEFEF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rgb="FFE2E2E2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rgb="FFEFEFEF"/>
      </top>
      <bottom style="medium">
        <color rgb="FFEFEFEF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rgb="FFC0C0C0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rgb="FFEFEFEF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rgb="FFE2E2E2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rgb="FFE2E2E2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rgb="FFEFEFEF"/>
      </bottom>
      <diagonal/>
    </border>
    <border>
      <left style="medium">
        <color rgb="FFEFEFEF"/>
      </left>
      <right style="medium">
        <color rgb="FFEFEFEF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rgb="FFE2E2E2"/>
      </right>
      <top style="medium">
        <color auto="1"/>
      </top>
      <bottom style="medium">
        <color auto="1"/>
      </bottom>
      <diagonal/>
    </border>
    <border>
      <left style="medium">
        <color rgb="FFE2E2E2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EFEFEF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98">
    <xf numFmtId="0" fontId="0" fillId="0" borderId="0"/>
    <xf numFmtId="0" fontId="25" fillId="0" borderId="0" applyNumberForma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3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4" fillId="0" borderId="0"/>
    <xf numFmtId="0" fontId="13" fillId="0" borderId="0"/>
    <xf numFmtId="0" fontId="14" fillId="0" borderId="0"/>
    <xf numFmtId="0" fontId="15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0" fillId="0" borderId="0"/>
    <xf numFmtId="0" fontId="21" fillId="0" borderId="0"/>
    <xf numFmtId="0" fontId="10" fillId="0" borderId="0"/>
    <xf numFmtId="0" fontId="11" fillId="0" borderId="0"/>
    <xf numFmtId="0" fontId="4" fillId="0" borderId="0"/>
    <xf numFmtId="0" fontId="10" fillId="0" borderId="0"/>
    <xf numFmtId="0" fontId="10" fillId="0" borderId="0"/>
    <xf numFmtId="0" fontId="4" fillId="0" borderId="0"/>
    <xf numFmtId="0" fontId="12" fillId="0" borderId="0"/>
    <xf numFmtId="0" fontId="10" fillId="0" borderId="0"/>
    <xf numFmtId="0" fontId="4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1" fillId="0" borderId="0"/>
    <xf numFmtId="0" fontId="4" fillId="0" borderId="0"/>
    <xf numFmtId="0" fontId="10" fillId="0" borderId="0"/>
    <xf numFmtId="0" fontId="22" fillId="0" borderId="0"/>
    <xf numFmtId="0" fontId="23" fillId="0" borderId="0"/>
    <xf numFmtId="0" fontId="26" fillId="0" borderId="0"/>
    <xf numFmtId="0" fontId="9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9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24" fillId="0" borderId="0"/>
  </cellStyleXfs>
  <cellXfs count="410">
    <xf numFmtId="0" fontId="0" fillId="0" borderId="0" xfId="0"/>
    <xf numFmtId="0" fontId="27" fillId="2" borderId="17" xfId="81" applyFont="1" applyFill="1" applyBorder="1"/>
    <xf numFmtId="0" fontId="28" fillId="2" borderId="18" xfId="81" applyFont="1" applyFill="1" applyBorder="1"/>
    <xf numFmtId="3" fontId="28" fillId="2" borderId="19" xfId="81" applyNumberFormat="1" applyFont="1" applyFill="1" applyBorder="1"/>
    <xf numFmtId="0" fontId="28" fillId="4" borderId="18" xfId="81" applyFont="1" applyFill="1" applyBorder="1"/>
    <xf numFmtId="3" fontId="28" fillId="4" borderId="19" xfId="81" applyNumberFormat="1" applyFont="1" applyFill="1" applyBorder="1"/>
    <xf numFmtId="172" fontId="28" fillId="3" borderId="19" xfId="81" applyNumberFormat="1" applyFont="1" applyFill="1" applyBorder="1"/>
    <xf numFmtId="0" fontId="29" fillId="5" borderId="0" xfId="74" applyFont="1" applyFill="1"/>
    <xf numFmtId="0" fontId="32" fillId="5" borderId="0" xfId="74" applyFont="1" applyFill="1"/>
    <xf numFmtId="3" fontId="27" fillId="5" borderId="24" xfId="81" applyNumberFormat="1" applyFont="1" applyFill="1" applyBorder="1"/>
    <xf numFmtId="3" fontId="27" fillId="5" borderId="8" xfId="81" applyNumberFormat="1" applyFont="1" applyFill="1" applyBorder="1"/>
    <xf numFmtId="3" fontId="27" fillId="5" borderId="12" xfId="81" applyNumberFormat="1" applyFont="1" applyFill="1" applyBorder="1"/>
    <xf numFmtId="0" fontId="27" fillId="5" borderId="0" xfId="81" applyFont="1" applyFill="1"/>
    <xf numFmtId="10" fontId="27" fillId="5" borderId="0" xfId="81" applyNumberFormat="1" applyFont="1" applyFill="1"/>
    <xf numFmtId="0" fontId="37" fillId="2" borderId="33" xfId="0" applyFont="1" applyFill="1" applyBorder="1" applyAlignment="1">
      <alignment vertical="top"/>
    </xf>
    <xf numFmtId="0" fontId="37" fillId="2" borderId="34" xfId="0" applyFont="1" applyFill="1" applyBorder="1" applyAlignment="1">
      <alignment vertical="top"/>
    </xf>
    <xf numFmtId="0" fontId="34" fillId="2" borderId="34" xfId="0" applyFont="1" applyFill="1" applyBorder="1" applyAlignment="1">
      <alignment vertical="top"/>
    </xf>
    <xf numFmtId="0" fontId="38" fillId="2" borderId="34" xfId="0" applyFont="1" applyFill="1" applyBorder="1" applyAlignment="1">
      <alignment vertical="top"/>
    </xf>
    <xf numFmtId="0" fontId="36" fillId="2" borderId="34" xfId="0" applyFont="1" applyFill="1" applyBorder="1" applyAlignment="1">
      <alignment vertical="top"/>
    </xf>
    <xf numFmtId="0" fontId="34" fillId="2" borderId="35" xfId="0" applyFont="1" applyFill="1" applyBorder="1" applyAlignment="1">
      <alignment vertical="top"/>
    </xf>
    <xf numFmtId="0" fontId="37" fillId="2" borderId="8" xfId="0" applyFont="1" applyFill="1" applyBorder="1" applyAlignment="1">
      <alignment horizontal="center" vertical="center"/>
    </xf>
    <xf numFmtId="0" fontId="37" fillId="2" borderId="21" xfId="0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/>
    </xf>
    <xf numFmtId="0" fontId="37" fillId="2" borderId="22" xfId="0" applyFont="1" applyFill="1" applyBorder="1" applyAlignment="1">
      <alignment horizontal="center" vertical="center"/>
    </xf>
    <xf numFmtId="0" fontId="38" fillId="2" borderId="21" xfId="0" applyFont="1" applyFill="1" applyBorder="1" applyAlignment="1">
      <alignment horizontal="center" vertical="center" wrapText="1"/>
    </xf>
    <xf numFmtId="0" fontId="38" fillId="2" borderId="23" xfId="0" applyFont="1" applyFill="1" applyBorder="1" applyAlignment="1">
      <alignment horizontal="center" vertical="center" wrapText="1"/>
    </xf>
    <xf numFmtId="0" fontId="36" fillId="2" borderId="23" xfId="0" applyFont="1" applyFill="1" applyBorder="1" applyAlignment="1">
      <alignment horizontal="center" vertical="center" wrapText="1"/>
    </xf>
    <xf numFmtId="3" fontId="27" fillId="5" borderId="4" xfId="81" applyNumberFormat="1" applyFont="1" applyFill="1" applyBorder="1"/>
    <xf numFmtId="3" fontId="27" fillId="5" borderId="29" xfId="81" applyNumberFormat="1" applyFont="1" applyFill="1" applyBorder="1"/>
    <xf numFmtId="3" fontId="27" fillId="5" borderId="25" xfId="81" applyNumberFormat="1" applyFont="1" applyFill="1" applyBorder="1"/>
    <xf numFmtId="3" fontId="27" fillId="5" borderId="9" xfId="81" applyNumberFormat="1" applyFont="1" applyFill="1" applyBorder="1"/>
    <xf numFmtId="3" fontId="27" fillId="5" borderId="10" xfId="81" applyNumberFormat="1" applyFont="1" applyFill="1" applyBorder="1"/>
    <xf numFmtId="3" fontId="27" fillId="5" borderId="13" xfId="81" applyNumberFormat="1" applyFont="1" applyFill="1" applyBorder="1"/>
    <xf numFmtId="3" fontId="27" fillId="5" borderId="14" xfId="81" applyNumberFormat="1" applyFont="1" applyFill="1" applyBorder="1"/>
    <xf numFmtId="3" fontId="28" fillId="2" borderId="27" xfId="81" applyNumberFormat="1" applyFont="1" applyFill="1" applyBorder="1"/>
    <xf numFmtId="3" fontId="28" fillId="2" borderId="20" xfId="81" applyNumberFormat="1" applyFont="1" applyFill="1" applyBorder="1"/>
    <xf numFmtId="3" fontId="28" fillId="4" borderId="27" xfId="81" applyNumberFormat="1" applyFont="1" applyFill="1" applyBorder="1"/>
    <xf numFmtId="3" fontId="28" fillId="4" borderId="20" xfId="81" applyNumberFormat="1" applyFont="1" applyFill="1" applyBorder="1"/>
    <xf numFmtId="172" fontId="28" fillId="3" borderId="27" xfId="81" applyNumberFormat="1" applyFont="1" applyFill="1" applyBorder="1"/>
    <xf numFmtId="172" fontId="28" fillId="3" borderId="20" xfId="81" applyNumberFormat="1" applyFont="1" applyFill="1" applyBorder="1"/>
    <xf numFmtId="0" fontId="31" fillId="2" borderId="25" xfId="81" applyFont="1" applyFill="1" applyBorder="1" applyAlignment="1">
      <alignment horizontal="center"/>
    </xf>
    <xf numFmtId="0" fontId="32" fillId="0" borderId="36" xfId="0" applyFont="1" applyFill="1" applyBorder="1" applyAlignment="1"/>
    <xf numFmtId="0" fontId="40" fillId="0" borderId="0" xfId="0" applyFont="1" applyFill="1" applyBorder="1" applyAlignment="1"/>
    <xf numFmtId="3" fontId="33" fillId="0" borderId="7" xfId="0" applyNumberFormat="1" applyFont="1" applyFill="1" applyBorder="1" applyAlignment="1">
      <alignment horizontal="right" vertical="top"/>
    </xf>
    <xf numFmtId="3" fontId="33" fillId="0" borderId="5" xfId="0" applyNumberFormat="1" applyFont="1" applyFill="1" applyBorder="1" applyAlignment="1">
      <alignment horizontal="right" vertical="top"/>
    </xf>
    <xf numFmtId="3" fontId="34" fillId="0" borderId="5" xfId="0" applyNumberFormat="1" applyFont="1" applyFill="1" applyBorder="1" applyAlignment="1">
      <alignment horizontal="right" vertical="top"/>
    </xf>
    <xf numFmtId="3" fontId="33" fillId="0" borderId="11" xfId="0" applyNumberFormat="1" applyFont="1" applyFill="1" applyBorder="1" applyAlignment="1">
      <alignment horizontal="right" vertical="top"/>
    </xf>
    <xf numFmtId="3" fontId="33" fillId="0" borderId="9" xfId="0" applyNumberFormat="1" applyFont="1" applyFill="1" applyBorder="1" applyAlignment="1">
      <alignment horizontal="right" vertical="top"/>
    </xf>
    <xf numFmtId="3" fontId="34" fillId="0" borderId="9" xfId="0" applyNumberFormat="1" applyFont="1" applyFill="1" applyBorder="1" applyAlignment="1">
      <alignment horizontal="right" vertical="top"/>
    </xf>
    <xf numFmtId="3" fontId="35" fillId="0" borderId="11" xfId="0" applyNumberFormat="1" applyFont="1" applyFill="1" applyBorder="1" applyAlignment="1">
      <alignment horizontal="right" vertical="top"/>
    </xf>
    <xf numFmtId="3" fontId="35" fillId="0" borderId="9" xfId="0" applyNumberFormat="1" applyFont="1" applyFill="1" applyBorder="1" applyAlignment="1">
      <alignment horizontal="right" vertical="top"/>
    </xf>
    <xf numFmtId="3" fontId="36" fillId="0" borderId="9" xfId="0" applyNumberFormat="1" applyFont="1" applyFill="1" applyBorder="1" applyAlignment="1">
      <alignment horizontal="right" vertical="top"/>
    </xf>
    <xf numFmtId="3" fontId="33" fillId="0" borderId="32" xfId="0" applyNumberFormat="1" applyFont="1" applyFill="1" applyBorder="1" applyAlignment="1">
      <alignment horizontal="right" vertical="top"/>
    </xf>
    <xf numFmtId="3" fontId="33" fillId="0" borderId="23" xfId="0" applyNumberFormat="1" applyFont="1" applyFill="1" applyBorder="1" applyAlignment="1">
      <alignment horizontal="right" vertical="top"/>
    </xf>
    <xf numFmtId="3" fontId="34" fillId="0" borderId="23" xfId="0" applyNumberFormat="1" applyFont="1" applyFill="1" applyBorder="1" applyAlignment="1">
      <alignment horizontal="right" vertical="top"/>
    </xf>
    <xf numFmtId="0" fontId="6" fillId="0" borderId="0" xfId="82" applyFont="1" applyFill="1"/>
    <xf numFmtId="0" fontId="8" fillId="0" borderId="36" xfId="82" applyFont="1" applyFill="1" applyBorder="1" applyAlignment="1"/>
    <xf numFmtId="0" fontId="29" fillId="0" borderId="0" xfId="49" applyFont="1" applyFill="1"/>
    <xf numFmtId="0" fontId="32" fillId="0" borderId="30" xfId="0" applyFont="1" applyFill="1" applyBorder="1" applyAlignment="1"/>
    <xf numFmtId="0" fontId="32" fillId="0" borderId="31" xfId="0" applyFont="1" applyFill="1" applyBorder="1" applyAlignment="1"/>
    <xf numFmtId="0" fontId="32" fillId="0" borderId="49" xfId="0" applyFont="1" applyFill="1" applyBorder="1" applyAlignment="1"/>
    <xf numFmtId="0" fontId="32" fillId="0" borderId="25" xfId="0" applyFont="1" applyBorder="1" applyAlignment="1"/>
    <xf numFmtId="0" fontId="32" fillId="5" borderId="6" xfId="0" applyFont="1" applyFill="1" applyBorder="1"/>
    <xf numFmtId="0" fontId="32" fillId="5" borderId="10" xfId="0" applyFont="1" applyFill="1" applyBorder="1"/>
    <xf numFmtId="0" fontId="32" fillId="5" borderId="22" xfId="0" applyFont="1" applyFill="1" applyBorder="1"/>
    <xf numFmtId="0" fontId="32" fillId="5" borderId="36" xfId="0" applyFont="1" applyFill="1" applyBorder="1"/>
    <xf numFmtId="0" fontId="32" fillId="5" borderId="42" xfId="0" applyFont="1" applyFill="1" applyBorder="1"/>
    <xf numFmtId="9" fontId="34" fillId="0" borderId="6" xfId="0" applyNumberFormat="1" applyFont="1" applyFill="1" applyBorder="1" applyAlignment="1">
      <alignment horizontal="right" vertical="top"/>
    </xf>
    <xf numFmtId="9" fontId="34" fillId="0" borderId="10" xfId="0" applyNumberFormat="1" applyFont="1" applyFill="1" applyBorder="1" applyAlignment="1">
      <alignment horizontal="right" vertical="top"/>
    </xf>
    <xf numFmtId="9" fontId="36" fillId="0" borderId="10" xfId="0" applyNumberFormat="1" applyFont="1" applyFill="1" applyBorder="1" applyAlignment="1">
      <alignment horizontal="right" vertical="top"/>
    </xf>
    <xf numFmtId="9" fontId="34" fillId="0" borderId="22" xfId="0" applyNumberFormat="1" applyFont="1" applyFill="1" applyBorder="1" applyAlignment="1">
      <alignment horizontal="right" vertical="top"/>
    </xf>
    <xf numFmtId="3" fontId="31" fillId="0" borderId="29" xfId="53" applyNumberFormat="1" applyFont="1" applyFill="1" applyBorder="1"/>
    <xf numFmtId="3" fontId="31" fillId="0" borderId="25" xfId="53" applyNumberFormat="1" applyFont="1" applyFill="1" applyBorder="1"/>
    <xf numFmtId="0" fontId="31" fillId="2" borderId="38" xfId="74" applyFont="1" applyFill="1" applyBorder="1" applyAlignment="1">
      <alignment horizontal="center"/>
    </xf>
    <xf numFmtId="0" fontId="27" fillId="5" borderId="36" xfId="81" applyFont="1" applyFill="1" applyBorder="1"/>
    <xf numFmtId="0" fontId="31" fillId="2" borderId="23" xfId="81" applyFont="1" applyFill="1" applyBorder="1" applyAlignment="1">
      <alignment horizontal="center"/>
    </xf>
    <xf numFmtId="0" fontId="31" fillId="2" borderId="22" xfId="81" applyFont="1" applyFill="1" applyBorder="1" applyAlignment="1">
      <alignment horizontal="center"/>
    </xf>
    <xf numFmtId="0" fontId="32" fillId="0" borderId="0" xfId="0" applyFont="1" applyFill="1" applyBorder="1" applyAlignment="1"/>
    <xf numFmtId="0" fontId="44" fillId="2" borderId="17" xfId="1" applyFont="1" applyFill="1" applyBorder="1"/>
    <xf numFmtId="0" fontId="45" fillId="0" borderId="0" xfId="0" applyFont="1" applyFill="1"/>
    <xf numFmtId="0" fontId="46" fillId="0" borderId="0" xfId="0" applyFont="1" applyFill="1"/>
    <xf numFmtId="0" fontId="46" fillId="0" borderId="0" xfId="0" applyFont="1" applyFill="1" applyBorder="1"/>
    <xf numFmtId="3" fontId="32" fillId="0" borderId="29" xfId="0" applyNumberFormat="1" applyFont="1" applyFill="1" applyBorder="1"/>
    <xf numFmtId="3" fontId="32" fillId="0" borderId="24" xfId="0" applyNumberFormat="1" applyFont="1" applyFill="1" applyBorder="1"/>
    <xf numFmtId="3" fontId="32" fillId="0" borderId="8" xfId="0" applyNumberFormat="1" applyFont="1" applyFill="1" applyBorder="1"/>
    <xf numFmtId="3" fontId="32" fillId="0" borderId="9" xfId="0" applyNumberFormat="1" applyFont="1" applyFill="1" applyBorder="1"/>
    <xf numFmtId="3" fontId="32" fillId="0" borderId="12" xfId="0" applyNumberFormat="1" applyFont="1" applyFill="1" applyBorder="1"/>
    <xf numFmtId="3" fontId="32" fillId="0" borderId="13" xfId="0" applyNumberFormat="1" applyFont="1" applyFill="1" applyBorder="1"/>
    <xf numFmtId="9" fontId="32" fillId="0" borderId="25" xfId="0" applyNumberFormat="1" applyFont="1" applyFill="1" applyBorder="1"/>
    <xf numFmtId="9" fontId="32" fillId="0" borderId="10" xfId="0" applyNumberFormat="1" applyFont="1" applyFill="1" applyBorder="1"/>
    <xf numFmtId="9" fontId="32" fillId="0" borderId="14" xfId="0" applyNumberFormat="1" applyFont="1" applyFill="1" applyBorder="1"/>
    <xf numFmtId="9" fontId="28" fillId="2" borderId="20" xfId="81" applyNumberFormat="1" applyFont="1" applyFill="1" applyBorder="1"/>
    <xf numFmtId="9" fontId="28" fillId="4" borderId="20" xfId="81" applyNumberFormat="1" applyFont="1" applyFill="1" applyBorder="1"/>
    <xf numFmtId="9" fontId="28" fillId="3" borderId="20" xfId="81" applyNumberFormat="1" applyFont="1" applyFill="1" applyBorder="1"/>
    <xf numFmtId="0" fontId="31" fillId="2" borderId="21" xfId="81" applyFont="1" applyFill="1" applyBorder="1" applyAlignment="1">
      <alignment horizontal="center"/>
    </xf>
    <xf numFmtId="49" fontId="37" fillId="2" borderId="9" xfId="0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2" fillId="0" borderId="42" xfId="0" applyFont="1" applyFill="1" applyBorder="1" applyAlignment="1"/>
    <xf numFmtId="0" fontId="32" fillId="0" borderId="0" xfId="0" applyFont="1" applyFill="1" applyAlignment="1"/>
    <xf numFmtId="0" fontId="44" fillId="4" borderId="33" xfId="1" applyFont="1" applyFill="1" applyBorder="1"/>
    <xf numFmtId="0" fontId="44" fillId="4" borderId="17" xfId="1" applyFont="1" applyFill="1" applyBorder="1"/>
    <xf numFmtId="0" fontId="44" fillId="3" borderId="18" xfId="1" applyFont="1" applyFill="1" applyBorder="1"/>
    <xf numFmtId="0" fontId="47" fillId="0" borderId="0" xfId="0" applyFont="1" applyFill="1" applyBorder="1" applyAlignment="1">
      <alignment vertical="center"/>
    </xf>
    <xf numFmtId="0" fontId="47" fillId="0" borderId="0" xfId="0" applyFont="1" applyFill="1" applyAlignment="1">
      <alignment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165" fontId="31" fillId="2" borderId="24" xfId="53" applyNumberFormat="1" applyFont="1" applyFill="1" applyBorder="1" applyAlignment="1">
      <alignment horizontal="right"/>
    </xf>
    <xf numFmtId="0" fontId="44" fillId="3" borderId="8" xfId="1" applyFont="1" applyFill="1" applyBorder="1"/>
    <xf numFmtId="0" fontId="44" fillId="3" borderId="4" xfId="1" applyFont="1" applyFill="1" applyBorder="1"/>
    <xf numFmtId="0" fontId="44" fillId="6" borderId="4" xfId="1" applyFont="1" applyFill="1" applyBorder="1"/>
    <xf numFmtId="0" fontId="44" fillId="6" borderId="47" xfId="1" applyFont="1" applyFill="1" applyBorder="1"/>
    <xf numFmtId="0" fontId="44" fillId="2" borderId="4" xfId="1" applyFont="1" applyFill="1" applyBorder="1"/>
    <xf numFmtId="0" fontId="32" fillId="0" borderId="0" xfId="0" applyFont="1"/>
    <xf numFmtId="0" fontId="32" fillId="0" borderId="0" xfId="0" applyFont="1" applyBorder="1" applyAlignment="1"/>
    <xf numFmtId="3" fontId="32" fillId="0" borderId="0" xfId="0" applyNumberFormat="1" applyFont="1"/>
    <xf numFmtId="9" fontId="32" fillId="0" borderId="0" xfId="0" applyNumberFormat="1" applyFont="1"/>
    <xf numFmtId="0" fontId="32" fillId="0" borderId="0" xfId="0" applyFont="1" applyBorder="1"/>
    <xf numFmtId="3" fontId="39" fillId="2" borderId="43" xfId="0" applyNumberFormat="1" applyFont="1" applyFill="1" applyBorder="1"/>
    <xf numFmtId="3" fontId="39" fillId="2" borderId="44" xfId="0" applyNumberFormat="1" applyFont="1" applyFill="1" applyBorder="1"/>
    <xf numFmtId="9" fontId="39" fillId="2" borderId="48" xfId="0" applyNumberFormat="1" applyFont="1" applyFill="1" applyBorder="1"/>
    <xf numFmtId="0" fontId="48" fillId="2" borderId="18" xfId="1" applyFont="1" applyFill="1" applyBorder="1" applyAlignment="1"/>
    <xf numFmtId="0" fontId="32" fillId="2" borderId="28" xfId="0" applyFont="1" applyFill="1" applyBorder="1" applyAlignment="1"/>
    <xf numFmtId="3" fontId="32" fillId="2" borderId="27" xfId="0" applyNumberFormat="1" applyFont="1" applyFill="1" applyBorder="1" applyAlignment="1"/>
    <xf numFmtId="9" fontId="32" fillId="2" borderId="20" xfId="0" applyNumberFormat="1" applyFont="1" applyFill="1" applyBorder="1" applyAlignment="1"/>
    <xf numFmtId="0" fontId="39" fillId="2" borderId="45" xfId="0" applyFont="1" applyFill="1" applyBorder="1" applyAlignment="1"/>
    <xf numFmtId="0" fontId="32" fillId="0" borderId="7" xfId="0" applyFont="1" applyBorder="1" applyAlignment="1"/>
    <xf numFmtId="3" fontId="32" fillId="0" borderId="5" xfId="0" applyNumberFormat="1" applyFont="1" applyBorder="1" applyAlignment="1"/>
    <xf numFmtId="9" fontId="32" fillId="0" borderId="10" xfId="0" applyNumberFormat="1" applyFont="1" applyBorder="1" applyAlignment="1"/>
    <xf numFmtId="0" fontId="29" fillId="2" borderId="34" xfId="1" applyFont="1" applyFill="1" applyBorder="1" applyAlignment="1">
      <alignment horizontal="left" indent="2"/>
    </xf>
    <xf numFmtId="0" fontId="32" fillId="0" borderId="11" xfId="0" applyFont="1" applyBorder="1" applyAlignment="1"/>
    <xf numFmtId="3" fontId="32" fillId="0" borderId="9" xfId="0" applyNumberFormat="1" applyFont="1" applyBorder="1" applyAlignment="1"/>
    <xf numFmtId="0" fontId="44" fillId="2" borderId="34" xfId="1" applyFont="1" applyFill="1" applyBorder="1" applyAlignment="1">
      <alignment horizontal="left" indent="4"/>
    </xf>
    <xf numFmtId="0" fontId="32" fillId="2" borderId="34" xfId="0" applyFont="1" applyFill="1" applyBorder="1" applyAlignment="1">
      <alignment horizontal="left" indent="2"/>
    </xf>
    <xf numFmtId="0" fontId="31" fillId="2" borderId="34" xfId="1" applyFont="1" applyFill="1" applyBorder="1" applyAlignment="1"/>
    <xf numFmtId="0" fontId="44" fillId="2" borderId="34" xfId="1" applyFont="1" applyFill="1" applyBorder="1" applyAlignment="1">
      <alignment horizontal="left" indent="2"/>
    </xf>
    <xf numFmtId="0" fontId="48" fillId="2" borderId="34" xfId="1" applyFont="1" applyFill="1" applyBorder="1" applyAlignment="1"/>
    <xf numFmtId="0" fontId="32" fillId="0" borderId="32" xfId="0" applyFont="1" applyBorder="1" applyAlignment="1"/>
    <xf numFmtId="3" fontId="32" fillId="0" borderId="23" xfId="0" applyNumberFormat="1" applyFont="1" applyBorder="1" applyAlignment="1"/>
    <xf numFmtId="9" fontId="32" fillId="0" borderId="22" xfId="0" applyNumberFormat="1" applyFont="1" applyBorder="1" applyAlignment="1"/>
    <xf numFmtId="0" fontId="39" fillId="0" borderId="36" xfId="0" applyFont="1" applyFill="1" applyBorder="1" applyAlignment="1">
      <alignment horizontal="left" indent="2"/>
    </xf>
    <xf numFmtId="0" fontId="32" fillId="0" borderId="36" xfId="0" applyFont="1" applyBorder="1" applyAlignment="1"/>
    <xf numFmtId="3" fontId="32" fillId="0" borderId="36" xfId="0" applyNumberFormat="1" applyFont="1" applyBorder="1" applyAlignment="1"/>
    <xf numFmtId="9" fontId="32" fillId="0" borderId="36" xfId="0" applyNumberFormat="1" applyFont="1" applyBorder="1" applyAlignment="1"/>
    <xf numFmtId="0" fontId="48" fillId="4" borderId="18" xfId="1" applyFont="1" applyFill="1" applyBorder="1" applyAlignment="1">
      <alignment horizontal="left"/>
    </xf>
    <xf numFmtId="0" fontId="32" fillId="4" borderId="28" xfId="0" applyFont="1" applyFill="1" applyBorder="1" applyAlignment="1"/>
    <xf numFmtId="3" fontId="32" fillId="4" borderId="27" xfId="0" applyNumberFormat="1" applyFont="1" applyFill="1" applyBorder="1" applyAlignment="1"/>
    <xf numFmtId="9" fontId="32" fillId="4" borderId="20" xfId="0" applyNumberFormat="1" applyFont="1" applyFill="1" applyBorder="1" applyAlignment="1"/>
    <xf numFmtId="0" fontId="48" fillId="4" borderId="45" xfId="1" applyFont="1" applyFill="1" applyBorder="1" applyAlignment="1">
      <alignment horizontal="left"/>
    </xf>
    <xf numFmtId="0" fontId="48" fillId="4" borderId="34" xfId="1" applyFont="1" applyFill="1" applyBorder="1" applyAlignment="1">
      <alignment horizontal="left"/>
    </xf>
    <xf numFmtId="0" fontId="32" fillId="4" borderId="35" xfId="0" applyFont="1" applyFill="1" applyBorder="1" applyAlignment="1">
      <alignment horizontal="left" indent="2"/>
    </xf>
    <xf numFmtId="0" fontId="39" fillId="0" borderId="0" xfId="0" applyFont="1" applyFill="1" applyBorder="1" applyAlignment="1"/>
    <xf numFmtId="0" fontId="32" fillId="0" borderId="0" xfId="0" applyFont="1" applyAlignment="1"/>
    <xf numFmtId="3" fontId="32" fillId="0" borderId="0" xfId="0" applyNumberFormat="1" applyFont="1" applyAlignment="1"/>
    <xf numFmtId="9" fontId="32" fillId="0" borderId="42" xfId="0" applyNumberFormat="1" applyFont="1" applyBorder="1" applyAlignment="1"/>
    <xf numFmtId="0" fontId="39" fillId="3" borderId="18" xfId="0" applyFont="1" applyFill="1" applyBorder="1" applyAlignment="1"/>
    <xf numFmtId="0" fontId="32" fillId="3" borderId="28" xfId="0" applyFont="1" applyFill="1" applyBorder="1" applyAlignment="1"/>
    <xf numFmtId="3" fontId="32" fillId="3" borderId="27" xfId="0" applyNumberFormat="1" applyFont="1" applyFill="1" applyBorder="1" applyAlignment="1"/>
    <xf numFmtId="9" fontId="32" fillId="3" borderId="20" xfId="0" applyNumberFormat="1" applyFont="1" applyFill="1" applyBorder="1" applyAlignment="1"/>
    <xf numFmtId="0" fontId="7" fillId="0" borderId="0" xfId="81" applyFont="1" applyFill="1"/>
    <xf numFmtId="0" fontId="49" fillId="0" borderId="36" xfId="81" applyFont="1" applyFill="1" applyBorder="1" applyAlignment="1"/>
    <xf numFmtId="0" fontId="6" fillId="0" borderId="0" xfId="78" applyFont="1" applyFill="1" applyBorder="1" applyAlignment="1"/>
    <xf numFmtId="3" fontId="32" fillId="0" borderId="0" xfId="0" applyNumberFormat="1" applyFont="1" applyFill="1"/>
    <xf numFmtId="0" fontId="32" fillId="0" borderId="0" xfId="0" applyFont="1" applyFill="1" applyAlignment="1">
      <alignment horizontal="left"/>
    </xf>
    <xf numFmtId="165" fontId="32" fillId="0" borderId="0" xfId="0" applyNumberFormat="1" applyFont="1" applyFill="1"/>
    <xf numFmtId="9" fontId="32" fillId="0" borderId="0" xfId="0" applyNumberFormat="1" applyFont="1" applyFill="1"/>
    <xf numFmtId="165" fontId="27" fillId="0" borderId="0" xfId="78" applyNumberFormat="1" applyFont="1" applyFill="1" applyBorder="1" applyAlignment="1"/>
    <xf numFmtId="3" fontId="27" fillId="0" borderId="0" xfId="78" applyNumberFormat="1" applyFont="1" applyFill="1" applyBorder="1" applyAlignment="1"/>
    <xf numFmtId="165" fontId="32" fillId="0" borderId="0" xfId="0" applyNumberFormat="1" applyFont="1" applyFill="1" applyAlignment="1">
      <alignment horizontal="right"/>
    </xf>
    <xf numFmtId="3" fontId="6" fillId="0" borderId="0" xfId="78" applyNumberFormat="1" applyFont="1" applyFill="1" applyBorder="1" applyAlignment="1"/>
    <xf numFmtId="3" fontId="0" fillId="0" borderId="0" xfId="0" applyNumberFormat="1"/>
    <xf numFmtId="3" fontId="0" fillId="7" borderId="52" xfId="0" applyNumberFormat="1" applyFont="1" applyFill="1" applyBorder="1"/>
    <xf numFmtId="3" fontId="51" fillId="8" borderId="53" xfId="0" applyNumberFormat="1" applyFont="1" applyFill="1" applyBorder="1"/>
    <xf numFmtId="3" fontId="51" fillId="8" borderId="52" xfId="0" applyNumberFormat="1" applyFont="1" applyFill="1" applyBorder="1"/>
    <xf numFmtId="0" fontId="52" fillId="0" borderId="0" xfId="1" applyFont="1" applyFill="1"/>
    <xf numFmtId="3" fontId="50" fillId="0" borderId="0" xfId="26" applyNumberFormat="1" applyFont="1" applyFill="1" applyBorder="1" applyAlignment="1"/>
    <xf numFmtId="3" fontId="39" fillId="2" borderId="56" xfId="0" applyNumberFormat="1" applyFont="1" applyFill="1" applyBorder="1" applyAlignment="1">
      <alignment horizontal="center" vertical="center"/>
    </xf>
    <xf numFmtId="0" fontId="39" fillId="2" borderId="57" xfId="0" applyFont="1" applyFill="1" applyBorder="1" applyAlignment="1">
      <alignment horizontal="center" vertical="center"/>
    </xf>
    <xf numFmtId="3" fontId="53" fillId="2" borderId="59" xfId="0" applyNumberFormat="1" applyFont="1" applyFill="1" applyBorder="1" applyAlignment="1">
      <alignment horizontal="center" vertical="center" wrapText="1"/>
    </xf>
    <xf numFmtId="0" fontId="53" fillId="2" borderId="60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/>
    <xf numFmtId="0" fontId="39" fillId="2" borderId="64" xfId="0" applyFont="1" applyFill="1" applyBorder="1" applyAlignment="1">
      <alignment horizontal="left" indent="1"/>
    </xf>
    <xf numFmtId="0" fontId="39" fillId="2" borderId="70" xfId="0" applyFont="1" applyFill="1" applyBorder="1" applyAlignment="1">
      <alignment horizontal="left" indent="1"/>
    </xf>
    <xf numFmtId="0" fontId="39" fillId="4" borderId="62" xfId="0" applyFont="1" applyFill="1" applyBorder="1" applyAlignment="1"/>
    <xf numFmtId="0" fontId="39" fillId="4" borderId="64" xfId="0" applyFont="1" applyFill="1" applyBorder="1" applyAlignment="1">
      <alignment horizontal="left" indent="1"/>
    </xf>
    <xf numFmtId="0" fontId="39" fillId="4" borderId="75" xfId="0" applyFont="1" applyFill="1" applyBorder="1" applyAlignment="1">
      <alignment horizontal="left" indent="1"/>
    </xf>
    <xf numFmtId="0" fontId="32" fillId="2" borderId="64" xfId="0" quotePrefix="1" applyFont="1" applyFill="1" applyBorder="1" applyAlignment="1">
      <alignment horizontal="left" indent="2"/>
    </xf>
    <xf numFmtId="0" fontId="32" fillId="2" borderId="70" xfId="0" quotePrefix="1" applyFont="1" applyFill="1" applyBorder="1" applyAlignment="1">
      <alignment horizontal="left" indent="2"/>
    </xf>
    <xf numFmtId="0" fontId="39" fillId="2" borderId="62" xfId="0" applyFont="1" applyFill="1" applyBorder="1" applyAlignment="1">
      <alignment horizontal="left" indent="1"/>
    </xf>
    <xf numFmtId="0" fontId="39" fillId="2" borderId="75" xfId="0" applyFont="1" applyFill="1" applyBorder="1" applyAlignment="1">
      <alignment horizontal="left" indent="1"/>
    </xf>
    <xf numFmtId="0" fontId="39" fillId="4" borderId="70" xfId="0" applyFont="1" applyFill="1" applyBorder="1" applyAlignment="1">
      <alignment horizontal="left" indent="1"/>
    </xf>
    <xf numFmtId="0" fontId="32" fillId="0" borderId="80" xfId="0" applyFont="1" applyBorder="1"/>
    <xf numFmtId="3" fontId="32" fillId="0" borderId="80" xfId="0" applyNumberFormat="1" applyFont="1" applyBorder="1"/>
    <xf numFmtId="0" fontId="39" fillId="4" borderId="54" xfId="0" applyFont="1" applyFill="1" applyBorder="1" applyAlignment="1">
      <alignment horizontal="center" vertical="center"/>
    </xf>
    <xf numFmtId="0" fontId="39" fillId="4" borderId="49" xfId="0" applyFont="1" applyFill="1" applyBorder="1" applyAlignment="1">
      <alignment horizontal="center" vertical="center"/>
    </xf>
    <xf numFmtId="0" fontId="0" fillId="0" borderId="0" xfId="0" applyNumberFormat="1"/>
    <xf numFmtId="3" fontId="39" fillId="2" borderId="79" xfId="0" applyNumberFormat="1" applyFont="1" applyFill="1" applyBorder="1" applyAlignment="1">
      <alignment horizontal="center" vertical="center"/>
    </xf>
    <xf numFmtId="3" fontId="53" fillId="2" borderId="77" xfId="0" applyNumberFormat="1" applyFont="1" applyFill="1" applyBorder="1" applyAlignment="1">
      <alignment horizontal="center" vertical="center" wrapText="1"/>
    </xf>
    <xf numFmtId="174" fontId="39" fillId="4" borderId="63" xfId="0" applyNumberFormat="1" applyFont="1" applyFill="1" applyBorder="1" applyAlignment="1"/>
    <xf numFmtId="174" fontId="39" fillId="4" borderId="56" xfId="0" applyNumberFormat="1" applyFont="1" applyFill="1" applyBorder="1" applyAlignment="1"/>
    <xf numFmtId="174" fontId="39" fillId="4" borderId="57" xfId="0" applyNumberFormat="1" applyFont="1" applyFill="1" applyBorder="1" applyAlignment="1"/>
    <xf numFmtId="174" fontId="39" fillId="0" borderId="65" xfId="0" applyNumberFormat="1" applyFont="1" applyBorder="1"/>
    <xf numFmtId="174" fontId="32" fillId="0" borderId="69" xfId="0" applyNumberFormat="1" applyFont="1" applyBorder="1"/>
    <xf numFmtId="174" fontId="32" fillId="0" borderId="67" xfId="0" applyNumberFormat="1" applyFont="1" applyBorder="1"/>
    <xf numFmtId="174" fontId="39" fillId="0" borderId="76" xfId="0" applyNumberFormat="1" applyFont="1" applyBorder="1"/>
    <xf numFmtId="174" fontId="32" fillId="0" borderId="77" xfId="0" applyNumberFormat="1" applyFont="1" applyBorder="1"/>
    <xf numFmtId="174" fontId="32" fillId="0" borderId="60" xfId="0" applyNumberFormat="1" applyFont="1" applyBorder="1"/>
    <xf numFmtId="174" fontId="39" fillId="2" borderId="78" xfId="0" applyNumberFormat="1" applyFont="1" applyFill="1" applyBorder="1" applyAlignment="1"/>
    <xf numFmtId="174" fontId="39" fillId="2" borderId="56" xfId="0" applyNumberFormat="1" applyFont="1" applyFill="1" applyBorder="1" applyAlignment="1"/>
    <xf numFmtId="174" fontId="39" fillId="2" borderId="57" xfId="0" applyNumberFormat="1" applyFont="1" applyFill="1" applyBorder="1" applyAlignment="1"/>
    <xf numFmtId="174" fontId="39" fillId="0" borderId="71" xfId="0" applyNumberFormat="1" applyFont="1" applyBorder="1"/>
    <xf numFmtId="174" fontId="32" fillId="0" borderId="72" xfId="0" applyNumberFormat="1" applyFont="1" applyBorder="1"/>
    <xf numFmtId="174" fontId="32" fillId="0" borderId="73" xfId="0" applyNumberFormat="1" applyFont="1" applyBorder="1"/>
    <xf numFmtId="174" fontId="39" fillId="0" borderId="63" xfId="0" applyNumberFormat="1" applyFont="1" applyBorder="1"/>
    <xf numFmtId="174" fontId="32" fillId="0" borderId="79" xfId="0" applyNumberFormat="1" applyFont="1" applyBorder="1"/>
    <xf numFmtId="174" fontId="32" fillId="0" borderId="57" xfId="0" applyNumberFormat="1" applyFont="1" applyBorder="1"/>
    <xf numFmtId="175" fontId="39" fillId="2" borderId="63" xfId="0" applyNumberFormat="1" applyFont="1" applyFill="1" applyBorder="1" applyAlignment="1"/>
    <xf numFmtId="175" fontId="32" fillId="2" borderId="56" xfId="0" applyNumberFormat="1" applyFont="1" applyFill="1" applyBorder="1" applyAlignment="1"/>
    <xf numFmtId="175" fontId="32" fillId="2" borderId="57" xfId="0" applyNumberFormat="1" applyFont="1" applyFill="1" applyBorder="1" applyAlignment="1"/>
    <xf numFmtId="175" fontId="39" fillId="0" borderId="65" xfId="0" applyNumberFormat="1" applyFont="1" applyBorder="1"/>
    <xf numFmtId="175" fontId="32" fillId="0" borderId="66" xfId="0" applyNumberFormat="1" applyFont="1" applyBorder="1"/>
    <xf numFmtId="175" fontId="32" fillId="0" borderId="67" xfId="0" applyNumberFormat="1" applyFont="1" applyBorder="1"/>
    <xf numFmtId="175" fontId="32" fillId="0" borderId="69" xfId="0" applyNumberFormat="1" applyFont="1" applyBorder="1"/>
    <xf numFmtId="175" fontId="39" fillId="0" borderId="71" xfId="0" applyNumberFormat="1" applyFont="1" applyBorder="1"/>
    <xf numFmtId="175" fontId="32" fillId="0" borderId="72" xfId="0" applyNumberFormat="1" applyFont="1" applyBorder="1"/>
    <xf numFmtId="175" fontId="32" fillId="0" borderId="73" xfId="0" applyNumberFormat="1" applyFont="1" applyBorder="1"/>
    <xf numFmtId="0" fontId="55" fillId="0" borderId="0" xfId="0" applyFont="1" applyAlignment="1">
      <alignment horizontal="left" vertical="center" indent="1"/>
    </xf>
    <xf numFmtId="0" fontId="55" fillId="0" borderId="0" xfId="0" applyFont="1" applyAlignment="1">
      <alignment vertical="center"/>
    </xf>
    <xf numFmtId="0" fontId="0" fillId="0" borderId="0" xfId="0" applyAlignment="1"/>
    <xf numFmtId="0" fontId="56" fillId="0" borderId="0" xfId="0" applyFont="1"/>
    <xf numFmtId="174" fontId="39" fillId="4" borderId="63" xfId="0" applyNumberFormat="1" applyFont="1" applyFill="1" applyBorder="1" applyAlignment="1">
      <alignment horizontal="center"/>
    </xf>
    <xf numFmtId="176" fontId="39" fillId="0" borderId="71" xfId="0" applyNumberFormat="1" applyFont="1" applyBorder="1"/>
    <xf numFmtId="0" fontId="31" fillId="2" borderId="86" xfId="74" applyFont="1" applyFill="1" applyBorder="1" applyAlignment="1">
      <alignment horizontal="center"/>
    </xf>
    <xf numFmtId="0" fontId="31" fillId="2" borderId="58" xfId="81" applyFont="1" applyFill="1" applyBorder="1" applyAlignment="1">
      <alignment horizontal="center"/>
    </xf>
    <xf numFmtId="0" fontId="31" fillId="2" borderId="59" xfId="81" applyFont="1" applyFill="1" applyBorder="1" applyAlignment="1">
      <alignment horizontal="center"/>
    </xf>
    <xf numFmtId="0" fontId="31" fillId="2" borderId="60" xfId="81" applyFont="1" applyFill="1" applyBorder="1" applyAlignment="1">
      <alignment horizontal="center"/>
    </xf>
    <xf numFmtId="0" fontId="31" fillId="2" borderId="61" xfId="81" applyFont="1" applyFill="1" applyBorder="1" applyAlignment="1">
      <alignment horizontal="center"/>
    </xf>
    <xf numFmtId="0" fontId="3" fillId="2" borderId="19" xfId="79" applyFont="1" applyFill="1" applyBorder="1" applyAlignment="1"/>
    <xf numFmtId="0" fontId="3" fillId="2" borderId="27" xfId="79" applyFont="1" applyFill="1" applyBorder="1" applyAlignment="1"/>
    <xf numFmtId="0" fontId="29" fillId="5" borderId="0" xfId="74" applyFont="1" applyFill="1" applyAlignment="1">
      <alignment horizontal="center"/>
    </xf>
    <xf numFmtId="0" fontId="3" fillId="0" borderId="0" xfId="79" applyFont="1" applyFill="1" applyBorder="1" applyAlignment="1">
      <alignment horizontal="left"/>
    </xf>
    <xf numFmtId="0" fontId="3" fillId="2" borderId="26" xfId="79" applyFont="1" applyFill="1" applyBorder="1" applyAlignment="1">
      <alignment horizontal="right"/>
    </xf>
    <xf numFmtId="9" fontId="32" fillId="0" borderId="27" xfId="0" applyNumberFormat="1" applyFont="1" applyFill="1" applyBorder="1"/>
    <xf numFmtId="9" fontId="32" fillId="0" borderId="20" xfId="0" applyNumberFormat="1" applyFont="1" applyFill="1" applyBorder="1"/>
    <xf numFmtId="9" fontId="32" fillId="0" borderId="28" xfId="0" applyNumberFormat="1" applyFont="1" applyFill="1" applyBorder="1"/>
    <xf numFmtId="3" fontId="6" fillId="0" borderId="19" xfId="78" applyNumberFormat="1" applyFont="1" applyFill="1" applyBorder="1" applyAlignment="1"/>
    <xf numFmtId="3" fontId="6" fillId="0" borderId="27" xfId="78" applyNumberFormat="1" applyFont="1" applyFill="1" applyBorder="1" applyAlignment="1"/>
    <xf numFmtId="3" fontId="6" fillId="0" borderId="20" xfId="78" applyNumberFormat="1" applyFont="1" applyFill="1" applyBorder="1" applyAlignment="1"/>
    <xf numFmtId="0" fontId="32" fillId="5" borderId="68" xfId="0" applyFont="1" applyFill="1" applyBorder="1"/>
    <xf numFmtId="0" fontId="32" fillId="0" borderId="69" xfId="0" applyFont="1" applyBorder="1" applyAlignment="1"/>
    <xf numFmtId="9" fontId="32" fillId="0" borderId="67" xfId="0" applyNumberFormat="1" applyFont="1" applyBorder="1" applyAlignment="1"/>
    <xf numFmtId="0" fontId="25" fillId="2" borderId="34" xfId="1" applyFill="1" applyBorder="1" applyAlignment="1">
      <alignment horizontal="left" indent="4"/>
    </xf>
    <xf numFmtId="0" fontId="39" fillId="0" borderId="0" xfId="0" applyFont="1" applyFill="1" applyAlignment="1">
      <alignment horizontal="left" indent="1"/>
    </xf>
    <xf numFmtId="9" fontId="39" fillId="0" borderId="65" xfId="0" applyNumberFormat="1" applyFont="1" applyBorder="1"/>
    <xf numFmtId="9" fontId="32" fillId="0" borderId="69" xfId="0" applyNumberFormat="1" applyFont="1" applyBorder="1"/>
    <xf numFmtId="9" fontId="32" fillId="0" borderId="67" xfId="0" applyNumberFormat="1" applyFont="1" applyBorder="1"/>
    <xf numFmtId="0" fontId="39" fillId="3" borderId="26" xfId="0" applyFont="1" applyFill="1" applyBorder="1" applyAlignment="1"/>
    <xf numFmtId="0" fontId="32" fillId="0" borderId="37" xfId="0" applyFont="1" applyBorder="1" applyAlignment="1"/>
    <xf numFmtId="0" fontId="39" fillId="2" borderId="26" xfId="0" applyFont="1" applyFill="1" applyBorder="1" applyAlignment="1"/>
    <xf numFmtId="0" fontId="39" fillId="4" borderId="26" xfId="0" applyFont="1" applyFill="1" applyBorder="1" applyAlignment="1"/>
    <xf numFmtId="0" fontId="41" fillId="0" borderId="1" xfId="0" applyFont="1" applyFill="1" applyBorder="1" applyAlignment="1"/>
    <xf numFmtId="0" fontId="41" fillId="0" borderId="1" xfId="0" applyFont="1" applyBorder="1" applyAlignment="1"/>
    <xf numFmtId="0" fontId="30" fillId="5" borderId="16" xfId="81" applyFont="1" applyFill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31" fillId="2" borderId="40" xfId="81" applyFont="1" applyFill="1" applyBorder="1" applyAlignment="1">
      <alignment horizontal="center"/>
    </xf>
    <xf numFmtId="0" fontId="31" fillId="2" borderId="41" xfId="81" applyFont="1" applyFill="1" applyBorder="1" applyAlignment="1">
      <alignment horizontal="center"/>
    </xf>
    <xf numFmtId="0" fontId="31" fillId="2" borderId="38" xfId="81" applyFont="1" applyFill="1" applyBorder="1" applyAlignment="1">
      <alignment horizontal="center"/>
    </xf>
    <xf numFmtId="0" fontId="31" fillId="2" borderId="51" xfId="81" applyFont="1" applyFill="1" applyBorder="1" applyAlignment="1">
      <alignment horizontal="center"/>
    </xf>
    <xf numFmtId="0" fontId="31" fillId="2" borderId="39" xfId="81" applyFont="1" applyFill="1" applyBorder="1" applyAlignment="1">
      <alignment horizontal="center"/>
    </xf>
    <xf numFmtId="0" fontId="2" fillId="0" borderId="1" xfId="0" applyFont="1" applyFill="1" applyBorder="1" applyAlignment="1"/>
    <xf numFmtId="0" fontId="38" fillId="2" borderId="24" xfId="0" applyFont="1" applyFill="1" applyBorder="1" applyAlignment="1">
      <alignment horizontal="center" vertical="center"/>
    </xf>
    <xf numFmtId="0" fontId="32" fillId="2" borderId="2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/>
    </xf>
    <xf numFmtId="0" fontId="5" fillId="0" borderId="1" xfId="0" applyFont="1" applyFill="1" applyBorder="1" applyAlignment="1"/>
    <xf numFmtId="0" fontId="32" fillId="2" borderId="8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/>
    </xf>
    <xf numFmtId="0" fontId="38" fillId="2" borderId="29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8" fillId="2" borderId="9" xfId="0" applyFont="1" applyFill="1" applyBorder="1" applyAlignment="1">
      <alignment horizontal="center" vertical="center" wrapText="1"/>
    </xf>
    <xf numFmtId="0" fontId="32" fillId="2" borderId="23" xfId="0" applyFont="1" applyFill="1" applyBorder="1" applyAlignment="1">
      <alignment horizontal="center" vertical="center" wrapText="1"/>
    </xf>
    <xf numFmtId="0" fontId="36" fillId="2" borderId="9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32" fillId="2" borderId="22" xfId="0" applyFont="1" applyFill="1" applyBorder="1" applyAlignment="1">
      <alignment horizontal="center" vertical="center" wrapText="1"/>
    </xf>
    <xf numFmtId="0" fontId="31" fillId="2" borderId="86" xfId="81" applyFont="1" applyFill="1" applyBorder="1" applyAlignment="1">
      <alignment horizontal="center"/>
    </xf>
    <xf numFmtId="0" fontId="31" fillId="2" borderId="84" xfId="81" applyFont="1" applyFill="1" applyBorder="1" applyAlignment="1">
      <alignment horizontal="center"/>
    </xf>
    <xf numFmtId="0" fontId="31" fillId="2" borderId="63" xfId="81" applyFont="1" applyFill="1" applyBorder="1" applyAlignment="1">
      <alignment horizontal="center"/>
    </xf>
    <xf numFmtId="0" fontId="31" fillId="2" borderId="85" xfId="81" applyFont="1" applyFill="1" applyBorder="1" applyAlignment="1">
      <alignment horizontal="center"/>
    </xf>
    <xf numFmtId="0" fontId="31" fillId="2" borderId="76" xfId="81" applyFont="1" applyFill="1" applyBorder="1" applyAlignment="1">
      <alignment horizontal="center"/>
    </xf>
    <xf numFmtId="0" fontId="2" fillId="0" borderId="1" xfId="14" applyFont="1" applyFill="1" applyBorder="1" applyAlignment="1"/>
    <xf numFmtId="0" fontId="41" fillId="0" borderId="1" xfId="14" applyFont="1" applyFill="1" applyBorder="1" applyAlignment="1"/>
    <xf numFmtId="0" fontId="0" fillId="0" borderId="1" xfId="0" applyBorder="1" applyAlignment="1"/>
    <xf numFmtId="165" fontId="31" fillId="0" borderId="0" xfId="53" applyNumberFormat="1" applyFont="1" applyFill="1" applyBorder="1" applyAlignment="1">
      <alignment horizontal="center"/>
    </xf>
    <xf numFmtId="165" fontId="29" fillId="0" borderId="0" xfId="79" applyNumberFormat="1" applyFont="1" applyFill="1" applyBorder="1" applyAlignment="1">
      <alignment horizontal="center"/>
    </xf>
    <xf numFmtId="165" fontId="42" fillId="0" borderId="1" xfId="14" applyNumberFormat="1" applyFont="1" applyFill="1" applyBorder="1" applyAlignment="1"/>
    <xf numFmtId="0" fontId="5" fillId="0" borderId="1" xfId="14" applyFont="1" applyFill="1" applyBorder="1" applyAlignment="1"/>
    <xf numFmtId="9" fontId="3" fillId="2" borderId="88" xfId="80" applyNumberFormat="1" applyFont="1" applyFill="1" applyBorder="1" applyAlignment="1">
      <alignment horizontal="left"/>
    </xf>
    <xf numFmtId="9" fontId="3" fillId="2" borderId="5" xfId="80" applyNumberFormat="1" applyFont="1" applyFill="1" applyBorder="1" applyAlignment="1">
      <alignment horizontal="left"/>
    </xf>
    <xf numFmtId="9" fontId="3" fillId="2" borderId="6" xfId="80" applyNumberFormat="1" applyFont="1" applyFill="1" applyBorder="1" applyAlignment="1">
      <alignment horizontal="left"/>
    </xf>
    <xf numFmtId="3" fontId="3" fillId="2" borderId="3" xfId="80" applyNumberFormat="1" applyFont="1" applyFill="1" applyBorder="1" applyAlignment="1">
      <alignment horizontal="left"/>
    </xf>
    <xf numFmtId="3" fontId="3" fillId="2" borderId="87" xfId="80" applyNumberFormat="1" applyFont="1" applyFill="1" applyBorder="1" applyAlignment="1">
      <alignment horizontal="left"/>
    </xf>
    <xf numFmtId="3" fontId="3" fillId="2" borderId="78" xfId="80" applyNumberFormat="1" applyFont="1" applyFill="1" applyBorder="1" applyAlignment="1">
      <alignment horizontal="left"/>
    </xf>
    <xf numFmtId="0" fontId="2" fillId="0" borderId="1" xfId="26" applyFont="1" applyFill="1" applyBorder="1" applyAlignment="1"/>
    <xf numFmtId="167" fontId="39" fillId="2" borderId="55" xfId="0" applyNumberFormat="1" applyFont="1" applyFill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3" fontId="33" fillId="9" borderId="90" xfId="0" applyNumberFormat="1" applyFont="1" applyFill="1" applyBorder="1" applyAlignment="1">
      <alignment horizontal="right" vertical="top"/>
    </xf>
    <xf numFmtId="3" fontId="33" fillId="9" borderId="91" xfId="0" applyNumberFormat="1" applyFont="1" applyFill="1" applyBorder="1" applyAlignment="1">
      <alignment horizontal="right" vertical="top"/>
    </xf>
    <xf numFmtId="177" fontId="33" fillId="9" borderId="92" xfId="0" applyNumberFormat="1" applyFont="1" applyFill="1" applyBorder="1" applyAlignment="1">
      <alignment horizontal="right" vertical="top"/>
    </xf>
    <xf numFmtId="3" fontId="33" fillId="0" borderId="90" xfId="0" applyNumberFormat="1" applyFont="1" applyBorder="1" applyAlignment="1">
      <alignment horizontal="right" vertical="top"/>
    </xf>
    <xf numFmtId="177" fontId="33" fillId="9" borderId="93" xfId="0" applyNumberFormat="1" applyFont="1" applyFill="1" applyBorder="1" applyAlignment="1">
      <alignment horizontal="right" vertical="top"/>
    </xf>
    <xf numFmtId="3" fontId="35" fillId="9" borderId="95" xfId="0" applyNumberFormat="1" applyFont="1" applyFill="1" applyBorder="1" applyAlignment="1">
      <alignment horizontal="right" vertical="top"/>
    </xf>
    <xf numFmtId="3" fontId="35" fillId="9" borderId="96" xfId="0" applyNumberFormat="1" applyFont="1" applyFill="1" applyBorder="1" applyAlignment="1">
      <alignment horizontal="right" vertical="top"/>
    </xf>
    <xf numFmtId="0" fontId="35" fillId="9" borderId="97" xfId="0" applyFont="1" applyFill="1" applyBorder="1" applyAlignment="1">
      <alignment horizontal="right" vertical="top"/>
    </xf>
    <xf numFmtId="3" fontId="35" fillId="0" borderId="95" xfId="0" applyNumberFormat="1" applyFont="1" applyBorder="1" applyAlignment="1">
      <alignment horizontal="right" vertical="top"/>
    </xf>
    <xf numFmtId="177" fontId="35" fillId="9" borderId="98" xfId="0" applyNumberFormat="1" applyFont="1" applyFill="1" applyBorder="1" applyAlignment="1">
      <alignment horizontal="right" vertical="top"/>
    </xf>
    <xf numFmtId="0" fontId="33" fillId="9" borderId="92" xfId="0" applyFont="1" applyFill="1" applyBorder="1" applyAlignment="1">
      <alignment horizontal="right" vertical="top"/>
    </xf>
    <xf numFmtId="177" fontId="35" fillId="9" borderId="97" xfId="0" applyNumberFormat="1" applyFont="1" applyFill="1" applyBorder="1" applyAlignment="1">
      <alignment horizontal="right" vertical="top"/>
    </xf>
    <xf numFmtId="0" fontId="33" fillId="9" borderId="93" xfId="0" applyFont="1" applyFill="1" applyBorder="1" applyAlignment="1">
      <alignment horizontal="right" vertical="top"/>
    </xf>
    <xf numFmtId="0" fontId="35" fillId="9" borderId="98" xfId="0" applyFont="1" applyFill="1" applyBorder="1" applyAlignment="1">
      <alignment horizontal="right" vertical="top"/>
    </xf>
    <xf numFmtId="3" fontId="35" fillId="0" borderId="99" xfId="0" applyNumberFormat="1" applyFont="1" applyBorder="1" applyAlignment="1">
      <alignment horizontal="right" vertical="top"/>
    </xf>
    <xf numFmtId="3" fontId="35" fillId="0" borderId="100" xfId="0" applyNumberFormat="1" applyFont="1" applyBorder="1" applyAlignment="1">
      <alignment horizontal="right" vertical="top"/>
    </xf>
    <xf numFmtId="3" fontId="35" fillId="0" borderId="101" xfId="0" applyNumberFormat="1" applyFont="1" applyBorder="1" applyAlignment="1">
      <alignment horizontal="right" vertical="top"/>
    </xf>
    <xf numFmtId="177" fontId="35" fillId="9" borderId="102" xfId="0" applyNumberFormat="1" applyFont="1" applyFill="1" applyBorder="1" applyAlignment="1">
      <alignment horizontal="right" vertical="top"/>
    </xf>
    <xf numFmtId="0" fontId="37" fillId="10" borderId="89" xfId="0" applyFont="1" applyFill="1" applyBorder="1" applyAlignment="1">
      <alignment vertical="top"/>
    </xf>
    <xf numFmtId="0" fontId="37" fillId="10" borderId="89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4"/>
    </xf>
    <xf numFmtId="0" fontId="38" fillId="10" borderId="94" xfId="0" applyFont="1" applyFill="1" applyBorder="1" applyAlignment="1">
      <alignment vertical="top" indent="6"/>
    </xf>
    <xf numFmtId="0" fontId="37" fillId="10" borderId="89" xfId="0" applyFont="1" applyFill="1" applyBorder="1" applyAlignment="1">
      <alignment vertical="top" indent="8"/>
    </xf>
    <xf numFmtId="0" fontId="38" fillId="10" borderId="94" xfId="0" applyFont="1" applyFill="1" applyBorder="1" applyAlignment="1">
      <alignment vertical="top" indent="2"/>
    </xf>
    <xf numFmtId="0" fontId="37" fillId="10" borderId="89" xfId="0" applyFont="1" applyFill="1" applyBorder="1" applyAlignment="1">
      <alignment vertical="top" indent="6"/>
    </xf>
    <xf numFmtId="0" fontId="38" fillId="10" borderId="94" xfId="0" applyFont="1" applyFill="1" applyBorder="1" applyAlignment="1">
      <alignment vertical="top" indent="4"/>
    </xf>
    <xf numFmtId="0" fontId="32" fillId="10" borderId="89" xfId="0" applyFont="1" applyFill="1" applyBorder="1"/>
    <xf numFmtId="0" fontId="38" fillId="10" borderId="18" xfId="0" applyFont="1" applyFill="1" applyBorder="1" applyAlignment="1">
      <alignment vertical="top"/>
    </xf>
    <xf numFmtId="0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left"/>
    </xf>
    <xf numFmtId="3" fontId="29" fillId="0" borderId="0" xfId="0" applyNumberFormat="1" applyFont="1" applyFill="1" applyBorder="1" applyAlignment="1">
      <alignment horizontal="right"/>
    </xf>
    <xf numFmtId="9" fontId="29" fillId="0" borderId="0" xfId="0" applyNumberFormat="1" applyFont="1" applyFill="1" applyBorder="1" applyAlignment="1">
      <alignment horizontal="right"/>
    </xf>
    <xf numFmtId="3" fontId="29" fillId="0" borderId="0" xfId="0" applyNumberFormat="1" applyFont="1" applyFill="1" applyBorder="1"/>
    <xf numFmtId="0" fontId="3" fillId="2" borderId="103" xfId="79" applyFont="1" applyFill="1" applyBorder="1" applyAlignment="1">
      <alignment horizontal="left"/>
    </xf>
    <xf numFmtId="3" fontId="3" fillId="2" borderId="73" xfId="80" applyNumberFormat="1" applyFont="1" applyFill="1" applyBorder="1"/>
    <xf numFmtId="3" fontId="3" fillId="2" borderId="74" xfId="80" applyNumberFormat="1" applyFont="1" applyFill="1" applyBorder="1"/>
    <xf numFmtId="9" fontId="3" fillId="2" borderId="72" xfId="80" applyNumberFormat="1" applyFont="1" applyFill="1" applyBorder="1"/>
    <xf numFmtId="9" fontId="3" fillId="2" borderId="73" xfId="80" applyNumberFormat="1" applyFont="1" applyFill="1" applyBorder="1"/>
    <xf numFmtId="9" fontId="3" fillId="2" borderId="74" xfId="80" applyNumberFormat="1" applyFont="1" applyFill="1" applyBorder="1"/>
    <xf numFmtId="3" fontId="32" fillId="0" borderId="57" xfId="0" applyNumberFormat="1" applyFont="1" applyFill="1" applyBorder="1"/>
    <xf numFmtId="9" fontId="32" fillId="0" borderId="57" xfId="0" applyNumberFormat="1" applyFont="1" applyFill="1" applyBorder="1"/>
    <xf numFmtId="9" fontId="32" fillId="0" borderId="58" xfId="0" applyNumberFormat="1" applyFont="1" applyFill="1" applyBorder="1"/>
    <xf numFmtId="3" fontId="32" fillId="0" borderId="60" xfId="0" applyNumberFormat="1" applyFont="1" applyFill="1" applyBorder="1"/>
    <xf numFmtId="9" fontId="32" fillId="0" borderId="60" xfId="0" applyNumberFormat="1" applyFont="1" applyFill="1" applyBorder="1"/>
    <xf numFmtId="9" fontId="32" fillId="0" borderId="61" xfId="0" applyNumberFormat="1" applyFont="1" applyFill="1" applyBorder="1"/>
    <xf numFmtId="0" fontId="39" fillId="0" borderId="86" xfId="0" applyFont="1" applyFill="1" applyBorder="1"/>
    <xf numFmtId="0" fontId="39" fillId="0" borderId="85" xfId="0" applyFont="1" applyFill="1" applyBorder="1" applyAlignment="1">
      <alignment horizontal="left" indent="1"/>
    </xf>
    <xf numFmtId="9" fontId="32" fillId="0" borderId="79" xfId="0" applyNumberFormat="1" applyFont="1" applyFill="1" applyBorder="1"/>
    <xf numFmtId="9" fontId="32" fillId="0" borderId="77" xfId="0" applyNumberFormat="1" applyFont="1" applyFill="1" applyBorder="1"/>
    <xf numFmtId="3" fontId="32" fillId="0" borderId="56" xfId="0" applyNumberFormat="1" applyFont="1" applyFill="1" applyBorder="1"/>
    <xf numFmtId="3" fontId="32" fillId="0" borderId="59" xfId="0" applyNumberFormat="1" applyFont="1" applyFill="1" applyBorder="1"/>
    <xf numFmtId="3" fontId="32" fillId="0" borderId="58" xfId="0" applyNumberFormat="1" applyFont="1" applyFill="1" applyBorder="1"/>
    <xf numFmtId="3" fontId="32" fillId="0" borderId="61" xfId="0" applyNumberFormat="1" applyFont="1" applyFill="1" applyBorder="1"/>
    <xf numFmtId="9" fontId="32" fillId="0" borderId="83" xfId="0" applyNumberFormat="1" applyFont="1" applyFill="1" applyBorder="1"/>
    <xf numFmtId="9" fontId="32" fillId="0" borderId="82" xfId="0" applyNumberFormat="1" applyFont="1" applyFill="1" applyBorder="1"/>
    <xf numFmtId="165" fontId="31" fillId="2" borderId="103" xfId="53" applyNumberFormat="1" applyFont="1" applyFill="1" applyBorder="1" applyAlignment="1">
      <alignment horizontal="left"/>
    </xf>
    <xf numFmtId="165" fontId="31" fillId="2" borderId="104" xfId="53" applyNumberFormat="1" applyFont="1" applyFill="1" applyBorder="1" applyAlignment="1">
      <alignment horizontal="left"/>
    </xf>
    <xf numFmtId="165" fontId="31" fillId="2" borderId="46" xfId="53" applyNumberFormat="1" applyFont="1" applyFill="1" applyBorder="1" applyAlignment="1">
      <alignment horizontal="left"/>
    </xf>
    <xf numFmtId="3" fontId="31" fillId="2" borderId="46" xfId="53" applyNumberFormat="1" applyFont="1" applyFill="1" applyBorder="1" applyAlignment="1">
      <alignment horizontal="left"/>
    </xf>
    <xf numFmtId="3" fontId="31" fillId="2" borderId="50" xfId="53" applyNumberFormat="1" applyFont="1" applyFill="1" applyBorder="1" applyAlignment="1">
      <alignment horizontal="left"/>
    </xf>
    <xf numFmtId="0" fontId="32" fillId="0" borderId="56" xfId="0" applyFont="1" applyFill="1" applyBorder="1"/>
    <xf numFmtId="0" fontId="32" fillId="0" borderId="57" xfId="0" applyFont="1" applyFill="1" applyBorder="1"/>
    <xf numFmtId="165" fontId="32" fillId="0" borderId="57" xfId="0" applyNumberFormat="1" applyFont="1" applyFill="1" applyBorder="1"/>
    <xf numFmtId="165" fontId="32" fillId="0" borderId="57" xfId="0" applyNumberFormat="1" applyFont="1" applyFill="1" applyBorder="1" applyAlignment="1">
      <alignment horizontal="right"/>
    </xf>
    <xf numFmtId="0" fontId="32" fillId="0" borderId="66" xfId="0" applyFont="1" applyFill="1" applyBorder="1"/>
    <xf numFmtId="0" fontId="32" fillId="0" borderId="67" xfId="0" applyFont="1" applyFill="1" applyBorder="1"/>
    <xf numFmtId="165" fontId="32" fillId="0" borderId="67" xfId="0" applyNumberFormat="1" applyFont="1" applyFill="1" applyBorder="1"/>
    <xf numFmtId="165" fontId="32" fillId="0" borderId="67" xfId="0" applyNumberFormat="1" applyFont="1" applyFill="1" applyBorder="1" applyAlignment="1">
      <alignment horizontal="right"/>
    </xf>
    <xf numFmtId="3" fontId="32" fillId="0" borderId="67" xfId="0" applyNumberFormat="1" applyFont="1" applyFill="1" applyBorder="1"/>
    <xf numFmtId="3" fontId="32" fillId="0" borderId="68" xfId="0" applyNumberFormat="1" applyFont="1" applyFill="1" applyBorder="1"/>
    <xf numFmtId="0" fontId="32" fillId="0" borderId="59" xfId="0" applyFont="1" applyFill="1" applyBorder="1"/>
    <xf numFmtId="0" fontId="32" fillId="0" borderId="60" xfId="0" applyFont="1" applyFill="1" applyBorder="1"/>
    <xf numFmtId="165" fontId="32" fillId="0" borderId="60" xfId="0" applyNumberFormat="1" applyFont="1" applyFill="1" applyBorder="1"/>
    <xf numFmtId="165" fontId="32" fillId="0" borderId="60" xfId="0" applyNumberFormat="1" applyFont="1" applyFill="1" applyBorder="1" applyAlignment="1">
      <alignment horizontal="right"/>
    </xf>
    <xf numFmtId="174" fontId="39" fillId="4" borderId="105" xfId="0" applyNumberFormat="1" applyFont="1" applyFill="1" applyBorder="1" applyAlignment="1">
      <alignment horizontal="center"/>
    </xf>
    <xf numFmtId="174" fontId="39" fillId="4" borderId="106" xfId="0" applyNumberFormat="1" applyFont="1" applyFill="1" applyBorder="1" applyAlignment="1">
      <alignment horizontal="center"/>
    </xf>
    <xf numFmtId="174" fontId="32" fillId="0" borderId="107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/>
    </xf>
    <xf numFmtId="174" fontId="32" fillId="0" borderId="108" xfId="0" applyNumberFormat="1" applyFont="1" applyBorder="1" applyAlignment="1">
      <alignment horizontal="right" wrapText="1"/>
    </xf>
    <xf numFmtId="176" fontId="32" fillId="0" borderId="107" xfId="0" applyNumberFormat="1" applyFont="1" applyBorder="1" applyAlignment="1">
      <alignment horizontal="right"/>
    </xf>
    <xf numFmtId="176" fontId="32" fillId="0" borderId="108" xfId="0" applyNumberFormat="1" applyFont="1" applyBorder="1" applyAlignment="1">
      <alignment horizontal="right"/>
    </xf>
    <xf numFmtId="174" fontId="32" fillId="0" borderId="109" xfId="0" applyNumberFormat="1" applyFont="1" applyBorder="1" applyAlignment="1">
      <alignment horizontal="right"/>
    </xf>
    <xf numFmtId="174" fontId="32" fillId="0" borderId="110" xfId="0" applyNumberFormat="1" applyFont="1" applyBorder="1" applyAlignment="1">
      <alignment horizontal="right"/>
    </xf>
    <xf numFmtId="0" fontId="39" fillId="2" borderId="83" xfId="0" applyFont="1" applyFill="1" applyBorder="1" applyAlignment="1">
      <alignment horizontal="center" vertical="center"/>
    </xf>
    <xf numFmtId="0" fontId="53" fillId="2" borderId="82" xfId="0" applyFont="1" applyFill="1" applyBorder="1" applyAlignment="1">
      <alignment horizontal="center" vertical="center" wrapText="1"/>
    </xf>
    <xf numFmtId="175" fontId="32" fillId="2" borderId="83" xfId="0" applyNumberFormat="1" applyFont="1" applyFill="1" applyBorder="1" applyAlignment="1"/>
    <xf numFmtId="175" fontId="32" fillId="0" borderId="81" xfId="0" applyNumberFormat="1" applyFont="1" applyBorder="1"/>
    <xf numFmtId="175" fontId="32" fillId="0" borderId="111" xfId="0" applyNumberFormat="1" applyFont="1" applyBorder="1"/>
    <xf numFmtId="174" fontId="39" fillId="4" borderId="83" xfId="0" applyNumberFormat="1" applyFont="1" applyFill="1" applyBorder="1" applyAlignment="1"/>
    <xf numFmtId="174" fontId="32" fillId="0" borderId="81" xfId="0" applyNumberFormat="1" applyFont="1" applyBorder="1"/>
    <xf numFmtId="174" fontId="32" fillId="0" borderId="82" xfId="0" applyNumberFormat="1" applyFont="1" applyBorder="1"/>
    <xf numFmtId="174" fontId="39" fillId="2" borderId="83" xfId="0" applyNumberFormat="1" applyFont="1" applyFill="1" applyBorder="1" applyAlignment="1"/>
    <xf numFmtId="174" fontId="32" fillId="0" borderId="111" xfId="0" applyNumberFormat="1" applyFont="1" applyBorder="1"/>
    <xf numFmtId="174" fontId="32" fillId="0" borderId="83" xfId="0" applyNumberFormat="1" applyFont="1" applyBorder="1"/>
    <xf numFmtId="9" fontId="32" fillId="0" borderId="81" xfId="0" applyNumberFormat="1" applyFont="1" applyBorder="1"/>
    <xf numFmtId="174" fontId="39" fillId="4" borderId="112" xfId="0" applyNumberFormat="1" applyFont="1" applyFill="1" applyBorder="1" applyAlignment="1">
      <alignment horizontal="center"/>
    </xf>
    <xf numFmtId="174" fontId="32" fillId="0" borderId="113" xfId="0" applyNumberFormat="1" applyFont="1" applyBorder="1" applyAlignment="1">
      <alignment horizontal="right"/>
    </xf>
    <xf numFmtId="176" fontId="32" fillId="0" borderId="113" xfId="0" applyNumberFormat="1" applyFont="1" applyBorder="1" applyAlignment="1">
      <alignment horizontal="right"/>
    </xf>
    <xf numFmtId="174" fontId="32" fillId="0" borderId="114" xfId="0" applyNumberFormat="1" applyFont="1" applyBorder="1" applyAlignment="1">
      <alignment horizontal="right"/>
    </xf>
    <xf numFmtId="0" fontId="0" fillId="0" borderId="15" xfId="0" applyBorder="1"/>
    <xf numFmtId="174" fontId="39" fillId="4" borderId="62" xfId="0" applyNumberFormat="1" applyFont="1" applyFill="1" applyBorder="1" applyAlignment="1">
      <alignment horizontal="center"/>
    </xf>
    <xf numFmtId="174" fontId="32" fillId="0" borderId="64" xfId="0" applyNumberFormat="1" applyFont="1" applyBorder="1" applyAlignment="1">
      <alignment horizontal="right"/>
    </xf>
    <xf numFmtId="176" fontId="32" fillId="0" borderId="64" xfId="0" applyNumberFormat="1" applyFont="1" applyBorder="1" applyAlignment="1">
      <alignment horizontal="right"/>
    </xf>
    <xf numFmtId="174" fontId="32" fillId="0" borderId="75" xfId="0" applyNumberFormat="1" applyFont="1" applyBorder="1" applyAlignment="1">
      <alignment horizontal="right"/>
    </xf>
  </cellXfs>
  <cellStyles count="98">
    <cellStyle name="Hypertextový odkaz" xfId="1" builtinId="8"/>
    <cellStyle name="Měna 10" xfId="2"/>
    <cellStyle name="Měna 11" xfId="3"/>
    <cellStyle name="Měna 12" xfId="4"/>
    <cellStyle name="Měna 13" xfId="5"/>
    <cellStyle name="Měna 2" xfId="6"/>
    <cellStyle name="Měna 3" xfId="7"/>
    <cellStyle name="Měna 4" xfId="8"/>
    <cellStyle name="Měna 5" xfId="9"/>
    <cellStyle name="Měna 6" xfId="10"/>
    <cellStyle name="Měna 7" xfId="11"/>
    <cellStyle name="Měna 8" xfId="12"/>
    <cellStyle name="Měna 9" xfId="13"/>
    <cellStyle name="Normální" xfId="0" builtinId="0"/>
    <cellStyle name="Normální 10" xfId="14"/>
    <cellStyle name="Normální 11" xfId="15"/>
    <cellStyle name="Normální 12" xfId="16"/>
    <cellStyle name="Normální 13" xfId="17"/>
    <cellStyle name="Normální 14" xfId="18"/>
    <cellStyle name="Normální 15" xfId="19"/>
    <cellStyle name="Normální 16" xfId="20"/>
    <cellStyle name="Normální 17" xfId="21"/>
    <cellStyle name="Normální 18" xfId="22"/>
    <cellStyle name="Normální 19" xfId="23"/>
    <cellStyle name="normální 2" xfId="24"/>
    <cellStyle name="Normální 2 10" xfId="25"/>
    <cellStyle name="Normální 2 10 2" xfId="26"/>
    <cellStyle name="normální 2 11" xfId="27"/>
    <cellStyle name="normální 2 12" xfId="28"/>
    <cellStyle name="Normální 2 13" xfId="29"/>
    <cellStyle name="normální 2 2" xfId="30"/>
    <cellStyle name="normální 2 3" xfId="31"/>
    <cellStyle name="Normální 2 4" xfId="32"/>
    <cellStyle name="Normální 2 4 2" xfId="33"/>
    <cellStyle name="Normální 2 5" xfId="34"/>
    <cellStyle name="Normální 2 5 2" xfId="35"/>
    <cellStyle name="Normální 2 6" xfId="36"/>
    <cellStyle name="Normální 2 6 2" xfId="37"/>
    <cellStyle name="Normální 2 7" xfId="38"/>
    <cellStyle name="Normální 2 7 2" xfId="39"/>
    <cellStyle name="Normální 2 8" xfId="40"/>
    <cellStyle name="Normální 2 8 2" xfId="41"/>
    <cellStyle name="Normální 2 9" xfId="42"/>
    <cellStyle name="Normální 2 9 2" xfId="43"/>
    <cellStyle name="normální 2_Hodiny_Plan" xfId="44"/>
    <cellStyle name="Normální 20" xfId="45"/>
    <cellStyle name="Normální 21" xfId="46"/>
    <cellStyle name="Normální 22" xfId="47"/>
    <cellStyle name="normální 3" xfId="48"/>
    <cellStyle name="Normální 3 10" xfId="49"/>
    <cellStyle name="normální 3 11" xfId="50"/>
    <cellStyle name="normální 3 12" xfId="51"/>
    <cellStyle name="Normální 3 13" xfId="97"/>
    <cellStyle name="normální 3 2" xfId="52"/>
    <cellStyle name="Normální 3 3" xfId="53"/>
    <cellStyle name="Normální 3 3 2" xfId="54"/>
    <cellStyle name="Normální 3 4" xfId="55"/>
    <cellStyle name="Normální 3 5" xfId="56"/>
    <cellStyle name="Normální 3 6" xfId="57"/>
    <cellStyle name="Normální 3 7" xfId="58"/>
    <cellStyle name="Normální 3 8" xfId="59"/>
    <cellStyle name="Normální 3 9" xfId="60"/>
    <cellStyle name="normální 3_Hodiny_" xfId="61"/>
    <cellStyle name="normální 4" xfId="62"/>
    <cellStyle name="normální 4 2" xfId="63"/>
    <cellStyle name="normální 4 2 2" xfId="64"/>
    <cellStyle name="normální 4 2_Hodiny_" xfId="65"/>
    <cellStyle name="normální 4 3" xfId="66"/>
    <cellStyle name="normální 4 4" xfId="67"/>
    <cellStyle name="normální 4 5" xfId="68"/>
    <cellStyle name="normální 4 6" xfId="69"/>
    <cellStyle name="normální 4_Hodiny_" xfId="70"/>
    <cellStyle name="normální 5" xfId="71"/>
    <cellStyle name="normální 6" xfId="72"/>
    <cellStyle name="normální 7" xfId="73"/>
    <cellStyle name="Normální 8" xfId="74"/>
    <cellStyle name="Normální 8 2" xfId="75"/>
    <cellStyle name="Normální 9" xfId="76"/>
    <cellStyle name="Normální 9 2" xfId="77"/>
    <cellStyle name="normální_LEK_01" xfId="78"/>
    <cellStyle name="normální_LEK_FNOL" xfId="79"/>
    <cellStyle name="normální_LEK_FNOL 2" xfId="80"/>
    <cellStyle name="normální_Manažerské tabulky" xfId="81"/>
    <cellStyle name="normální_Sestava hospodaření" xfId="82"/>
    <cellStyle name="Procenta 10" xfId="83"/>
    <cellStyle name="Procenta 11" xfId="84"/>
    <cellStyle name="Procenta 2" xfId="85"/>
    <cellStyle name="Procenta 2 2" xfId="86"/>
    <cellStyle name="Procenta 2 2 2" xfId="87"/>
    <cellStyle name="Procenta 2 3" xfId="88"/>
    <cellStyle name="Procenta 3" xfId="89"/>
    <cellStyle name="Procenta 3 2" xfId="90"/>
    <cellStyle name="Procenta 4" xfId="91"/>
    <cellStyle name="Procenta 5" xfId="92"/>
    <cellStyle name="Procenta 6" xfId="93"/>
    <cellStyle name="Procenta 7" xfId="94"/>
    <cellStyle name="Procenta 8" xfId="95"/>
    <cellStyle name="Procenta 9" xfId="96"/>
  </cellStyles>
  <dxfs count="50"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  <color rgb="FFFF000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theme="3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3" tint="0.7999816888943144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solid">
          <bgColor theme="5" tint="0.79998168889431442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6">
    <tabColor rgb="FF00B050"/>
    <pageSetUpPr fitToPage="1"/>
  </sheetPr>
  <dimension ref="A1:C16"/>
  <sheetViews>
    <sheetView showGridLines="0" showRowColHeaders="0" tabSelected="1" zoomScaleNormal="100" workbookViewId="0">
      <selection sqref="A1:B1"/>
    </sheetView>
  </sheetViews>
  <sheetFormatPr defaultRowHeight="14.4" customHeight="1" x14ac:dyDescent="0.3"/>
  <cols>
    <col min="1" max="1" width="17.88671875" style="96" bestFit="1" customWidth="1"/>
    <col min="2" max="2" width="102.21875" style="96" bestFit="1" customWidth="1"/>
    <col min="3" max="3" width="16.109375" style="42" hidden="1" customWidth="1"/>
    <col min="4" max="16384" width="8.88671875" style="96"/>
  </cols>
  <sheetData>
    <row r="1" spans="1:3" ht="18.600000000000001" customHeight="1" thickBot="1" x14ac:dyDescent="0.4">
      <c r="A1" s="261" t="s">
        <v>59</v>
      </c>
      <c r="B1" s="261"/>
    </row>
    <row r="2" spans="1:3" ht="14.4" customHeight="1" thickBot="1" x14ac:dyDescent="0.35">
      <c r="A2" s="175" t="s">
        <v>199</v>
      </c>
      <c r="B2" s="41"/>
    </row>
    <row r="3" spans="1:3" ht="14.4" customHeight="1" thickBot="1" x14ac:dyDescent="0.35">
      <c r="A3" s="257" t="s">
        <v>74</v>
      </c>
      <c r="B3" s="258"/>
    </row>
    <row r="4" spans="1:3" ht="14.4" customHeight="1" x14ac:dyDescent="0.3">
      <c r="A4" s="109" t="str">
        <f t="shared" ref="A4:A7" si="0">HYPERLINK("#'"&amp;C4&amp;"'!A1",C4)</f>
        <v>Motivace</v>
      </c>
      <c r="B4" s="61" t="s">
        <v>68</v>
      </c>
      <c r="C4" s="42" t="s">
        <v>69</v>
      </c>
    </row>
    <row r="5" spans="1:3" ht="14.4" customHeight="1" x14ac:dyDescent="0.3">
      <c r="A5" s="110" t="str">
        <f t="shared" si="0"/>
        <v>HI</v>
      </c>
      <c r="B5" s="62" t="s">
        <v>71</v>
      </c>
      <c r="C5" s="42" t="s">
        <v>62</v>
      </c>
    </row>
    <row r="6" spans="1:3" ht="14.4" customHeight="1" x14ac:dyDescent="0.3">
      <c r="A6" s="111" t="str">
        <f t="shared" si="0"/>
        <v>Man Tab</v>
      </c>
      <c r="B6" s="63" t="s">
        <v>201</v>
      </c>
      <c r="C6" s="42" t="s">
        <v>63</v>
      </c>
    </row>
    <row r="7" spans="1:3" ht="14.4" customHeight="1" thickBot="1" x14ac:dyDescent="0.35">
      <c r="A7" s="112" t="str">
        <f t="shared" si="0"/>
        <v>HV</v>
      </c>
      <c r="B7" s="64" t="s">
        <v>41</v>
      </c>
      <c r="C7" s="42" t="s">
        <v>46</v>
      </c>
    </row>
    <row r="8" spans="1:3" ht="14.4" customHeight="1" thickBot="1" x14ac:dyDescent="0.35">
      <c r="A8" s="65"/>
      <c r="B8" s="65"/>
    </row>
    <row r="9" spans="1:3" ht="14.4" customHeight="1" thickBot="1" x14ac:dyDescent="0.35">
      <c r="A9" s="259" t="s">
        <v>60</v>
      </c>
      <c r="B9" s="258"/>
    </row>
    <row r="10" spans="1:3" ht="14.4" customHeight="1" x14ac:dyDescent="0.3">
      <c r="A10" s="113" t="str">
        <f t="shared" ref="A10" si="1">HYPERLINK("#'"&amp;C10&amp;"'!A1",C10)</f>
        <v>Léky Žádanky</v>
      </c>
      <c r="B10" s="62" t="s">
        <v>72</v>
      </c>
      <c r="C10" s="42" t="s">
        <v>64</v>
      </c>
    </row>
    <row r="11" spans="1:3" ht="14.4" customHeight="1" x14ac:dyDescent="0.3">
      <c r="A11" s="111" t="str">
        <f t="shared" ref="A11:A14" si="2">HYPERLINK("#'"&amp;C11&amp;"'!A1",C11)</f>
        <v>LŽ Statim</v>
      </c>
      <c r="B11" s="249" t="s">
        <v>187</v>
      </c>
      <c r="C11" s="42" t="s">
        <v>197</v>
      </c>
    </row>
    <row r="12" spans="1:3" ht="14.4" customHeight="1" x14ac:dyDescent="0.3">
      <c r="A12" s="113" t="str">
        <f t="shared" ref="A12" si="3">HYPERLINK("#'"&amp;C12&amp;"'!A1",C12)</f>
        <v>Materiál Žádanky</v>
      </c>
      <c r="B12" s="63" t="s">
        <v>73</v>
      </c>
      <c r="C12" s="42" t="s">
        <v>65</v>
      </c>
    </row>
    <row r="13" spans="1:3" ht="14.4" customHeight="1" x14ac:dyDescent="0.3">
      <c r="A13" s="111" t="str">
        <f t="shared" si="2"/>
        <v>MŽ Detail</v>
      </c>
      <c r="B13" s="63" t="s">
        <v>353</v>
      </c>
      <c r="C13" s="42" t="s">
        <v>66</v>
      </c>
    </row>
    <row r="14" spans="1:3" ht="14.4" customHeight="1" thickBot="1" x14ac:dyDescent="0.35">
      <c r="A14" s="113" t="str">
        <f t="shared" si="2"/>
        <v>Osobní náklady</v>
      </c>
      <c r="B14" s="63" t="s">
        <v>57</v>
      </c>
      <c r="C14" s="42" t="s">
        <v>67</v>
      </c>
    </row>
    <row r="15" spans="1:3" ht="14.4" customHeight="1" thickBot="1" x14ac:dyDescent="0.35">
      <c r="A15" s="66"/>
      <c r="B15" s="66"/>
    </row>
    <row r="16" spans="1:3" ht="14.4" customHeight="1" thickBot="1" x14ac:dyDescent="0.35">
      <c r="A16" s="260" t="s">
        <v>61</v>
      </c>
      <c r="B16" s="258"/>
    </row>
  </sheetData>
  <mergeCells count="4">
    <mergeCell ref="A3:B3"/>
    <mergeCell ref="A9:B9"/>
    <mergeCell ref="A16:B16"/>
    <mergeCell ref="A1:B1"/>
  </mergeCells>
  <hyperlinks>
    <hyperlink ref="A2" location="Obsah!A1" display="Zpět na Obsah  KL 01  1.-4.měsíc"/>
  </hyperlinks>
  <pageMargins left="0.25" right="0.25" top="0.75" bottom="0.75" header="0.3" footer="0.3"/>
  <pageSetup paperSize="9" scale="9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3">
    <tabColor theme="3" tint="0.39997558519241921"/>
    <outlinePr summaryBelow="0"/>
    <pageSetUpPr fitToPage="1"/>
  </sheetPr>
  <dimension ref="A1:AH36"/>
  <sheetViews>
    <sheetView showGridLines="0" showRowColHeaders="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AG1"/>
    </sheetView>
  </sheetViews>
  <sheetFormatPr defaultRowHeight="14.4" outlineLevelRow="1" x14ac:dyDescent="0.3"/>
  <cols>
    <col min="1" max="1" width="37.21875" customWidth="1"/>
    <col min="2" max="4" width="13.109375" customWidth="1"/>
    <col min="5" max="8" width="13.109375" hidden="1" customWidth="1"/>
    <col min="9" max="9" width="13.109375" customWidth="1"/>
    <col min="10" max="22" width="13.109375" hidden="1" customWidth="1"/>
    <col min="23" max="23" width="13.109375" customWidth="1"/>
    <col min="24" max="31" width="13.109375" hidden="1" customWidth="1"/>
    <col min="32" max="32" width="13.109375" customWidth="1"/>
    <col min="33" max="33" width="13.109375" hidden="1" customWidth="1"/>
  </cols>
  <sheetData>
    <row r="1" spans="1:34" ht="18.600000000000001" thickBot="1" x14ac:dyDescent="0.4">
      <c r="A1" s="303" t="s">
        <v>57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</row>
    <row r="2" spans="1:34" ht="15" thickBot="1" x14ac:dyDescent="0.35">
      <c r="A2" s="175" t="s">
        <v>199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</row>
    <row r="3" spans="1:34" x14ac:dyDescent="0.3">
      <c r="A3" s="194" t="s">
        <v>147</v>
      </c>
      <c r="B3" s="304" t="s">
        <v>128</v>
      </c>
      <c r="C3" s="177">
        <v>0</v>
      </c>
      <c r="D3" s="178">
        <v>101</v>
      </c>
      <c r="E3" s="178">
        <v>102</v>
      </c>
      <c r="F3" s="197">
        <v>305</v>
      </c>
      <c r="G3" s="197">
        <v>306</v>
      </c>
      <c r="H3" s="197">
        <v>408</v>
      </c>
      <c r="I3" s="197">
        <v>409</v>
      </c>
      <c r="J3" s="197">
        <v>410</v>
      </c>
      <c r="K3" s="197">
        <v>415</v>
      </c>
      <c r="L3" s="197">
        <v>416</v>
      </c>
      <c r="M3" s="197">
        <v>418</v>
      </c>
      <c r="N3" s="197">
        <v>419</v>
      </c>
      <c r="O3" s="197">
        <v>420</v>
      </c>
      <c r="P3" s="197">
        <v>421</v>
      </c>
      <c r="Q3" s="197">
        <v>522</v>
      </c>
      <c r="R3" s="197">
        <v>523</v>
      </c>
      <c r="S3" s="197">
        <v>524</v>
      </c>
      <c r="T3" s="197">
        <v>525</v>
      </c>
      <c r="U3" s="197">
        <v>526</v>
      </c>
      <c r="V3" s="197">
        <v>527</v>
      </c>
      <c r="W3" s="197">
        <v>528</v>
      </c>
      <c r="X3" s="197">
        <v>629</v>
      </c>
      <c r="Y3" s="197">
        <v>630</v>
      </c>
      <c r="Z3" s="197">
        <v>636</v>
      </c>
      <c r="AA3" s="197">
        <v>637</v>
      </c>
      <c r="AB3" s="197">
        <v>640</v>
      </c>
      <c r="AC3" s="197">
        <v>642</v>
      </c>
      <c r="AD3" s="197">
        <v>743</v>
      </c>
      <c r="AE3" s="178">
        <v>745</v>
      </c>
      <c r="AF3" s="178">
        <v>746</v>
      </c>
      <c r="AG3" s="389">
        <v>930</v>
      </c>
      <c r="AH3" s="405"/>
    </row>
    <row r="4" spans="1:34" ht="36.6" outlineLevel="1" thickBot="1" x14ac:dyDescent="0.35">
      <c r="A4" s="195">
        <v>2014</v>
      </c>
      <c r="B4" s="305"/>
      <c r="C4" s="179" t="s">
        <v>129</v>
      </c>
      <c r="D4" s="180" t="s">
        <v>130</v>
      </c>
      <c r="E4" s="180" t="s">
        <v>131</v>
      </c>
      <c r="F4" s="198" t="s">
        <v>159</v>
      </c>
      <c r="G4" s="198" t="s">
        <v>160</v>
      </c>
      <c r="H4" s="198" t="s">
        <v>161</v>
      </c>
      <c r="I4" s="198" t="s">
        <v>162</v>
      </c>
      <c r="J4" s="198" t="s">
        <v>163</v>
      </c>
      <c r="K4" s="198" t="s">
        <v>164</v>
      </c>
      <c r="L4" s="198" t="s">
        <v>165</v>
      </c>
      <c r="M4" s="198" t="s">
        <v>166</v>
      </c>
      <c r="N4" s="198" t="s">
        <v>167</v>
      </c>
      <c r="O4" s="198" t="s">
        <v>168</v>
      </c>
      <c r="P4" s="198" t="s">
        <v>169</v>
      </c>
      <c r="Q4" s="198" t="s">
        <v>170</v>
      </c>
      <c r="R4" s="198" t="s">
        <v>171</v>
      </c>
      <c r="S4" s="198" t="s">
        <v>172</v>
      </c>
      <c r="T4" s="198" t="s">
        <v>173</v>
      </c>
      <c r="U4" s="198" t="s">
        <v>174</v>
      </c>
      <c r="V4" s="198" t="s">
        <v>175</v>
      </c>
      <c r="W4" s="198" t="s">
        <v>184</v>
      </c>
      <c r="X4" s="198" t="s">
        <v>176</v>
      </c>
      <c r="Y4" s="198" t="s">
        <v>185</v>
      </c>
      <c r="Z4" s="198" t="s">
        <v>177</v>
      </c>
      <c r="AA4" s="198" t="s">
        <v>178</v>
      </c>
      <c r="AB4" s="198" t="s">
        <v>179</v>
      </c>
      <c r="AC4" s="198" t="s">
        <v>180</v>
      </c>
      <c r="AD4" s="198" t="s">
        <v>181</v>
      </c>
      <c r="AE4" s="180" t="s">
        <v>182</v>
      </c>
      <c r="AF4" s="180" t="s">
        <v>183</v>
      </c>
      <c r="AG4" s="390" t="s">
        <v>149</v>
      </c>
      <c r="AH4" s="405"/>
    </row>
    <row r="5" spans="1:34" x14ac:dyDescent="0.3">
      <c r="A5" s="181" t="s">
        <v>132</v>
      </c>
      <c r="B5" s="217"/>
      <c r="C5" s="218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391"/>
      <c r="AH5" s="405"/>
    </row>
    <row r="6" spans="1:34" ht="15" collapsed="1" thickBot="1" x14ac:dyDescent="0.35">
      <c r="A6" s="182" t="s">
        <v>51</v>
      </c>
      <c r="B6" s="220">
        <f xml:space="preserve">
TRUNC(IF($A$4&lt;=12,SUMIFS('ON Data'!F:F,'ON Data'!$D:$D,$A$4,'ON Data'!$E:$E,1),SUMIFS('ON Data'!F:F,'ON Data'!$E:$E,1)/'ON Data'!$D$3),1)</f>
        <v>4</v>
      </c>
      <c r="C6" s="221">
        <f xml:space="preserve">
TRUNC(IF($A$4&lt;=12,SUMIFS('ON Data'!G:G,'ON Data'!$D:$D,$A$4,'ON Data'!$E:$E,1),SUMIFS('ON Data'!G:G,'ON Data'!$E:$E,1)/'ON Data'!$D$3),1)</f>
        <v>0</v>
      </c>
      <c r="D6" s="222">
        <f xml:space="preserve">
TRUNC(IF($A$4&lt;=12,SUMIFS('ON Data'!H:H,'ON Data'!$D:$D,$A$4,'ON Data'!$E:$E,1),SUMIFS('ON Data'!H:H,'ON Data'!$E:$E,1)/'ON Data'!$D$3),1)</f>
        <v>2</v>
      </c>
      <c r="E6" s="222">
        <f xml:space="preserve">
TRUNC(IF($A$4&lt;=12,SUMIFS('ON Data'!I:I,'ON Data'!$D:$D,$A$4,'ON Data'!$E:$E,1),SUMIFS('ON Data'!I:I,'ON Data'!$E:$E,1)/'ON Data'!$D$3),1)</f>
        <v>0</v>
      </c>
      <c r="F6" s="222">
        <f xml:space="preserve">
TRUNC(IF($A$4&lt;=12,SUMIFS('ON Data'!K:K,'ON Data'!$D:$D,$A$4,'ON Data'!$E:$E,1),SUMIFS('ON Data'!K:K,'ON Data'!$E:$E,1)/'ON Data'!$D$3),1)</f>
        <v>0</v>
      </c>
      <c r="G6" s="222">
        <f xml:space="preserve">
TRUNC(IF($A$4&lt;=12,SUMIFS('ON Data'!L:L,'ON Data'!$D:$D,$A$4,'ON Data'!$E:$E,1),SUMIFS('ON Data'!L:L,'ON Data'!$E:$E,1)/'ON Data'!$D$3),1)</f>
        <v>0</v>
      </c>
      <c r="H6" s="222">
        <f xml:space="preserve">
TRUNC(IF($A$4&lt;=12,SUMIFS('ON Data'!M:M,'ON Data'!$D:$D,$A$4,'ON Data'!$E:$E,1),SUMIFS('ON Data'!M:M,'ON Data'!$E:$E,1)/'ON Data'!$D$3),1)</f>
        <v>0</v>
      </c>
      <c r="I6" s="222">
        <f xml:space="preserve">
TRUNC(IF($A$4&lt;=12,SUMIFS('ON Data'!N:N,'ON Data'!$D:$D,$A$4,'ON Data'!$E:$E,1),SUMIFS('ON Data'!N:N,'ON Data'!$E:$E,1)/'ON Data'!$D$3),1)</f>
        <v>1</v>
      </c>
      <c r="J6" s="222">
        <f xml:space="preserve">
TRUNC(IF($A$4&lt;=12,SUMIFS('ON Data'!O:O,'ON Data'!$D:$D,$A$4,'ON Data'!$E:$E,1),SUMIFS('ON Data'!O:O,'ON Data'!$E:$E,1)/'ON Data'!$D$3),1)</f>
        <v>0</v>
      </c>
      <c r="K6" s="222">
        <f xml:space="preserve">
TRUNC(IF($A$4&lt;=12,SUMIFS('ON Data'!P:P,'ON Data'!$D:$D,$A$4,'ON Data'!$E:$E,1),SUMIFS('ON Data'!P:P,'ON Data'!$E:$E,1)/'ON Data'!$D$3),1)</f>
        <v>0</v>
      </c>
      <c r="L6" s="222">
        <f xml:space="preserve">
TRUNC(IF($A$4&lt;=12,SUMIFS('ON Data'!Q:Q,'ON Data'!$D:$D,$A$4,'ON Data'!$E:$E,1),SUMIFS('ON Data'!Q:Q,'ON Data'!$E:$E,1)/'ON Data'!$D$3),1)</f>
        <v>0</v>
      </c>
      <c r="M6" s="222">
        <f xml:space="preserve">
TRUNC(IF($A$4&lt;=12,SUMIFS('ON Data'!R:R,'ON Data'!$D:$D,$A$4,'ON Data'!$E:$E,1),SUMIFS('ON Data'!R:R,'ON Data'!$E:$E,1)/'ON Data'!$D$3),1)</f>
        <v>0</v>
      </c>
      <c r="N6" s="222">
        <f xml:space="preserve">
TRUNC(IF($A$4&lt;=12,SUMIFS('ON Data'!S:S,'ON Data'!$D:$D,$A$4,'ON Data'!$E:$E,1),SUMIFS('ON Data'!S:S,'ON Data'!$E:$E,1)/'ON Data'!$D$3),1)</f>
        <v>0</v>
      </c>
      <c r="O6" s="222">
        <f xml:space="preserve">
TRUNC(IF($A$4&lt;=12,SUMIFS('ON Data'!T:T,'ON Data'!$D:$D,$A$4,'ON Data'!$E:$E,1),SUMIFS('ON Data'!T:T,'ON Data'!$E:$E,1)/'ON Data'!$D$3),1)</f>
        <v>0</v>
      </c>
      <c r="P6" s="222">
        <f xml:space="preserve">
TRUNC(IF($A$4&lt;=12,SUMIFS('ON Data'!U:U,'ON Data'!$D:$D,$A$4,'ON Data'!$E:$E,1),SUMIFS('ON Data'!U:U,'ON Data'!$E:$E,1)/'ON Data'!$D$3),1)</f>
        <v>0</v>
      </c>
      <c r="Q6" s="222">
        <f xml:space="preserve">
TRUNC(IF($A$4&lt;=12,SUMIFS('ON Data'!V:V,'ON Data'!$D:$D,$A$4,'ON Data'!$E:$E,1),SUMIFS('ON Data'!V:V,'ON Data'!$E:$E,1)/'ON Data'!$D$3),1)</f>
        <v>0</v>
      </c>
      <c r="R6" s="222">
        <f xml:space="preserve">
TRUNC(IF($A$4&lt;=12,SUMIFS('ON Data'!W:W,'ON Data'!$D:$D,$A$4,'ON Data'!$E:$E,1),SUMIFS('ON Data'!W:W,'ON Data'!$E:$E,1)/'ON Data'!$D$3),1)</f>
        <v>0</v>
      </c>
      <c r="S6" s="222">
        <f xml:space="preserve">
TRUNC(IF($A$4&lt;=12,SUMIFS('ON Data'!X:X,'ON Data'!$D:$D,$A$4,'ON Data'!$E:$E,1),SUMIFS('ON Data'!X:X,'ON Data'!$E:$E,1)/'ON Data'!$D$3),1)</f>
        <v>0</v>
      </c>
      <c r="T6" s="222">
        <f xml:space="preserve">
TRUNC(IF($A$4&lt;=12,SUMIFS('ON Data'!Y:Y,'ON Data'!$D:$D,$A$4,'ON Data'!$E:$E,1),SUMIFS('ON Data'!Y:Y,'ON Data'!$E:$E,1)/'ON Data'!$D$3),1)</f>
        <v>0</v>
      </c>
      <c r="U6" s="222">
        <f xml:space="preserve">
TRUNC(IF($A$4&lt;=12,SUMIFS('ON Data'!Z:Z,'ON Data'!$D:$D,$A$4,'ON Data'!$E:$E,1),SUMIFS('ON Data'!Z:Z,'ON Data'!$E:$E,1)/'ON Data'!$D$3),1)</f>
        <v>0</v>
      </c>
      <c r="V6" s="222">
        <f xml:space="preserve">
TRUNC(IF($A$4&lt;=12,SUMIFS('ON Data'!AA:AA,'ON Data'!$D:$D,$A$4,'ON Data'!$E:$E,1),SUMIFS('ON Data'!AA:AA,'ON Data'!$E:$E,1)/'ON Data'!$D$3),1)</f>
        <v>0</v>
      </c>
      <c r="W6" s="222">
        <f xml:space="preserve">
TRUNC(IF($A$4&lt;=12,SUMIFS('ON Data'!AB:AB,'ON Data'!$D:$D,$A$4,'ON Data'!$E:$E,1),SUMIFS('ON Data'!AB:AB,'ON Data'!$E:$E,1)/'ON Data'!$D$3),1)</f>
        <v>1</v>
      </c>
      <c r="X6" s="222">
        <f xml:space="preserve">
TRUNC(IF($A$4&lt;=12,SUMIFS('ON Data'!AC:AC,'ON Data'!$D:$D,$A$4,'ON Data'!$E:$E,1),SUMIFS('ON Data'!AC:AC,'ON Data'!$E:$E,1)/'ON Data'!$D$3),1)</f>
        <v>0</v>
      </c>
      <c r="Y6" s="222">
        <f xml:space="preserve">
TRUNC(IF($A$4&lt;=12,SUMIFS('ON Data'!AD:AD,'ON Data'!$D:$D,$A$4,'ON Data'!$E:$E,1),SUMIFS('ON Data'!AD:AD,'ON Data'!$E:$E,1)/'ON Data'!$D$3),1)</f>
        <v>0</v>
      </c>
      <c r="Z6" s="222">
        <f xml:space="preserve">
TRUNC(IF($A$4&lt;=12,SUMIFS('ON Data'!AE:AE,'ON Data'!$D:$D,$A$4,'ON Data'!$E:$E,1),SUMIFS('ON Data'!AE:AE,'ON Data'!$E:$E,1)/'ON Data'!$D$3),1)</f>
        <v>0</v>
      </c>
      <c r="AA6" s="222">
        <f xml:space="preserve">
TRUNC(IF($A$4&lt;=12,SUMIFS('ON Data'!AF:AF,'ON Data'!$D:$D,$A$4,'ON Data'!$E:$E,1),SUMIFS('ON Data'!AF:AF,'ON Data'!$E:$E,1)/'ON Data'!$D$3),1)</f>
        <v>0</v>
      </c>
      <c r="AB6" s="222">
        <f xml:space="preserve">
TRUNC(IF($A$4&lt;=12,SUMIFS('ON Data'!AG:AG,'ON Data'!$D:$D,$A$4,'ON Data'!$E:$E,1),SUMIFS('ON Data'!AG:AG,'ON Data'!$E:$E,1)/'ON Data'!$D$3),1)</f>
        <v>0</v>
      </c>
      <c r="AC6" s="222">
        <f xml:space="preserve">
TRUNC(IF($A$4&lt;=12,SUMIFS('ON Data'!AH:AH,'ON Data'!$D:$D,$A$4,'ON Data'!$E:$E,1),SUMIFS('ON Data'!AH:AH,'ON Data'!$E:$E,1)/'ON Data'!$D$3),1)</f>
        <v>0</v>
      </c>
      <c r="AD6" s="222">
        <f xml:space="preserve">
TRUNC(IF($A$4&lt;=12,SUMIFS('ON Data'!AI:AI,'ON Data'!$D:$D,$A$4,'ON Data'!$E:$E,1),SUMIFS('ON Data'!AI:AI,'ON Data'!$E:$E,1)/'ON Data'!$D$3),1)</f>
        <v>0</v>
      </c>
      <c r="AE6" s="222">
        <f xml:space="preserve">
TRUNC(IF($A$4&lt;=12,SUMIFS('ON Data'!AJ:AJ,'ON Data'!$D:$D,$A$4,'ON Data'!$E:$E,1),SUMIFS('ON Data'!AJ:AJ,'ON Data'!$E:$E,1)/'ON Data'!$D$3),1)</f>
        <v>0</v>
      </c>
      <c r="AF6" s="222">
        <f xml:space="preserve">
TRUNC(IF($A$4&lt;=12,SUMIFS('ON Data'!AK:AK,'ON Data'!$D:$D,$A$4,'ON Data'!$E:$E,1),SUMIFS('ON Data'!AK:AK,'ON Data'!$E:$E,1)/'ON Data'!$D$3),1)</f>
        <v>0</v>
      </c>
      <c r="AG6" s="392">
        <f xml:space="preserve">
TRUNC(IF($A$4&lt;=12,SUMIFS('ON Data'!AM:AM,'ON Data'!$D:$D,$A$4,'ON Data'!$E:$E,1),SUMIFS('ON Data'!AM:AM,'ON Data'!$E:$E,1)/'ON Data'!$D$3),1)</f>
        <v>0</v>
      </c>
      <c r="AH6" s="405"/>
    </row>
    <row r="7" spans="1:34" ht="15" hidden="1" outlineLevel="1" thickBot="1" x14ac:dyDescent="0.35">
      <c r="A7" s="182" t="s">
        <v>58</v>
      </c>
      <c r="B7" s="220"/>
      <c r="C7" s="223"/>
      <c r="D7" s="222"/>
      <c r="E7" s="222"/>
      <c r="F7" s="222"/>
      <c r="G7" s="222"/>
      <c r="H7" s="222"/>
      <c r="I7" s="222"/>
      <c r="J7" s="222"/>
      <c r="K7" s="222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222"/>
      <c r="W7" s="222"/>
      <c r="X7" s="222"/>
      <c r="Y7" s="222"/>
      <c r="Z7" s="222"/>
      <c r="AA7" s="222"/>
      <c r="AB7" s="222"/>
      <c r="AC7" s="222"/>
      <c r="AD7" s="222"/>
      <c r="AE7" s="222"/>
      <c r="AF7" s="222"/>
      <c r="AG7" s="392"/>
      <c r="AH7" s="405"/>
    </row>
    <row r="8" spans="1:34" ht="15" hidden="1" outlineLevel="1" thickBot="1" x14ac:dyDescent="0.35">
      <c r="A8" s="182" t="s">
        <v>53</v>
      </c>
      <c r="B8" s="220"/>
      <c r="C8" s="223"/>
      <c r="D8" s="222"/>
      <c r="E8" s="222"/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  <c r="S8" s="222"/>
      <c r="T8" s="222"/>
      <c r="U8" s="222"/>
      <c r="V8" s="222"/>
      <c r="W8" s="222"/>
      <c r="X8" s="222"/>
      <c r="Y8" s="222"/>
      <c r="Z8" s="222"/>
      <c r="AA8" s="222"/>
      <c r="AB8" s="222"/>
      <c r="AC8" s="222"/>
      <c r="AD8" s="222"/>
      <c r="AE8" s="222"/>
      <c r="AF8" s="222"/>
      <c r="AG8" s="392"/>
      <c r="AH8" s="405"/>
    </row>
    <row r="9" spans="1:34" ht="15" hidden="1" outlineLevel="1" thickBot="1" x14ac:dyDescent="0.35">
      <c r="A9" s="183" t="s">
        <v>48</v>
      </c>
      <c r="B9" s="224"/>
      <c r="C9" s="225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  <c r="S9" s="226"/>
      <c r="T9" s="226"/>
      <c r="U9" s="226"/>
      <c r="V9" s="226"/>
      <c r="W9" s="226"/>
      <c r="X9" s="226"/>
      <c r="Y9" s="226"/>
      <c r="Z9" s="226"/>
      <c r="AA9" s="226"/>
      <c r="AB9" s="226"/>
      <c r="AC9" s="226"/>
      <c r="AD9" s="226"/>
      <c r="AE9" s="226"/>
      <c r="AF9" s="226"/>
      <c r="AG9" s="393"/>
      <c r="AH9" s="405"/>
    </row>
    <row r="10" spans="1:34" x14ac:dyDescent="0.3">
      <c r="A10" s="184" t="s">
        <v>133</v>
      </c>
      <c r="B10" s="199"/>
      <c r="C10" s="200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394"/>
      <c r="AH10" s="405"/>
    </row>
    <row r="11" spans="1:34" x14ac:dyDescent="0.3">
      <c r="A11" s="185" t="s">
        <v>134</v>
      </c>
      <c r="B11" s="202">
        <f xml:space="preserve">
IF($A$4&lt;=12,SUMIFS('ON Data'!F:F,'ON Data'!$D:$D,$A$4,'ON Data'!$E:$E,2),SUMIFS('ON Data'!F:F,'ON Data'!$E:$E,2))</f>
        <v>5010.3999999999996</v>
      </c>
      <c r="C11" s="203">
        <f xml:space="preserve">
IF($A$4&lt;=12,SUMIFS('ON Data'!G:G,'ON Data'!$D:$D,$A$4,'ON Data'!$E:$E,2),SUMIFS('ON Data'!G:G,'ON Data'!$E:$E,2))</f>
        <v>0</v>
      </c>
      <c r="D11" s="204">
        <f xml:space="preserve">
IF($A$4&lt;=12,SUMIFS('ON Data'!H:H,'ON Data'!$D:$D,$A$4,'ON Data'!$E:$E,2),SUMIFS('ON Data'!H:H,'ON Data'!$E:$E,2))</f>
        <v>2530.4</v>
      </c>
      <c r="E11" s="204">
        <f xml:space="preserve">
IF($A$4&lt;=12,SUMIFS('ON Data'!I:I,'ON Data'!$D:$D,$A$4,'ON Data'!$E:$E,2),SUMIFS('ON Data'!I:I,'ON Data'!$E:$E,2))</f>
        <v>0</v>
      </c>
      <c r="F11" s="204">
        <f xml:space="preserve">
IF($A$4&lt;=12,SUMIFS('ON Data'!K:K,'ON Data'!$D:$D,$A$4,'ON Data'!$E:$E,2),SUMIFS('ON Data'!K:K,'ON Data'!$E:$E,2))</f>
        <v>0</v>
      </c>
      <c r="G11" s="204">
        <f xml:space="preserve">
IF($A$4&lt;=12,SUMIFS('ON Data'!L:L,'ON Data'!$D:$D,$A$4,'ON Data'!$E:$E,2),SUMIFS('ON Data'!L:L,'ON Data'!$E:$E,2))</f>
        <v>0</v>
      </c>
      <c r="H11" s="204">
        <f xml:space="preserve">
IF($A$4&lt;=12,SUMIFS('ON Data'!M:M,'ON Data'!$D:$D,$A$4,'ON Data'!$E:$E,2),SUMIFS('ON Data'!M:M,'ON Data'!$E:$E,2))</f>
        <v>0</v>
      </c>
      <c r="I11" s="204">
        <f xml:space="preserve">
IF($A$4&lt;=12,SUMIFS('ON Data'!N:N,'ON Data'!$D:$D,$A$4,'ON Data'!$E:$E,2),SUMIFS('ON Data'!N:N,'ON Data'!$E:$E,2))</f>
        <v>1224</v>
      </c>
      <c r="J11" s="204">
        <f xml:space="preserve">
IF($A$4&lt;=12,SUMIFS('ON Data'!O:O,'ON Data'!$D:$D,$A$4,'ON Data'!$E:$E,2),SUMIFS('ON Data'!O:O,'ON Data'!$E:$E,2))</f>
        <v>0</v>
      </c>
      <c r="K11" s="204">
        <f xml:space="preserve">
IF($A$4&lt;=12,SUMIFS('ON Data'!P:P,'ON Data'!$D:$D,$A$4,'ON Data'!$E:$E,2),SUMIFS('ON Data'!P:P,'ON Data'!$E:$E,2))</f>
        <v>0</v>
      </c>
      <c r="L11" s="204">
        <f xml:space="preserve">
IF($A$4&lt;=12,SUMIFS('ON Data'!Q:Q,'ON Data'!$D:$D,$A$4,'ON Data'!$E:$E,2),SUMIFS('ON Data'!Q:Q,'ON Data'!$E:$E,2))</f>
        <v>0</v>
      </c>
      <c r="M11" s="204">
        <f xml:space="preserve">
IF($A$4&lt;=12,SUMIFS('ON Data'!R:R,'ON Data'!$D:$D,$A$4,'ON Data'!$E:$E,2),SUMIFS('ON Data'!R:R,'ON Data'!$E:$E,2))</f>
        <v>0</v>
      </c>
      <c r="N11" s="204">
        <f xml:space="preserve">
IF($A$4&lt;=12,SUMIFS('ON Data'!S:S,'ON Data'!$D:$D,$A$4,'ON Data'!$E:$E,2),SUMIFS('ON Data'!S:S,'ON Data'!$E:$E,2))</f>
        <v>0</v>
      </c>
      <c r="O11" s="204">
        <f xml:space="preserve">
IF($A$4&lt;=12,SUMIFS('ON Data'!T:T,'ON Data'!$D:$D,$A$4,'ON Data'!$E:$E,2),SUMIFS('ON Data'!T:T,'ON Data'!$E:$E,2))</f>
        <v>0</v>
      </c>
      <c r="P11" s="204">
        <f xml:space="preserve">
IF($A$4&lt;=12,SUMIFS('ON Data'!U:U,'ON Data'!$D:$D,$A$4,'ON Data'!$E:$E,2),SUMIFS('ON Data'!U:U,'ON Data'!$E:$E,2))</f>
        <v>0</v>
      </c>
      <c r="Q11" s="204">
        <f xml:space="preserve">
IF($A$4&lt;=12,SUMIFS('ON Data'!V:V,'ON Data'!$D:$D,$A$4,'ON Data'!$E:$E,2),SUMIFS('ON Data'!V:V,'ON Data'!$E:$E,2))</f>
        <v>0</v>
      </c>
      <c r="R11" s="204">
        <f xml:space="preserve">
IF($A$4&lt;=12,SUMIFS('ON Data'!W:W,'ON Data'!$D:$D,$A$4,'ON Data'!$E:$E,2),SUMIFS('ON Data'!W:W,'ON Data'!$E:$E,2))</f>
        <v>0</v>
      </c>
      <c r="S11" s="204">
        <f xml:space="preserve">
IF($A$4&lt;=12,SUMIFS('ON Data'!X:X,'ON Data'!$D:$D,$A$4,'ON Data'!$E:$E,2),SUMIFS('ON Data'!X:X,'ON Data'!$E:$E,2))</f>
        <v>0</v>
      </c>
      <c r="T11" s="204">
        <f xml:space="preserve">
IF($A$4&lt;=12,SUMIFS('ON Data'!Y:Y,'ON Data'!$D:$D,$A$4,'ON Data'!$E:$E,2),SUMIFS('ON Data'!Y:Y,'ON Data'!$E:$E,2))</f>
        <v>0</v>
      </c>
      <c r="U11" s="204">
        <f xml:space="preserve">
IF($A$4&lt;=12,SUMIFS('ON Data'!Z:Z,'ON Data'!$D:$D,$A$4,'ON Data'!$E:$E,2),SUMIFS('ON Data'!Z:Z,'ON Data'!$E:$E,2))</f>
        <v>0</v>
      </c>
      <c r="V11" s="204">
        <f xml:space="preserve">
IF($A$4&lt;=12,SUMIFS('ON Data'!AA:AA,'ON Data'!$D:$D,$A$4,'ON Data'!$E:$E,2),SUMIFS('ON Data'!AA:AA,'ON Data'!$E:$E,2))</f>
        <v>0</v>
      </c>
      <c r="W11" s="204">
        <f xml:space="preserve">
IF($A$4&lt;=12,SUMIFS('ON Data'!AB:AB,'ON Data'!$D:$D,$A$4,'ON Data'!$E:$E,2),SUMIFS('ON Data'!AB:AB,'ON Data'!$E:$E,2))</f>
        <v>1256</v>
      </c>
      <c r="X11" s="204">
        <f xml:space="preserve">
IF($A$4&lt;=12,SUMIFS('ON Data'!AC:AC,'ON Data'!$D:$D,$A$4,'ON Data'!$E:$E,2),SUMIFS('ON Data'!AC:AC,'ON Data'!$E:$E,2))</f>
        <v>0</v>
      </c>
      <c r="Y11" s="204">
        <f xml:space="preserve">
IF($A$4&lt;=12,SUMIFS('ON Data'!AD:AD,'ON Data'!$D:$D,$A$4,'ON Data'!$E:$E,2),SUMIFS('ON Data'!AD:AD,'ON Data'!$E:$E,2))</f>
        <v>0</v>
      </c>
      <c r="Z11" s="204">
        <f xml:space="preserve">
IF($A$4&lt;=12,SUMIFS('ON Data'!AE:AE,'ON Data'!$D:$D,$A$4,'ON Data'!$E:$E,2),SUMIFS('ON Data'!AE:AE,'ON Data'!$E:$E,2))</f>
        <v>0</v>
      </c>
      <c r="AA11" s="204">
        <f xml:space="preserve">
IF($A$4&lt;=12,SUMIFS('ON Data'!AF:AF,'ON Data'!$D:$D,$A$4,'ON Data'!$E:$E,2),SUMIFS('ON Data'!AF:AF,'ON Data'!$E:$E,2))</f>
        <v>0</v>
      </c>
      <c r="AB11" s="204">
        <f xml:space="preserve">
IF($A$4&lt;=12,SUMIFS('ON Data'!AG:AG,'ON Data'!$D:$D,$A$4,'ON Data'!$E:$E,2),SUMIFS('ON Data'!AG:AG,'ON Data'!$E:$E,2))</f>
        <v>0</v>
      </c>
      <c r="AC11" s="204">
        <f xml:space="preserve">
IF($A$4&lt;=12,SUMIFS('ON Data'!AH:AH,'ON Data'!$D:$D,$A$4,'ON Data'!$E:$E,2),SUMIFS('ON Data'!AH:AH,'ON Data'!$E:$E,2))</f>
        <v>0</v>
      </c>
      <c r="AD11" s="204">
        <f xml:space="preserve">
IF($A$4&lt;=12,SUMIFS('ON Data'!AI:AI,'ON Data'!$D:$D,$A$4,'ON Data'!$E:$E,2),SUMIFS('ON Data'!AI:AI,'ON Data'!$E:$E,2))</f>
        <v>0</v>
      </c>
      <c r="AE11" s="204">
        <f xml:space="preserve">
IF($A$4&lt;=12,SUMIFS('ON Data'!AJ:AJ,'ON Data'!$D:$D,$A$4,'ON Data'!$E:$E,2),SUMIFS('ON Data'!AJ:AJ,'ON Data'!$E:$E,2))</f>
        <v>0</v>
      </c>
      <c r="AF11" s="204">
        <f xml:space="preserve">
IF($A$4&lt;=12,SUMIFS('ON Data'!AK:AK,'ON Data'!$D:$D,$A$4,'ON Data'!$E:$E,2),SUMIFS('ON Data'!AK:AK,'ON Data'!$E:$E,2))</f>
        <v>0</v>
      </c>
      <c r="AG11" s="395">
        <f xml:space="preserve">
IF($A$4&lt;=12,SUMIFS('ON Data'!AM:AM,'ON Data'!$D:$D,$A$4,'ON Data'!$E:$E,2),SUMIFS('ON Data'!AM:AM,'ON Data'!$E:$E,2))</f>
        <v>0</v>
      </c>
      <c r="AH11" s="405"/>
    </row>
    <row r="12" spans="1:34" x14ac:dyDescent="0.3">
      <c r="A12" s="185" t="s">
        <v>135</v>
      </c>
      <c r="B12" s="202">
        <f xml:space="preserve">
IF($A$4&lt;=12,SUMIFS('ON Data'!F:F,'ON Data'!$D:$D,$A$4,'ON Data'!$E:$E,3),SUMIFS('ON Data'!F:F,'ON Data'!$E:$E,3))</f>
        <v>0</v>
      </c>
      <c r="C12" s="203">
        <f xml:space="preserve">
IF($A$4&lt;=12,SUMIFS('ON Data'!G:G,'ON Data'!$D:$D,$A$4,'ON Data'!$E:$E,3),SUMIFS('ON Data'!G:G,'ON Data'!$E:$E,3))</f>
        <v>0</v>
      </c>
      <c r="D12" s="204">
        <f xml:space="preserve">
IF($A$4&lt;=12,SUMIFS('ON Data'!H:H,'ON Data'!$D:$D,$A$4,'ON Data'!$E:$E,3),SUMIFS('ON Data'!H:H,'ON Data'!$E:$E,3))</f>
        <v>0</v>
      </c>
      <c r="E12" s="204">
        <f xml:space="preserve">
IF($A$4&lt;=12,SUMIFS('ON Data'!I:I,'ON Data'!$D:$D,$A$4,'ON Data'!$E:$E,3),SUMIFS('ON Data'!I:I,'ON Data'!$E:$E,3))</f>
        <v>0</v>
      </c>
      <c r="F12" s="204">
        <f xml:space="preserve">
IF($A$4&lt;=12,SUMIFS('ON Data'!K:K,'ON Data'!$D:$D,$A$4,'ON Data'!$E:$E,3),SUMIFS('ON Data'!K:K,'ON Data'!$E:$E,3))</f>
        <v>0</v>
      </c>
      <c r="G12" s="204">
        <f xml:space="preserve">
IF($A$4&lt;=12,SUMIFS('ON Data'!L:L,'ON Data'!$D:$D,$A$4,'ON Data'!$E:$E,3),SUMIFS('ON Data'!L:L,'ON Data'!$E:$E,3))</f>
        <v>0</v>
      </c>
      <c r="H12" s="204">
        <f xml:space="preserve">
IF($A$4&lt;=12,SUMIFS('ON Data'!M:M,'ON Data'!$D:$D,$A$4,'ON Data'!$E:$E,3),SUMIFS('ON Data'!M:M,'ON Data'!$E:$E,3))</f>
        <v>0</v>
      </c>
      <c r="I12" s="204">
        <f xml:space="preserve">
IF($A$4&lt;=12,SUMIFS('ON Data'!N:N,'ON Data'!$D:$D,$A$4,'ON Data'!$E:$E,3),SUMIFS('ON Data'!N:N,'ON Data'!$E:$E,3))</f>
        <v>0</v>
      </c>
      <c r="J12" s="204">
        <f xml:space="preserve">
IF($A$4&lt;=12,SUMIFS('ON Data'!O:O,'ON Data'!$D:$D,$A$4,'ON Data'!$E:$E,3),SUMIFS('ON Data'!O:O,'ON Data'!$E:$E,3))</f>
        <v>0</v>
      </c>
      <c r="K12" s="204">
        <f xml:space="preserve">
IF($A$4&lt;=12,SUMIFS('ON Data'!P:P,'ON Data'!$D:$D,$A$4,'ON Data'!$E:$E,3),SUMIFS('ON Data'!P:P,'ON Data'!$E:$E,3))</f>
        <v>0</v>
      </c>
      <c r="L12" s="204">
        <f xml:space="preserve">
IF($A$4&lt;=12,SUMIFS('ON Data'!Q:Q,'ON Data'!$D:$D,$A$4,'ON Data'!$E:$E,3),SUMIFS('ON Data'!Q:Q,'ON Data'!$E:$E,3))</f>
        <v>0</v>
      </c>
      <c r="M12" s="204">
        <f xml:space="preserve">
IF($A$4&lt;=12,SUMIFS('ON Data'!R:R,'ON Data'!$D:$D,$A$4,'ON Data'!$E:$E,3),SUMIFS('ON Data'!R:R,'ON Data'!$E:$E,3))</f>
        <v>0</v>
      </c>
      <c r="N12" s="204">
        <f xml:space="preserve">
IF($A$4&lt;=12,SUMIFS('ON Data'!S:S,'ON Data'!$D:$D,$A$4,'ON Data'!$E:$E,3),SUMIFS('ON Data'!S:S,'ON Data'!$E:$E,3))</f>
        <v>0</v>
      </c>
      <c r="O12" s="204">
        <f xml:space="preserve">
IF($A$4&lt;=12,SUMIFS('ON Data'!T:T,'ON Data'!$D:$D,$A$4,'ON Data'!$E:$E,3),SUMIFS('ON Data'!T:T,'ON Data'!$E:$E,3))</f>
        <v>0</v>
      </c>
      <c r="P12" s="204">
        <f xml:space="preserve">
IF($A$4&lt;=12,SUMIFS('ON Data'!U:U,'ON Data'!$D:$D,$A$4,'ON Data'!$E:$E,3),SUMIFS('ON Data'!U:U,'ON Data'!$E:$E,3))</f>
        <v>0</v>
      </c>
      <c r="Q12" s="204">
        <f xml:space="preserve">
IF($A$4&lt;=12,SUMIFS('ON Data'!V:V,'ON Data'!$D:$D,$A$4,'ON Data'!$E:$E,3),SUMIFS('ON Data'!V:V,'ON Data'!$E:$E,3))</f>
        <v>0</v>
      </c>
      <c r="R12" s="204">
        <f xml:space="preserve">
IF($A$4&lt;=12,SUMIFS('ON Data'!W:W,'ON Data'!$D:$D,$A$4,'ON Data'!$E:$E,3),SUMIFS('ON Data'!W:W,'ON Data'!$E:$E,3))</f>
        <v>0</v>
      </c>
      <c r="S12" s="204">
        <f xml:space="preserve">
IF($A$4&lt;=12,SUMIFS('ON Data'!X:X,'ON Data'!$D:$D,$A$4,'ON Data'!$E:$E,3),SUMIFS('ON Data'!X:X,'ON Data'!$E:$E,3))</f>
        <v>0</v>
      </c>
      <c r="T12" s="204">
        <f xml:space="preserve">
IF($A$4&lt;=12,SUMIFS('ON Data'!Y:Y,'ON Data'!$D:$D,$A$4,'ON Data'!$E:$E,3),SUMIFS('ON Data'!Y:Y,'ON Data'!$E:$E,3))</f>
        <v>0</v>
      </c>
      <c r="U12" s="204">
        <f xml:space="preserve">
IF($A$4&lt;=12,SUMIFS('ON Data'!Z:Z,'ON Data'!$D:$D,$A$4,'ON Data'!$E:$E,3),SUMIFS('ON Data'!Z:Z,'ON Data'!$E:$E,3))</f>
        <v>0</v>
      </c>
      <c r="V12" s="204">
        <f xml:space="preserve">
IF($A$4&lt;=12,SUMIFS('ON Data'!AA:AA,'ON Data'!$D:$D,$A$4,'ON Data'!$E:$E,3),SUMIFS('ON Data'!AA:AA,'ON Data'!$E:$E,3))</f>
        <v>0</v>
      </c>
      <c r="W12" s="204">
        <f xml:space="preserve">
IF($A$4&lt;=12,SUMIFS('ON Data'!AB:AB,'ON Data'!$D:$D,$A$4,'ON Data'!$E:$E,3),SUMIFS('ON Data'!AB:AB,'ON Data'!$E:$E,3))</f>
        <v>0</v>
      </c>
      <c r="X12" s="204">
        <f xml:space="preserve">
IF($A$4&lt;=12,SUMIFS('ON Data'!AC:AC,'ON Data'!$D:$D,$A$4,'ON Data'!$E:$E,3),SUMIFS('ON Data'!AC:AC,'ON Data'!$E:$E,3))</f>
        <v>0</v>
      </c>
      <c r="Y12" s="204">
        <f xml:space="preserve">
IF($A$4&lt;=12,SUMIFS('ON Data'!AD:AD,'ON Data'!$D:$D,$A$4,'ON Data'!$E:$E,3),SUMIFS('ON Data'!AD:AD,'ON Data'!$E:$E,3))</f>
        <v>0</v>
      </c>
      <c r="Z12" s="204">
        <f xml:space="preserve">
IF($A$4&lt;=12,SUMIFS('ON Data'!AE:AE,'ON Data'!$D:$D,$A$4,'ON Data'!$E:$E,3),SUMIFS('ON Data'!AE:AE,'ON Data'!$E:$E,3))</f>
        <v>0</v>
      </c>
      <c r="AA12" s="204">
        <f xml:space="preserve">
IF($A$4&lt;=12,SUMIFS('ON Data'!AF:AF,'ON Data'!$D:$D,$A$4,'ON Data'!$E:$E,3),SUMIFS('ON Data'!AF:AF,'ON Data'!$E:$E,3))</f>
        <v>0</v>
      </c>
      <c r="AB12" s="204">
        <f xml:space="preserve">
IF($A$4&lt;=12,SUMIFS('ON Data'!AG:AG,'ON Data'!$D:$D,$A$4,'ON Data'!$E:$E,3),SUMIFS('ON Data'!AG:AG,'ON Data'!$E:$E,3))</f>
        <v>0</v>
      </c>
      <c r="AC12" s="204">
        <f xml:space="preserve">
IF($A$4&lt;=12,SUMIFS('ON Data'!AH:AH,'ON Data'!$D:$D,$A$4,'ON Data'!$E:$E,3),SUMIFS('ON Data'!AH:AH,'ON Data'!$E:$E,3))</f>
        <v>0</v>
      </c>
      <c r="AD12" s="204">
        <f xml:space="preserve">
IF($A$4&lt;=12,SUMIFS('ON Data'!AI:AI,'ON Data'!$D:$D,$A$4,'ON Data'!$E:$E,3),SUMIFS('ON Data'!AI:AI,'ON Data'!$E:$E,3))</f>
        <v>0</v>
      </c>
      <c r="AE12" s="204">
        <f xml:space="preserve">
IF($A$4&lt;=12,SUMIFS('ON Data'!AJ:AJ,'ON Data'!$D:$D,$A$4,'ON Data'!$E:$E,3),SUMIFS('ON Data'!AJ:AJ,'ON Data'!$E:$E,3))</f>
        <v>0</v>
      </c>
      <c r="AF12" s="204">
        <f xml:space="preserve">
IF($A$4&lt;=12,SUMIFS('ON Data'!AK:AK,'ON Data'!$D:$D,$A$4,'ON Data'!$E:$E,3),SUMIFS('ON Data'!AK:AK,'ON Data'!$E:$E,3))</f>
        <v>0</v>
      </c>
      <c r="AG12" s="395">
        <f xml:space="preserve">
IF($A$4&lt;=12,SUMIFS('ON Data'!AM:AM,'ON Data'!$D:$D,$A$4,'ON Data'!$E:$E,3),SUMIFS('ON Data'!AM:AM,'ON Data'!$E:$E,3))</f>
        <v>0</v>
      </c>
      <c r="AH12" s="405"/>
    </row>
    <row r="13" spans="1:34" x14ac:dyDescent="0.3">
      <c r="A13" s="185" t="s">
        <v>142</v>
      </c>
      <c r="B13" s="202">
        <f xml:space="preserve">
IF($A$4&lt;=12,SUMIFS('ON Data'!F:F,'ON Data'!$D:$D,$A$4,'ON Data'!$E:$E,4),SUMIFS('ON Data'!F:F,'ON Data'!$E:$E,4))</f>
        <v>0</v>
      </c>
      <c r="C13" s="203">
        <f xml:space="preserve">
IF($A$4&lt;=12,SUMIFS('ON Data'!G:G,'ON Data'!$D:$D,$A$4,'ON Data'!$E:$E,4),SUMIFS('ON Data'!G:G,'ON Data'!$E:$E,4))</f>
        <v>0</v>
      </c>
      <c r="D13" s="204">
        <f xml:space="preserve">
IF($A$4&lt;=12,SUMIFS('ON Data'!H:H,'ON Data'!$D:$D,$A$4,'ON Data'!$E:$E,4),SUMIFS('ON Data'!H:H,'ON Data'!$E:$E,4))</f>
        <v>0</v>
      </c>
      <c r="E13" s="204">
        <f xml:space="preserve">
IF($A$4&lt;=12,SUMIFS('ON Data'!I:I,'ON Data'!$D:$D,$A$4,'ON Data'!$E:$E,4),SUMIFS('ON Data'!I:I,'ON Data'!$E:$E,4))</f>
        <v>0</v>
      </c>
      <c r="F13" s="204">
        <f xml:space="preserve">
IF($A$4&lt;=12,SUMIFS('ON Data'!K:K,'ON Data'!$D:$D,$A$4,'ON Data'!$E:$E,4),SUMIFS('ON Data'!K:K,'ON Data'!$E:$E,4))</f>
        <v>0</v>
      </c>
      <c r="G13" s="204">
        <f xml:space="preserve">
IF($A$4&lt;=12,SUMIFS('ON Data'!L:L,'ON Data'!$D:$D,$A$4,'ON Data'!$E:$E,4),SUMIFS('ON Data'!L:L,'ON Data'!$E:$E,4))</f>
        <v>0</v>
      </c>
      <c r="H13" s="204">
        <f xml:space="preserve">
IF($A$4&lt;=12,SUMIFS('ON Data'!M:M,'ON Data'!$D:$D,$A$4,'ON Data'!$E:$E,4),SUMIFS('ON Data'!M:M,'ON Data'!$E:$E,4))</f>
        <v>0</v>
      </c>
      <c r="I13" s="204">
        <f xml:space="preserve">
IF($A$4&lt;=12,SUMIFS('ON Data'!N:N,'ON Data'!$D:$D,$A$4,'ON Data'!$E:$E,4),SUMIFS('ON Data'!N:N,'ON Data'!$E:$E,4))</f>
        <v>0</v>
      </c>
      <c r="J13" s="204">
        <f xml:space="preserve">
IF($A$4&lt;=12,SUMIFS('ON Data'!O:O,'ON Data'!$D:$D,$A$4,'ON Data'!$E:$E,4),SUMIFS('ON Data'!O:O,'ON Data'!$E:$E,4))</f>
        <v>0</v>
      </c>
      <c r="K13" s="204">
        <f xml:space="preserve">
IF($A$4&lt;=12,SUMIFS('ON Data'!P:P,'ON Data'!$D:$D,$A$4,'ON Data'!$E:$E,4),SUMIFS('ON Data'!P:P,'ON Data'!$E:$E,4))</f>
        <v>0</v>
      </c>
      <c r="L13" s="204">
        <f xml:space="preserve">
IF($A$4&lt;=12,SUMIFS('ON Data'!Q:Q,'ON Data'!$D:$D,$A$4,'ON Data'!$E:$E,4),SUMIFS('ON Data'!Q:Q,'ON Data'!$E:$E,4))</f>
        <v>0</v>
      </c>
      <c r="M13" s="204">
        <f xml:space="preserve">
IF($A$4&lt;=12,SUMIFS('ON Data'!R:R,'ON Data'!$D:$D,$A$4,'ON Data'!$E:$E,4),SUMIFS('ON Data'!R:R,'ON Data'!$E:$E,4))</f>
        <v>0</v>
      </c>
      <c r="N13" s="204">
        <f xml:space="preserve">
IF($A$4&lt;=12,SUMIFS('ON Data'!S:S,'ON Data'!$D:$D,$A$4,'ON Data'!$E:$E,4),SUMIFS('ON Data'!S:S,'ON Data'!$E:$E,4))</f>
        <v>0</v>
      </c>
      <c r="O13" s="204">
        <f xml:space="preserve">
IF($A$4&lt;=12,SUMIFS('ON Data'!T:T,'ON Data'!$D:$D,$A$4,'ON Data'!$E:$E,4),SUMIFS('ON Data'!T:T,'ON Data'!$E:$E,4))</f>
        <v>0</v>
      </c>
      <c r="P13" s="204">
        <f xml:space="preserve">
IF($A$4&lt;=12,SUMIFS('ON Data'!U:U,'ON Data'!$D:$D,$A$4,'ON Data'!$E:$E,4),SUMIFS('ON Data'!U:U,'ON Data'!$E:$E,4))</f>
        <v>0</v>
      </c>
      <c r="Q13" s="204">
        <f xml:space="preserve">
IF($A$4&lt;=12,SUMIFS('ON Data'!V:V,'ON Data'!$D:$D,$A$4,'ON Data'!$E:$E,4),SUMIFS('ON Data'!V:V,'ON Data'!$E:$E,4))</f>
        <v>0</v>
      </c>
      <c r="R13" s="204">
        <f xml:space="preserve">
IF($A$4&lt;=12,SUMIFS('ON Data'!W:W,'ON Data'!$D:$D,$A$4,'ON Data'!$E:$E,4),SUMIFS('ON Data'!W:W,'ON Data'!$E:$E,4))</f>
        <v>0</v>
      </c>
      <c r="S13" s="204">
        <f xml:space="preserve">
IF($A$4&lt;=12,SUMIFS('ON Data'!X:X,'ON Data'!$D:$D,$A$4,'ON Data'!$E:$E,4),SUMIFS('ON Data'!X:X,'ON Data'!$E:$E,4))</f>
        <v>0</v>
      </c>
      <c r="T13" s="204">
        <f xml:space="preserve">
IF($A$4&lt;=12,SUMIFS('ON Data'!Y:Y,'ON Data'!$D:$D,$A$4,'ON Data'!$E:$E,4),SUMIFS('ON Data'!Y:Y,'ON Data'!$E:$E,4))</f>
        <v>0</v>
      </c>
      <c r="U13" s="204">
        <f xml:space="preserve">
IF($A$4&lt;=12,SUMIFS('ON Data'!Z:Z,'ON Data'!$D:$D,$A$4,'ON Data'!$E:$E,4),SUMIFS('ON Data'!Z:Z,'ON Data'!$E:$E,4))</f>
        <v>0</v>
      </c>
      <c r="V13" s="204">
        <f xml:space="preserve">
IF($A$4&lt;=12,SUMIFS('ON Data'!AA:AA,'ON Data'!$D:$D,$A$4,'ON Data'!$E:$E,4),SUMIFS('ON Data'!AA:AA,'ON Data'!$E:$E,4))</f>
        <v>0</v>
      </c>
      <c r="W13" s="204">
        <f xml:space="preserve">
IF($A$4&lt;=12,SUMIFS('ON Data'!AB:AB,'ON Data'!$D:$D,$A$4,'ON Data'!$E:$E,4),SUMIFS('ON Data'!AB:AB,'ON Data'!$E:$E,4))</f>
        <v>0</v>
      </c>
      <c r="X13" s="204">
        <f xml:space="preserve">
IF($A$4&lt;=12,SUMIFS('ON Data'!AC:AC,'ON Data'!$D:$D,$A$4,'ON Data'!$E:$E,4),SUMIFS('ON Data'!AC:AC,'ON Data'!$E:$E,4))</f>
        <v>0</v>
      </c>
      <c r="Y13" s="204">
        <f xml:space="preserve">
IF($A$4&lt;=12,SUMIFS('ON Data'!AD:AD,'ON Data'!$D:$D,$A$4,'ON Data'!$E:$E,4),SUMIFS('ON Data'!AD:AD,'ON Data'!$E:$E,4))</f>
        <v>0</v>
      </c>
      <c r="Z13" s="204">
        <f xml:space="preserve">
IF($A$4&lt;=12,SUMIFS('ON Data'!AE:AE,'ON Data'!$D:$D,$A$4,'ON Data'!$E:$E,4),SUMIFS('ON Data'!AE:AE,'ON Data'!$E:$E,4))</f>
        <v>0</v>
      </c>
      <c r="AA13" s="204">
        <f xml:space="preserve">
IF($A$4&lt;=12,SUMIFS('ON Data'!AF:AF,'ON Data'!$D:$D,$A$4,'ON Data'!$E:$E,4),SUMIFS('ON Data'!AF:AF,'ON Data'!$E:$E,4))</f>
        <v>0</v>
      </c>
      <c r="AB13" s="204">
        <f xml:space="preserve">
IF($A$4&lt;=12,SUMIFS('ON Data'!AG:AG,'ON Data'!$D:$D,$A$4,'ON Data'!$E:$E,4),SUMIFS('ON Data'!AG:AG,'ON Data'!$E:$E,4))</f>
        <v>0</v>
      </c>
      <c r="AC13" s="204">
        <f xml:space="preserve">
IF($A$4&lt;=12,SUMIFS('ON Data'!AH:AH,'ON Data'!$D:$D,$A$4,'ON Data'!$E:$E,4),SUMIFS('ON Data'!AH:AH,'ON Data'!$E:$E,4))</f>
        <v>0</v>
      </c>
      <c r="AD13" s="204">
        <f xml:space="preserve">
IF($A$4&lt;=12,SUMIFS('ON Data'!AI:AI,'ON Data'!$D:$D,$A$4,'ON Data'!$E:$E,4),SUMIFS('ON Data'!AI:AI,'ON Data'!$E:$E,4))</f>
        <v>0</v>
      </c>
      <c r="AE13" s="204">
        <f xml:space="preserve">
IF($A$4&lt;=12,SUMIFS('ON Data'!AJ:AJ,'ON Data'!$D:$D,$A$4,'ON Data'!$E:$E,4),SUMIFS('ON Data'!AJ:AJ,'ON Data'!$E:$E,4))</f>
        <v>0</v>
      </c>
      <c r="AF13" s="204">
        <f xml:space="preserve">
IF($A$4&lt;=12,SUMIFS('ON Data'!AK:AK,'ON Data'!$D:$D,$A$4,'ON Data'!$E:$E,4),SUMIFS('ON Data'!AK:AK,'ON Data'!$E:$E,4))</f>
        <v>0</v>
      </c>
      <c r="AG13" s="395">
        <f xml:space="preserve">
IF($A$4&lt;=12,SUMIFS('ON Data'!AM:AM,'ON Data'!$D:$D,$A$4,'ON Data'!$E:$E,4),SUMIFS('ON Data'!AM:AM,'ON Data'!$E:$E,4))</f>
        <v>0</v>
      </c>
      <c r="AH13" s="405"/>
    </row>
    <row r="14" spans="1:34" ht="15" thickBot="1" x14ac:dyDescent="0.35">
      <c r="A14" s="186" t="s">
        <v>136</v>
      </c>
      <c r="B14" s="205">
        <f xml:space="preserve">
IF($A$4&lt;=12,SUMIFS('ON Data'!F:F,'ON Data'!$D:$D,$A$4,'ON Data'!$E:$E,5),SUMIFS('ON Data'!F:F,'ON Data'!$E:$E,5))</f>
        <v>140</v>
      </c>
      <c r="C14" s="206">
        <f xml:space="preserve">
IF($A$4&lt;=12,SUMIFS('ON Data'!G:G,'ON Data'!$D:$D,$A$4,'ON Data'!$E:$E,5),SUMIFS('ON Data'!G:G,'ON Data'!$E:$E,5))</f>
        <v>140</v>
      </c>
      <c r="D14" s="207">
        <f xml:space="preserve">
IF($A$4&lt;=12,SUMIFS('ON Data'!H:H,'ON Data'!$D:$D,$A$4,'ON Data'!$E:$E,5),SUMIFS('ON Data'!H:H,'ON Data'!$E:$E,5))</f>
        <v>0</v>
      </c>
      <c r="E14" s="207">
        <f xml:space="preserve">
IF($A$4&lt;=12,SUMIFS('ON Data'!I:I,'ON Data'!$D:$D,$A$4,'ON Data'!$E:$E,5),SUMIFS('ON Data'!I:I,'ON Data'!$E:$E,5))</f>
        <v>0</v>
      </c>
      <c r="F14" s="207">
        <f xml:space="preserve">
IF($A$4&lt;=12,SUMIFS('ON Data'!K:K,'ON Data'!$D:$D,$A$4,'ON Data'!$E:$E,5),SUMIFS('ON Data'!K:K,'ON Data'!$E:$E,5))</f>
        <v>0</v>
      </c>
      <c r="G14" s="207">
        <f xml:space="preserve">
IF($A$4&lt;=12,SUMIFS('ON Data'!L:L,'ON Data'!$D:$D,$A$4,'ON Data'!$E:$E,5),SUMIFS('ON Data'!L:L,'ON Data'!$E:$E,5))</f>
        <v>0</v>
      </c>
      <c r="H14" s="207">
        <f xml:space="preserve">
IF($A$4&lt;=12,SUMIFS('ON Data'!M:M,'ON Data'!$D:$D,$A$4,'ON Data'!$E:$E,5),SUMIFS('ON Data'!M:M,'ON Data'!$E:$E,5))</f>
        <v>0</v>
      </c>
      <c r="I14" s="207">
        <f xml:space="preserve">
IF($A$4&lt;=12,SUMIFS('ON Data'!N:N,'ON Data'!$D:$D,$A$4,'ON Data'!$E:$E,5),SUMIFS('ON Data'!N:N,'ON Data'!$E:$E,5))</f>
        <v>0</v>
      </c>
      <c r="J14" s="207">
        <f xml:space="preserve">
IF($A$4&lt;=12,SUMIFS('ON Data'!O:O,'ON Data'!$D:$D,$A$4,'ON Data'!$E:$E,5),SUMIFS('ON Data'!O:O,'ON Data'!$E:$E,5))</f>
        <v>0</v>
      </c>
      <c r="K14" s="207">
        <f xml:space="preserve">
IF($A$4&lt;=12,SUMIFS('ON Data'!P:P,'ON Data'!$D:$D,$A$4,'ON Data'!$E:$E,5),SUMIFS('ON Data'!P:P,'ON Data'!$E:$E,5))</f>
        <v>0</v>
      </c>
      <c r="L14" s="207">
        <f xml:space="preserve">
IF($A$4&lt;=12,SUMIFS('ON Data'!Q:Q,'ON Data'!$D:$D,$A$4,'ON Data'!$E:$E,5),SUMIFS('ON Data'!Q:Q,'ON Data'!$E:$E,5))</f>
        <v>0</v>
      </c>
      <c r="M14" s="207">
        <f xml:space="preserve">
IF($A$4&lt;=12,SUMIFS('ON Data'!R:R,'ON Data'!$D:$D,$A$4,'ON Data'!$E:$E,5),SUMIFS('ON Data'!R:R,'ON Data'!$E:$E,5))</f>
        <v>0</v>
      </c>
      <c r="N14" s="207">
        <f xml:space="preserve">
IF($A$4&lt;=12,SUMIFS('ON Data'!S:S,'ON Data'!$D:$D,$A$4,'ON Data'!$E:$E,5),SUMIFS('ON Data'!S:S,'ON Data'!$E:$E,5))</f>
        <v>0</v>
      </c>
      <c r="O14" s="207">
        <f xml:space="preserve">
IF($A$4&lt;=12,SUMIFS('ON Data'!T:T,'ON Data'!$D:$D,$A$4,'ON Data'!$E:$E,5),SUMIFS('ON Data'!T:T,'ON Data'!$E:$E,5))</f>
        <v>0</v>
      </c>
      <c r="P14" s="207">
        <f xml:space="preserve">
IF($A$4&lt;=12,SUMIFS('ON Data'!U:U,'ON Data'!$D:$D,$A$4,'ON Data'!$E:$E,5),SUMIFS('ON Data'!U:U,'ON Data'!$E:$E,5))</f>
        <v>0</v>
      </c>
      <c r="Q14" s="207">
        <f xml:space="preserve">
IF($A$4&lt;=12,SUMIFS('ON Data'!V:V,'ON Data'!$D:$D,$A$4,'ON Data'!$E:$E,5),SUMIFS('ON Data'!V:V,'ON Data'!$E:$E,5))</f>
        <v>0</v>
      </c>
      <c r="R14" s="207">
        <f xml:space="preserve">
IF($A$4&lt;=12,SUMIFS('ON Data'!W:W,'ON Data'!$D:$D,$A$4,'ON Data'!$E:$E,5),SUMIFS('ON Data'!W:W,'ON Data'!$E:$E,5))</f>
        <v>0</v>
      </c>
      <c r="S14" s="207">
        <f xml:space="preserve">
IF($A$4&lt;=12,SUMIFS('ON Data'!X:X,'ON Data'!$D:$D,$A$4,'ON Data'!$E:$E,5),SUMIFS('ON Data'!X:X,'ON Data'!$E:$E,5))</f>
        <v>0</v>
      </c>
      <c r="T14" s="207">
        <f xml:space="preserve">
IF($A$4&lt;=12,SUMIFS('ON Data'!Y:Y,'ON Data'!$D:$D,$A$4,'ON Data'!$E:$E,5),SUMIFS('ON Data'!Y:Y,'ON Data'!$E:$E,5))</f>
        <v>0</v>
      </c>
      <c r="U14" s="207">
        <f xml:space="preserve">
IF($A$4&lt;=12,SUMIFS('ON Data'!Z:Z,'ON Data'!$D:$D,$A$4,'ON Data'!$E:$E,5),SUMIFS('ON Data'!Z:Z,'ON Data'!$E:$E,5))</f>
        <v>0</v>
      </c>
      <c r="V14" s="207">
        <f xml:space="preserve">
IF($A$4&lt;=12,SUMIFS('ON Data'!AA:AA,'ON Data'!$D:$D,$A$4,'ON Data'!$E:$E,5),SUMIFS('ON Data'!AA:AA,'ON Data'!$E:$E,5))</f>
        <v>0</v>
      </c>
      <c r="W14" s="207">
        <f xml:space="preserve">
IF($A$4&lt;=12,SUMIFS('ON Data'!AB:AB,'ON Data'!$D:$D,$A$4,'ON Data'!$E:$E,5),SUMIFS('ON Data'!AB:AB,'ON Data'!$E:$E,5))</f>
        <v>0</v>
      </c>
      <c r="X14" s="207">
        <f xml:space="preserve">
IF($A$4&lt;=12,SUMIFS('ON Data'!AC:AC,'ON Data'!$D:$D,$A$4,'ON Data'!$E:$E,5),SUMIFS('ON Data'!AC:AC,'ON Data'!$E:$E,5))</f>
        <v>0</v>
      </c>
      <c r="Y14" s="207">
        <f xml:space="preserve">
IF($A$4&lt;=12,SUMIFS('ON Data'!AD:AD,'ON Data'!$D:$D,$A$4,'ON Data'!$E:$E,5),SUMIFS('ON Data'!AD:AD,'ON Data'!$E:$E,5))</f>
        <v>0</v>
      </c>
      <c r="Z14" s="207">
        <f xml:space="preserve">
IF($A$4&lt;=12,SUMIFS('ON Data'!AE:AE,'ON Data'!$D:$D,$A$4,'ON Data'!$E:$E,5),SUMIFS('ON Data'!AE:AE,'ON Data'!$E:$E,5))</f>
        <v>0</v>
      </c>
      <c r="AA14" s="207">
        <f xml:space="preserve">
IF($A$4&lt;=12,SUMIFS('ON Data'!AF:AF,'ON Data'!$D:$D,$A$4,'ON Data'!$E:$E,5),SUMIFS('ON Data'!AF:AF,'ON Data'!$E:$E,5))</f>
        <v>0</v>
      </c>
      <c r="AB14" s="207">
        <f xml:space="preserve">
IF($A$4&lt;=12,SUMIFS('ON Data'!AG:AG,'ON Data'!$D:$D,$A$4,'ON Data'!$E:$E,5),SUMIFS('ON Data'!AG:AG,'ON Data'!$E:$E,5))</f>
        <v>0</v>
      </c>
      <c r="AC14" s="207">
        <f xml:space="preserve">
IF($A$4&lt;=12,SUMIFS('ON Data'!AH:AH,'ON Data'!$D:$D,$A$4,'ON Data'!$E:$E,5),SUMIFS('ON Data'!AH:AH,'ON Data'!$E:$E,5))</f>
        <v>0</v>
      </c>
      <c r="AD14" s="207">
        <f xml:space="preserve">
IF($A$4&lt;=12,SUMIFS('ON Data'!AI:AI,'ON Data'!$D:$D,$A$4,'ON Data'!$E:$E,5),SUMIFS('ON Data'!AI:AI,'ON Data'!$E:$E,5))</f>
        <v>0</v>
      </c>
      <c r="AE14" s="207">
        <f xml:space="preserve">
IF($A$4&lt;=12,SUMIFS('ON Data'!AJ:AJ,'ON Data'!$D:$D,$A$4,'ON Data'!$E:$E,5),SUMIFS('ON Data'!AJ:AJ,'ON Data'!$E:$E,5))</f>
        <v>0</v>
      </c>
      <c r="AF14" s="207">
        <f xml:space="preserve">
IF($A$4&lt;=12,SUMIFS('ON Data'!AK:AK,'ON Data'!$D:$D,$A$4,'ON Data'!$E:$E,5),SUMIFS('ON Data'!AK:AK,'ON Data'!$E:$E,5))</f>
        <v>0</v>
      </c>
      <c r="AG14" s="396">
        <f xml:space="preserve">
IF($A$4&lt;=12,SUMIFS('ON Data'!AM:AM,'ON Data'!$D:$D,$A$4,'ON Data'!$E:$E,5),SUMIFS('ON Data'!AM:AM,'ON Data'!$E:$E,5))</f>
        <v>0</v>
      </c>
      <c r="AH14" s="405"/>
    </row>
    <row r="15" spans="1:34" x14ac:dyDescent="0.3">
      <c r="A15" s="126" t="s">
        <v>146</v>
      </c>
      <c r="B15" s="208"/>
      <c r="C15" s="209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210"/>
      <c r="Q15" s="210"/>
      <c r="R15" s="210"/>
      <c r="S15" s="210"/>
      <c r="T15" s="210"/>
      <c r="U15" s="210"/>
      <c r="V15" s="210"/>
      <c r="W15" s="210"/>
      <c r="X15" s="210"/>
      <c r="Y15" s="210"/>
      <c r="Z15" s="210"/>
      <c r="AA15" s="210"/>
      <c r="AB15" s="210"/>
      <c r="AC15" s="210"/>
      <c r="AD15" s="210"/>
      <c r="AE15" s="210"/>
      <c r="AF15" s="210"/>
      <c r="AG15" s="397"/>
      <c r="AH15" s="405"/>
    </row>
    <row r="16" spans="1:34" x14ac:dyDescent="0.3">
      <c r="A16" s="187" t="s">
        <v>137</v>
      </c>
      <c r="B16" s="202">
        <f xml:space="preserve">
IF($A$4&lt;=12,SUMIFS('ON Data'!F:F,'ON Data'!$D:$D,$A$4,'ON Data'!$E:$E,7),SUMIFS('ON Data'!F:F,'ON Data'!$E:$E,7))</f>
        <v>0</v>
      </c>
      <c r="C16" s="203">
        <f xml:space="preserve">
IF($A$4&lt;=12,SUMIFS('ON Data'!G:G,'ON Data'!$D:$D,$A$4,'ON Data'!$E:$E,7),SUMIFS('ON Data'!G:G,'ON Data'!$E:$E,7))</f>
        <v>0</v>
      </c>
      <c r="D16" s="204">
        <f xml:space="preserve">
IF($A$4&lt;=12,SUMIFS('ON Data'!H:H,'ON Data'!$D:$D,$A$4,'ON Data'!$E:$E,7),SUMIFS('ON Data'!H:H,'ON Data'!$E:$E,7))</f>
        <v>0</v>
      </c>
      <c r="E16" s="204">
        <f xml:space="preserve">
IF($A$4&lt;=12,SUMIFS('ON Data'!I:I,'ON Data'!$D:$D,$A$4,'ON Data'!$E:$E,7),SUMIFS('ON Data'!I:I,'ON Data'!$E:$E,7))</f>
        <v>0</v>
      </c>
      <c r="F16" s="204">
        <f xml:space="preserve">
IF($A$4&lt;=12,SUMIFS('ON Data'!K:K,'ON Data'!$D:$D,$A$4,'ON Data'!$E:$E,7),SUMIFS('ON Data'!K:K,'ON Data'!$E:$E,7))</f>
        <v>0</v>
      </c>
      <c r="G16" s="204">
        <f xml:space="preserve">
IF($A$4&lt;=12,SUMIFS('ON Data'!L:L,'ON Data'!$D:$D,$A$4,'ON Data'!$E:$E,7),SUMIFS('ON Data'!L:L,'ON Data'!$E:$E,7))</f>
        <v>0</v>
      </c>
      <c r="H16" s="204">
        <f xml:space="preserve">
IF($A$4&lt;=12,SUMIFS('ON Data'!M:M,'ON Data'!$D:$D,$A$4,'ON Data'!$E:$E,7),SUMIFS('ON Data'!M:M,'ON Data'!$E:$E,7))</f>
        <v>0</v>
      </c>
      <c r="I16" s="204">
        <f xml:space="preserve">
IF($A$4&lt;=12,SUMIFS('ON Data'!N:N,'ON Data'!$D:$D,$A$4,'ON Data'!$E:$E,7),SUMIFS('ON Data'!N:N,'ON Data'!$E:$E,7))</f>
        <v>0</v>
      </c>
      <c r="J16" s="204">
        <f xml:space="preserve">
IF($A$4&lt;=12,SUMIFS('ON Data'!O:O,'ON Data'!$D:$D,$A$4,'ON Data'!$E:$E,7),SUMIFS('ON Data'!O:O,'ON Data'!$E:$E,7))</f>
        <v>0</v>
      </c>
      <c r="K16" s="204">
        <f xml:space="preserve">
IF($A$4&lt;=12,SUMIFS('ON Data'!P:P,'ON Data'!$D:$D,$A$4,'ON Data'!$E:$E,7),SUMIFS('ON Data'!P:P,'ON Data'!$E:$E,7))</f>
        <v>0</v>
      </c>
      <c r="L16" s="204">
        <f xml:space="preserve">
IF($A$4&lt;=12,SUMIFS('ON Data'!Q:Q,'ON Data'!$D:$D,$A$4,'ON Data'!$E:$E,7),SUMIFS('ON Data'!Q:Q,'ON Data'!$E:$E,7))</f>
        <v>0</v>
      </c>
      <c r="M16" s="204">
        <f xml:space="preserve">
IF($A$4&lt;=12,SUMIFS('ON Data'!R:R,'ON Data'!$D:$D,$A$4,'ON Data'!$E:$E,7),SUMIFS('ON Data'!R:R,'ON Data'!$E:$E,7))</f>
        <v>0</v>
      </c>
      <c r="N16" s="204">
        <f xml:space="preserve">
IF($A$4&lt;=12,SUMIFS('ON Data'!S:S,'ON Data'!$D:$D,$A$4,'ON Data'!$E:$E,7),SUMIFS('ON Data'!S:S,'ON Data'!$E:$E,7))</f>
        <v>0</v>
      </c>
      <c r="O16" s="204">
        <f xml:space="preserve">
IF($A$4&lt;=12,SUMIFS('ON Data'!T:T,'ON Data'!$D:$D,$A$4,'ON Data'!$E:$E,7),SUMIFS('ON Data'!T:T,'ON Data'!$E:$E,7))</f>
        <v>0</v>
      </c>
      <c r="P16" s="204">
        <f xml:space="preserve">
IF($A$4&lt;=12,SUMIFS('ON Data'!U:U,'ON Data'!$D:$D,$A$4,'ON Data'!$E:$E,7),SUMIFS('ON Data'!U:U,'ON Data'!$E:$E,7))</f>
        <v>0</v>
      </c>
      <c r="Q16" s="204">
        <f xml:space="preserve">
IF($A$4&lt;=12,SUMIFS('ON Data'!V:V,'ON Data'!$D:$D,$A$4,'ON Data'!$E:$E,7),SUMIFS('ON Data'!V:V,'ON Data'!$E:$E,7))</f>
        <v>0</v>
      </c>
      <c r="R16" s="204">
        <f xml:space="preserve">
IF($A$4&lt;=12,SUMIFS('ON Data'!W:W,'ON Data'!$D:$D,$A$4,'ON Data'!$E:$E,7),SUMIFS('ON Data'!W:W,'ON Data'!$E:$E,7))</f>
        <v>0</v>
      </c>
      <c r="S16" s="204">
        <f xml:space="preserve">
IF($A$4&lt;=12,SUMIFS('ON Data'!X:X,'ON Data'!$D:$D,$A$4,'ON Data'!$E:$E,7),SUMIFS('ON Data'!X:X,'ON Data'!$E:$E,7))</f>
        <v>0</v>
      </c>
      <c r="T16" s="204">
        <f xml:space="preserve">
IF($A$4&lt;=12,SUMIFS('ON Data'!Y:Y,'ON Data'!$D:$D,$A$4,'ON Data'!$E:$E,7),SUMIFS('ON Data'!Y:Y,'ON Data'!$E:$E,7))</f>
        <v>0</v>
      </c>
      <c r="U16" s="204">
        <f xml:space="preserve">
IF($A$4&lt;=12,SUMIFS('ON Data'!Z:Z,'ON Data'!$D:$D,$A$4,'ON Data'!$E:$E,7),SUMIFS('ON Data'!Z:Z,'ON Data'!$E:$E,7))</f>
        <v>0</v>
      </c>
      <c r="V16" s="204">
        <f xml:space="preserve">
IF($A$4&lt;=12,SUMIFS('ON Data'!AA:AA,'ON Data'!$D:$D,$A$4,'ON Data'!$E:$E,7),SUMIFS('ON Data'!AA:AA,'ON Data'!$E:$E,7))</f>
        <v>0</v>
      </c>
      <c r="W16" s="204">
        <f xml:space="preserve">
IF($A$4&lt;=12,SUMIFS('ON Data'!AB:AB,'ON Data'!$D:$D,$A$4,'ON Data'!$E:$E,7),SUMIFS('ON Data'!AB:AB,'ON Data'!$E:$E,7))</f>
        <v>0</v>
      </c>
      <c r="X16" s="204">
        <f xml:space="preserve">
IF($A$4&lt;=12,SUMIFS('ON Data'!AC:AC,'ON Data'!$D:$D,$A$4,'ON Data'!$E:$E,7),SUMIFS('ON Data'!AC:AC,'ON Data'!$E:$E,7))</f>
        <v>0</v>
      </c>
      <c r="Y16" s="204">
        <f xml:space="preserve">
IF($A$4&lt;=12,SUMIFS('ON Data'!AD:AD,'ON Data'!$D:$D,$A$4,'ON Data'!$E:$E,7),SUMIFS('ON Data'!AD:AD,'ON Data'!$E:$E,7))</f>
        <v>0</v>
      </c>
      <c r="Z16" s="204">
        <f xml:space="preserve">
IF($A$4&lt;=12,SUMIFS('ON Data'!AE:AE,'ON Data'!$D:$D,$A$4,'ON Data'!$E:$E,7),SUMIFS('ON Data'!AE:AE,'ON Data'!$E:$E,7))</f>
        <v>0</v>
      </c>
      <c r="AA16" s="204">
        <f xml:space="preserve">
IF($A$4&lt;=12,SUMIFS('ON Data'!AF:AF,'ON Data'!$D:$D,$A$4,'ON Data'!$E:$E,7),SUMIFS('ON Data'!AF:AF,'ON Data'!$E:$E,7))</f>
        <v>0</v>
      </c>
      <c r="AB16" s="204">
        <f xml:space="preserve">
IF($A$4&lt;=12,SUMIFS('ON Data'!AG:AG,'ON Data'!$D:$D,$A$4,'ON Data'!$E:$E,7),SUMIFS('ON Data'!AG:AG,'ON Data'!$E:$E,7))</f>
        <v>0</v>
      </c>
      <c r="AC16" s="204">
        <f xml:space="preserve">
IF($A$4&lt;=12,SUMIFS('ON Data'!AH:AH,'ON Data'!$D:$D,$A$4,'ON Data'!$E:$E,7),SUMIFS('ON Data'!AH:AH,'ON Data'!$E:$E,7))</f>
        <v>0</v>
      </c>
      <c r="AD16" s="204">
        <f xml:space="preserve">
IF($A$4&lt;=12,SUMIFS('ON Data'!AI:AI,'ON Data'!$D:$D,$A$4,'ON Data'!$E:$E,7),SUMIFS('ON Data'!AI:AI,'ON Data'!$E:$E,7))</f>
        <v>0</v>
      </c>
      <c r="AE16" s="204">
        <f xml:space="preserve">
IF($A$4&lt;=12,SUMIFS('ON Data'!AJ:AJ,'ON Data'!$D:$D,$A$4,'ON Data'!$E:$E,7),SUMIFS('ON Data'!AJ:AJ,'ON Data'!$E:$E,7))</f>
        <v>0</v>
      </c>
      <c r="AF16" s="204">
        <f xml:space="preserve">
IF($A$4&lt;=12,SUMIFS('ON Data'!AK:AK,'ON Data'!$D:$D,$A$4,'ON Data'!$E:$E,7),SUMIFS('ON Data'!AK:AK,'ON Data'!$E:$E,7))</f>
        <v>0</v>
      </c>
      <c r="AG16" s="395">
        <f xml:space="preserve">
IF($A$4&lt;=12,SUMIFS('ON Data'!AM:AM,'ON Data'!$D:$D,$A$4,'ON Data'!$E:$E,7),SUMIFS('ON Data'!AM:AM,'ON Data'!$E:$E,7))</f>
        <v>0</v>
      </c>
      <c r="AH16" s="405"/>
    </row>
    <row r="17" spans="1:34" x14ac:dyDescent="0.3">
      <c r="A17" s="187" t="s">
        <v>138</v>
      </c>
      <c r="B17" s="202">
        <f xml:space="preserve">
IF($A$4&lt;=12,SUMIFS('ON Data'!F:F,'ON Data'!$D:$D,$A$4,'ON Data'!$E:$E,8),SUMIFS('ON Data'!F:F,'ON Data'!$E:$E,8))</f>
        <v>0</v>
      </c>
      <c r="C17" s="203">
        <f xml:space="preserve">
IF($A$4&lt;=12,SUMIFS('ON Data'!G:G,'ON Data'!$D:$D,$A$4,'ON Data'!$E:$E,8),SUMIFS('ON Data'!G:G,'ON Data'!$E:$E,8))</f>
        <v>0</v>
      </c>
      <c r="D17" s="204">
        <f xml:space="preserve">
IF($A$4&lt;=12,SUMIFS('ON Data'!H:H,'ON Data'!$D:$D,$A$4,'ON Data'!$E:$E,8),SUMIFS('ON Data'!H:H,'ON Data'!$E:$E,8))</f>
        <v>0</v>
      </c>
      <c r="E17" s="204">
        <f xml:space="preserve">
IF($A$4&lt;=12,SUMIFS('ON Data'!I:I,'ON Data'!$D:$D,$A$4,'ON Data'!$E:$E,8),SUMIFS('ON Data'!I:I,'ON Data'!$E:$E,8))</f>
        <v>0</v>
      </c>
      <c r="F17" s="204">
        <f xml:space="preserve">
IF($A$4&lt;=12,SUMIFS('ON Data'!K:K,'ON Data'!$D:$D,$A$4,'ON Data'!$E:$E,8),SUMIFS('ON Data'!K:K,'ON Data'!$E:$E,8))</f>
        <v>0</v>
      </c>
      <c r="G17" s="204">
        <f xml:space="preserve">
IF($A$4&lt;=12,SUMIFS('ON Data'!L:L,'ON Data'!$D:$D,$A$4,'ON Data'!$E:$E,8),SUMIFS('ON Data'!L:L,'ON Data'!$E:$E,8))</f>
        <v>0</v>
      </c>
      <c r="H17" s="204">
        <f xml:space="preserve">
IF($A$4&lt;=12,SUMIFS('ON Data'!M:M,'ON Data'!$D:$D,$A$4,'ON Data'!$E:$E,8),SUMIFS('ON Data'!M:M,'ON Data'!$E:$E,8))</f>
        <v>0</v>
      </c>
      <c r="I17" s="204">
        <f xml:space="preserve">
IF($A$4&lt;=12,SUMIFS('ON Data'!N:N,'ON Data'!$D:$D,$A$4,'ON Data'!$E:$E,8),SUMIFS('ON Data'!N:N,'ON Data'!$E:$E,8))</f>
        <v>0</v>
      </c>
      <c r="J17" s="204">
        <f xml:space="preserve">
IF($A$4&lt;=12,SUMIFS('ON Data'!O:O,'ON Data'!$D:$D,$A$4,'ON Data'!$E:$E,8),SUMIFS('ON Data'!O:O,'ON Data'!$E:$E,8))</f>
        <v>0</v>
      </c>
      <c r="K17" s="204">
        <f xml:space="preserve">
IF($A$4&lt;=12,SUMIFS('ON Data'!P:P,'ON Data'!$D:$D,$A$4,'ON Data'!$E:$E,8),SUMIFS('ON Data'!P:P,'ON Data'!$E:$E,8))</f>
        <v>0</v>
      </c>
      <c r="L17" s="204">
        <f xml:space="preserve">
IF($A$4&lt;=12,SUMIFS('ON Data'!Q:Q,'ON Data'!$D:$D,$A$4,'ON Data'!$E:$E,8),SUMIFS('ON Data'!Q:Q,'ON Data'!$E:$E,8))</f>
        <v>0</v>
      </c>
      <c r="M17" s="204">
        <f xml:space="preserve">
IF($A$4&lt;=12,SUMIFS('ON Data'!R:R,'ON Data'!$D:$D,$A$4,'ON Data'!$E:$E,8),SUMIFS('ON Data'!R:R,'ON Data'!$E:$E,8))</f>
        <v>0</v>
      </c>
      <c r="N17" s="204">
        <f xml:space="preserve">
IF($A$4&lt;=12,SUMIFS('ON Data'!S:S,'ON Data'!$D:$D,$A$4,'ON Data'!$E:$E,8),SUMIFS('ON Data'!S:S,'ON Data'!$E:$E,8))</f>
        <v>0</v>
      </c>
      <c r="O17" s="204">
        <f xml:space="preserve">
IF($A$4&lt;=12,SUMIFS('ON Data'!T:T,'ON Data'!$D:$D,$A$4,'ON Data'!$E:$E,8),SUMIFS('ON Data'!T:T,'ON Data'!$E:$E,8))</f>
        <v>0</v>
      </c>
      <c r="P17" s="204">
        <f xml:space="preserve">
IF($A$4&lt;=12,SUMIFS('ON Data'!U:U,'ON Data'!$D:$D,$A$4,'ON Data'!$E:$E,8),SUMIFS('ON Data'!U:U,'ON Data'!$E:$E,8))</f>
        <v>0</v>
      </c>
      <c r="Q17" s="204">
        <f xml:space="preserve">
IF($A$4&lt;=12,SUMIFS('ON Data'!V:V,'ON Data'!$D:$D,$A$4,'ON Data'!$E:$E,8),SUMIFS('ON Data'!V:V,'ON Data'!$E:$E,8))</f>
        <v>0</v>
      </c>
      <c r="R17" s="204">
        <f xml:space="preserve">
IF($A$4&lt;=12,SUMIFS('ON Data'!W:W,'ON Data'!$D:$D,$A$4,'ON Data'!$E:$E,8),SUMIFS('ON Data'!W:W,'ON Data'!$E:$E,8))</f>
        <v>0</v>
      </c>
      <c r="S17" s="204">
        <f xml:space="preserve">
IF($A$4&lt;=12,SUMIFS('ON Data'!X:X,'ON Data'!$D:$D,$A$4,'ON Data'!$E:$E,8),SUMIFS('ON Data'!X:X,'ON Data'!$E:$E,8))</f>
        <v>0</v>
      </c>
      <c r="T17" s="204">
        <f xml:space="preserve">
IF($A$4&lt;=12,SUMIFS('ON Data'!Y:Y,'ON Data'!$D:$D,$A$4,'ON Data'!$E:$E,8),SUMIFS('ON Data'!Y:Y,'ON Data'!$E:$E,8))</f>
        <v>0</v>
      </c>
      <c r="U17" s="204">
        <f xml:space="preserve">
IF($A$4&lt;=12,SUMIFS('ON Data'!Z:Z,'ON Data'!$D:$D,$A$4,'ON Data'!$E:$E,8),SUMIFS('ON Data'!Z:Z,'ON Data'!$E:$E,8))</f>
        <v>0</v>
      </c>
      <c r="V17" s="204">
        <f xml:space="preserve">
IF($A$4&lt;=12,SUMIFS('ON Data'!AA:AA,'ON Data'!$D:$D,$A$4,'ON Data'!$E:$E,8),SUMIFS('ON Data'!AA:AA,'ON Data'!$E:$E,8))</f>
        <v>0</v>
      </c>
      <c r="W17" s="204">
        <f xml:space="preserve">
IF($A$4&lt;=12,SUMIFS('ON Data'!AB:AB,'ON Data'!$D:$D,$A$4,'ON Data'!$E:$E,8),SUMIFS('ON Data'!AB:AB,'ON Data'!$E:$E,8))</f>
        <v>0</v>
      </c>
      <c r="X17" s="204">
        <f xml:space="preserve">
IF($A$4&lt;=12,SUMIFS('ON Data'!AC:AC,'ON Data'!$D:$D,$A$4,'ON Data'!$E:$E,8),SUMIFS('ON Data'!AC:AC,'ON Data'!$E:$E,8))</f>
        <v>0</v>
      </c>
      <c r="Y17" s="204">
        <f xml:space="preserve">
IF($A$4&lt;=12,SUMIFS('ON Data'!AD:AD,'ON Data'!$D:$D,$A$4,'ON Data'!$E:$E,8),SUMIFS('ON Data'!AD:AD,'ON Data'!$E:$E,8))</f>
        <v>0</v>
      </c>
      <c r="Z17" s="204">
        <f xml:space="preserve">
IF($A$4&lt;=12,SUMIFS('ON Data'!AE:AE,'ON Data'!$D:$D,$A$4,'ON Data'!$E:$E,8),SUMIFS('ON Data'!AE:AE,'ON Data'!$E:$E,8))</f>
        <v>0</v>
      </c>
      <c r="AA17" s="204">
        <f xml:space="preserve">
IF($A$4&lt;=12,SUMIFS('ON Data'!AF:AF,'ON Data'!$D:$D,$A$4,'ON Data'!$E:$E,8),SUMIFS('ON Data'!AF:AF,'ON Data'!$E:$E,8))</f>
        <v>0</v>
      </c>
      <c r="AB17" s="204">
        <f xml:space="preserve">
IF($A$4&lt;=12,SUMIFS('ON Data'!AG:AG,'ON Data'!$D:$D,$A$4,'ON Data'!$E:$E,8),SUMIFS('ON Data'!AG:AG,'ON Data'!$E:$E,8))</f>
        <v>0</v>
      </c>
      <c r="AC17" s="204">
        <f xml:space="preserve">
IF($A$4&lt;=12,SUMIFS('ON Data'!AH:AH,'ON Data'!$D:$D,$A$4,'ON Data'!$E:$E,8),SUMIFS('ON Data'!AH:AH,'ON Data'!$E:$E,8))</f>
        <v>0</v>
      </c>
      <c r="AD17" s="204">
        <f xml:space="preserve">
IF($A$4&lt;=12,SUMIFS('ON Data'!AI:AI,'ON Data'!$D:$D,$A$4,'ON Data'!$E:$E,8),SUMIFS('ON Data'!AI:AI,'ON Data'!$E:$E,8))</f>
        <v>0</v>
      </c>
      <c r="AE17" s="204">
        <f xml:space="preserve">
IF($A$4&lt;=12,SUMIFS('ON Data'!AJ:AJ,'ON Data'!$D:$D,$A$4,'ON Data'!$E:$E,8),SUMIFS('ON Data'!AJ:AJ,'ON Data'!$E:$E,8))</f>
        <v>0</v>
      </c>
      <c r="AF17" s="204">
        <f xml:space="preserve">
IF($A$4&lt;=12,SUMIFS('ON Data'!AK:AK,'ON Data'!$D:$D,$A$4,'ON Data'!$E:$E,8),SUMIFS('ON Data'!AK:AK,'ON Data'!$E:$E,8))</f>
        <v>0</v>
      </c>
      <c r="AG17" s="395">
        <f xml:space="preserve">
IF($A$4&lt;=12,SUMIFS('ON Data'!AM:AM,'ON Data'!$D:$D,$A$4,'ON Data'!$E:$E,8),SUMIFS('ON Data'!AM:AM,'ON Data'!$E:$E,8))</f>
        <v>0</v>
      </c>
      <c r="AH17" s="405"/>
    </row>
    <row r="18" spans="1:34" x14ac:dyDescent="0.3">
      <c r="A18" s="187" t="s">
        <v>139</v>
      </c>
      <c r="B18" s="202">
        <f xml:space="preserve">
B19-B16-B17</f>
        <v>67545</v>
      </c>
      <c r="C18" s="203">
        <f t="shared" ref="C18" si="0" xml:space="preserve">
C19-C16-C17</f>
        <v>0</v>
      </c>
      <c r="D18" s="204">
        <f t="shared" ref="D18:AG18" si="1" xml:space="preserve">
D19-D16-D17</f>
        <v>49926</v>
      </c>
      <c r="E18" s="204">
        <f t="shared" si="1"/>
        <v>0</v>
      </c>
      <c r="F18" s="204">
        <f t="shared" si="1"/>
        <v>0</v>
      </c>
      <c r="G18" s="204">
        <f t="shared" si="1"/>
        <v>0</v>
      </c>
      <c r="H18" s="204">
        <f t="shared" si="1"/>
        <v>0</v>
      </c>
      <c r="I18" s="204">
        <f t="shared" si="1"/>
        <v>9752</v>
      </c>
      <c r="J18" s="204">
        <f t="shared" si="1"/>
        <v>0</v>
      </c>
      <c r="K18" s="204">
        <f t="shared" si="1"/>
        <v>0</v>
      </c>
      <c r="L18" s="204">
        <f t="shared" si="1"/>
        <v>0</v>
      </c>
      <c r="M18" s="204">
        <f t="shared" si="1"/>
        <v>0</v>
      </c>
      <c r="N18" s="204">
        <f t="shared" si="1"/>
        <v>0</v>
      </c>
      <c r="O18" s="204">
        <f t="shared" si="1"/>
        <v>0</v>
      </c>
      <c r="P18" s="204">
        <f t="shared" si="1"/>
        <v>0</v>
      </c>
      <c r="Q18" s="204">
        <f t="shared" si="1"/>
        <v>0</v>
      </c>
      <c r="R18" s="204">
        <f t="shared" si="1"/>
        <v>0</v>
      </c>
      <c r="S18" s="204">
        <f t="shared" si="1"/>
        <v>0</v>
      </c>
      <c r="T18" s="204">
        <f t="shared" si="1"/>
        <v>0</v>
      </c>
      <c r="U18" s="204">
        <f t="shared" si="1"/>
        <v>0</v>
      </c>
      <c r="V18" s="204">
        <f t="shared" si="1"/>
        <v>0</v>
      </c>
      <c r="W18" s="204">
        <f t="shared" si="1"/>
        <v>7867</v>
      </c>
      <c r="X18" s="204">
        <f t="shared" si="1"/>
        <v>0</v>
      </c>
      <c r="Y18" s="204">
        <f t="shared" si="1"/>
        <v>0</v>
      </c>
      <c r="Z18" s="204">
        <f t="shared" si="1"/>
        <v>0</v>
      </c>
      <c r="AA18" s="204">
        <f t="shared" si="1"/>
        <v>0</v>
      </c>
      <c r="AB18" s="204">
        <f t="shared" si="1"/>
        <v>0</v>
      </c>
      <c r="AC18" s="204">
        <f t="shared" si="1"/>
        <v>0</v>
      </c>
      <c r="AD18" s="204">
        <f t="shared" si="1"/>
        <v>0</v>
      </c>
      <c r="AE18" s="204">
        <f t="shared" si="1"/>
        <v>0</v>
      </c>
      <c r="AF18" s="204">
        <f t="shared" si="1"/>
        <v>0</v>
      </c>
      <c r="AG18" s="395">
        <f t="shared" si="1"/>
        <v>0</v>
      </c>
      <c r="AH18" s="405"/>
    </row>
    <row r="19" spans="1:34" ht="15" thickBot="1" x14ac:dyDescent="0.35">
      <c r="A19" s="188" t="s">
        <v>140</v>
      </c>
      <c r="B19" s="211">
        <f xml:space="preserve">
IF($A$4&lt;=12,SUMIFS('ON Data'!F:F,'ON Data'!$D:$D,$A$4,'ON Data'!$E:$E,9),SUMIFS('ON Data'!F:F,'ON Data'!$E:$E,9))</f>
        <v>67545</v>
      </c>
      <c r="C19" s="212">
        <f xml:space="preserve">
IF($A$4&lt;=12,SUMIFS('ON Data'!G:G,'ON Data'!$D:$D,$A$4,'ON Data'!$E:$E,9),SUMIFS('ON Data'!G:G,'ON Data'!$E:$E,9))</f>
        <v>0</v>
      </c>
      <c r="D19" s="213">
        <f xml:space="preserve">
IF($A$4&lt;=12,SUMIFS('ON Data'!H:H,'ON Data'!$D:$D,$A$4,'ON Data'!$E:$E,9),SUMIFS('ON Data'!H:H,'ON Data'!$E:$E,9))</f>
        <v>49926</v>
      </c>
      <c r="E19" s="213">
        <f xml:space="preserve">
IF($A$4&lt;=12,SUMIFS('ON Data'!I:I,'ON Data'!$D:$D,$A$4,'ON Data'!$E:$E,9),SUMIFS('ON Data'!I:I,'ON Data'!$E:$E,9))</f>
        <v>0</v>
      </c>
      <c r="F19" s="213">
        <f xml:space="preserve">
IF($A$4&lt;=12,SUMIFS('ON Data'!K:K,'ON Data'!$D:$D,$A$4,'ON Data'!$E:$E,9),SUMIFS('ON Data'!K:K,'ON Data'!$E:$E,9))</f>
        <v>0</v>
      </c>
      <c r="G19" s="213">
        <f xml:space="preserve">
IF($A$4&lt;=12,SUMIFS('ON Data'!L:L,'ON Data'!$D:$D,$A$4,'ON Data'!$E:$E,9),SUMIFS('ON Data'!L:L,'ON Data'!$E:$E,9))</f>
        <v>0</v>
      </c>
      <c r="H19" s="213">
        <f xml:space="preserve">
IF($A$4&lt;=12,SUMIFS('ON Data'!M:M,'ON Data'!$D:$D,$A$4,'ON Data'!$E:$E,9),SUMIFS('ON Data'!M:M,'ON Data'!$E:$E,9))</f>
        <v>0</v>
      </c>
      <c r="I19" s="213">
        <f xml:space="preserve">
IF($A$4&lt;=12,SUMIFS('ON Data'!N:N,'ON Data'!$D:$D,$A$4,'ON Data'!$E:$E,9),SUMIFS('ON Data'!N:N,'ON Data'!$E:$E,9))</f>
        <v>9752</v>
      </c>
      <c r="J19" s="213">
        <f xml:space="preserve">
IF($A$4&lt;=12,SUMIFS('ON Data'!O:O,'ON Data'!$D:$D,$A$4,'ON Data'!$E:$E,9),SUMIFS('ON Data'!O:O,'ON Data'!$E:$E,9))</f>
        <v>0</v>
      </c>
      <c r="K19" s="213">
        <f xml:space="preserve">
IF($A$4&lt;=12,SUMIFS('ON Data'!P:P,'ON Data'!$D:$D,$A$4,'ON Data'!$E:$E,9),SUMIFS('ON Data'!P:P,'ON Data'!$E:$E,9))</f>
        <v>0</v>
      </c>
      <c r="L19" s="213">
        <f xml:space="preserve">
IF($A$4&lt;=12,SUMIFS('ON Data'!Q:Q,'ON Data'!$D:$D,$A$4,'ON Data'!$E:$E,9),SUMIFS('ON Data'!Q:Q,'ON Data'!$E:$E,9))</f>
        <v>0</v>
      </c>
      <c r="M19" s="213">
        <f xml:space="preserve">
IF($A$4&lt;=12,SUMIFS('ON Data'!R:R,'ON Data'!$D:$D,$A$4,'ON Data'!$E:$E,9),SUMIFS('ON Data'!R:R,'ON Data'!$E:$E,9))</f>
        <v>0</v>
      </c>
      <c r="N19" s="213">
        <f xml:space="preserve">
IF($A$4&lt;=12,SUMIFS('ON Data'!S:S,'ON Data'!$D:$D,$A$4,'ON Data'!$E:$E,9),SUMIFS('ON Data'!S:S,'ON Data'!$E:$E,9))</f>
        <v>0</v>
      </c>
      <c r="O19" s="213">
        <f xml:space="preserve">
IF($A$4&lt;=12,SUMIFS('ON Data'!T:T,'ON Data'!$D:$D,$A$4,'ON Data'!$E:$E,9),SUMIFS('ON Data'!T:T,'ON Data'!$E:$E,9))</f>
        <v>0</v>
      </c>
      <c r="P19" s="213">
        <f xml:space="preserve">
IF($A$4&lt;=12,SUMIFS('ON Data'!U:U,'ON Data'!$D:$D,$A$4,'ON Data'!$E:$E,9),SUMIFS('ON Data'!U:U,'ON Data'!$E:$E,9))</f>
        <v>0</v>
      </c>
      <c r="Q19" s="213">
        <f xml:space="preserve">
IF($A$4&lt;=12,SUMIFS('ON Data'!V:V,'ON Data'!$D:$D,$A$4,'ON Data'!$E:$E,9),SUMIFS('ON Data'!V:V,'ON Data'!$E:$E,9))</f>
        <v>0</v>
      </c>
      <c r="R19" s="213">
        <f xml:space="preserve">
IF($A$4&lt;=12,SUMIFS('ON Data'!W:W,'ON Data'!$D:$D,$A$4,'ON Data'!$E:$E,9),SUMIFS('ON Data'!W:W,'ON Data'!$E:$E,9))</f>
        <v>0</v>
      </c>
      <c r="S19" s="213">
        <f xml:space="preserve">
IF($A$4&lt;=12,SUMIFS('ON Data'!X:X,'ON Data'!$D:$D,$A$4,'ON Data'!$E:$E,9),SUMIFS('ON Data'!X:X,'ON Data'!$E:$E,9))</f>
        <v>0</v>
      </c>
      <c r="T19" s="213">
        <f xml:space="preserve">
IF($A$4&lt;=12,SUMIFS('ON Data'!Y:Y,'ON Data'!$D:$D,$A$4,'ON Data'!$E:$E,9),SUMIFS('ON Data'!Y:Y,'ON Data'!$E:$E,9))</f>
        <v>0</v>
      </c>
      <c r="U19" s="213">
        <f xml:space="preserve">
IF($A$4&lt;=12,SUMIFS('ON Data'!Z:Z,'ON Data'!$D:$D,$A$4,'ON Data'!$E:$E,9),SUMIFS('ON Data'!Z:Z,'ON Data'!$E:$E,9))</f>
        <v>0</v>
      </c>
      <c r="V19" s="213">
        <f xml:space="preserve">
IF($A$4&lt;=12,SUMIFS('ON Data'!AA:AA,'ON Data'!$D:$D,$A$4,'ON Data'!$E:$E,9),SUMIFS('ON Data'!AA:AA,'ON Data'!$E:$E,9))</f>
        <v>0</v>
      </c>
      <c r="W19" s="213">
        <f xml:space="preserve">
IF($A$4&lt;=12,SUMIFS('ON Data'!AB:AB,'ON Data'!$D:$D,$A$4,'ON Data'!$E:$E,9),SUMIFS('ON Data'!AB:AB,'ON Data'!$E:$E,9))</f>
        <v>7867</v>
      </c>
      <c r="X19" s="213">
        <f xml:space="preserve">
IF($A$4&lt;=12,SUMIFS('ON Data'!AC:AC,'ON Data'!$D:$D,$A$4,'ON Data'!$E:$E,9),SUMIFS('ON Data'!AC:AC,'ON Data'!$E:$E,9))</f>
        <v>0</v>
      </c>
      <c r="Y19" s="213">
        <f xml:space="preserve">
IF($A$4&lt;=12,SUMIFS('ON Data'!AD:AD,'ON Data'!$D:$D,$A$4,'ON Data'!$E:$E,9),SUMIFS('ON Data'!AD:AD,'ON Data'!$E:$E,9))</f>
        <v>0</v>
      </c>
      <c r="Z19" s="213">
        <f xml:space="preserve">
IF($A$4&lt;=12,SUMIFS('ON Data'!AE:AE,'ON Data'!$D:$D,$A$4,'ON Data'!$E:$E,9),SUMIFS('ON Data'!AE:AE,'ON Data'!$E:$E,9))</f>
        <v>0</v>
      </c>
      <c r="AA19" s="213">
        <f xml:space="preserve">
IF($A$4&lt;=12,SUMIFS('ON Data'!AF:AF,'ON Data'!$D:$D,$A$4,'ON Data'!$E:$E,9),SUMIFS('ON Data'!AF:AF,'ON Data'!$E:$E,9))</f>
        <v>0</v>
      </c>
      <c r="AB19" s="213">
        <f xml:space="preserve">
IF($A$4&lt;=12,SUMIFS('ON Data'!AG:AG,'ON Data'!$D:$D,$A$4,'ON Data'!$E:$E,9),SUMIFS('ON Data'!AG:AG,'ON Data'!$E:$E,9))</f>
        <v>0</v>
      </c>
      <c r="AC19" s="213">
        <f xml:space="preserve">
IF($A$4&lt;=12,SUMIFS('ON Data'!AH:AH,'ON Data'!$D:$D,$A$4,'ON Data'!$E:$E,9),SUMIFS('ON Data'!AH:AH,'ON Data'!$E:$E,9))</f>
        <v>0</v>
      </c>
      <c r="AD19" s="213">
        <f xml:space="preserve">
IF($A$4&lt;=12,SUMIFS('ON Data'!AI:AI,'ON Data'!$D:$D,$A$4,'ON Data'!$E:$E,9),SUMIFS('ON Data'!AI:AI,'ON Data'!$E:$E,9))</f>
        <v>0</v>
      </c>
      <c r="AE19" s="213">
        <f xml:space="preserve">
IF($A$4&lt;=12,SUMIFS('ON Data'!AJ:AJ,'ON Data'!$D:$D,$A$4,'ON Data'!$E:$E,9),SUMIFS('ON Data'!AJ:AJ,'ON Data'!$E:$E,9))</f>
        <v>0</v>
      </c>
      <c r="AF19" s="213">
        <f xml:space="preserve">
IF($A$4&lt;=12,SUMIFS('ON Data'!AK:AK,'ON Data'!$D:$D,$A$4,'ON Data'!$E:$E,9),SUMIFS('ON Data'!AK:AK,'ON Data'!$E:$E,9))</f>
        <v>0</v>
      </c>
      <c r="AG19" s="398">
        <f xml:space="preserve">
IF($A$4&lt;=12,SUMIFS('ON Data'!AM:AM,'ON Data'!$D:$D,$A$4,'ON Data'!$E:$E,9),SUMIFS('ON Data'!AM:AM,'ON Data'!$E:$E,9))</f>
        <v>0</v>
      </c>
      <c r="AH19" s="405"/>
    </row>
    <row r="20" spans="1:34" ht="15" collapsed="1" thickBot="1" x14ac:dyDescent="0.35">
      <c r="A20" s="189" t="s">
        <v>51</v>
      </c>
      <c r="B20" s="214">
        <f xml:space="preserve">
IF($A$4&lt;=12,SUMIFS('ON Data'!F:F,'ON Data'!$D:$D,$A$4,'ON Data'!$E:$E,6),SUMIFS('ON Data'!F:F,'ON Data'!$E:$E,6))</f>
        <v>1213405</v>
      </c>
      <c r="C20" s="215">
        <f xml:space="preserve">
IF($A$4&lt;=12,SUMIFS('ON Data'!G:G,'ON Data'!$D:$D,$A$4,'ON Data'!$E:$E,6),SUMIFS('ON Data'!G:G,'ON Data'!$E:$E,6))</f>
        <v>35000</v>
      </c>
      <c r="D20" s="216">
        <f xml:space="preserve">
IF($A$4&lt;=12,SUMIFS('ON Data'!H:H,'ON Data'!$D:$D,$A$4,'ON Data'!$E:$E,6),SUMIFS('ON Data'!H:H,'ON Data'!$E:$E,6))</f>
        <v>813611</v>
      </c>
      <c r="E20" s="216">
        <f xml:space="preserve">
IF($A$4&lt;=12,SUMIFS('ON Data'!I:I,'ON Data'!$D:$D,$A$4,'ON Data'!$E:$E,6),SUMIFS('ON Data'!I:I,'ON Data'!$E:$E,6))</f>
        <v>0</v>
      </c>
      <c r="F20" s="216">
        <f xml:space="preserve">
IF($A$4&lt;=12,SUMIFS('ON Data'!K:K,'ON Data'!$D:$D,$A$4,'ON Data'!$E:$E,6),SUMIFS('ON Data'!K:K,'ON Data'!$E:$E,6))</f>
        <v>0</v>
      </c>
      <c r="G20" s="216">
        <f xml:space="preserve">
IF($A$4&lt;=12,SUMIFS('ON Data'!L:L,'ON Data'!$D:$D,$A$4,'ON Data'!$E:$E,6),SUMIFS('ON Data'!L:L,'ON Data'!$E:$E,6))</f>
        <v>0</v>
      </c>
      <c r="H20" s="216">
        <f xml:space="preserve">
IF($A$4&lt;=12,SUMIFS('ON Data'!M:M,'ON Data'!$D:$D,$A$4,'ON Data'!$E:$E,6),SUMIFS('ON Data'!M:M,'ON Data'!$E:$E,6))</f>
        <v>0</v>
      </c>
      <c r="I20" s="216">
        <f xml:space="preserve">
IF($A$4&lt;=12,SUMIFS('ON Data'!N:N,'ON Data'!$D:$D,$A$4,'ON Data'!$E:$E,6),SUMIFS('ON Data'!N:N,'ON Data'!$E:$E,6))</f>
        <v>197709</v>
      </c>
      <c r="J20" s="216">
        <f xml:space="preserve">
IF($A$4&lt;=12,SUMIFS('ON Data'!O:O,'ON Data'!$D:$D,$A$4,'ON Data'!$E:$E,6),SUMIFS('ON Data'!O:O,'ON Data'!$E:$E,6))</f>
        <v>0</v>
      </c>
      <c r="K20" s="216">
        <f xml:space="preserve">
IF($A$4&lt;=12,SUMIFS('ON Data'!P:P,'ON Data'!$D:$D,$A$4,'ON Data'!$E:$E,6),SUMIFS('ON Data'!P:P,'ON Data'!$E:$E,6))</f>
        <v>0</v>
      </c>
      <c r="L20" s="216">
        <f xml:space="preserve">
IF($A$4&lt;=12,SUMIFS('ON Data'!Q:Q,'ON Data'!$D:$D,$A$4,'ON Data'!$E:$E,6),SUMIFS('ON Data'!Q:Q,'ON Data'!$E:$E,6))</f>
        <v>0</v>
      </c>
      <c r="M20" s="216">
        <f xml:space="preserve">
IF($A$4&lt;=12,SUMIFS('ON Data'!R:R,'ON Data'!$D:$D,$A$4,'ON Data'!$E:$E,6),SUMIFS('ON Data'!R:R,'ON Data'!$E:$E,6))</f>
        <v>0</v>
      </c>
      <c r="N20" s="216">
        <f xml:space="preserve">
IF($A$4&lt;=12,SUMIFS('ON Data'!S:S,'ON Data'!$D:$D,$A$4,'ON Data'!$E:$E,6),SUMIFS('ON Data'!S:S,'ON Data'!$E:$E,6))</f>
        <v>0</v>
      </c>
      <c r="O20" s="216">
        <f xml:space="preserve">
IF($A$4&lt;=12,SUMIFS('ON Data'!T:T,'ON Data'!$D:$D,$A$4,'ON Data'!$E:$E,6),SUMIFS('ON Data'!T:T,'ON Data'!$E:$E,6))</f>
        <v>0</v>
      </c>
      <c r="P20" s="216">
        <f xml:space="preserve">
IF($A$4&lt;=12,SUMIFS('ON Data'!U:U,'ON Data'!$D:$D,$A$4,'ON Data'!$E:$E,6),SUMIFS('ON Data'!U:U,'ON Data'!$E:$E,6))</f>
        <v>0</v>
      </c>
      <c r="Q20" s="216">
        <f xml:space="preserve">
IF($A$4&lt;=12,SUMIFS('ON Data'!V:V,'ON Data'!$D:$D,$A$4,'ON Data'!$E:$E,6),SUMIFS('ON Data'!V:V,'ON Data'!$E:$E,6))</f>
        <v>0</v>
      </c>
      <c r="R20" s="216">
        <f xml:space="preserve">
IF($A$4&lt;=12,SUMIFS('ON Data'!W:W,'ON Data'!$D:$D,$A$4,'ON Data'!$E:$E,6),SUMIFS('ON Data'!W:W,'ON Data'!$E:$E,6))</f>
        <v>0</v>
      </c>
      <c r="S20" s="216">
        <f xml:space="preserve">
IF($A$4&lt;=12,SUMIFS('ON Data'!X:X,'ON Data'!$D:$D,$A$4,'ON Data'!$E:$E,6),SUMIFS('ON Data'!X:X,'ON Data'!$E:$E,6))</f>
        <v>0</v>
      </c>
      <c r="T20" s="216">
        <f xml:space="preserve">
IF($A$4&lt;=12,SUMIFS('ON Data'!Y:Y,'ON Data'!$D:$D,$A$4,'ON Data'!$E:$E,6),SUMIFS('ON Data'!Y:Y,'ON Data'!$E:$E,6))</f>
        <v>0</v>
      </c>
      <c r="U20" s="216">
        <f xml:space="preserve">
IF($A$4&lt;=12,SUMIFS('ON Data'!Z:Z,'ON Data'!$D:$D,$A$4,'ON Data'!$E:$E,6),SUMIFS('ON Data'!Z:Z,'ON Data'!$E:$E,6))</f>
        <v>0</v>
      </c>
      <c r="V20" s="216">
        <f xml:space="preserve">
IF($A$4&lt;=12,SUMIFS('ON Data'!AA:AA,'ON Data'!$D:$D,$A$4,'ON Data'!$E:$E,6),SUMIFS('ON Data'!AA:AA,'ON Data'!$E:$E,6))</f>
        <v>0</v>
      </c>
      <c r="W20" s="216">
        <f xml:space="preserve">
IF($A$4&lt;=12,SUMIFS('ON Data'!AB:AB,'ON Data'!$D:$D,$A$4,'ON Data'!$E:$E,6),SUMIFS('ON Data'!AB:AB,'ON Data'!$E:$E,6))</f>
        <v>162992</v>
      </c>
      <c r="X20" s="216">
        <f xml:space="preserve">
IF($A$4&lt;=12,SUMIFS('ON Data'!AC:AC,'ON Data'!$D:$D,$A$4,'ON Data'!$E:$E,6),SUMIFS('ON Data'!AC:AC,'ON Data'!$E:$E,6))</f>
        <v>0</v>
      </c>
      <c r="Y20" s="216">
        <f xml:space="preserve">
IF($A$4&lt;=12,SUMIFS('ON Data'!AD:AD,'ON Data'!$D:$D,$A$4,'ON Data'!$E:$E,6),SUMIFS('ON Data'!AD:AD,'ON Data'!$E:$E,6))</f>
        <v>0</v>
      </c>
      <c r="Z20" s="216">
        <f xml:space="preserve">
IF($A$4&lt;=12,SUMIFS('ON Data'!AE:AE,'ON Data'!$D:$D,$A$4,'ON Data'!$E:$E,6),SUMIFS('ON Data'!AE:AE,'ON Data'!$E:$E,6))</f>
        <v>0</v>
      </c>
      <c r="AA20" s="216">
        <f xml:space="preserve">
IF($A$4&lt;=12,SUMIFS('ON Data'!AF:AF,'ON Data'!$D:$D,$A$4,'ON Data'!$E:$E,6),SUMIFS('ON Data'!AF:AF,'ON Data'!$E:$E,6))</f>
        <v>0</v>
      </c>
      <c r="AB20" s="216">
        <f xml:space="preserve">
IF($A$4&lt;=12,SUMIFS('ON Data'!AG:AG,'ON Data'!$D:$D,$A$4,'ON Data'!$E:$E,6),SUMIFS('ON Data'!AG:AG,'ON Data'!$E:$E,6))</f>
        <v>0</v>
      </c>
      <c r="AC20" s="216">
        <f xml:space="preserve">
IF($A$4&lt;=12,SUMIFS('ON Data'!AH:AH,'ON Data'!$D:$D,$A$4,'ON Data'!$E:$E,6),SUMIFS('ON Data'!AH:AH,'ON Data'!$E:$E,6))</f>
        <v>0</v>
      </c>
      <c r="AD20" s="216">
        <f xml:space="preserve">
IF($A$4&lt;=12,SUMIFS('ON Data'!AI:AI,'ON Data'!$D:$D,$A$4,'ON Data'!$E:$E,6),SUMIFS('ON Data'!AI:AI,'ON Data'!$E:$E,6))</f>
        <v>0</v>
      </c>
      <c r="AE20" s="216">
        <f xml:space="preserve">
IF($A$4&lt;=12,SUMIFS('ON Data'!AJ:AJ,'ON Data'!$D:$D,$A$4,'ON Data'!$E:$E,6),SUMIFS('ON Data'!AJ:AJ,'ON Data'!$E:$E,6))</f>
        <v>0</v>
      </c>
      <c r="AF20" s="216">
        <f xml:space="preserve">
IF($A$4&lt;=12,SUMIFS('ON Data'!AK:AK,'ON Data'!$D:$D,$A$4,'ON Data'!$E:$E,6),SUMIFS('ON Data'!AK:AK,'ON Data'!$E:$E,6))</f>
        <v>4093</v>
      </c>
      <c r="AG20" s="399">
        <f xml:space="preserve">
IF($A$4&lt;=12,SUMIFS('ON Data'!AM:AM,'ON Data'!$D:$D,$A$4,'ON Data'!$E:$E,6),SUMIFS('ON Data'!AM:AM,'ON Data'!$E:$E,6))</f>
        <v>0</v>
      </c>
      <c r="AH20" s="405"/>
    </row>
    <row r="21" spans="1:34" ht="15" hidden="1" outlineLevel="1" thickBot="1" x14ac:dyDescent="0.35">
      <c r="A21" s="182" t="s">
        <v>58</v>
      </c>
      <c r="B21" s="202">
        <f xml:space="preserve">
IF($A$4&lt;=12,SUMIFS('ON Data'!F:F,'ON Data'!$D:$D,$A$4,'ON Data'!$E:$E,12),SUMIFS('ON Data'!F:F,'ON Data'!$E:$E,12))</f>
        <v>0</v>
      </c>
      <c r="C21" s="203">
        <f xml:space="preserve">
IF($A$4&lt;=12,SUMIFS('ON Data'!G:G,'ON Data'!$D:$D,$A$4,'ON Data'!$E:$E,12),SUMIFS('ON Data'!G:G,'ON Data'!$E:$E,12))</f>
        <v>0</v>
      </c>
      <c r="D21" s="204">
        <f xml:space="preserve">
IF($A$4&lt;=12,SUMIFS('ON Data'!H:H,'ON Data'!$D:$D,$A$4,'ON Data'!$E:$E,12),SUMIFS('ON Data'!H:H,'ON Data'!$E:$E,12))</f>
        <v>0</v>
      </c>
      <c r="E21" s="204">
        <f xml:space="preserve">
IF($A$4&lt;=12,SUMIFS('ON Data'!I:I,'ON Data'!$D:$D,$A$4,'ON Data'!$E:$E,12),SUMIFS('ON Data'!I:I,'ON Data'!$E:$E,12))</f>
        <v>0</v>
      </c>
      <c r="F21" s="204">
        <f xml:space="preserve">
IF($A$4&lt;=12,SUMIFS('ON Data'!K:K,'ON Data'!$D:$D,$A$4,'ON Data'!$E:$E,12),SUMIFS('ON Data'!K:K,'ON Data'!$E:$E,12))</f>
        <v>0</v>
      </c>
      <c r="G21" s="204">
        <f xml:space="preserve">
IF($A$4&lt;=12,SUMIFS('ON Data'!L:L,'ON Data'!$D:$D,$A$4,'ON Data'!$E:$E,12),SUMIFS('ON Data'!L:L,'ON Data'!$E:$E,12))</f>
        <v>0</v>
      </c>
      <c r="H21" s="204">
        <f xml:space="preserve">
IF($A$4&lt;=12,SUMIFS('ON Data'!M:M,'ON Data'!$D:$D,$A$4,'ON Data'!$E:$E,12),SUMIFS('ON Data'!M:M,'ON Data'!$E:$E,12))</f>
        <v>0</v>
      </c>
      <c r="I21" s="204">
        <f xml:space="preserve">
IF($A$4&lt;=12,SUMIFS('ON Data'!N:N,'ON Data'!$D:$D,$A$4,'ON Data'!$E:$E,12),SUMIFS('ON Data'!N:N,'ON Data'!$E:$E,12))</f>
        <v>0</v>
      </c>
      <c r="J21" s="204">
        <f xml:space="preserve">
IF($A$4&lt;=12,SUMIFS('ON Data'!O:O,'ON Data'!$D:$D,$A$4,'ON Data'!$E:$E,12),SUMIFS('ON Data'!O:O,'ON Data'!$E:$E,12))</f>
        <v>0</v>
      </c>
      <c r="K21" s="204">
        <f xml:space="preserve">
IF($A$4&lt;=12,SUMIFS('ON Data'!P:P,'ON Data'!$D:$D,$A$4,'ON Data'!$E:$E,12),SUMIFS('ON Data'!P:P,'ON Data'!$E:$E,12))</f>
        <v>0</v>
      </c>
      <c r="L21" s="204">
        <f xml:space="preserve">
IF($A$4&lt;=12,SUMIFS('ON Data'!Q:Q,'ON Data'!$D:$D,$A$4,'ON Data'!$E:$E,12),SUMIFS('ON Data'!Q:Q,'ON Data'!$E:$E,12))</f>
        <v>0</v>
      </c>
      <c r="M21" s="204">
        <f xml:space="preserve">
IF($A$4&lt;=12,SUMIFS('ON Data'!R:R,'ON Data'!$D:$D,$A$4,'ON Data'!$E:$E,12),SUMIFS('ON Data'!R:R,'ON Data'!$E:$E,12))</f>
        <v>0</v>
      </c>
      <c r="N21" s="204">
        <f xml:space="preserve">
IF($A$4&lt;=12,SUMIFS('ON Data'!S:S,'ON Data'!$D:$D,$A$4,'ON Data'!$E:$E,12),SUMIFS('ON Data'!S:S,'ON Data'!$E:$E,12))</f>
        <v>0</v>
      </c>
      <c r="O21" s="204">
        <f xml:space="preserve">
IF($A$4&lt;=12,SUMIFS('ON Data'!T:T,'ON Data'!$D:$D,$A$4,'ON Data'!$E:$E,12),SUMIFS('ON Data'!T:T,'ON Data'!$E:$E,12))</f>
        <v>0</v>
      </c>
      <c r="P21" s="204">
        <f xml:space="preserve">
IF($A$4&lt;=12,SUMIFS('ON Data'!U:U,'ON Data'!$D:$D,$A$4,'ON Data'!$E:$E,12),SUMIFS('ON Data'!U:U,'ON Data'!$E:$E,12))</f>
        <v>0</v>
      </c>
      <c r="Q21" s="204">
        <f xml:space="preserve">
IF($A$4&lt;=12,SUMIFS('ON Data'!V:V,'ON Data'!$D:$D,$A$4,'ON Data'!$E:$E,12),SUMIFS('ON Data'!V:V,'ON Data'!$E:$E,12))</f>
        <v>0</v>
      </c>
      <c r="R21" s="204">
        <f xml:space="preserve">
IF($A$4&lt;=12,SUMIFS('ON Data'!W:W,'ON Data'!$D:$D,$A$4,'ON Data'!$E:$E,12),SUMIFS('ON Data'!W:W,'ON Data'!$E:$E,12))</f>
        <v>0</v>
      </c>
      <c r="S21" s="204">
        <f xml:space="preserve">
IF($A$4&lt;=12,SUMIFS('ON Data'!X:X,'ON Data'!$D:$D,$A$4,'ON Data'!$E:$E,12),SUMIFS('ON Data'!X:X,'ON Data'!$E:$E,12))</f>
        <v>0</v>
      </c>
      <c r="T21" s="204">
        <f xml:space="preserve">
IF($A$4&lt;=12,SUMIFS('ON Data'!Y:Y,'ON Data'!$D:$D,$A$4,'ON Data'!$E:$E,12),SUMIFS('ON Data'!Y:Y,'ON Data'!$E:$E,12))</f>
        <v>0</v>
      </c>
      <c r="U21" s="204">
        <f xml:space="preserve">
IF($A$4&lt;=12,SUMIFS('ON Data'!Z:Z,'ON Data'!$D:$D,$A$4,'ON Data'!$E:$E,12),SUMIFS('ON Data'!Z:Z,'ON Data'!$E:$E,12))</f>
        <v>0</v>
      </c>
      <c r="V21" s="204">
        <f xml:space="preserve">
IF($A$4&lt;=12,SUMIFS('ON Data'!AA:AA,'ON Data'!$D:$D,$A$4,'ON Data'!$E:$E,12),SUMIFS('ON Data'!AA:AA,'ON Data'!$E:$E,12))</f>
        <v>0</v>
      </c>
      <c r="W21" s="204">
        <f xml:space="preserve">
IF($A$4&lt;=12,SUMIFS('ON Data'!AB:AB,'ON Data'!$D:$D,$A$4,'ON Data'!$E:$E,12),SUMIFS('ON Data'!AB:AB,'ON Data'!$E:$E,12))</f>
        <v>0</v>
      </c>
      <c r="X21" s="204">
        <f xml:space="preserve">
IF($A$4&lt;=12,SUMIFS('ON Data'!AC:AC,'ON Data'!$D:$D,$A$4,'ON Data'!$E:$E,12),SUMIFS('ON Data'!AC:AC,'ON Data'!$E:$E,12))</f>
        <v>0</v>
      </c>
      <c r="Y21" s="204">
        <f xml:space="preserve">
IF($A$4&lt;=12,SUMIFS('ON Data'!AD:AD,'ON Data'!$D:$D,$A$4,'ON Data'!$E:$E,12),SUMIFS('ON Data'!AD:AD,'ON Data'!$E:$E,12))</f>
        <v>0</v>
      </c>
      <c r="Z21" s="204">
        <f xml:space="preserve">
IF($A$4&lt;=12,SUMIFS('ON Data'!AE:AE,'ON Data'!$D:$D,$A$4,'ON Data'!$E:$E,12),SUMIFS('ON Data'!AE:AE,'ON Data'!$E:$E,12))</f>
        <v>0</v>
      </c>
      <c r="AA21" s="204">
        <f xml:space="preserve">
IF($A$4&lt;=12,SUMIFS('ON Data'!AF:AF,'ON Data'!$D:$D,$A$4,'ON Data'!$E:$E,12),SUMIFS('ON Data'!AF:AF,'ON Data'!$E:$E,12))</f>
        <v>0</v>
      </c>
      <c r="AB21" s="204">
        <f xml:space="preserve">
IF($A$4&lt;=12,SUMIFS('ON Data'!AG:AG,'ON Data'!$D:$D,$A$4,'ON Data'!$E:$E,12),SUMIFS('ON Data'!AG:AG,'ON Data'!$E:$E,12))</f>
        <v>0</v>
      </c>
      <c r="AC21" s="204">
        <f xml:space="preserve">
IF($A$4&lt;=12,SUMIFS('ON Data'!AH:AH,'ON Data'!$D:$D,$A$4,'ON Data'!$E:$E,12),SUMIFS('ON Data'!AH:AH,'ON Data'!$E:$E,12))</f>
        <v>0</v>
      </c>
      <c r="AD21" s="204">
        <f xml:space="preserve">
IF($A$4&lt;=12,SUMIFS('ON Data'!AI:AI,'ON Data'!$D:$D,$A$4,'ON Data'!$E:$E,12),SUMIFS('ON Data'!AI:AI,'ON Data'!$E:$E,12))</f>
        <v>0</v>
      </c>
      <c r="AE21" s="204">
        <f xml:space="preserve">
IF($A$4&lt;=12,SUMIFS('ON Data'!AJ:AJ,'ON Data'!$D:$D,$A$4,'ON Data'!$E:$E,12),SUMIFS('ON Data'!AJ:AJ,'ON Data'!$E:$E,12))</f>
        <v>0</v>
      </c>
      <c r="AF21" s="204">
        <f xml:space="preserve">
IF($A$4&lt;=12,SUMIFS('ON Data'!AK:AK,'ON Data'!$D:$D,$A$4,'ON Data'!$E:$E,12),SUMIFS('ON Data'!AK:AK,'ON Data'!$E:$E,12))</f>
        <v>0</v>
      </c>
      <c r="AG21" s="395">
        <f xml:space="preserve">
IF($A$4&lt;=12,SUMIFS('ON Data'!AM:AM,'ON Data'!$D:$D,$A$4,'ON Data'!$E:$E,12),SUMIFS('ON Data'!AM:AM,'ON Data'!$E:$E,12))</f>
        <v>0</v>
      </c>
      <c r="AH21" s="405"/>
    </row>
    <row r="22" spans="1:34" ht="15" hidden="1" outlineLevel="1" thickBot="1" x14ac:dyDescent="0.35">
      <c r="A22" s="182" t="s">
        <v>53</v>
      </c>
      <c r="B22" s="254" t="str">
        <f xml:space="preserve">
IF(OR(B21="",B21=0),"",B20/B21)</f>
        <v/>
      </c>
      <c r="C22" s="255" t="str">
        <f t="shared" ref="C22:AG22" si="2" xml:space="preserve">
IF(OR(C21="",C21=0),"",C20/C21)</f>
        <v/>
      </c>
      <c r="D22" s="256" t="str">
        <f t="shared" si="2"/>
        <v/>
      </c>
      <c r="E22" s="256" t="str">
        <f t="shared" si="2"/>
        <v/>
      </c>
      <c r="F22" s="256" t="str">
        <f t="shared" si="2"/>
        <v/>
      </c>
      <c r="G22" s="256" t="str">
        <f t="shared" si="2"/>
        <v/>
      </c>
      <c r="H22" s="256" t="str">
        <f t="shared" si="2"/>
        <v/>
      </c>
      <c r="I22" s="256" t="str">
        <f t="shared" si="2"/>
        <v/>
      </c>
      <c r="J22" s="256" t="str">
        <f t="shared" si="2"/>
        <v/>
      </c>
      <c r="K22" s="256" t="str">
        <f t="shared" si="2"/>
        <v/>
      </c>
      <c r="L22" s="256" t="str">
        <f t="shared" si="2"/>
        <v/>
      </c>
      <c r="M22" s="256" t="str">
        <f t="shared" si="2"/>
        <v/>
      </c>
      <c r="N22" s="256" t="str">
        <f t="shared" si="2"/>
        <v/>
      </c>
      <c r="O22" s="256" t="str">
        <f t="shared" si="2"/>
        <v/>
      </c>
      <c r="P22" s="256" t="str">
        <f t="shared" si="2"/>
        <v/>
      </c>
      <c r="Q22" s="256" t="str">
        <f t="shared" si="2"/>
        <v/>
      </c>
      <c r="R22" s="256" t="str">
        <f t="shared" si="2"/>
        <v/>
      </c>
      <c r="S22" s="256" t="str">
        <f t="shared" si="2"/>
        <v/>
      </c>
      <c r="T22" s="256" t="str">
        <f t="shared" si="2"/>
        <v/>
      </c>
      <c r="U22" s="256" t="str">
        <f t="shared" si="2"/>
        <v/>
      </c>
      <c r="V22" s="256" t="str">
        <f t="shared" si="2"/>
        <v/>
      </c>
      <c r="W22" s="256" t="str">
        <f t="shared" si="2"/>
        <v/>
      </c>
      <c r="X22" s="256" t="str">
        <f t="shared" si="2"/>
        <v/>
      </c>
      <c r="Y22" s="256" t="str">
        <f t="shared" si="2"/>
        <v/>
      </c>
      <c r="Z22" s="256" t="str">
        <f t="shared" si="2"/>
        <v/>
      </c>
      <c r="AA22" s="256" t="str">
        <f t="shared" si="2"/>
        <v/>
      </c>
      <c r="AB22" s="256" t="str">
        <f t="shared" si="2"/>
        <v/>
      </c>
      <c r="AC22" s="256" t="str">
        <f t="shared" si="2"/>
        <v/>
      </c>
      <c r="AD22" s="256" t="str">
        <f t="shared" si="2"/>
        <v/>
      </c>
      <c r="AE22" s="256" t="str">
        <f t="shared" si="2"/>
        <v/>
      </c>
      <c r="AF22" s="256" t="str">
        <f t="shared" si="2"/>
        <v/>
      </c>
      <c r="AG22" s="400" t="str">
        <f t="shared" si="2"/>
        <v/>
      </c>
      <c r="AH22" s="405"/>
    </row>
    <row r="23" spans="1:34" ht="15" hidden="1" outlineLevel="1" thickBot="1" x14ac:dyDescent="0.35">
      <c r="A23" s="190" t="s">
        <v>48</v>
      </c>
      <c r="B23" s="205">
        <f xml:space="preserve">
IF(B21="","",B20-B21)</f>
        <v>1213405</v>
      </c>
      <c r="C23" s="206">
        <f t="shared" ref="C23:AG23" si="3" xml:space="preserve">
IF(C21="","",C20-C21)</f>
        <v>35000</v>
      </c>
      <c r="D23" s="207">
        <f t="shared" si="3"/>
        <v>813611</v>
      </c>
      <c r="E23" s="207">
        <f t="shared" si="3"/>
        <v>0</v>
      </c>
      <c r="F23" s="207">
        <f t="shared" si="3"/>
        <v>0</v>
      </c>
      <c r="G23" s="207">
        <f t="shared" si="3"/>
        <v>0</v>
      </c>
      <c r="H23" s="207">
        <f t="shared" si="3"/>
        <v>0</v>
      </c>
      <c r="I23" s="207">
        <f t="shared" si="3"/>
        <v>197709</v>
      </c>
      <c r="J23" s="207">
        <f t="shared" si="3"/>
        <v>0</v>
      </c>
      <c r="K23" s="207">
        <f t="shared" si="3"/>
        <v>0</v>
      </c>
      <c r="L23" s="207">
        <f t="shared" si="3"/>
        <v>0</v>
      </c>
      <c r="M23" s="207">
        <f t="shared" si="3"/>
        <v>0</v>
      </c>
      <c r="N23" s="207">
        <f t="shared" si="3"/>
        <v>0</v>
      </c>
      <c r="O23" s="207">
        <f t="shared" si="3"/>
        <v>0</v>
      </c>
      <c r="P23" s="207">
        <f t="shared" si="3"/>
        <v>0</v>
      </c>
      <c r="Q23" s="207">
        <f t="shared" si="3"/>
        <v>0</v>
      </c>
      <c r="R23" s="207">
        <f t="shared" si="3"/>
        <v>0</v>
      </c>
      <c r="S23" s="207">
        <f t="shared" si="3"/>
        <v>0</v>
      </c>
      <c r="T23" s="207">
        <f t="shared" si="3"/>
        <v>0</v>
      </c>
      <c r="U23" s="207">
        <f t="shared" si="3"/>
        <v>0</v>
      </c>
      <c r="V23" s="207">
        <f t="shared" si="3"/>
        <v>0</v>
      </c>
      <c r="W23" s="207">
        <f t="shared" si="3"/>
        <v>162992</v>
      </c>
      <c r="X23" s="207">
        <f t="shared" si="3"/>
        <v>0</v>
      </c>
      <c r="Y23" s="207">
        <f t="shared" si="3"/>
        <v>0</v>
      </c>
      <c r="Z23" s="207">
        <f t="shared" si="3"/>
        <v>0</v>
      </c>
      <c r="AA23" s="207">
        <f t="shared" si="3"/>
        <v>0</v>
      </c>
      <c r="AB23" s="207">
        <f t="shared" si="3"/>
        <v>0</v>
      </c>
      <c r="AC23" s="207">
        <f t="shared" si="3"/>
        <v>0</v>
      </c>
      <c r="AD23" s="207">
        <f t="shared" si="3"/>
        <v>0</v>
      </c>
      <c r="AE23" s="207">
        <f t="shared" si="3"/>
        <v>0</v>
      </c>
      <c r="AF23" s="207">
        <f t="shared" si="3"/>
        <v>4093</v>
      </c>
      <c r="AG23" s="396">
        <f t="shared" si="3"/>
        <v>0</v>
      </c>
      <c r="AH23" s="405"/>
    </row>
    <row r="24" spans="1:34" x14ac:dyDescent="0.3">
      <c r="A24" s="184" t="s">
        <v>141</v>
      </c>
      <c r="B24" s="231" t="s">
        <v>2</v>
      </c>
      <c r="C24" s="406" t="s">
        <v>152</v>
      </c>
      <c r="D24" s="380"/>
      <c r="E24" s="381"/>
      <c r="F24" s="381" t="s">
        <v>153</v>
      </c>
      <c r="G24" s="381"/>
      <c r="H24" s="381"/>
      <c r="I24" s="381"/>
      <c r="J24" s="381"/>
      <c r="K24" s="381"/>
      <c r="L24" s="381"/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  <c r="X24" s="381"/>
      <c r="Y24" s="381"/>
      <c r="Z24" s="381"/>
      <c r="AA24" s="381"/>
      <c r="AB24" s="381"/>
      <c r="AC24" s="381"/>
      <c r="AD24" s="381"/>
      <c r="AE24" s="381"/>
      <c r="AF24" s="381"/>
      <c r="AG24" s="401" t="s">
        <v>154</v>
      </c>
      <c r="AH24" s="405"/>
    </row>
    <row r="25" spans="1:34" x14ac:dyDescent="0.3">
      <c r="A25" s="185" t="s">
        <v>51</v>
      </c>
      <c r="B25" s="202">
        <f xml:space="preserve">
SUM(C25:AG25)</f>
        <v>100</v>
      </c>
      <c r="C25" s="407">
        <f xml:space="preserve">
IF($A$4&lt;=12,SUMIFS('ON Data'!H:H,'ON Data'!$D:$D,$A$4,'ON Data'!$E:$E,10),SUMIFS('ON Data'!H:H,'ON Data'!$E:$E,10))</f>
        <v>100</v>
      </c>
      <c r="D25" s="382"/>
      <c r="E25" s="383"/>
      <c r="F25" s="383">
        <f xml:space="preserve">
IF($A$4&lt;=12,SUMIFS('ON Data'!K:K,'ON Data'!$D:$D,$A$4,'ON Data'!$E:$E,10),SUMIFS('ON Data'!K:K,'ON Data'!$E:$E,10))</f>
        <v>0</v>
      </c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402">
        <f xml:space="preserve">
IF($A$4&lt;=12,SUMIFS('ON Data'!AM:AM,'ON Data'!$D:$D,$A$4,'ON Data'!$E:$E,10),SUMIFS('ON Data'!AM:AM,'ON Data'!$E:$E,10))</f>
        <v>0</v>
      </c>
      <c r="AH25" s="405"/>
    </row>
    <row r="26" spans="1:34" x14ac:dyDescent="0.3">
      <c r="A26" s="191" t="s">
        <v>151</v>
      </c>
      <c r="B26" s="211">
        <f xml:space="preserve">
SUM(C26:AG26)</f>
        <v>4953.333333333333</v>
      </c>
      <c r="C26" s="407">
        <f xml:space="preserve">
IF($A$4&lt;=12,SUMIFS('ON Data'!H:H,'ON Data'!$D:$D,$A$4,'ON Data'!$E:$E,11),SUMIFS('ON Data'!H:H,'ON Data'!$E:$E,11))</f>
        <v>4953.333333333333</v>
      </c>
      <c r="D26" s="382"/>
      <c r="E26" s="383"/>
      <c r="F26" s="384">
        <f xml:space="preserve">
IF($A$4&lt;=12,SUMIFS('ON Data'!K:K,'ON Data'!$D:$D,$A$4,'ON Data'!$E:$E,11),SUMIFS('ON Data'!K:K,'ON Data'!$E:$E,11))</f>
        <v>0</v>
      </c>
      <c r="G26" s="384"/>
      <c r="H26" s="384"/>
      <c r="I26" s="384"/>
      <c r="J26" s="384"/>
      <c r="K26" s="384"/>
      <c r="L26" s="384"/>
      <c r="M26" s="384"/>
      <c r="N26" s="384"/>
      <c r="O26" s="384"/>
      <c r="P26" s="384"/>
      <c r="Q26" s="384"/>
      <c r="R26" s="384"/>
      <c r="S26" s="384"/>
      <c r="T26" s="384"/>
      <c r="U26" s="384"/>
      <c r="V26" s="384"/>
      <c r="W26" s="384"/>
      <c r="X26" s="384"/>
      <c r="Y26" s="384"/>
      <c r="Z26" s="384"/>
      <c r="AA26" s="384"/>
      <c r="AB26" s="384"/>
      <c r="AC26" s="384"/>
      <c r="AD26" s="384"/>
      <c r="AE26" s="384"/>
      <c r="AF26" s="384"/>
      <c r="AG26" s="402">
        <f xml:space="preserve">
IF($A$4&lt;=12,SUMIFS('ON Data'!AM:AM,'ON Data'!$D:$D,$A$4,'ON Data'!$E:$E,11),SUMIFS('ON Data'!AM:AM,'ON Data'!$E:$E,11))</f>
        <v>0</v>
      </c>
      <c r="AH26" s="405"/>
    </row>
    <row r="27" spans="1:34" x14ac:dyDescent="0.3">
      <c r="A27" s="191" t="s">
        <v>53</v>
      </c>
      <c r="B27" s="232">
        <f xml:space="preserve">
IF(B26=0,0,B25/B26)</f>
        <v>2.0188425302826381E-2</v>
      </c>
      <c r="C27" s="408">
        <f xml:space="preserve">
IF(C26=0,0,C25/C26)</f>
        <v>2.0188425302826381E-2</v>
      </c>
      <c r="D27" s="385"/>
      <c r="E27" s="386"/>
      <c r="F27" s="386">
        <f xml:space="preserve">
IF(F26=0,0,F25/F26)</f>
        <v>0</v>
      </c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386"/>
      <c r="S27" s="386"/>
      <c r="T27" s="386"/>
      <c r="U27" s="386"/>
      <c r="V27" s="386"/>
      <c r="W27" s="386"/>
      <c r="X27" s="386"/>
      <c r="Y27" s="386"/>
      <c r="Z27" s="386"/>
      <c r="AA27" s="386"/>
      <c r="AB27" s="386"/>
      <c r="AC27" s="386"/>
      <c r="AD27" s="386"/>
      <c r="AE27" s="386"/>
      <c r="AF27" s="386"/>
      <c r="AG27" s="403">
        <f xml:space="preserve">
IF(AG26=0,0,AG25/AG26)</f>
        <v>0</v>
      </c>
      <c r="AH27" s="405"/>
    </row>
    <row r="28" spans="1:34" ht="15" thickBot="1" x14ac:dyDescent="0.35">
      <c r="A28" s="191" t="s">
        <v>150</v>
      </c>
      <c r="B28" s="211">
        <f xml:space="preserve">
SUM(C28:AG28)</f>
        <v>4853.333333333333</v>
      </c>
      <c r="C28" s="409">
        <f xml:space="preserve">
C26-C25</f>
        <v>4853.333333333333</v>
      </c>
      <c r="D28" s="387"/>
      <c r="E28" s="388"/>
      <c r="F28" s="388">
        <f xml:space="preserve">
F26-F25</f>
        <v>0</v>
      </c>
      <c r="G28" s="388"/>
      <c r="H28" s="388"/>
      <c r="I28" s="388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8"/>
      <c r="Y28" s="388"/>
      <c r="Z28" s="388"/>
      <c r="AA28" s="388"/>
      <c r="AB28" s="388"/>
      <c r="AC28" s="388"/>
      <c r="AD28" s="388"/>
      <c r="AE28" s="388"/>
      <c r="AF28" s="388"/>
      <c r="AG28" s="404">
        <f xml:space="preserve">
AG26-AG25</f>
        <v>0</v>
      </c>
      <c r="AH28" s="405"/>
    </row>
    <row r="29" spans="1:34" x14ac:dyDescent="0.3">
      <c r="A29" s="192"/>
      <c r="B29" s="192"/>
      <c r="C29" s="193"/>
      <c r="D29" s="192"/>
      <c r="E29" s="192"/>
      <c r="F29" s="193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2"/>
      <c r="AF29" s="192"/>
      <c r="AG29" s="192"/>
    </row>
    <row r="30" spans="1:34" x14ac:dyDescent="0.3">
      <c r="A30" s="79" t="s">
        <v>85</v>
      </c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114"/>
    </row>
    <row r="31" spans="1:34" x14ac:dyDescent="0.3">
      <c r="A31" s="80" t="s">
        <v>148</v>
      </c>
      <c r="B31" s="96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114"/>
    </row>
    <row r="32" spans="1:34" ht="14.4" customHeight="1" x14ac:dyDescent="0.3">
      <c r="A32" s="228" t="s">
        <v>145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  <c r="Z32" s="229"/>
      <c r="AA32" s="229"/>
      <c r="AB32" s="229"/>
      <c r="AC32" s="229"/>
      <c r="AD32" s="229"/>
      <c r="AE32" s="229"/>
      <c r="AF32" s="229"/>
    </row>
    <row r="33" spans="1:1" x14ac:dyDescent="0.3">
      <c r="A33" s="230" t="s">
        <v>155</v>
      </c>
    </row>
    <row r="34" spans="1:1" x14ac:dyDescent="0.3">
      <c r="A34" s="230" t="s">
        <v>156</v>
      </c>
    </row>
    <row r="35" spans="1:1" x14ac:dyDescent="0.3">
      <c r="A35" s="230" t="s">
        <v>157</v>
      </c>
    </row>
    <row r="36" spans="1:1" x14ac:dyDescent="0.3">
      <c r="A36" s="230" t="s">
        <v>158</v>
      </c>
    </row>
  </sheetData>
  <mergeCells count="12">
    <mergeCell ref="C28:E28"/>
    <mergeCell ref="C27:E27"/>
    <mergeCell ref="F27:AF27"/>
    <mergeCell ref="F28:AF28"/>
    <mergeCell ref="C25:E25"/>
    <mergeCell ref="C26:E26"/>
    <mergeCell ref="F24:AF24"/>
    <mergeCell ref="F25:AF25"/>
    <mergeCell ref="F26:AF26"/>
    <mergeCell ref="A1:AG1"/>
    <mergeCell ref="B3:B4"/>
    <mergeCell ref="C24:E24"/>
  </mergeCells>
  <conditionalFormatting sqref="C27 AG27 F27">
    <cfRule type="cellIs" dxfId="3" priority="4" operator="greaterThan">
      <formula>1</formula>
    </cfRule>
  </conditionalFormatting>
  <conditionalFormatting sqref="C28 AG28 F28">
    <cfRule type="cellIs" dxfId="2" priority="3" operator="lessThan">
      <formula>0</formula>
    </cfRule>
  </conditionalFormatting>
  <conditionalFormatting sqref="B22:AG22">
    <cfRule type="cellIs" dxfId="1" priority="2" operator="greaterThan">
      <formula>1</formula>
    </cfRule>
  </conditionalFormatting>
  <conditionalFormatting sqref="B23:AG23">
    <cfRule type="cellIs" dxfId="0" priority="1" operator="greaterThan">
      <formula>0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scale="28" orientation="landscape" r:id="rId1"/>
  <ignoredErrors>
    <ignoredError sqref="B6" evalError="1"/>
    <ignoredError sqref="B27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'ON Data'!$B$3:$B$16</xm:f>
          </x14:formula1>
          <xm:sqref>A4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>
    <tabColor theme="7" tint="0.39997558519241921"/>
  </sheetPr>
  <dimension ref="A1:AN46"/>
  <sheetViews>
    <sheetView showGridLines="0" showRowColHeaders="0" workbookViewId="0"/>
  </sheetViews>
  <sheetFormatPr defaultRowHeight="14.4" x14ac:dyDescent="0.3"/>
  <cols>
    <col min="1" max="16384" width="8.88671875" style="171"/>
  </cols>
  <sheetData>
    <row r="1" spans="1:40" x14ac:dyDescent="0.3">
      <c r="A1" s="171" t="s">
        <v>354</v>
      </c>
    </row>
    <row r="2" spans="1:40" x14ac:dyDescent="0.3">
      <c r="A2" s="175" t="s">
        <v>199</v>
      </c>
    </row>
    <row r="3" spans="1:40" x14ac:dyDescent="0.3">
      <c r="A3" s="171" t="s">
        <v>115</v>
      </c>
      <c r="B3" s="196">
        <v>2014</v>
      </c>
      <c r="D3" s="172">
        <f>MAX(D5:D1048576)</f>
        <v>8</v>
      </c>
      <c r="F3" s="172">
        <f>SUMIF($E5:$E1048576,"&lt;10",F5:F1048576)</f>
        <v>1286132.5</v>
      </c>
      <c r="G3" s="172">
        <f t="shared" ref="G3:AN3" si="0">SUMIF($E5:$E1048576,"&lt;10",G5:G1048576)</f>
        <v>35140</v>
      </c>
      <c r="H3" s="172">
        <f t="shared" si="0"/>
        <v>866083.5</v>
      </c>
      <c r="I3" s="172">
        <f t="shared" si="0"/>
        <v>0</v>
      </c>
      <c r="J3" s="172">
        <f t="shared" si="0"/>
        <v>0</v>
      </c>
      <c r="K3" s="172">
        <f t="shared" si="0"/>
        <v>0</v>
      </c>
      <c r="L3" s="172">
        <f t="shared" si="0"/>
        <v>0</v>
      </c>
      <c r="M3" s="172">
        <f t="shared" si="0"/>
        <v>0</v>
      </c>
      <c r="N3" s="172">
        <f t="shared" si="0"/>
        <v>208693</v>
      </c>
      <c r="O3" s="172">
        <f t="shared" si="0"/>
        <v>0</v>
      </c>
      <c r="P3" s="172">
        <f t="shared" si="0"/>
        <v>0</v>
      </c>
      <c r="Q3" s="172">
        <f t="shared" si="0"/>
        <v>0</v>
      </c>
      <c r="R3" s="172">
        <f t="shared" si="0"/>
        <v>0</v>
      </c>
      <c r="S3" s="172">
        <f t="shared" si="0"/>
        <v>0</v>
      </c>
      <c r="T3" s="172">
        <f t="shared" si="0"/>
        <v>0</v>
      </c>
      <c r="U3" s="172">
        <f t="shared" si="0"/>
        <v>0</v>
      </c>
      <c r="V3" s="172">
        <f t="shared" si="0"/>
        <v>0</v>
      </c>
      <c r="W3" s="172">
        <f t="shared" si="0"/>
        <v>0</v>
      </c>
      <c r="X3" s="172">
        <f t="shared" si="0"/>
        <v>0</v>
      </c>
      <c r="Y3" s="172">
        <f t="shared" si="0"/>
        <v>0</v>
      </c>
      <c r="Z3" s="172">
        <f t="shared" si="0"/>
        <v>0</v>
      </c>
      <c r="AA3" s="172">
        <f t="shared" si="0"/>
        <v>0</v>
      </c>
      <c r="AB3" s="172">
        <f t="shared" si="0"/>
        <v>172123</v>
      </c>
      <c r="AC3" s="172">
        <f t="shared" si="0"/>
        <v>0</v>
      </c>
      <c r="AD3" s="172">
        <f t="shared" si="0"/>
        <v>0</v>
      </c>
      <c r="AE3" s="172">
        <f t="shared" si="0"/>
        <v>0</v>
      </c>
      <c r="AF3" s="172">
        <f t="shared" si="0"/>
        <v>0</v>
      </c>
      <c r="AG3" s="172">
        <f t="shared" si="0"/>
        <v>0</v>
      </c>
      <c r="AH3" s="172">
        <f t="shared" si="0"/>
        <v>0</v>
      </c>
      <c r="AI3" s="172">
        <f t="shared" si="0"/>
        <v>0</v>
      </c>
      <c r="AJ3" s="172">
        <f t="shared" si="0"/>
        <v>0</v>
      </c>
      <c r="AK3" s="172">
        <f t="shared" si="0"/>
        <v>4093</v>
      </c>
      <c r="AL3" s="172">
        <f t="shared" si="0"/>
        <v>0</v>
      </c>
      <c r="AM3" s="172">
        <f t="shared" si="0"/>
        <v>0</v>
      </c>
      <c r="AN3" s="172">
        <f t="shared" si="0"/>
        <v>0</v>
      </c>
    </row>
    <row r="4" spans="1:40" x14ac:dyDescent="0.3">
      <c r="A4" s="171" t="s">
        <v>116</v>
      </c>
      <c r="B4" s="196">
        <v>1</v>
      </c>
      <c r="C4" s="173" t="s">
        <v>4</v>
      </c>
      <c r="D4" s="174" t="s">
        <v>47</v>
      </c>
      <c r="E4" s="174" t="s">
        <v>110</v>
      </c>
      <c r="F4" s="174" t="s">
        <v>2</v>
      </c>
      <c r="G4" s="174" t="s">
        <v>111</v>
      </c>
      <c r="H4" s="174" t="s">
        <v>112</v>
      </c>
      <c r="I4" s="174" t="s">
        <v>113</v>
      </c>
      <c r="J4" s="174" t="s">
        <v>114</v>
      </c>
      <c r="K4" s="174">
        <v>305</v>
      </c>
      <c r="L4" s="174">
        <v>306</v>
      </c>
      <c r="M4" s="174">
        <v>408</v>
      </c>
      <c r="N4" s="174">
        <v>409</v>
      </c>
      <c r="O4" s="174">
        <v>410</v>
      </c>
      <c r="P4" s="174">
        <v>415</v>
      </c>
      <c r="Q4" s="174">
        <v>416</v>
      </c>
      <c r="R4" s="174">
        <v>418</v>
      </c>
      <c r="S4" s="174">
        <v>419</v>
      </c>
      <c r="T4" s="174">
        <v>420</v>
      </c>
      <c r="U4" s="174">
        <v>421</v>
      </c>
      <c r="V4" s="174">
        <v>522</v>
      </c>
      <c r="W4" s="174">
        <v>523</v>
      </c>
      <c r="X4" s="174">
        <v>524</v>
      </c>
      <c r="Y4" s="174">
        <v>525</v>
      </c>
      <c r="Z4" s="174">
        <v>526</v>
      </c>
      <c r="AA4" s="174">
        <v>527</v>
      </c>
      <c r="AB4" s="174">
        <v>528</v>
      </c>
      <c r="AC4" s="174">
        <v>629</v>
      </c>
      <c r="AD4" s="174">
        <v>630</v>
      </c>
      <c r="AE4" s="174">
        <v>636</v>
      </c>
      <c r="AF4" s="174">
        <v>637</v>
      </c>
      <c r="AG4" s="174">
        <v>640</v>
      </c>
      <c r="AH4" s="174">
        <v>642</v>
      </c>
      <c r="AI4" s="174">
        <v>743</v>
      </c>
      <c r="AJ4" s="174">
        <v>745</v>
      </c>
      <c r="AK4" s="174">
        <v>746</v>
      </c>
      <c r="AL4" s="174">
        <v>747</v>
      </c>
      <c r="AM4" s="174">
        <v>930</v>
      </c>
      <c r="AN4" s="174">
        <v>940</v>
      </c>
    </row>
    <row r="5" spans="1:40" x14ac:dyDescent="0.3">
      <c r="A5" s="171" t="s">
        <v>117</v>
      </c>
      <c r="B5" s="196">
        <v>2</v>
      </c>
      <c r="C5" s="171">
        <v>54</v>
      </c>
      <c r="D5" s="171">
        <v>1</v>
      </c>
      <c r="E5" s="171">
        <v>1</v>
      </c>
      <c r="F5" s="171">
        <v>4.0999999999999996</v>
      </c>
      <c r="G5" s="171">
        <v>0</v>
      </c>
      <c r="H5" s="171">
        <v>2.1</v>
      </c>
      <c r="I5" s="171">
        <v>0</v>
      </c>
      <c r="J5" s="171">
        <v>0</v>
      </c>
      <c r="K5" s="171">
        <v>0</v>
      </c>
      <c r="L5" s="171">
        <v>0</v>
      </c>
      <c r="M5" s="171">
        <v>0</v>
      </c>
      <c r="N5" s="171">
        <v>1</v>
      </c>
      <c r="O5" s="171">
        <v>0</v>
      </c>
      <c r="P5" s="171">
        <v>0</v>
      </c>
      <c r="Q5" s="171">
        <v>0</v>
      </c>
      <c r="R5" s="171">
        <v>0</v>
      </c>
      <c r="S5" s="171">
        <v>0</v>
      </c>
      <c r="T5" s="171">
        <v>0</v>
      </c>
      <c r="U5" s="171">
        <v>0</v>
      </c>
      <c r="V5" s="171">
        <v>0</v>
      </c>
      <c r="W5" s="171">
        <v>0</v>
      </c>
      <c r="X5" s="171">
        <v>0</v>
      </c>
      <c r="Y5" s="171">
        <v>0</v>
      </c>
      <c r="Z5" s="171">
        <v>0</v>
      </c>
      <c r="AA5" s="171">
        <v>0</v>
      </c>
      <c r="AB5" s="171">
        <v>1</v>
      </c>
      <c r="AC5" s="171">
        <v>0</v>
      </c>
      <c r="AD5" s="171">
        <v>0</v>
      </c>
      <c r="AE5" s="171">
        <v>0</v>
      </c>
      <c r="AF5" s="171">
        <v>0</v>
      </c>
      <c r="AG5" s="171">
        <v>0</v>
      </c>
      <c r="AH5" s="171">
        <v>0</v>
      </c>
      <c r="AI5" s="171">
        <v>0</v>
      </c>
      <c r="AJ5" s="171">
        <v>0</v>
      </c>
      <c r="AK5" s="171">
        <v>0</v>
      </c>
      <c r="AL5" s="171">
        <v>0</v>
      </c>
      <c r="AM5" s="171">
        <v>0</v>
      </c>
      <c r="AN5" s="171">
        <v>0</v>
      </c>
    </row>
    <row r="6" spans="1:40" x14ac:dyDescent="0.3">
      <c r="A6" s="171" t="s">
        <v>118</v>
      </c>
      <c r="B6" s="196">
        <v>3</v>
      </c>
      <c r="C6" s="171">
        <v>54</v>
      </c>
      <c r="D6" s="171">
        <v>1</v>
      </c>
      <c r="E6" s="171">
        <v>2</v>
      </c>
      <c r="F6" s="171">
        <v>714.4</v>
      </c>
      <c r="G6" s="171">
        <v>0</v>
      </c>
      <c r="H6" s="171">
        <v>362.4</v>
      </c>
      <c r="I6" s="171">
        <v>0</v>
      </c>
      <c r="J6" s="171">
        <v>0</v>
      </c>
      <c r="K6" s="171">
        <v>0</v>
      </c>
      <c r="L6" s="171">
        <v>0</v>
      </c>
      <c r="M6" s="171">
        <v>0</v>
      </c>
      <c r="N6" s="171">
        <v>168</v>
      </c>
      <c r="O6" s="171">
        <v>0</v>
      </c>
      <c r="P6" s="171">
        <v>0</v>
      </c>
      <c r="Q6" s="171">
        <v>0</v>
      </c>
      <c r="R6" s="171">
        <v>0</v>
      </c>
      <c r="S6" s="171">
        <v>0</v>
      </c>
      <c r="T6" s="171">
        <v>0</v>
      </c>
      <c r="U6" s="171">
        <v>0</v>
      </c>
      <c r="V6" s="171">
        <v>0</v>
      </c>
      <c r="W6" s="171">
        <v>0</v>
      </c>
      <c r="X6" s="171">
        <v>0</v>
      </c>
      <c r="Y6" s="171">
        <v>0</v>
      </c>
      <c r="Z6" s="171">
        <v>0</v>
      </c>
      <c r="AA6" s="171">
        <v>0</v>
      </c>
      <c r="AB6" s="171">
        <v>184</v>
      </c>
      <c r="AC6" s="171">
        <v>0</v>
      </c>
      <c r="AD6" s="171">
        <v>0</v>
      </c>
      <c r="AE6" s="171">
        <v>0</v>
      </c>
      <c r="AF6" s="171">
        <v>0</v>
      </c>
      <c r="AG6" s="171">
        <v>0</v>
      </c>
      <c r="AH6" s="171">
        <v>0</v>
      </c>
      <c r="AI6" s="171">
        <v>0</v>
      </c>
      <c r="AJ6" s="171">
        <v>0</v>
      </c>
      <c r="AK6" s="171">
        <v>0</v>
      </c>
      <c r="AL6" s="171">
        <v>0</v>
      </c>
      <c r="AM6" s="171">
        <v>0</v>
      </c>
      <c r="AN6" s="171">
        <v>0</v>
      </c>
    </row>
    <row r="7" spans="1:40" x14ac:dyDescent="0.3">
      <c r="A7" s="171" t="s">
        <v>119</v>
      </c>
      <c r="B7" s="196">
        <v>4</v>
      </c>
      <c r="C7" s="171">
        <v>54</v>
      </c>
      <c r="D7" s="171">
        <v>1</v>
      </c>
      <c r="E7" s="171">
        <v>6</v>
      </c>
      <c r="F7" s="171">
        <v>138858</v>
      </c>
      <c r="G7" s="171">
        <v>0</v>
      </c>
      <c r="H7" s="171">
        <v>97900</v>
      </c>
      <c r="I7" s="171">
        <v>0</v>
      </c>
      <c r="J7" s="171">
        <v>0</v>
      </c>
      <c r="K7" s="171">
        <v>0</v>
      </c>
      <c r="L7" s="171">
        <v>0</v>
      </c>
      <c r="M7" s="171">
        <v>0</v>
      </c>
      <c r="N7" s="171">
        <v>23018</v>
      </c>
      <c r="O7" s="171">
        <v>0</v>
      </c>
      <c r="P7" s="171">
        <v>0</v>
      </c>
      <c r="Q7" s="171">
        <v>0</v>
      </c>
      <c r="R7" s="171">
        <v>0</v>
      </c>
      <c r="S7" s="171">
        <v>0</v>
      </c>
      <c r="T7" s="171">
        <v>0</v>
      </c>
      <c r="U7" s="171">
        <v>0</v>
      </c>
      <c r="V7" s="171">
        <v>0</v>
      </c>
      <c r="W7" s="171">
        <v>0</v>
      </c>
      <c r="X7" s="171">
        <v>0</v>
      </c>
      <c r="Y7" s="171">
        <v>0</v>
      </c>
      <c r="Z7" s="171">
        <v>0</v>
      </c>
      <c r="AA7" s="171">
        <v>0</v>
      </c>
      <c r="AB7" s="171">
        <v>17340</v>
      </c>
      <c r="AC7" s="171">
        <v>0</v>
      </c>
      <c r="AD7" s="171">
        <v>0</v>
      </c>
      <c r="AE7" s="171">
        <v>0</v>
      </c>
      <c r="AF7" s="171">
        <v>0</v>
      </c>
      <c r="AG7" s="171">
        <v>0</v>
      </c>
      <c r="AH7" s="171">
        <v>0</v>
      </c>
      <c r="AI7" s="171">
        <v>0</v>
      </c>
      <c r="AJ7" s="171">
        <v>0</v>
      </c>
      <c r="AK7" s="171">
        <v>600</v>
      </c>
      <c r="AL7" s="171">
        <v>0</v>
      </c>
      <c r="AM7" s="171">
        <v>0</v>
      </c>
      <c r="AN7" s="171">
        <v>0</v>
      </c>
    </row>
    <row r="8" spans="1:40" x14ac:dyDescent="0.3">
      <c r="A8" s="171" t="s">
        <v>120</v>
      </c>
      <c r="B8" s="196">
        <v>5</v>
      </c>
      <c r="C8" s="171">
        <v>54</v>
      </c>
      <c r="D8" s="171">
        <v>1</v>
      </c>
      <c r="E8" s="171">
        <v>11</v>
      </c>
      <c r="F8" s="171">
        <v>619.16666666666663</v>
      </c>
      <c r="G8" s="171">
        <v>0</v>
      </c>
      <c r="H8" s="171">
        <v>619.16666666666663</v>
      </c>
      <c r="I8" s="171">
        <v>0</v>
      </c>
      <c r="J8" s="171">
        <v>0</v>
      </c>
      <c r="K8" s="171">
        <v>0</v>
      </c>
      <c r="L8" s="171">
        <v>0</v>
      </c>
      <c r="M8" s="171">
        <v>0</v>
      </c>
      <c r="N8" s="171">
        <v>0</v>
      </c>
      <c r="O8" s="171">
        <v>0</v>
      </c>
      <c r="P8" s="171">
        <v>0</v>
      </c>
      <c r="Q8" s="171">
        <v>0</v>
      </c>
      <c r="R8" s="171">
        <v>0</v>
      </c>
      <c r="S8" s="171">
        <v>0</v>
      </c>
      <c r="T8" s="171">
        <v>0</v>
      </c>
      <c r="U8" s="171">
        <v>0</v>
      </c>
      <c r="V8" s="171">
        <v>0</v>
      </c>
      <c r="W8" s="171">
        <v>0</v>
      </c>
      <c r="X8" s="171">
        <v>0</v>
      </c>
      <c r="Y8" s="171">
        <v>0</v>
      </c>
      <c r="Z8" s="171">
        <v>0</v>
      </c>
      <c r="AA8" s="171">
        <v>0</v>
      </c>
      <c r="AB8" s="171">
        <v>0</v>
      </c>
      <c r="AC8" s="171">
        <v>0</v>
      </c>
      <c r="AD8" s="171">
        <v>0</v>
      </c>
      <c r="AE8" s="171">
        <v>0</v>
      </c>
      <c r="AF8" s="171">
        <v>0</v>
      </c>
      <c r="AG8" s="171">
        <v>0</v>
      </c>
      <c r="AH8" s="171">
        <v>0</v>
      </c>
      <c r="AI8" s="171">
        <v>0</v>
      </c>
      <c r="AJ8" s="171">
        <v>0</v>
      </c>
      <c r="AK8" s="171">
        <v>0</v>
      </c>
      <c r="AL8" s="171">
        <v>0</v>
      </c>
      <c r="AM8" s="171">
        <v>0</v>
      </c>
      <c r="AN8" s="171">
        <v>0</v>
      </c>
    </row>
    <row r="9" spans="1:40" x14ac:dyDescent="0.3">
      <c r="A9" s="171" t="s">
        <v>121</v>
      </c>
      <c r="B9" s="196">
        <v>6</v>
      </c>
      <c r="C9" s="171">
        <v>54</v>
      </c>
      <c r="D9" s="171">
        <v>2</v>
      </c>
      <c r="E9" s="171">
        <v>1</v>
      </c>
      <c r="F9" s="171">
        <v>4</v>
      </c>
      <c r="G9" s="171">
        <v>0</v>
      </c>
      <c r="H9" s="171">
        <v>2</v>
      </c>
      <c r="I9" s="171">
        <v>0</v>
      </c>
      <c r="J9" s="171">
        <v>0</v>
      </c>
      <c r="K9" s="171">
        <v>0</v>
      </c>
      <c r="L9" s="171">
        <v>0</v>
      </c>
      <c r="M9" s="171">
        <v>0</v>
      </c>
      <c r="N9" s="171">
        <v>1</v>
      </c>
      <c r="O9" s="171">
        <v>0</v>
      </c>
      <c r="P9" s="171">
        <v>0</v>
      </c>
      <c r="Q9" s="171">
        <v>0</v>
      </c>
      <c r="R9" s="171">
        <v>0</v>
      </c>
      <c r="S9" s="171">
        <v>0</v>
      </c>
      <c r="T9" s="171">
        <v>0</v>
      </c>
      <c r="U9" s="171">
        <v>0</v>
      </c>
      <c r="V9" s="171">
        <v>0</v>
      </c>
      <c r="W9" s="171">
        <v>0</v>
      </c>
      <c r="X9" s="171">
        <v>0</v>
      </c>
      <c r="Y9" s="171">
        <v>0</v>
      </c>
      <c r="Z9" s="171">
        <v>0</v>
      </c>
      <c r="AA9" s="171">
        <v>0</v>
      </c>
      <c r="AB9" s="171">
        <v>1</v>
      </c>
      <c r="AC9" s="171">
        <v>0</v>
      </c>
      <c r="AD9" s="171">
        <v>0</v>
      </c>
      <c r="AE9" s="171">
        <v>0</v>
      </c>
      <c r="AF9" s="171">
        <v>0</v>
      </c>
      <c r="AG9" s="171">
        <v>0</v>
      </c>
      <c r="AH9" s="171">
        <v>0</v>
      </c>
      <c r="AI9" s="171">
        <v>0</v>
      </c>
      <c r="AJ9" s="171">
        <v>0</v>
      </c>
      <c r="AK9" s="171">
        <v>0</v>
      </c>
      <c r="AL9" s="171">
        <v>0</v>
      </c>
      <c r="AM9" s="171">
        <v>0</v>
      </c>
      <c r="AN9" s="171">
        <v>0</v>
      </c>
    </row>
    <row r="10" spans="1:40" x14ac:dyDescent="0.3">
      <c r="A10" s="171" t="s">
        <v>122</v>
      </c>
      <c r="B10" s="196">
        <v>7</v>
      </c>
      <c r="C10" s="171">
        <v>54</v>
      </c>
      <c r="D10" s="171">
        <v>2</v>
      </c>
      <c r="E10" s="171">
        <v>2</v>
      </c>
      <c r="F10" s="171">
        <v>624</v>
      </c>
      <c r="G10" s="171">
        <v>0</v>
      </c>
      <c r="H10" s="171">
        <v>304</v>
      </c>
      <c r="I10" s="171">
        <v>0</v>
      </c>
      <c r="J10" s="171">
        <v>0</v>
      </c>
      <c r="K10" s="171">
        <v>0</v>
      </c>
      <c r="L10" s="171">
        <v>0</v>
      </c>
      <c r="M10" s="171">
        <v>0</v>
      </c>
      <c r="N10" s="171">
        <v>160</v>
      </c>
      <c r="O10" s="171">
        <v>0</v>
      </c>
      <c r="P10" s="171">
        <v>0</v>
      </c>
      <c r="Q10" s="171">
        <v>0</v>
      </c>
      <c r="R10" s="171">
        <v>0</v>
      </c>
      <c r="S10" s="171">
        <v>0</v>
      </c>
      <c r="T10" s="171">
        <v>0</v>
      </c>
      <c r="U10" s="171">
        <v>0</v>
      </c>
      <c r="V10" s="171">
        <v>0</v>
      </c>
      <c r="W10" s="171">
        <v>0</v>
      </c>
      <c r="X10" s="171">
        <v>0</v>
      </c>
      <c r="Y10" s="171">
        <v>0</v>
      </c>
      <c r="Z10" s="171">
        <v>0</v>
      </c>
      <c r="AA10" s="171">
        <v>0</v>
      </c>
      <c r="AB10" s="171">
        <v>160</v>
      </c>
      <c r="AC10" s="171">
        <v>0</v>
      </c>
      <c r="AD10" s="171">
        <v>0</v>
      </c>
      <c r="AE10" s="171">
        <v>0</v>
      </c>
      <c r="AF10" s="171">
        <v>0</v>
      </c>
      <c r="AG10" s="171">
        <v>0</v>
      </c>
      <c r="AH10" s="171">
        <v>0</v>
      </c>
      <c r="AI10" s="171">
        <v>0</v>
      </c>
      <c r="AJ10" s="171">
        <v>0</v>
      </c>
      <c r="AK10" s="171">
        <v>0</v>
      </c>
      <c r="AL10" s="171">
        <v>0</v>
      </c>
      <c r="AM10" s="171">
        <v>0</v>
      </c>
      <c r="AN10" s="171">
        <v>0</v>
      </c>
    </row>
    <row r="11" spans="1:40" x14ac:dyDescent="0.3">
      <c r="A11" s="171" t="s">
        <v>123</v>
      </c>
      <c r="B11" s="196">
        <v>8</v>
      </c>
      <c r="C11" s="171">
        <v>54</v>
      </c>
      <c r="D11" s="171">
        <v>2</v>
      </c>
      <c r="E11" s="171">
        <v>5</v>
      </c>
      <c r="F11" s="171">
        <v>20</v>
      </c>
      <c r="G11" s="171">
        <v>20</v>
      </c>
      <c r="H11" s="171">
        <v>0</v>
      </c>
      <c r="I11" s="171">
        <v>0</v>
      </c>
      <c r="J11" s="171">
        <v>0</v>
      </c>
      <c r="K11" s="171">
        <v>0</v>
      </c>
      <c r="L11" s="171">
        <v>0</v>
      </c>
      <c r="M11" s="171">
        <v>0</v>
      </c>
      <c r="N11" s="171">
        <v>0</v>
      </c>
      <c r="O11" s="171">
        <v>0</v>
      </c>
      <c r="P11" s="171">
        <v>0</v>
      </c>
      <c r="Q11" s="171">
        <v>0</v>
      </c>
      <c r="R11" s="171">
        <v>0</v>
      </c>
      <c r="S11" s="171">
        <v>0</v>
      </c>
      <c r="T11" s="171">
        <v>0</v>
      </c>
      <c r="U11" s="171">
        <v>0</v>
      </c>
      <c r="V11" s="171">
        <v>0</v>
      </c>
      <c r="W11" s="171">
        <v>0</v>
      </c>
      <c r="X11" s="171">
        <v>0</v>
      </c>
      <c r="Y11" s="171">
        <v>0</v>
      </c>
      <c r="Z11" s="171">
        <v>0</v>
      </c>
      <c r="AA11" s="171">
        <v>0</v>
      </c>
      <c r="AB11" s="171">
        <v>0</v>
      </c>
      <c r="AC11" s="171">
        <v>0</v>
      </c>
      <c r="AD11" s="171">
        <v>0</v>
      </c>
      <c r="AE11" s="171">
        <v>0</v>
      </c>
      <c r="AF11" s="171">
        <v>0</v>
      </c>
      <c r="AG11" s="171">
        <v>0</v>
      </c>
      <c r="AH11" s="171">
        <v>0</v>
      </c>
      <c r="AI11" s="171">
        <v>0</v>
      </c>
      <c r="AJ11" s="171">
        <v>0</v>
      </c>
      <c r="AK11" s="171">
        <v>0</v>
      </c>
      <c r="AL11" s="171">
        <v>0</v>
      </c>
      <c r="AM11" s="171">
        <v>0</v>
      </c>
      <c r="AN11" s="171">
        <v>0</v>
      </c>
    </row>
    <row r="12" spans="1:40" x14ac:dyDescent="0.3">
      <c r="A12" s="171" t="s">
        <v>124</v>
      </c>
      <c r="B12" s="196">
        <v>9</v>
      </c>
      <c r="C12" s="171">
        <v>54</v>
      </c>
      <c r="D12" s="171">
        <v>2</v>
      </c>
      <c r="E12" s="171">
        <v>6</v>
      </c>
      <c r="F12" s="171">
        <v>137214</v>
      </c>
      <c r="G12" s="171">
        <v>5000</v>
      </c>
      <c r="H12" s="171">
        <v>91794</v>
      </c>
      <c r="I12" s="171">
        <v>0</v>
      </c>
      <c r="J12" s="171">
        <v>0</v>
      </c>
      <c r="K12" s="171">
        <v>0</v>
      </c>
      <c r="L12" s="171">
        <v>0</v>
      </c>
      <c r="M12" s="171">
        <v>0</v>
      </c>
      <c r="N12" s="171">
        <v>22480</v>
      </c>
      <c r="O12" s="171">
        <v>0</v>
      </c>
      <c r="P12" s="171">
        <v>0</v>
      </c>
      <c r="Q12" s="171">
        <v>0</v>
      </c>
      <c r="R12" s="171">
        <v>0</v>
      </c>
      <c r="S12" s="171">
        <v>0</v>
      </c>
      <c r="T12" s="171">
        <v>0</v>
      </c>
      <c r="U12" s="171">
        <v>0</v>
      </c>
      <c r="V12" s="171">
        <v>0</v>
      </c>
      <c r="W12" s="171">
        <v>0</v>
      </c>
      <c r="X12" s="171">
        <v>0</v>
      </c>
      <c r="Y12" s="171">
        <v>0</v>
      </c>
      <c r="Z12" s="171">
        <v>0</v>
      </c>
      <c r="AA12" s="171">
        <v>0</v>
      </c>
      <c r="AB12" s="171">
        <v>17340</v>
      </c>
      <c r="AC12" s="171">
        <v>0</v>
      </c>
      <c r="AD12" s="171">
        <v>0</v>
      </c>
      <c r="AE12" s="171">
        <v>0</v>
      </c>
      <c r="AF12" s="171">
        <v>0</v>
      </c>
      <c r="AG12" s="171">
        <v>0</v>
      </c>
      <c r="AH12" s="171">
        <v>0</v>
      </c>
      <c r="AI12" s="171">
        <v>0</v>
      </c>
      <c r="AJ12" s="171">
        <v>0</v>
      </c>
      <c r="AK12" s="171">
        <v>600</v>
      </c>
      <c r="AL12" s="171">
        <v>0</v>
      </c>
      <c r="AM12" s="171">
        <v>0</v>
      </c>
      <c r="AN12" s="171">
        <v>0</v>
      </c>
    </row>
    <row r="13" spans="1:40" x14ac:dyDescent="0.3">
      <c r="A13" s="171" t="s">
        <v>125</v>
      </c>
      <c r="B13" s="196">
        <v>10</v>
      </c>
      <c r="C13" s="171">
        <v>54</v>
      </c>
      <c r="D13" s="171">
        <v>2</v>
      </c>
      <c r="E13" s="171">
        <v>11</v>
      </c>
      <c r="F13" s="171">
        <v>619.16666666666663</v>
      </c>
      <c r="G13" s="171">
        <v>0</v>
      </c>
      <c r="H13" s="171">
        <v>619.16666666666663</v>
      </c>
      <c r="I13" s="171">
        <v>0</v>
      </c>
      <c r="J13" s="171">
        <v>0</v>
      </c>
      <c r="K13" s="171">
        <v>0</v>
      </c>
      <c r="L13" s="171">
        <v>0</v>
      </c>
      <c r="M13" s="171">
        <v>0</v>
      </c>
      <c r="N13" s="171">
        <v>0</v>
      </c>
      <c r="O13" s="171">
        <v>0</v>
      </c>
      <c r="P13" s="171">
        <v>0</v>
      </c>
      <c r="Q13" s="171">
        <v>0</v>
      </c>
      <c r="R13" s="171">
        <v>0</v>
      </c>
      <c r="S13" s="171">
        <v>0</v>
      </c>
      <c r="T13" s="171">
        <v>0</v>
      </c>
      <c r="U13" s="171">
        <v>0</v>
      </c>
      <c r="V13" s="171">
        <v>0</v>
      </c>
      <c r="W13" s="171">
        <v>0</v>
      </c>
      <c r="X13" s="171">
        <v>0</v>
      </c>
      <c r="Y13" s="171">
        <v>0</v>
      </c>
      <c r="Z13" s="171">
        <v>0</v>
      </c>
      <c r="AA13" s="171">
        <v>0</v>
      </c>
      <c r="AB13" s="171">
        <v>0</v>
      </c>
      <c r="AC13" s="171">
        <v>0</v>
      </c>
      <c r="AD13" s="171">
        <v>0</v>
      </c>
      <c r="AE13" s="171">
        <v>0</v>
      </c>
      <c r="AF13" s="171">
        <v>0</v>
      </c>
      <c r="AG13" s="171">
        <v>0</v>
      </c>
      <c r="AH13" s="171">
        <v>0</v>
      </c>
      <c r="AI13" s="171">
        <v>0</v>
      </c>
      <c r="AJ13" s="171">
        <v>0</v>
      </c>
      <c r="AK13" s="171">
        <v>0</v>
      </c>
      <c r="AL13" s="171">
        <v>0</v>
      </c>
      <c r="AM13" s="171">
        <v>0</v>
      </c>
      <c r="AN13" s="171">
        <v>0</v>
      </c>
    </row>
    <row r="14" spans="1:40" x14ac:dyDescent="0.3">
      <c r="A14" s="171" t="s">
        <v>126</v>
      </c>
      <c r="B14" s="196">
        <v>11</v>
      </c>
      <c r="C14" s="171">
        <v>54</v>
      </c>
      <c r="D14" s="171">
        <v>3</v>
      </c>
      <c r="E14" s="171">
        <v>1</v>
      </c>
      <c r="F14" s="171">
        <v>4</v>
      </c>
      <c r="G14" s="171">
        <v>0</v>
      </c>
      <c r="H14" s="171">
        <v>2</v>
      </c>
      <c r="I14" s="171">
        <v>0</v>
      </c>
      <c r="J14" s="171">
        <v>0</v>
      </c>
      <c r="K14" s="171">
        <v>0</v>
      </c>
      <c r="L14" s="171">
        <v>0</v>
      </c>
      <c r="M14" s="171">
        <v>0</v>
      </c>
      <c r="N14" s="171">
        <v>1</v>
      </c>
      <c r="O14" s="171">
        <v>0</v>
      </c>
      <c r="P14" s="171">
        <v>0</v>
      </c>
      <c r="Q14" s="171">
        <v>0</v>
      </c>
      <c r="R14" s="171">
        <v>0</v>
      </c>
      <c r="S14" s="171">
        <v>0</v>
      </c>
      <c r="T14" s="171">
        <v>0</v>
      </c>
      <c r="U14" s="171">
        <v>0</v>
      </c>
      <c r="V14" s="171">
        <v>0</v>
      </c>
      <c r="W14" s="171">
        <v>0</v>
      </c>
      <c r="X14" s="171">
        <v>0</v>
      </c>
      <c r="Y14" s="171">
        <v>0</v>
      </c>
      <c r="Z14" s="171">
        <v>0</v>
      </c>
      <c r="AA14" s="171">
        <v>0</v>
      </c>
      <c r="AB14" s="171">
        <v>1</v>
      </c>
      <c r="AC14" s="171">
        <v>0</v>
      </c>
      <c r="AD14" s="171">
        <v>0</v>
      </c>
      <c r="AE14" s="171">
        <v>0</v>
      </c>
      <c r="AF14" s="171">
        <v>0</v>
      </c>
      <c r="AG14" s="171">
        <v>0</v>
      </c>
      <c r="AH14" s="171">
        <v>0</v>
      </c>
      <c r="AI14" s="171">
        <v>0</v>
      </c>
      <c r="AJ14" s="171">
        <v>0</v>
      </c>
      <c r="AK14" s="171">
        <v>0</v>
      </c>
      <c r="AL14" s="171">
        <v>0</v>
      </c>
      <c r="AM14" s="171">
        <v>0</v>
      </c>
      <c r="AN14" s="171">
        <v>0</v>
      </c>
    </row>
    <row r="15" spans="1:40" x14ac:dyDescent="0.3">
      <c r="A15" s="171" t="s">
        <v>127</v>
      </c>
      <c r="B15" s="196">
        <v>12</v>
      </c>
      <c r="C15" s="171">
        <v>54</v>
      </c>
      <c r="D15" s="171">
        <v>3</v>
      </c>
      <c r="E15" s="171">
        <v>2</v>
      </c>
      <c r="F15" s="171">
        <v>624</v>
      </c>
      <c r="G15" s="171">
        <v>0</v>
      </c>
      <c r="H15" s="171">
        <v>304</v>
      </c>
      <c r="I15" s="171">
        <v>0</v>
      </c>
      <c r="J15" s="171">
        <v>0</v>
      </c>
      <c r="K15" s="171">
        <v>0</v>
      </c>
      <c r="L15" s="171">
        <v>0</v>
      </c>
      <c r="M15" s="171">
        <v>0</v>
      </c>
      <c r="N15" s="171">
        <v>160</v>
      </c>
      <c r="O15" s="171">
        <v>0</v>
      </c>
      <c r="P15" s="171">
        <v>0</v>
      </c>
      <c r="Q15" s="171">
        <v>0</v>
      </c>
      <c r="R15" s="171">
        <v>0</v>
      </c>
      <c r="S15" s="171">
        <v>0</v>
      </c>
      <c r="T15" s="171">
        <v>0</v>
      </c>
      <c r="U15" s="171">
        <v>0</v>
      </c>
      <c r="V15" s="171">
        <v>0</v>
      </c>
      <c r="W15" s="171">
        <v>0</v>
      </c>
      <c r="X15" s="171">
        <v>0</v>
      </c>
      <c r="Y15" s="171">
        <v>0</v>
      </c>
      <c r="Z15" s="171">
        <v>0</v>
      </c>
      <c r="AA15" s="171">
        <v>0</v>
      </c>
      <c r="AB15" s="171">
        <v>160</v>
      </c>
      <c r="AC15" s="171">
        <v>0</v>
      </c>
      <c r="AD15" s="171">
        <v>0</v>
      </c>
      <c r="AE15" s="171">
        <v>0</v>
      </c>
      <c r="AF15" s="171">
        <v>0</v>
      </c>
      <c r="AG15" s="171">
        <v>0</v>
      </c>
      <c r="AH15" s="171">
        <v>0</v>
      </c>
      <c r="AI15" s="171">
        <v>0</v>
      </c>
      <c r="AJ15" s="171">
        <v>0</v>
      </c>
      <c r="AK15" s="171">
        <v>0</v>
      </c>
      <c r="AL15" s="171">
        <v>0</v>
      </c>
      <c r="AM15" s="171">
        <v>0</v>
      </c>
      <c r="AN15" s="171">
        <v>0</v>
      </c>
    </row>
    <row r="16" spans="1:40" x14ac:dyDescent="0.3">
      <c r="A16" s="171" t="s">
        <v>115</v>
      </c>
      <c r="B16" s="196">
        <v>2014</v>
      </c>
      <c r="C16" s="171">
        <v>54</v>
      </c>
      <c r="D16" s="171">
        <v>3</v>
      </c>
      <c r="E16" s="171">
        <v>5</v>
      </c>
      <c r="F16" s="171">
        <v>20</v>
      </c>
      <c r="G16" s="171">
        <v>20</v>
      </c>
      <c r="H16" s="171">
        <v>0</v>
      </c>
      <c r="I16" s="171">
        <v>0</v>
      </c>
      <c r="J16" s="171">
        <v>0</v>
      </c>
      <c r="K16" s="171">
        <v>0</v>
      </c>
      <c r="L16" s="171">
        <v>0</v>
      </c>
      <c r="M16" s="171">
        <v>0</v>
      </c>
      <c r="N16" s="171">
        <v>0</v>
      </c>
      <c r="O16" s="171">
        <v>0</v>
      </c>
      <c r="P16" s="171">
        <v>0</v>
      </c>
      <c r="Q16" s="171">
        <v>0</v>
      </c>
      <c r="R16" s="171">
        <v>0</v>
      </c>
      <c r="S16" s="171">
        <v>0</v>
      </c>
      <c r="T16" s="171">
        <v>0</v>
      </c>
      <c r="U16" s="171">
        <v>0</v>
      </c>
      <c r="V16" s="171">
        <v>0</v>
      </c>
      <c r="W16" s="171">
        <v>0</v>
      </c>
      <c r="X16" s="171">
        <v>0</v>
      </c>
      <c r="Y16" s="171">
        <v>0</v>
      </c>
      <c r="Z16" s="171">
        <v>0</v>
      </c>
      <c r="AA16" s="171">
        <v>0</v>
      </c>
      <c r="AB16" s="171">
        <v>0</v>
      </c>
      <c r="AC16" s="171">
        <v>0</v>
      </c>
      <c r="AD16" s="171">
        <v>0</v>
      </c>
      <c r="AE16" s="171">
        <v>0</v>
      </c>
      <c r="AF16" s="171">
        <v>0</v>
      </c>
      <c r="AG16" s="171">
        <v>0</v>
      </c>
      <c r="AH16" s="171">
        <v>0</v>
      </c>
      <c r="AI16" s="171">
        <v>0</v>
      </c>
      <c r="AJ16" s="171">
        <v>0</v>
      </c>
      <c r="AK16" s="171">
        <v>0</v>
      </c>
      <c r="AL16" s="171">
        <v>0</v>
      </c>
      <c r="AM16" s="171">
        <v>0</v>
      </c>
      <c r="AN16" s="171">
        <v>0</v>
      </c>
    </row>
    <row r="17" spans="3:40" x14ac:dyDescent="0.3">
      <c r="C17" s="171">
        <v>54</v>
      </c>
      <c r="D17" s="171">
        <v>3</v>
      </c>
      <c r="E17" s="171">
        <v>6</v>
      </c>
      <c r="F17" s="171">
        <v>137715</v>
      </c>
      <c r="G17" s="171">
        <v>5000</v>
      </c>
      <c r="H17" s="171">
        <v>92280</v>
      </c>
      <c r="I17" s="171">
        <v>0</v>
      </c>
      <c r="J17" s="171">
        <v>0</v>
      </c>
      <c r="K17" s="171">
        <v>0</v>
      </c>
      <c r="L17" s="171">
        <v>0</v>
      </c>
      <c r="M17" s="171">
        <v>0</v>
      </c>
      <c r="N17" s="171">
        <v>22656</v>
      </c>
      <c r="O17" s="171">
        <v>0</v>
      </c>
      <c r="P17" s="171">
        <v>0</v>
      </c>
      <c r="Q17" s="171">
        <v>0</v>
      </c>
      <c r="R17" s="171">
        <v>0</v>
      </c>
      <c r="S17" s="171">
        <v>0</v>
      </c>
      <c r="T17" s="171">
        <v>0</v>
      </c>
      <c r="U17" s="171">
        <v>0</v>
      </c>
      <c r="V17" s="171">
        <v>0</v>
      </c>
      <c r="W17" s="171">
        <v>0</v>
      </c>
      <c r="X17" s="171">
        <v>0</v>
      </c>
      <c r="Y17" s="171">
        <v>0</v>
      </c>
      <c r="Z17" s="171">
        <v>0</v>
      </c>
      <c r="AA17" s="171">
        <v>0</v>
      </c>
      <c r="AB17" s="171">
        <v>17322</v>
      </c>
      <c r="AC17" s="171">
        <v>0</v>
      </c>
      <c r="AD17" s="171">
        <v>0</v>
      </c>
      <c r="AE17" s="171">
        <v>0</v>
      </c>
      <c r="AF17" s="171">
        <v>0</v>
      </c>
      <c r="AG17" s="171">
        <v>0</v>
      </c>
      <c r="AH17" s="171">
        <v>0</v>
      </c>
      <c r="AI17" s="171">
        <v>0</v>
      </c>
      <c r="AJ17" s="171">
        <v>0</v>
      </c>
      <c r="AK17" s="171">
        <v>457</v>
      </c>
      <c r="AL17" s="171">
        <v>0</v>
      </c>
      <c r="AM17" s="171">
        <v>0</v>
      </c>
      <c r="AN17" s="171">
        <v>0</v>
      </c>
    </row>
    <row r="18" spans="3:40" x14ac:dyDescent="0.3">
      <c r="C18" s="171">
        <v>54</v>
      </c>
      <c r="D18" s="171">
        <v>3</v>
      </c>
      <c r="E18" s="171">
        <v>10</v>
      </c>
      <c r="F18" s="171">
        <v>100</v>
      </c>
      <c r="G18" s="171">
        <v>0</v>
      </c>
      <c r="H18" s="171">
        <v>100</v>
      </c>
      <c r="I18" s="171">
        <v>0</v>
      </c>
      <c r="J18" s="171">
        <v>0</v>
      </c>
      <c r="K18" s="171">
        <v>0</v>
      </c>
      <c r="L18" s="171">
        <v>0</v>
      </c>
      <c r="M18" s="171">
        <v>0</v>
      </c>
      <c r="N18" s="171">
        <v>0</v>
      </c>
      <c r="O18" s="171">
        <v>0</v>
      </c>
      <c r="P18" s="171">
        <v>0</v>
      </c>
      <c r="Q18" s="171">
        <v>0</v>
      </c>
      <c r="R18" s="171">
        <v>0</v>
      </c>
      <c r="S18" s="171">
        <v>0</v>
      </c>
      <c r="T18" s="171">
        <v>0</v>
      </c>
      <c r="U18" s="171">
        <v>0</v>
      </c>
      <c r="V18" s="171">
        <v>0</v>
      </c>
      <c r="W18" s="171">
        <v>0</v>
      </c>
      <c r="X18" s="171">
        <v>0</v>
      </c>
      <c r="Y18" s="171">
        <v>0</v>
      </c>
      <c r="Z18" s="171">
        <v>0</v>
      </c>
      <c r="AA18" s="171">
        <v>0</v>
      </c>
      <c r="AB18" s="171">
        <v>0</v>
      </c>
      <c r="AC18" s="171">
        <v>0</v>
      </c>
      <c r="AD18" s="171">
        <v>0</v>
      </c>
      <c r="AE18" s="171">
        <v>0</v>
      </c>
      <c r="AF18" s="171">
        <v>0</v>
      </c>
      <c r="AG18" s="171">
        <v>0</v>
      </c>
      <c r="AH18" s="171">
        <v>0</v>
      </c>
      <c r="AI18" s="171">
        <v>0</v>
      </c>
      <c r="AJ18" s="171">
        <v>0</v>
      </c>
      <c r="AK18" s="171">
        <v>0</v>
      </c>
      <c r="AL18" s="171">
        <v>0</v>
      </c>
      <c r="AM18" s="171">
        <v>0</v>
      </c>
      <c r="AN18" s="171">
        <v>0</v>
      </c>
    </row>
    <row r="19" spans="3:40" x14ac:dyDescent="0.3">
      <c r="C19" s="171">
        <v>54</v>
      </c>
      <c r="D19" s="171">
        <v>3</v>
      </c>
      <c r="E19" s="171">
        <v>11</v>
      </c>
      <c r="F19" s="171">
        <v>619.16666666666663</v>
      </c>
      <c r="G19" s="171">
        <v>0</v>
      </c>
      <c r="H19" s="171">
        <v>619.16666666666663</v>
      </c>
      <c r="I19" s="171">
        <v>0</v>
      </c>
      <c r="J19" s="171">
        <v>0</v>
      </c>
      <c r="K19" s="171">
        <v>0</v>
      </c>
      <c r="L19" s="171">
        <v>0</v>
      </c>
      <c r="M19" s="171">
        <v>0</v>
      </c>
      <c r="N19" s="171">
        <v>0</v>
      </c>
      <c r="O19" s="171">
        <v>0</v>
      </c>
      <c r="P19" s="171">
        <v>0</v>
      </c>
      <c r="Q19" s="171">
        <v>0</v>
      </c>
      <c r="R19" s="171">
        <v>0</v>
      </c>
      <c r="S19" s="171">
        <v>0</v>
      </c>
      <c r="T19" s="171">
        <v>0</v>
      </c>
      <c r="U19" s="171">
        <v>0</v>
      </c>
      <c r="V19" s="171">
        <v>0</v>
      </c>
      <c r="W19" s="171">
        <v>0</v>
      </c>
      <c r="X19" s="171">
        <v>0</v>
      </c>
      <c r="Y19" s="171">
        <v>0</v>
      </c>
      <c r="Z19" s="171">
        <v>0</v>
      </c>
      <c r="AA19" s="171">
        <v>0</v>
      </c>
      <c r="AB19" s="171">
        <v>0</v>
      </c>
      <c r="AC19" s="171">
        <v>0</v>
      </c>
      <c r="AD19" s="171">
        <v>0</v>
      </c>
      <c r="AE19" s="171">
        <v>0</v>
      </c>
      <c r="AF19" s="171">
        <v>0</v>
      </c>
      <c r="AG19" s="171">
        <v>0</v>
      </c>
      <c r="AH19" s="171">
        <v>0</v>
      </c>
      <c r="AI19" s="171">
        <v>0</v>
      </c>
      <c r="AJ19" s="171">
        <v>0</v>
      </c>
      <c r="AK19" s="171">
        <v>0</v>
      </c>
      <c r="AL19" s="171">
        <v>0</v>
      </c>
      <c r="AM19" s="171">
        <v>0</v>
      </c>
      <c r="AN19" s="171">
        <v>0</v>
      </c>
    </row>
    <row r="20" spans="3:40" x14ac:dyDescent="0.3">
      <c r="C20" s="171">
        <v>54</v>
      </c>
      <c r="D20" s="171">
        <v>4</v>
      </c>
      <c r="E20" s="171">
        <v>1</v>
      </c>
      <c r="F20" s="171">
        <v>4</v>
      </c>
      <c r="G20" s="171">
        <v>0</v>
      </c>
      <c r="H20" s="171">
        <v>2</v>
      </c>
      <c r="I20" s="171">
        <v>0</v>
      </c>
      <c r="J20" s="171">
        <v>0</v>
      </c>
      <c r="K20" s="171">
        <v>0</v>
      </c>
      <c r="L20" s="171">
        <v>0</v>
      </c>
      <c r="M20" s="171">
        <v>0</v>
      </c>
      <c r="N20" s="171">
        <v>1</v>
      </c>
      <c r="O20" s="171">
        <v>0</v>
      </c>
      <c r="P20" s="171">
        <v>0</v>
      </c>
      <c r="Q20" s="171">
        <v>0</v>
      </c>
      <c r="R20" s="171">
        <v>0</v>
      </c>
      <c r="S20" s="171">
        <v>0</v>
      </c>
      <c r="T20" s="171">
        <v>0</v>
      </c>
      <c r="U20" s="171">
        <v>0</v>
      </c>
      <c r="V20" s="171">
        <v>0</v>
      </c>
      <c r="W20" s="171">
        <v>0</v>
      </c>
      <c r="X20" s="171">
        <v>0</v>
      </c>
      <c r="Y20" s="171">
        <v>0</v>
      </c>
      <c r="Z20" s="171">
        <v>0</v>
      </c>
      <c r="AA20" s="171">
        <v>0</v>
      </c>
      <c r="AB20" s="171">
        <v>1</v>
      </c>
      <c r="AC20" s="171">
        <v>0</v>
      </c>
      <c r="AD20" s="171">
        <v>0</v>
      </c>
      <c r="AE20" s="171">
        <v>0</v>
      </c>
      <c r="AF20" s="171">
        <v>0</v>
      </c>
      <c r="AG20" s="171">
        <v>0</v>
      </c>
      <c r="AH20" s="171">
        <v>0</v>
      </c>
      <c r="AI20" s="171">
        <v>0</v>
      </c>
      <c r="AJ20" s="171">
        <v>0</v>
      </c>
      <c r="AK20" s="171">
        <v>0</v>
      </c>
      <c r="AL20" s="171">
        <v>0</v>
      </c>
      <c r="AM20" s="171">
        <v>0</v>
      </c>
      <c r="AN20" s="171">
        <v>0</v>
      </c>
    </row>
    <row r="21" spans="3:40" x14ac:dyDescent="0.3">
      <c r="C21" s="171">
        <v>54</v>
      </c>
      <c r="D21" s="171">
        <v>4</v>
      </c>
      <c r="E21" s="171">
        <v>2</v>
      </c>
      <c r="F21" s="171">
        <v>632</v>
      </c>
      <c r="G21" s="171">
        <v>0</v>
      </c>
      <c r="H21" s="171">
        <v>312</v>
      </c>
      <c r="I21" s="171">
        <v>0</v>
      </c>
      <c r="J21" s="171">
        <v>0</v>
      </c>
      <c r="K21" s="171">
        <v>0</v>
      </c>
      <c r="L21" s="171">
        <v>0</v>
      </c>
      <c r="M21" s="171">
        <v>0</v>
      </c>
      <c r="N21" s="171">
        <v>168</v>
      </c>
      <c r="O21" s="171">
        <v>0</v>
      </c>
      <c r="P21" s="171">
        <v>0</v>
      </c>
      <c r="Q21" s="171">
        <v>0</v>
      </c>
      <c r="R21" s="171">
        <v>0</v>
      </c>
      <c r="S21" s="171">
        <v>0</v>
      </c>
      <c r="T21" s="171">
        <v>0</v>
      </c>
      <c r="U21" s="171">
        <v>0</v>
      </c>
      <c r="V21" s="171">
        <v>0</v>
      </c>
      <c r="W21" s="171">
        <v>0</v>
      </c>
      <c r="X21" s="171">
        <v>0</v>
      </c>
      <c r="Y21" s="171">
        <v>0</v>
      </c>
      <c r="Z21" s="171">
        <v>0</v>
      </c>
      <c r="AA21" s="171">
        <v>0</v>
      </c>
      <c r="AB21" s="171">
        <v>152</v>
      </c>
      <c r="AC21" s="171">
        <v>0</v>
      </c>
      <c r="AD21" s="171">
        <v>0</v>
      </c>
      <c r="AE21" s="171">
        <v>0</v>
      </c>
      <c r="AF21" s="171">
        <v>0</v>
      </c>
      <c r="AG21" s="171">
        <v>0</v>
      </c>
      <c r="AH21" s="171">
        <v>0</v>
      </c>
      <c r="AI21" s="171">
        <v>0</v>
      </c>
      <c r="AJ21" s="171">
        <v>0</v>
      </c>
      <c r="AK21" s="171">
        <v>0</v>
      </c>
      <c r="AL21" s="171">
        <v>0</v>
      </c>
      <c r="AM21" s="171">
        <v>0</v>
      </c>
      <c r="AN21" s="171">
        <v>0</v>
      </c>
    </row>
    <row r="22" spans="3:40" x14ac:dyDescent="0.3">
      <c r="C22" s="171">
        <v>54</v>
      </c>
      <c r="D22" s="171">
        <v>4</v>
      </c>
      <c r="E22" s="171">
        <v>5</v>
      </c>
      <c r="F22" s="171">
        <v>20</v>
      </c>
      <c r="G22" s="171">
        <v>20</v>
      </c>
      <c r="H22" s="171">
        <v>0</v>
      </c>
      <c r="I22" s="171">
        <v>0</v>
      </c>
      <c r="J22" s="171">
        <v>0</v>
      </c>
      <c r="K22" s="171">
        <v>0</v>
      </c>
      <c r="L22" s="171">
        <v>0</v>
      </c>
      <c r="M22" s="171">
        <v>0</v>
      </c>
      <c r="N22" s="171">
        <v>0</v>
      </c>
      <c r="O22" s="171">
        <v>0</v>
      </c>
      <c r="P22" s="171">
        <v>0</v>
      </c>
      <c r="Q22" s="171">
        <v>0</v>
      </c>
      <c r="R22" s="171">
        <v>0</v>
      </c>
      <c r="S22" s="171">
        <v>0</v>
      </c>
      <c r="T22" s="171">
        <v>0</v>
      </c>
      <c r="U22" s="171">
        <v>0</v>
      </c>
      <c r="V22" s="171">
        <v>0</v>
      </c>
      <c r="W22" s="171">
        <v>0</v>
      </c>
      <c r="X22" s="171">
        <v>0</v>
      </c>
      <c r="Y22" s="171">
        <v>0</v>
      </c>
      <c r="Z22" s="171">
        <v>0</v>
      </c>
      <c r="AA22" s="171">
        <v>0</v>
      </c>
      <c r="AB22" s="171">
        <v>0</v>
      </c>
      <c r="AC22" s="171">
        <v>0</v>
      </c>
      <c r="AD22" s="171">
        <v>0</v>
      </c>
      <c r="AE22" s="171">
        <v>0</v>
      </c>
      <c r="AF22" s="171">
        <v>0</v>
      </c>
      <c r="AG22" s="171">
        <v>0</v>
      </c>
      <c r="AH22" s="171">
        <v>0</v>
      </c>
      <c r="AI22" s="171">
        <v>0</v>
      </c>
      <c r="AJ22" s="171">
        <v>0</v>
      </c>
      <c r="AK22" s="171">
        <v>0</v>
      </c>
      <c r="AL22" s="171">
        <v>0</v>
      </c>
      <c r="AM22" s="171">
        <v>0</v>
      </c>
      <c r="AN22" s="171">
        <v>0</v>
      </c>
    </row>
    <row r="23" spans="3:40" x14ac:dyDescent="0.3">
      <c r="C23" s="171">
        <v>54</v>
      </c>
      <c r="D23" s="171">
        <v>4</v>
      </c>
      <c r="E23" s="171">
        <v>6</v>
      </c>
      <c r="F23" s="171">
        <v>146395</v>
      </c>
      <c r="G23" s="171">
        <v>5000</v>
      </c>
      <c r="H23" s="171">
        <v>96583</v>
      </c>
      <c r="I23" s="171">
        <v>0</v>
      </c>
      <c r="J23" s="171">
        <v>0</v>
      </c>
      <c r="K23" s="171">
        <v>0</v>
      </c>
      <c r="L23" s="171">
        <v>0</v>
      </c>
      <c r="M23" s="171">
        <v>0</v>
      </c>
      <c r="N23" s="171">
        <v>23928</v>
      </c>
      <c r="O23" s="171">
        <v>0</v>
      </c>
      <c r="P23" s="171">
        <v>0</v>
      </c>
      <c r="Q23" s="171">
        <v>0</v>
      </c>
      <c r="R23" s="171">
        <v>0</v>
      </c>
      <c r="S23" s="171">
        <v>0</v>
      </c>
      <c r="T23" s="171">
        <v>0</v>
      </c>
      <c r="U23" s="171">
        <v>0</v>
      </c>
      <c r="V23" s="171">
        <v>0</v>
      </c>
      <c r="W23" s="171">
        <v>0</v>
      </c>
      <c r="X23" s="171">
        <v>0</v>
      </c>
      <c r="Y23" s="171">
        <v>0</v>
      </c>
      <c r="Z23" s="171">
        <v>0</v>
      </c>
      <c r="AA23" s="171">
        <v>0</v>
      </c>
      <c r="AB23" s="171">
        <v>20393</v>
      </c>
      <c r="AC23" s="171">
        <v>0</v>
      </c>
      <c r="AD23" s="171">
        <v>0</v>
      </c>
      <c r="AE23" s="171">
        <v>0</v>
      </c>
      <c r="AF23" s="171">
        <v>0</v>
      </c>
      <c r="AG23" s="171">
        <v>0</v>
      </c>
      <c r="AH23" s="171">
        <v>0</v>
      </c>
      <c r="AI23" s="171">
        <v>0</v>
      </c>
      <c r="AJ23" s="171">
        <v>0</v>
      </c>
      <c r="AK23" s="171">
        <v>491</v>
      </c>
      <c r="AL23" s="171">
        <v>0</v>
      </c>
      <c r="AM23" s="171">
        <v>0</v>
      </c>
      <c r="AN23" s="171">
        <v>0</v>
      </c>
    </row>
    <row r="24" spans="3:40" x14ac:dyDescent="0.3">
      <c r="C24" s="171">
        <v>54</v>
      </c>
      <c r="D24" s="171">
        <v>4</v>
      </c>
      <c r="E24" s="171">
        <v>11</v>
      </c>
      <c r="F24" s="171">
        <v>619.16666666666663</v>
      </c>
      <c r="G24" s="171">
        <v>0</v>
      </c>
      <c r="H24" s="171">
        <v>619.16666666666663</v>
      </c>
      <c r="I24" s="171">
        <v>0</v>
      </c>
      <c r="J24" s="171">
        <v>0</v>
      </c>
      <c r="K24" s="171">
        <v>0</v>
      </c>
      <c r="L24" s="171">
        <v>0</v>
      </c>
      <c r="M24" s="171">
        <v>0</v>
      </c>
      <c r="N24" s="171">
        <v>0</v>
      </c>
      <c r="O24" s="171">
        <v>0</v>
      </c>
      <c r="P24" s="171">
        <v>0</v>
      </c>
      <c r="Q24" s="171">
        <v>0</v>
      </c>
      <c r="R24" s="171">
        <v>0</v>
      </c>
      <c r="S24" s="171">
        <v>0</v>
      </c>
      <c r="T24" s="171">
        <v>0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171">
        <v>0</v>
      </c>
      <c r="AI24" s="171">
        <v>0</v>
      </c>
      <c r="AJ24" s="171">
        <v>0</v>
      </c>
      <c r="AK24" s="171">
        <v>0</v>
      </c>
      <c r="AL24" s="171">
        <v>0</v>
      </c>
      <c r="AM24" s="171">
        <v>0</v>
      </c>
      <c r="AN24" s="171">
        <v>0</v>
      </c>
    </row>
    <row r="25" spans="3:40" x14ac:dyDescent="0.3">
      <c r="C25" s="171">
        <v>54</v>
      </c>
      <c r="D25" s="171">
        <v>5</v>
      </c>
      <c r="E25" s="171">
        <v>1</v>
      </c>
      <c r="F25" s="171">
        <v>4</v>
      </c>
      <c r="G25" s="171">
        <v>0</v>
      </c>
      <c r="H25" s="171">
        <v>2</v>
      </c>
      <c r="I25" s="171">
        <v>0</v>
      </c>
      <c r="J25" s="171">
        <v>0</v>
      </c>
      <c r="K25" s="171">
        <v>0</v>
      </c>
      <c r="L25" s="171">
        <v>0</v>
      </c>
      <c r="M25" s="171">
        <v>0</v>
      </c>
      <c r="N25" s="171">
        <v>1</v>
      </c>
      <c r="O25" s="171">
        <v>0</v>
      </c>
      <c r="P25" s="171">
        <v>0</v>
      </c>
      <c r="Q25" s="171">
        <v>0</v>
      </c>
      <c r="R25" s="171">
        <v>0</v>
      </c>
      <c r="S25" s="171">
        <v>0</v>
      </c>
      <c r="T25" s="171">
        <v>0</v>
      </c>
      <c r="U25" s="171">
        <v>0</v>
      </c>
      <c r="V25" s="171">
        <v>0</v>
      </c>
      <c r="W25" s="171">
        <v>0</v>
      </c>
      <c r="X25" s="171">
        <v>0</v>
      </c>
      <c r="Y25" s="171">
        <v>0</v>
      </c>
      <c r="Z25" s="171">
        <v>0</v>
      </c>
      <c r="AA25" s="171">
        <v>0</v>
      </c>
      <c r="AB25" s="171">
        <v>1</v>
      </c>
      <c r="AC25" s="171">
        <v>0</v>
      </c>
      <c r="AD25" s="171">
        <v>0</v>
      </c>
      <c r="AE25" s="171">
        <v>0</v>
      </c>
      <c r="AF25" s="171">
        <v>0</v>
      </c>
      <c r="AG25" s="171">
        <v>0</v>
      </c>
      <c r="AH25" s="171">
        <v>0</v>
      </c>
      <c r="AI25" s="171">
        <v>0</v>
      </c>
      <c r="AJ25" s="171">
        <v>0</v>
      </c>
      <c r="AK25" s="171">
        <v>0</v>
      </c>
      <c r="AL25" s="171">
        <v>0</v>
      </c>
      <c r="AM25" s="171">
        <v>0</v>
      </c>
      <c r="AN25" s="171">
        <v>0</v>
      </c>
    </row>
    <row r="26" spans="3:40" x14ac:dyDescent="0.3">
      <c r="C26" s="171">
        <v>54</v>
      </c>
      <c r="D26" s="171">
        <v>5</v>
      </c>
      <c r="E26" s="171">
        <v>2</v>
      </c>
      <c r="F26" s="171">
        <v>656</v>
      </c>
      <c r="G26" s="171">
        <v>0</v>
      </c>
      <c r="H26" s="171">
        <v>336</v>
      </c>
      <c r="I26" s="171">
        <v>0</v>
      </c>
      <c r="J26" s="171">
        <v>0</v>
      </c>
      <c r="K26" s="171">
        <v>0</v>
      </c>
      <c r="L26" s="171">
        <v>0</v>
      </c>
      <c r="M26" s="171">
        <v>0</v>
      </c>
      <c r="N26" s="171">
        <v>160</v>
      </c>
      <c r="O26" s="171">
        <v>0</v>
      </c>
      <c r="P26" s="171">
        <v>0</v>
      </c>
      <c r="Q26" s="171">
        <v>0</v>
      </c>
      <c r="R26" s="171">
        <v>0</v>
      </c>
      <c r="S26" s="171">
        <v>0</v>
      </c>
      <c r="T26" s="171">
        <v>0</v>
      </c>
      <c r="U26" s="171">
        <v>0</v>
      </c>
      <c r="V26" s="171">
        <v>0</v>
      </c>
      <c r="W26" s="171">
        <v>0</v>
      </c>
      <c r="X26" s="171">
        <v>0</v>
      </c>
      <c r="Y26" s="171">
        <v>0</v>
      </c>
      <c r="Z26" s="171">
        <v>0</v>
      </c>
      <c r="AA26" s="171">
        <v>0</v>
      </c>
      <c r="AB26" s="171">
        <v>160</v>
      </c>
      <c r="AC26" s="171">
        <v>0</v>
      </c>
      <c r="AD26" s="171">
        <v>0</v>
      </c>
      <c r="AE26" s="171">
        <v>0</v>
      </c>
      <c r="AF26" s="171">
        <v>0</v>
      </c>
      <c r="AG26" s="171">
        <v>0</v>
      </c>
      <c r="AH26" s="171">
        <v>0</v>
      </c>
      <c r="AI26" s="171">
        <v>0</v>
      </c>
      <c r="AJ26" s="171">
        <v>0</v>
      </c>
      <c r="AK26" s="171">
        <v>0</v>
      </c>
      <c r="AL26" s="171">
        <v>0</v>
      </c>
      <c r="AM26" s="171">
        <v>0</v>
      </c>
      <c r="AN26" s="171">
        <v>0</v>
      </c>
    </row>
    <row r="27" spans="3:40" x14ac:dyDescent="0.3">
      <c r="C27" s="171">
        <v>54</v>
      </c>
      <c r="D27" s="171">
        <v>5</v>
      </c>
      <c r="E27" s="171">
        <v>5</v>
      </c>
      <c r="F27" s="171">
        <v>20</v>
      </c>
      <c r="G27" s="171">
        <v>20</v>
      </c>
      <c r="H27" s="171">
        <v>0</v>
      </c>
      <c r="I27" s="171">
        <v>0</v>
      </c>
      <c r="J27" s="171">
        <v>0</v>
      </c>
      <c r="K27" s="171">
        <v>0</v>
      </c>
      <c r="L27" s="171">
        <v>0</v>
      </c>
      <c r="M27" s="171">
        <v>0</v>
      </c>
      <c r="N27" s="171">
        <v>0</v>
      </c>
      <c r="O27" s="171">
        <v>0</v>
      </c>
      <c r="P27" s="171">
        <v>0</v>
      </c>
      <c r="Q27" s="171">
        <v>0</v>
      </c>
      <c r="R27" s="171">
        <v>0</v>
      </c>
      <c r="S27" s="171">
        <v>0</v>
      </c>
      <c r="T27" s="171">
        <v>0</v>
      </c>
      <c r="U27" s="171">
        <v>0</v>
      </c>
      <c r="V27" s="171">
        <v>0</v>
      </c>
      <c r="W27" s="171">
        <v>0</v>
      </c>
      <c r="X27" s="171">
        <v>0</v>
      </c>
      <c r="Y27" s="171">
        <v>0</v>
      </c>
      <c r="Z27" s="171">
        <v>0</v>
      </c>
      <c r="AA27" s="171">
        <v>0</v>
      </c>
      <c r="AB27" s="171">
        <v>0</v>
      </c>
      <c r="AC27" s="171">
        <v>0</v>
      </c>
      <c r="AD27" s="171">
        <v>0</v>
      </c>
      <c r="AE27" s="171">
        <v>0</v>
      </c>
      <c r="AF27" s="171">
        <v>0</v>
      </c>
      <c r="AG27" s="171">
        <v>0</v>
      </c>
      <c r="AH27" s="171">
        <v>0</v>
      </c>
      <c r="AI27" s="171">
        <v>0</v>
      </c>
      <c r="AJ27" s="171">
        <v>0</v>
      </c>
      <c r="AK27" s="171">
        <v>0</v>
      </c>
      <c r="AL27" s="171">
        <v>0</v>
      </c>
      <c r="AM27" s="171">
        <v>0</v>
      </c>
      <c r="AN27" s="171">
        <v>0</v>
      </c>
    </row>
    <row r="28" spans="3:40" x14ac:dyDescent="0.3">
      <c r="C28" s="171">
        <v>54</v>
      </c>
      <c r="D28" s="171">
        <v>5</v>
      </c>
      <c r="E28" s="171">
        <v>6</v>
      </c>
      <c r="F28" s="171">
        <v>146276</v>
      </c>
      <c r="G28" s="171">
        <v>5000</v>
      </c>
      <c r="H28" s="171">
        <v>96221</v>
      </c>
      <c r="I28" s="171">
        <v>0</v>
      </c>
      <c r="J28" s="171">
        <v>0</v>
      </c>
      <c r="K28" s="171">
        <v>0</v>
      </c>
      <c r="L28" s="171">
        <v>0</v>
      </c>
      <c r="M28" s="171">
        <v>0</v>
      </c>
      <c r="N28" s="171">
        <v>23956</v>
      </c>
      <c r="O28" s="171">
        <v>0</v>
      </c>
      <c r="P28" s="171">
        <v>0</v>
      </c>
      <c r="Q28" s="171">
        <v>0</v>
      </c>
      <c r="R28" s="171">
        <v>0</v>
      </c>
      <c r="S28" s="171">
        <v>0</v>
      </c>
      <c r="T28" s="171">
        <v>0</v>
      </c>
      <c r="U28" s="171">
        <v>0</v>
      </c>
      <c r="V28" s="171">
        <v>0</v>
      </c>
      <c r="W28" s="171">
        <v>0</v>
      </c>
      <c r="X28" s="171">
        <v>0</v>
      </c>
      <c r="Y28" s="171">
        <v>0</v>
      </c>
      <c r="Z28" s="171">
        <v>0</v>
      </c>
      <c r="AA28" s="171">
        <v>0</v>
      </c>
      <c r="AB28" s="171">
        <v>20526</v>
      </c>
      <c r="AC28" s="171">
        <v>0</v>
      </c>
      <c r="AD28" s="171">
        <v>0</v>
      </c>
      <c r="AE28" s="171">
        <v>0</v>
      </c>
      <c r="AF28" s="171">
        <v>0</v>
      </c>
      <c r="AG28" s="171">
        <v>0</v>
      </c>
      <c r="AH28" s="171">
        <v>0</v>
      </c>
      <c r="AI28" s="171">
        <v>0</v>
      </c>
      <c r="AJ28" s="171">
        <v>0</v>
      </c>
      <c r="AK28" s="171">
        <v>573</v>
      </c>
      <c r="AL28" s="171">
        <v>0</v>
      </c>
      <c r="AM28" s="171">
        <v>0</v>
      </c>
      <c r="AN28" s="171">
        <v>0</v>
      </c>
    </row>
    <row r="29" spans="3:40" x14ac:dyDescent="0.3">
      <c r="C29" s="171">
        <v>54</v>
      </c>
      <c r="D29" s="171">
        <v>5</v>
      </c>
      <c r="E29" s="171">
        <v>11</v>
      </c>
      <c r="F29" s="171">
        <v>619.16666666666663</v>
      </c>
      <c r="G29" s="171">
        <v>0</v>
      </c>
      <c r="H29" s="171">
        <v>619.16666666666663</v>
      </c>
      <c r="I29" s="171">
        <v>0</v>
      </c>
      <c r="J29" s="171">
        <v>0</v>
      </c>
      <c r="K29" s="171">
        <v>0</v>
      </c>
      <c r="L29" s="171">
        <v>0</v>
      </c>
      <c r="M29" s="171">
        <v>0</v>
      </c>
      <c r="N29" s="171">
        <v>0</v>
      </c>
      <c r="O29" s="171">
        <v>0</v>
      </c>
      <c r="P29" s="171">
        <v>0</v>
      </c>
      <c r="Q29" s="171">
        <v>0</v>
      </c>
      <c r="R29" s="171">
        <v>0</v>
      </c>
      <c r="S29" s="171">
        <v>0</v>
      </c>
      <c r="T29" s="171">
        <v>0</v>
      </c>
      <c r="U29" s="171">
        <v>0</v>
      </c>
      <c r="V29" s="171">
        <v>0</v>
      </c>
      <c r="W29" s="171">
        <v>0</v>
      </c>
      <c r="X29" s="171">
        <v>0</v>
      </c>
      <c r="Y29" s="171">
        <v>0</v>
      </c>
      <c r="Z29" s="171">
        <v>0</v>
      </c>
      <c r="AA29" s="171">
        <v>0</v>
      </c>
      <c r="AB29" s="171">
        <v>0</v>
      </c>
      <c r="AC29" s="171">
        <v>0</v>
      </c>
      <c r="AD29" s="171">
        <v>0</v>
      </c>
      <c r="AE29" s="171">
        <v>0</v>
      </c>
      <c r="AF29" s="171">
        <v>0</v>
      </c>
      <c r="AG29" s="171">
        <v>0</v>
      </c>
      <c r="AH29" s="171">
        <v>0</v>
      </c>
      <c r="AI29" s="171">
        <v>0</v>
      </c>
      <c r="AJ29" s="171">
        <v>0</v>
      </c>
      <c r="AK29" s="171">
        <v>0</v>
      </c>
      <c r="AL29" s="171">
        <v>0</v>
      </c>
      <c r="AM29" s="171">
        <v>0</v>
      </c>
      <c r="AN29" s="171">
        <v>0</v>
      </c>
    </row>
    <row r="30" spans="3:40" x14ac:dyDescent="0.3">
      <c r="C30" s="171">
        <v>54</v>
      </c>
      <c r="D30" s="171">
        <v>6</v>
      </c>
      <c r="E30" s="171">
        <v>1</v>
      </c>
      <c r="F30" s="171">
        <v>4</v>
      </c>
      <c r="G30" s="171">
        <v>0</v>
      </c>
      <c r="H30" s="171">
        <v>2</v>
      </c>
      <c r="I30" s="171">
        <v>0</v>
      </c>
      <c r="J30" s="171">
        <v>0</v>
      </c>
      <c r="K30" s="171">
        <v>0</v>
      </c>
      <c r="L30" s="171">
        <v>0</v>
      </c>
      <c r="M30" s="171">
        <v>0</v>
      </c>
      <c r="N30" s="171">
        <v>1</v>
      </c>
      <c r="O30" s="171">
        <v>0</v>
      </c>
      <c r="P30" s="171">
        <v>0</v>
      </c>
      <c r="Q30" s="171">
        <v>0</v>
      </c>
      <c r="R30" s="171">
        <v>0</v>
      </c>
      <c r="S30" s="171">
        <v>0</v>
      </c>
      <c r="T30" s="171">
        <v>0</v>
      </c>
      <c r="U30" s="171">
        <v>0</v>
      </c>
      <c r="V30" s="171">
        <v>0</v>
      </c>
      <c r="W30" s="171">
        <v>0</v>
      </c>
      <c r="X30" s="171">
        <v>0</v>
      </c>
      <c r="Y30" s="171">
        <v>0</v>
      </c>
      <c r="Z30" s="171">
        <v>0</v>
      </c>
      <c r="AA30" s="171">
        <v>0</v>
      </c>
      <c r="AB30" s="171">
        <v>1</v>
      </c>
      <c r="AC30" s="171">
        <v>0</v>
      </c>
      <c r="AD30" s="171">
        <v>0</v>
      </c>
      <c r="AE30" s="171">
        <v>0</v>
      </c>
      <c r="AF30" s="171">
        <v>0</v>
      </c>
      <c r="AG30" s="171">
        <v>0</v>
      </c>
      <c r="AH30" s="171">
        <v>0</v>
      </c>
      <c r="AI30" s="171">
        <v>0</v>
      </c>
      <c r="AJ30" s="171">
        <v>0</v>
      </c>
      <c r="AK30" s="171">
        <v>0</v>
      </c>
      <c r="AL30" s="171">
        <v>0</v>
      </c>
      <c r="AM30" s="171">
        <v>0</v>
      </c>
      <c r="AN30" s="171">
        <v>0</v>
      </c>
    </row>
    <row r="31" spans="3:40" x14ac:dyDescent="0.3">
      <c r="C31" s="171">
        <v>54</v>
      </c>
      <c r="D31" s="171">
        <v>6</v>
      </c>
      <c r="E31" s="171">
        <v>2</v>
      </c>
      <c r="F31" s="171">
        <v>576</v>
      </c>
      <c r="G31" s="171">
        <v>0</v>
      </c>
      <c r="H31" s="171">
        <v>264</v>
      </c>
      <c r="I31" s="171">
        <v>0</v>
      </c>
      <c r="J31" s="171">
        <v>0</v>
      </c>
      <c r="K31" s="171">
        <v>0</v>
      </c>
      <c r="L31" s="171">
        <v>0</v>
      </c>
      <c r="M31" s="171">
        <v>0</v>
      </c>
      <c r="N31" s="171">
        <v>160</v>
      </c>
      <c r="O31" s="171">
        <v>0</v>
      </c>
      <c r="P31" s="171">
        <v>0</v>
      </c>
      <c r="Q31" s="171">
        <v>0</v>
      </c>
      <c r="R31" s="171">
        <v>0</v>
      </c>
      <c r="S31" s="171">
        <v>0</v>
      </c>
      <c r="T31" s="171">
        <v>0</v>
      </c>
      <c r="U31" s="171">
        <v>0</v>
      </c>
      <c r="V31" s="171">
        <v>0</v>
      </c>
      <c r="W31" s="171">
        <v>0</v>
      </c>
      <c r="X31" s="171">
        <v>0</v>
      </c>
      <c r="Y31" s="171">
        <v>0</v>
      </c>
      <c r="Z31" s="171">
        <v>0</v>
      </c>
      <c r="AA31" s="171">
        <v>0</v>
      </c>
      <c r="AB31" s="171">
        <v>152</v>
      </c>
      <c r="AC31" s="171">
        <v>0</v>
      </c>
      <c r="AD31" s="171">
        <v>0</v>
      </c>
      <c r="AE31" s="171">
        <v>0</v>
      </c>
      <c r="AF31" s="171">
        <v>0</v>
      </c>
      <c r="AG31" s="171">
        <v>0</v>
      </c>
      <c r="AH31" s="171">
        <v>0</v>
      </c>
      <c r="AI31" s="171">
        <v>0</v>
      </c>
      <c r="AJ31" s="171">
        <v>0</v>
      </c>
      <c r="AK31" s="171">
        <v>0</v>
      </c>
      <c r="AL31" s="171">
        <v>0</v>
      </c>
      <c r="AM31" s="171">
        <v>0</v>
      </c>
      <c r="AN31" s="171">
        <v>0</v>
      </c>
    </row>
    <row r="32" spans="3:40" x14ac:dyDescent="0.3">
      <c r="C32" s="171">
        <v>54</v>
      </c>
      <c r="D32" s="171">
        <v>6</v>
      </c>
      <c r="E32" s="171">
        <v>5</v>
      </c>
      <c r="F32" s="171">
        <v>20</v>
      </c>
      <c r="G32" s="171">
        <v>20</v>
      </c>
      <c r="H32" s="171">
        <v>0</v>
      </c>
      <c r="I32" s="171">
        <v>0</v>
      </c>
      <c r="J32" s="171">
        <v>0</v>
      </c>
      <c r="K32" s="171">
        <v>0</v>
      </c>
      <c r="L32" s="171">
        <v>0</v>
      </c>
      <c r="M32" s="171">
        <v>0</v>
      </c>
      <c r="N32" s="171">
        <v>0</v>
      </c>
      <c r="O32" s="171">
        <v>0</v>
      </c>
      <c r="P32" s="171">
        <v>0</v>
      </c>
      <c r="Q32" s="171">
        <v>0</v>
      </c>
      <c r="R32" s="171">
        <v>0</v>
      </c>
      <c r="S32" s="171">
        <v>0</v>
      </c>
      <c r="T32" s="171">
        <v>0</v>
      </c>
      <c r="U32" s="171">
        <v>0</v>
      </c>
      <c r="V32" s="171">
        <v>0</v>
      </c>
      <c r="W32" s="171">
        <v>0</v>
      </c>
      <c r="X32" s="171">
        <v>0</v>
      </c>
      <c r="Y32" s="171">
        <v>0</v>
      </c>
      <c r="Z32" s="171">
        <v>0</v>
      </c>
      <c r="AA32" s="171">
        <v>0</v>
      </c>
      <c r="AB32" s="171">
        <v>0</v>
      </c>
      <c r="AC32" s="171">
        <v>0</v>
      </c>
      <c r="AD32" s="171">
        <v>0</v>
      </c>
      <c r="AE32" s="171">
        <v>0</v>
      </c>
      <c r="AF32" s="171">
        <v>0</v>
      </c>
      <c r="AG32" s="171">
        <v>0</v>
      </c>
      <c r="AH32" s="171">
        <v>0</v>
      </c>
      <c r="AI32" s="171">
        <v>0</v>
      </c>
      <c r="AJ32" s="171">
        <v>0</v>
      </c>
      <c r="AK32" s="171">
        <v>0</v>
      </c>
      <c r="AL32" s="171">
        <v>0</v>
      </c>
      <c r="AM32" s="171">
        <v>0</v>
      </c>
      <c r="AN32" s="171">
        <v>0</v>
      </c>
    </row>
    <row r="33" spans="3:40" x14ac:dyDescent="0.3">
      <c r="C33" s="171">
        <v>54</v>
      </c>
      <c r="D33" s="171">
        <v>6</v>
      </c>
      <c r="E33" s="171">
        <v>6</v>
      </c>
      <c r="F33" s="171">
        <v>145570</v>
      </c>
      <c r="G33" s="171">
        <v>5000</v>
      </c>
      <c r="H33" s="171">
        <v>95944</v>
      </c>
      <c r="I33" s="171">
        <v>0</v>
      </c>
      <c r="J33" s="171">
        <v>0</v>
      </c>
      <c r="K33" s="171">
        <v>0</v>
      </c>
      <c r="L33" s="171">
        <v>0</v>
      </c>
      <c r="M33" s="171">
        <v>0</v>
      </c>
      <c r="N33" s="171">
        <v>23876</v>
      </c>
      <c r="O33" s="171">
        <v>0</v>
      </c>
      <c r="P33" s="171">
        <v>0</v>
      </c>
      <c r="Q33" s="171">
        <v>0</v>
      </c>
      <c r="R33" s="171">
        <v>0</v>
      </c>
      <c r="S33" s="171">
        <v>0</v>
      </c>
      <c r="T33" s="171">
        <v>0</v>
      </c>
      <c r="U33" s="171">
        <v>0</v>
      </c>
      <c r="V33" s="171">
        <v>0</v>
      </c>
      <c r="W33" s="171">
        <v>0</v>
      </c>
      <c r="X33" s="171">
        <v>0</v>
      </c>
      <c r="Y33" s="171">
        <v>0</v>
      </c>
      <c r="Z33" s="171">
        <v>0</v>
      </c>
      <c r="AA33" s="171">
        <v>0</v>
      </c>
      <c r="AB33" s="171">
        <v>20435</v>
      </c>
      <c r="AC33" s="171">
        <v>0</v>
      </c>
      <c r="AD33" s="171">
        <v>0</v>
      </c>
      <c r="AE33" s="171">
        <v>0</v>
      </c>
      <c r="AF33" s="171">
        <v>0</v>
      </c>
      <c r="AG33" s="171">
        <v>0</v>
      </c>
      <c r="AH33" s="171">
        <v>0</v>
      </c>
      <c r="AI33" s="171">
        <v>0</v>
      </c>
      <c r="AJ33" s="171">
        <v>0</v>
      </c>
      <c r="AK33" s="171">
        <v>315</v>
      </c>
      <c r="AL33" s="171">
        <v>0</v>
      </c>
      <c r="AM33" s="171">
        <v>0</v>
      </c>
      <c r="AN33" s="171">
        <v>0</v>
      </c>
    </row>
    <row r="34" spans="3:40" x14ac:dyDescent="0.3">
      <c r="C34" s="171">
        <v>54</v>
      </c>
      <c r="D34" s="171">
        <v>6</v>
      </c>
      <c r="E34" s="171">
        <v>9</v>
      </c>
      <c r="F34" s="171">
        <v>250</v>
      </c>
      <c r="G34" s="171">
        <v>0</v>
      </c>
      <c r="H34" s="171">
        <v>250</v>
      </c>
      <c r="I34" s="171">
        <v>0</v>
      </c>
      <c r="J34" s="171">
        <v>0</v>
      </c>
      <c r="K34" s="171">
        <v>0</v>
      </c>
      <c r="L34" s="171">
        <v>0</v>
      </c>
      <c r="M34" s="171">
        <v>0</v>
      </c>
      <c r="N34" s="171">
        <v>0</v>
      </c>
      <c r="O34" s="171">
        <v>0</v>
      </c>
      <c r="P34" s="171">
        <v>0</v>
      </c>
      <c r="Q34" s="171">
        <v>0</v>
      </c>
      <c r="R34" s="171">
        <v>0</v>
      </c>
      <c r="S34" s="171">
        <v>0</v>
      </c>
      <c r="T34" s="171">
        <v>0</v>
      </c>
      <c r="U34" s="171">
        <v>0</v>
      </c>
      <c r="V34" s="171">
        <v>0</v>
      </c>
      <c r="W34" s="171">
        <v>0</v>
      </c>
      <c r="X34" s="171">
        <v>0</v>
      </c>
      <c r="Y34" s="171">
        <v>0</v>
      </c>
      <c r="Z34" s="171">
        <v>0</v>
      </c>
      <c r="AA34" s="171">
        <v>0</v>
      </c>
      <c r="AB34" s="171">
        <v>0</v>
      </c>
      <c r="AC34" s="171">
        <v>0</v>
      </c>
      <c r="AD34" s="171">
        <v>0</v>
      </c>
      <c r="AE34" s="171">
        <v>0</v>
      </c>
      <c r="AF34" s="171">
        <v>0</v>
      </c>
      <c r="AG34" s="171">
        <v>0</v>
      </c>
      <c r="AH34" s="171">
        <v>0</v>
      </c>
      <c r="AI34" s="171">
        <v>0</v>
      </c>
      <c r="AJ34" s="171">
        <v>0</v>
      </c>
      <c r="AK34" s="171">
        <v>0</v>
      </c>
      <c r="AL34" s="171">
        <v>0</v>
      </c>
      <c r="AM34" s="171">
        <v>0</v>
      </c>
      <c r="AN34" s="171">
        <v>0</v>
      </c>
    </row>
    <row r="35" spans="3:40" x14ac:dyDescent="0.3">
      <c r="C35" s="171">
        <v>54</v>
      </c>
      <c r="D35" s="171">
        <v>6</v>
      </c>
      <c r="E35" s="171">
        <v>11</v>
      </c>
      <c r="F35" s="171">
        <v>619.16666666666663</v>
      </c>
      <c r="G35" s="171">
        <v>0</v>
      </c>
      <c r="H35" s="171">
        <v>619.16666666666663</v>
      </c>
      <c r="I35" s="171">
        <v>0</v>
      </c>
      <c r="J35" s="171">
        <v>0</v>
      </c>
      <c r="K35" s="171">
        <v>0</v>
      </c>
      <c r="L35" s="171">
        <v>0</v>
      </c>
      <c r="M35" s="171">
        <v>0</v>
      </c>
      <c r="N35" s="171">
        <v>0</v>
      </c>
      <c r="O35" s="171">
        <v>0</v>
      </c>
      <c r="P35" s="171">
        <v>0</v>
      </c>
      <c r="Q35" s="171">
        <v>0</v>
      </c>
      <c r="R35" s="171">
        <v>0</v>
      </c>
      <c r="S35" s="171">
        <v>0</v>
      </c>
      <c r="T35" s="171">
        <v>0</v>
      </c>
      <c r="U35" s="171">
        <v>0</v>
      </c>
      <c r="V35" s="171">
        <v>0</v>
      </c>
      <c r="W35" s="171">
        <v>0</v>
      </c>
      <c r="X35" s="171">
        <v>0</v>
      </c>
      <c r="Y35" s="171">
        <v>0</v>
      </c>
      <c r="Z35" s="171">
        <v>0</v>
      </c>
      <c r="AA35" s="171">
        <v>0</v>
      </c>
      <c r="AB35" s="171">
        <v>0</v>
      </c>
      <c r="AC35" s="171">
        <v>0</v>
      </c>
      <c r="AD35" s="171">
        <v>0</v>
      </c>
      <c r="AE35" s="171">
        <v>0</v>
      </c>
      <c r="AF35" s="171">
        <v>0</v>
      </c>
      <c r="AG35" s="171">
        <v>0</v>
      </c>
      <c r="AH35" s="171">
        <v>0</v>
      </c>
      <c r="AI35" s="171">
        <v>0</v>
      </c>
      <c r="AJ35" s="171">
        <v>0</v>
      </c>
      <c r="AK35" s="171">
        <v>0</v>
      </c>
      <c r="AL35" s="171">
        <v>0</v>
      </c>
      <c r="AM35" s="171">
        <v>0</v>
      </c>
      <c r="AN35" s="171">
        <v>0</v>
      </c>
    </row>
    <row r="36" spans="3:40" x14ac:dyDescent="0.3">
      <c r="C36" s="171">
        <v>54</v>
      </c>
      <c r="D36" s="171">
        <v>7</v>
      </c>
      <c r="E36" s="171">
        <v>1</v>
      </c>
      <c r="F36" s="171">
        <v>4</v>
      </c>
      <c r="G36" s="171">
        <v>0</v>
      </c>
      <c r="H36" s="171">
        <v>2</v>
      </c>
      <c r="I36" s="171">
        <v>0</v>
      </c>
      <c r="J36" s="171">
        <v>0</v>
      </c>
      <c r="K36" s="171">
        <v>0</v>
      </c>
      <c r="L36" s="171">
        <v>0</v>
      </c>
      <c r="M36" s="171">
        <v>0</v>
      </c>
      <c r="N36" s="171">
        <v>1</v>
      </c>
      <c r="O36" s="171">
        <v>0</v>
      </c>
      <c r="P36" s="171">
        <v>0</v>
      </c>
      <c r="Q36" s="171">
        <v>0</v>
      </c>
      <c r="R36" s="171">
        <v>0</v>
      </c>
      <c r="S36" s="171">
        <v>0</v>
      </c>
      <c r="T36" s="171">
        <v>0</v>
      </c>
      <c r="U36" s="171">
        <v>0</v>
      </c>
      <c r="V36" s="171">
        <v>0</v>
      </c>
      <c r="W36" s="171">
        <v>0</v>
      </c>
      <c r="X36" s="171">
        <v>0</v>
      </c>
      <c r="Y36" s="171">
        <v>0</v>
      </c>
      <c r="Z36" s="171">
        <v>0</v>
      </c>
      <c r="AA36" s="171">
        <v>0</v>
      </c>
      <c r="AB36" s="171">
        <v>1</v>
      </c>
      <c r="AC36" s="171">
        <v>0</v>
      </c>
      <c r="AD36" s="171">
        <v>0</v>
      </c>
      <c r="AE36" s="171">
        <v>0</v>
      </c>
      <c r="AF36" s="171">
        <v>0</v>
      </c>
      <c r="AG36" s="171">
        <v>0</v>
      </c>
      <c r="AH36" s="171">
        <v>0</v>
      </c>
      <c r="AI36" s="171">
        <v>0</v>
      </c>
      <c r="AJ36" s="171">
        <v>0</v>
      </c>
      <c r="AK36" s="171">
        <v>0</v>
      </c>
      <c r="AL36" s="171">
        <v>0</v>
      </c>
      <c r="AM36" s="171">
        <v>0</v>
      </c>
      <c r="AN36" s="171">
        <v>0</v>
      </c>
    </row>
    <row r="37" spans="3:40" x14ac:dyDescent="0.3">
      <c r="C37" s="171">
        <v>54</v>
      </c>
      <c r="D37" s="171">
        <v>7</v>
      </c>
      <c r="E37" s="171">
        <v>2</v>
      </c>
      <c r="F37" s="171">
        <v>608</v>
      </c>
      <c r="G37" s="171">
        <v>0</v>
      </c>
      <c r="H37" s="171">
        <v>336</v>
      </c>
      <c r="I37" s="171">
        <v>0</v>
      </c>
      <c r="J37" s="171">
        <v>0</v>
      </c>
      <c r="K37" s="171">
        <v>0</v>
      </c>
      <c r="L37" s="171">
        <v>0</v>
      </c>
      <c r="M37" s="171">
        <v>0</v>
      </c>
      <c r="N37" s="171">
        <v>128</v>
      </c>
      <c r="O37" s="171">
        <v>0</v>
      </c>
      <c r="P37" s="171">
        <v>0</v>
      </c>
      <c r="Q37" s="171">
        <v>0</v>
      </c>
      <c r="R37" s="171">
        <v>0</v>
      </c>
      <c r="S37" s="171">
        <v>0</v>
      </c>
      <c r="T37" s="171">
        <v>0</v>
      </c>
      <c r="U37" s="171">
        <v>0</v>
      </c>
      <c r="V37" s="171">
        <v>0</v>
      </c>
      <c r="W37" s="171">
        <v>0</v>
      </c>
      <c r="X37" s="171">
        <v>0</v>
      </c>
      <c r="Y37" s="171">
        <v>0</v>
      </c>
      <c r="Z37" s="171">
        <v>0</v>
      </c>
      <c r="AA37" s="171">
        <v>0</v>
      </c>
      <c r="AB37" s="171">
        <v>144</v>
      </c>
      <c r="AC37" s="171">
        <v>0</v>
      </c>
      <c r="AD37" s="171">
        <v>0</v>
      </c>
      <c r="AE37" s="171">
        <v>0</v>
      </c>
      <c r="AF37" s="171">
        <v>0</v>
      </c>
      <c r="AG37" s="171">
        <v>0</v>
      </c>
      <c r="AH37" s="171">
        <v>0</v>
      </c>
      <c r="AI37" s="171">
        <v>0</v>
      </c>
      <c r="AJ37" s="171">
        <v>0</v>
      </c>
      <c r="AK37" s="171">
        <v>0</v>
      </c>
      <c r="AL37" s="171">
        <v>0</v>
      </c>
      <c r="AM37" s="171">
        <v>0</v>
      </c>
      <c r="AN37" s="171">
        <v>0</v>
      </c>
    </row>
    <row r="38" spans="3:40" x14ac:dyDescent="0.3">
      <c r="C38" s="171">
        <v>54</v>
      </c>
      <c r="D38" s="171">
        <v>7</v>
      </c>
      <c r="E38" s="171">
        <v>5</v>
      </c>
      <c r="F38" s="171">
        <v>20</v>
      </c>
      <c r="G38" s="171">
        <v>20</v>
      </c>
      <c r="H38" s="171">
        <v>0</v>
      </c>
      <c r="I38" s="171">
        <v>0</v>
      </c>
      <c r="J38" s="171">
        <v>0</v>
      </c>
      <c r="K38" s="171">
        <v>0</v>
      </c>
      <c r="L38" s="171">
        <v>0</v>
      </c>
      <c r="M38" s="171">
        <v>0</v>
      </c>
      <c r="N38" s="171">
        <v>0</v>
      </c>
      <c r="O38" s="171">
        <v>0</v>
      </c>
      <c r="P38" s="171">
        <v>0</v>
      </c>
      <c r="Q38" s="171">
        <v>0</v>
      </c>
      <c r="R38" s="171">
        <v>0</v>
      </c>
      <c r="S38" s="171">
        <v>0</v>
      </c>
      <c r="T38" s="171">
        <v>0</v>
      </c>
      <c r="U38" s="171">
        <v>0</v>
      </c>
      <c r="V38" s="171">
        <v>0</v>
      </c>
      <c r="W38" s="171">
        <v>0</v>
      </c>
      <c r="X38" s="171">
        <v>0</v>
      </c>
      <c r="Y38" s="171">
        <v>0</v>
      </c>
      <c r="Z38" s="171">
        <v>0</v>
      </c>
      <c r="AA38" s="171">
        <v>0</v>
      </c>
      <c r="AB38" s="171">
        <v>0</v>
      </c>
      <c r="AC38" s="171">
        <v>0</v>
      </c>
      <c r="AD38" s="171">
        <v>0</v>
      </c>
      <c r="AE38" s="171">
        <v>0</v>
      </c>
      <c r="AF38" s="171">
        <v>0</v>
      </c>
      <c r="AG38" s="171">
        <v>0</v>
      </c>
      <c r="AH38" s="171">
        <v>0</v>
      </c>
      <c r="AI38" s="171">
        <v>0</v>
      </c>
      <c r="AJ38" s="171">
        <v>0</v>
      </c>
      <c r="AK38" s="171">
        <v>0</v>
      </c>
      <c r="AL38" s="171">
        <v>0</v>
      </c>
      <c r="AM38" s="171">
        <v>0</v>
      </c>
      <c r="AN38" s="171">
        <v>0</v>
      </c>
    </row>
    <row r="39" spans="3:40" x14ac:dyDescent="0.3">
      <c r="C39" s="171">
        <v>54</v>
      </c>
      <c r="D39" s="171">
        <v>7</v>
      </c>
      <c r="E39" s="171">
        <v>6</v>
      </c>
      <c r="F39" s="171">
        <v>214607</v>
      </c>
      <c r="G39" s="171">
        <v>5000</v>
      </c>
      <c r="H39" s="171">
        <v>145967</v>
      </c>
      <c r="I39" s="171">
        <v>0</v>
      </c>
      <c r="J39" s="171">
        <v>0</v>
      </c>
      <c r="K39" s="171">
        <v>0</v>
      </c>
      <c r="L39" s="171">
        <v>0</v>
      </c>
      <c r="M39" s="171">
        <v>0</v>
      </c>
      <c r="N39" s="171">
        <v>34103</v>
      </c>
      <c r="O39" s="171">
        <v>0</v>
      </c>
      <c r="P39" s="171">
        <v>0</v>
      </c>
      <c r="Q39" s="171">
        <v>0</v>
      </c>
      <c r="R39" s="171">
        <v>0</v>
      </c>
      <c r="S39" s="171">
        <v>0</v>
      </c>
      <c r="T39" s="171">
        <v>0</v>
      </c>
      <c r="U39" s="171">
        <v>0</v>
      </c>
      <c r="V39" s="171">
        <v>0</v>
      </c>
      <c r="W39" s="171">
        <v>0</v>
      </c>
      <c r="X39" s="171">
        <v>0</v>
      </c>
      <c r="Y39" s="171">
        <v>0</v>
      </c>
      <c r="Z39" s="171">
        <v>0</v>
      </c>
      <c r="AA39" s="171">
        <v>0</v>
      </c>
      <c r="AB39" s="171">
        <v>28937</v>
      </c>
      <c r="AC39" s="171">
        <v>0</v>
      </c>
      <c r="AD39" s="171">
        <v>0</v>
      </c>
      <c r="AE39" s="171">
        <v>0</v>
      </c>
      <c r="AF39" s="171">
        <v>0</v>
      </c>
      <c r="AG39" s="171">
        <v>0</v>
      </c>
      <c r="AH39" s="171">
        <v>0</v>
      </c>
      <c r="AI39" s="171">
        <v>0</v>
      </c>
      <c r="AJ39" s="171">
        <v>0</v>
      </c>
      <c r="AK39" s="171">
        <v>600</v>
      </c>
      <c r="AL39" s="171">
        <v>0</v>
      </c>
      <c r="AM39" s="171">
        <v>0</v>
      </c>
      <c r="AN39" s="171">
        <v>0</v>
      </c>
    </row>
    <row r="40" spans="3:40" x14ac:dyDescent="0.3">
      <c r="C40" s="171">
        <v>54</v>
      </c>
      <c r="D40" s="171">
        <v>7</v>
      </c>
      <c r="E40" s="171">
        <v>9</v>
      </c>
      <c r="F40" s="171">
        <v>67295</v>
      </c>
      <c r="G40" s="171">
        <v>0</v>
      </c>
      <c r="H40" s="171">
        <v>49676</v>
      </c>
      <c r="I40" s="171">
        <v>0</v>
      </c>
      <c r="J40" s="171">
        <v>0</v>
      </c>
      <c r="K40" s="171">
        <v>0</v>
      </c>
      <c r="L40" s="171">
        <v>0</v>
      </c>
      <c r="M40" s="171">
        <v>0</v>
      </c>
      <c r="N40" s="171">
        <v>9752</v>
      </c>
      <c r="O40" s="171">
        <v>0</v>
      </c>
      <c r="P40" s="171">
        <v>0</v>
      </c>
      <c r="Q40" s="171">
        <v>0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7867</v>
      </c>
      <c r="AC40" s="171">
        <v>0</v>
      </c>
      <c r="AD40" s="171">
        <v>0</v>
      </c>
      <c r="AE40" s="171">
        <v>0</v>
      </c>
      <c r="AF40" s="171">
        <v>0</v>
      </c>
      <c r="AG40" s="171">
        <v>0</v>
      </c>
      <c r="AH40" s="171">
        <v>0</v>
      </c>
      <c r="AI40" s="171">
        <v>0</v>
      </c>
      <c r="AJ40" s="171">
        <v>0</v>
      </c>
      <c r="AK40" s="171">
        <v>0</v>
      </c>
      <c r="AL40" s="171">
        <v>0</v>
      </c>
      <c r="AM40" s="171">
        <v>0</v>
      </c>
      <c r="AN40" s="171">
        <v>0</v>
      </c>
    </row>
    <row r="41" spans="3:40" x14ac:dyDescent="0.3">
      <c r="C41" s="171">
        <v>54</v>
      </c>
      <c r="D41" s="171">
        <v>7</v>
      </c>
      <c r="E41" s="171">
        <v>11</v>
      </c>
      <c r="F41" s="171">
        <v>619.16666666666663</v>
      </c>
      <c r="G41" s="171">
        <v>0</v>
      </c>
      <c r="H41" s="171">
        <v>619.16666666666663</v>
      </c>
      <c r="I41" s="171">
        <v>0</v>
      </c>
      <c r="J41" s="171">
        <v>0</v>
      </c>
      <c r="K41" s="171">
        <v>0</v>
      </c>
      <c r="L41" s="171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71">
        <v>0</v>
      </c>
      <c r="T41" s="171">
        <v>0</v>
      </c>
      <c r="U41" s="171">
        <v>0</v>
      </c>
      <c r="V41" s="171">
        <v>0</v>
      </c>
      <c r="W41" s="171">
        <v>0</v>
      </c>
      <c r="X41" s="171">
        <v>0</v>
      </c>
      <c r="Y41" s="171">
        <v>0</v>
      </c>
      <c r="Z41" s="171">
        <v>0</v>
      </c>
      <c r="AA41" s="171">
        <v>0</v>
      </c>
      <c r="AB41" s="171">
        <v>0</v>
      </c>
      <c r="AC41" s="171">
        <v>0</v>
      </c>
      <c r="AD41" s="171">
        <v>0</v>
      </c>
      <c r="AE41" s="171">
        <v>0</v>
      </c>
      <c r="AF41" s="171">
        <v>0</v>
      </c>
      <c r="AG41" s="171">
        <v>0</v>
      </c>
      <c r="AH41" s="171">
        <v>0</v>
      </c>
      <c r="AI41" s="171">
        <v>0</v>
      </c>
      <c r="AJ41" s="171">
        <v>0</v>
      </c>
      <c r="AK41" s="171">
        <v>0</v>
      </c>
      <c r="AL41" s="171">
        <v>0</v>
      </c>
      <c r="AM41" s="171">
        <v>0</v>
      </c>
      <c r="AN41" s="171">
        <v>0</v>
      </c>
    </row>
    <row r="42" spans="3:40" x14ac:dyDescent="0.3">
      <c r="C42" s="171">
        <v>54</v>
      </c>
      <c r="D42" s="171">
        <v>8</v>
      </c>
      <c r="E42" s="171">
        <v>1</v>
      </c>
      <c r="F42" s="171">
        <v>4</v>
      </c>
      <c r="G42" s="171">
        <v>0</v>
      </c>
      <c r="H42" s="171">
        <v>2</v>
      </c>
      <c r="I42" s="171">
        <v>0</v>
      </c>
      <c r="J42" s="171">
        <v>0</v>
      </c>
      <c r="K42" s="171">
        <v>0</v>
      </c>
      <c r="L42" s="171">
        <v>0</v>
      </c>
      <c r="M42" s="171">
        <v>0</v>
      </c>
      <c r="N42" s="171">
        <v>1</v>
      </c>
      <c r="O42" s="171">
        <v>0</v>
      </c>
      <c r="P42" s="171">
        <v>0</v>
      </c>
      <c r="Q42" s="171">
        <v>0</v>
      </c>
      <c r="R42" s="171">
        <v>0</v>
      </c>
      <c r="S42" s="171">
        <v>0</v>
      </c>
      <c r="T42" s="171">
        <v>0</v>
      </c>
      <c r="U42" s="171">
        <v>0</v>
      </c>
      <c r="V42" s="171">
        <v>0</v>
      </c>
      <c r="W42" s="171">
        <v>0</v>
      </c>
      <c r="X42" s="171">
        <v>0</v>
      </c>
      <c r="Y42" s="171">
        <v>0</v>
      </c>
      <c r="Z42" s="171">
        <v>0</v>
      </c>
      <c r="AA42" s="171">
        <v>0</v>
      </c>
      <c r="AB42" s="171">
        <v>1</v>
      </c>
      <c r="AC42" s="171">
        <v>0</v>
      </c>
      <c r="AD42" s="171">
        <v>0</v>
      </c>
      <c r="AE42" s="171">
        <v>0</v>
      </c>
      <c r="AF42" s="171">
        <v>0</v>
      </c>
      <c r="AG42" s="171">
        <v>0</v>
      </c>
      <c r="AH42" s="171">
        <v>0</v>
      </c>
      <c r="AI42" s="171">
        <v>0</v>
      </c>
      <c r="AJ42" s="171">
        <v>0</v>
      </c>
      <c r="AK42" s="171">
        <v>0</v>
      </c>
      <c r="AL42" s="171">
        <v>0</v>
      </c>
      <c r="AM42" s="171">
        <v>0</v>
      </c>
      <c r="AN42" s="171">
        <v>0</v>
      </c>
    </row>
    <row r="43" spans="3:40" x14ac:dyDescent="0.3">
      <c r="C43" s="171">
        <v>54</v>
      </c>
      <c r="D43" s="171">
        <v>8</v>
      </c>
      <c r="E43" s="171">
        <v>2</v>
      </c>
      <c r="F43" s="171">
        <v>576</v>
      </c>
      <c r="G43" s="171">
        <v>0</v>
      </c>
      <c r="H43" s="171">
        <v>312</v>
      </c>
      <c r="I43" s="171">
        <v>0</v>
      </c>
      <c r="J43" s="171">
        <v>0</v>
      </c>
      <c r="K43" s="171">
        <v>0</v>
      </c>
      <c r="L43" s="171">
        <v>0</v>
      </c>
      <c r="M43" s="171">
        <v>0</v>
      </c>
      <c r="N43" s="171">
        <v>120</v>
      </c>
      <c r="O43" s="171">
        <v>0</v>
      </c>
      <c r="P43" s="171">
        <v>0</v>
      </c>
      <c r="Q43" s="171">
        <v>0</v>
      </c>
      <c r="R43" s="171">
        <v>0</v>
      </c>
      <c r="S43" s="171">
        <v>0</v>
      </c>
      <c r="T43" s="171">
        <v>0</v>
      </c>
      <c r="U43" s="171">
        <v>0</v>
      </c>
      <c r="V43" s="171">
        <v>0</v>
      </c>
      <c r="W43" s="171">
        <v>0</v>
      </c>
      <c r="X43" s="171">
        <v>0</v>
      </c>
      <c r="Y43" s="171">
        <v>0</v>
      </c>
      <c r="Z43" s="171">
        <v>0</v>
      </c>
      <c r="AA43" s="171">
        <v>0</v>
      </c>
      <c r="AB43" s="171">
        <v>144</v>
      </c>
      <c r="AC43" s="171">
        <v>0</v>
      </c>
      <c r="AD43" s="171">
        <v>0</v>
      </c>
      <c r="AE43" s="171">
        <v>0</v>
      </c>
      <c r="AF43" s="171">
        <v>0</v>
      </c>
      <c r="AG43" s="171">
        <v>0</v>
      </c>
      <c r="AH43" s="171">
        <v>0</v>
      </c>
      <c r="AI43" s="171">
        <v>0</v>
      </c>
      <c r="AJ43" s="171">
        <v>0</v>
      </c>
      <c r="AK43" s="171">
        <v>0</v>
      </c>
      <c r="AL43" s="171">
        <v>0</v>
      </c>
      <c r="AM43" s="171">
        <v>0</v>
      </c>
      <c r="AN43" s="171">
        <v>0</v>
      </c>
    </row>
    <row r="44" spans="3:40" x14ac:dyDescent="0.3">
      <c r="C44" s="171">
        <v>54</v>
      </c>
      <c r="D44" s="171">
        <v>8</v>
      </c>
      <c r="E44" s="171">
        <v>5</v>
      </c>
      <c r="F44" s="171">
        <v>20</v>
      </c>
      <c r="G44" s="171">
        <v>20</v>
      </c>
      <c r="H44" s="171">
        <v>0</v>
      </c>
      <c r="I44" s="171">
        <v>0</v>
      </c>
      <c r="J44" s="171">
        <v>0</v>
      </c>
      <c r="K44" s="171">
        <v>0</v>
      </c>
      <c r="L44" s="171">
        <v>0</v>
      </c>
      <c r="M44" s="171">
        <v>0</v>
      </c>
      <c r="N44" s="171">
        <v>0</v>
      </c>
      <c r="O44" s="171">
        <v>0</v>
      </c>
      <c r="P44" s="171">
        <v>0</v>
      </c>
      <c r="Q44" s="171">
        <v>0</v>
      </c>
      <c r="R44" s="171">
        <v>0</v>
      </c>
      <c r="S44" s="171">
        <v>0</v>
      </c>
      <c r="T44" s="171">
        <v>0</v>
      </c>
      <c r="U44" s="171">
        <v>0</v>
      </c>
      <c r="V44" s="171">
        <v>0</v>
      </c>
      <c r="W44" s="171">
        <v>0</v>
      </c>
      <c r="X44" s="171">
        <v>0</v>
      </c>
      <c r="Y44" s="171">
        <v>0</v>
      </c>
      <c r="Z44" s="171">
        <v>0</v>
      </c>
      <c r="AA44" s="171">
        <v>0</v>
      </c>
      <c r="AB44" s="171">
        <v>0</v>
      </c>
      <c r="AC44" s="171">
        <v>0</v>
      </c>
      <c r="AD44" s="171">
        <v>0</v>
      </c>
      <c r="AE44" s="171">
        <v>0</v>
      </c>
      <c r="AF44" s="171">
        <v>0</v>
      </c>
      <c r="AG44" s="171">
        <v>0</v>
      </c>
      <c r="AH44" s="171">
        <v>0</v>
      </c>
      <c r="AI44" s="171">
        <v>0</v>
      </c>
      <c r="AJ44" s="171">
        <v>0</v>
      </c>
      <c r="AK44" s="171">
        <v>0</v>
      </c>
      <c r="AL44" s="171">
        <v>0</v>
      </c>
      <c r="AM44" s="171">
        <v>0</v>
      </c>
      <c r="AN44" s="171">
        <v>0</v>
      </c>
    </row>
    <row r="45" spans="3:40" x14ac:dyDescent="0.3">
      <c r="C45" s="171">
        <v>54</v>
      </c>
      <c r="D45" s="171">
        <v>8</v>
      </c>
      <c r="E45" s="171">
        <v>6</v>
      </c>
      <c r="F45" s="171">
        <v>146770</v>
      </c>
      <c r="G45" s="171">
        <v>5000</v>
      </c>
      <c r="H45" s="171">
        <v>96922</v>
      </c>
      <c r="I45" s="171">
        <v>0</v>
      </c>
      <c r="J45" s="171">
        <v>0</v>
      </c>
      <c r="K45" s="171">
        <v>0</v>
      </c>
      <c r="L45" s="171">
        <v>0</v>
      </c>
      <c r="M45" s="171">
        <v>0</v>
      </c>
      <c r="N45" s="171">
        <v>23692</v>
      </c>
      <c r="O45" s="171">
        <v>0</v>
      </c>
      <c r="P45" s="171">
        <v>0</v>
      </c>
      <c r="Q45" s="171">
        <v>0</v>
      </c>
      <c r="R45" s="171">
        <v>0</v>
      </c>
      <c r="S45" s="171">
        <v>0</v>
      </c>
      <c r="T45" s="171">
        <v>0</v>
      </c>
      <c r="U45" s="171">
        <v>0</v>
      </c>
      <c r="V45" s="171">
        <v>0</v>
      </c>
      <c r="W45" s="171">
        <v>0</v>
      </c>
      <c r="X45" s="171">
        <v>0</v>
      </c>
      <c r="Y45" s="171">
        <v>0</v>
      </c>
      <c r="Z45" s="171">
        <v>0</v>
      </c>
      <c r="AA45" s="171">
        <v>0</v>
      </c>
      <c r="AB45" s="171">
        <v>20699</v>
      </c>
      <c r="AC45" s="171">
        <v>0</v>
      </c>
      <c r="AD45" s="171">
        <v>0</v>
      </c>
      <c r="AE45" s="171">
        <v>0</v>
      </c>
      <c r="AF45" s="171">
        <v>0</v>
      </c>
      <c r="AG45" s="171">
        <v>0</v>
      </c>
      <c r="AH45" s="171">
        <v>0</v>
      </c>
      <c r="AI45" s="171">
        <v>0</v>
      </c>
      <c r="AJ45" s="171">
        <v>0</v>
      </c>
      <c r="AK45" s="171">
        <v>457</v>
      </c>
      <c r="AL45" s="171">
        <v>0</v>
      </c>
      <c r="AM45" s="171">
        <v>0</v>
      </c>
      <c r="AN45" s="171">
        <v>0</v>
      </c>
    </row>
    <row r="46" spans="3:40" x14ac:dyDescent="0.3">
      <c r="C46" s="171">
        <v>54</v>
      </c>
      <c r="D46" s="171">
        <v>8</v>
      </c>
      <c r="E46" s="171">
        <v>11</v>
      </c>
      <c r="F46" s="171">
        <v>619.16666666666663</v>
      </c>
      <c r="G46" s="171">
        <v>0</v>
      </c>
      <c r="H46" s="171">
        <v>619.16666666666663</v>
      </c>
      <c r="I46" s="171">
        <v>0</v>
      </c>
      <c r="J46" s="171">
        <v>0</v>
      </c>
      <c r="K46" s="171">
        <v>0</v>
      </c>
      <c r="L46" s="171">
        <v>0</v>
      </c>
      <c r="M46" s="171">
        <v>0</v>
      </c>
      <c r="N46" s="171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  <c r="U46" s="171">
        <v>0</v>
      </c>
      <c r="V46" s="171">
        <v>0</v>
      </c>
      <c r="W46" s="171">
        <v>0</v>
      </c>
      <c r="X46" s="171">
        <v>0</v>
      </c>
      <c r="Y46" s="171">
        <v>0</v>
      </c>
      <c r="Z46" s="171">
        <v>0</v>
      </c>
      <c r="AA46" s="171">
        <v>0</v>
      </c>
      <c r="AB46" s="171">
        <v>0</v>
      </c>
      <c r="AC46" s="171">
        <v>0</v>
      </c>
      <c r="AD46" s="171">
        <v>0</v>
      </c>
      <c r="AE46" s="171">
        <v>0</v>
      </c>
      <c r="AF46" s="171">
        <v>0</v>
      </c>
      <c r="AG46" s="171">
        <v>0</v>
      </c>
      <c r="AH46" s="171">
        <v>0</v>
      </c>
      <c r="AI46" s="171">
        <v>0</v>
      </c>
      <c r="AJ46" s="171">
        <v>0</v>
      </c>
      <c r="AK46" s="171">
        <v>0</v>
      </c>
      <c r="AL46" s="171">
        <v>0</v>
      </c>
      <c r="AM46" s="171">
        <v>0</v>
      </c>
      <c r="AN46" s="171">
        <v>0</v>
      </c>
    </row>
  </sheetData>
  <hyperlinks>
    <hyperlink ref="A2" location="Obsah!A1" display="Zpět na Obsah  KL 01  1.-4.měsíc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>
    <tabColor rgb="FFFFFF66"/>
    <pageSetUpPr fitToPage="1"/>
  </sheetPr>
  <dimension ref="A1:E20"/>
  <sheetViews>
    <sheetView showGridLines="0" showRowColHeaders="0" zoomScaleNormal="100" workbookViewId="0">
      <pane ySplit="3" topLeftCell="A4" activePane="bottomLeft" state="frozen"/>
      <selection pane="bottomLeft" sqref="A1:E1"/>
    </sheetView>
  </sheetViews>
  <sheetFormatPr defaultRowHeight="13.8" x14ac:dyDescent="0.3"/>
  <cols>
    <col min="1" max="1" width="104.109375" style="114" bestFit="1" customWidth="1"/>
    <col min="2" max="2" width="11.6640625" style="114" hidden="1" customWidth="1"/>
    <col min="3" max="4" width="11" style="116" customWidth="1"/>
    <col min="5" max="5" width="11" style="117" customWidth="1"/>
    <col min="6" max="16384" width="8.88671875" style="114"/>
  </cols>
  <sheetData>
    <row r="1" spans="1:5" ht="18.600000000000001" thickBot="1" x14ac:dyDescent="0.4">
      <c r="A1" s="261" t="s">
        <v>68</v>
      </c>
      <c r="B1" s="261"/>
      <c r="C1" s="262"/>
      <c r="D1" s="262"/>
      <c r="E1" s="262"/>
    </row>
    <row r="2" spans="1:5" ht="14.4" customHeight="1" thickBot="1" x14ac:dyDescent="0.35">
      <c r="A2" s="175" t="s">
        <v>199</v>
      </c>
      <c r="B2" s="115"/>
    </row>
    <row r="3" spans="1:5" ht="14.4" customHeight="1" thickBot="1" x14ac:dyDescent="0.35">
      <c r="A3" s="118"/>
      <c r="C3" s="119" t="s">
        <v>58</v>
      </c>
      <c r="D3" s="120" t="s">
        <v>51</v>
      </c>
      <c r="E3" s="121" t="s">
        <v>53</v>
      </c>
    </row>
    <row r="4" spans="1:5" ht="14.4" customHeight="1" thickBot="1" x14ac:dyDescent="0.35">
      <c r="A4" s="122" t="str">
        <f>HYPERLINK("#HI!A1","NÁKLADY CELKEM (v tisících Kč)")</f>
        <v>NÁKLADY CELKEM (v tisících Kč)</v>
      </c>
      <c r="B4" s="123"/>
      <c r="C4" s="124">
        <f ca="1">IF(ISERROR(VLOOKUP("Náklady celkem",INDIRECT("HI!$A:$G"),6,0)),0,VLOOKUP("Náklady celkem",INDIRECT("HI!$A:$G"),6,0))</f>
        <v>2015.7107422453466</v>
      </c>
      <c r="D4" s="124">
        <f ca="1">IF(ISERROR(VLOOKUP("Náklady celkem",INDIRECT("HI!$A:$G"),5,0)),0,VLOOKUP("Náklady celkem",INDIRECT("HI!$A:$G"),5,0))</f>
        <v>2066.2161700000011</v>
      </c>
      <c r="E4" s="125">
        <f ca="1">IF(C4=0,0,D4/C4)</f>
        <v>1.0250558905581837</v>
      </c>
    </row>
    <row r="5" spans="1:5" ht="14.4" customHeight="1" x14ac:dyDescent="0.3">
      <c r="A5" s="126" t="s">
        <v>77</v>
      </c>
      <c r="B5" s="127"/>
      <c r="C5" s="128"/>
      <c r="D5" s="128"/>
      <c r="E5" s="129"/>
    </row>
    <row r="6" spans="1:5" ht="14.4" customHeight="1" x14ac:dyDescent="0.3">
      <c r="A6" s="130" t="s">
        <v>82</v>
      </c>
      <c r="B6" s="131"/>
      <c r="C6" s="132"/>
      <c r="D6" s="132"/>
      <c r="E6" s="129"/>
    </row>
    <row r="7" spans="1:5" ht="14.4" customHeight="1" x14ac:dyDescent="0.3">
      <c r="A7" s="133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7" s="131" t="s">
        <v>62</v>
      </c>
      <c r="C7" s="132">
        <f>IF(ISERROR(HI!F5),"",HI!F5)</f>
        <v>0.51375553712066668</v>
      </c>
      <c r="D7" s="132">
        <f>IF(ISERROR(HI!E5),"",HI!E5)</f>
        <v>0</v>
      </c>
      <c r="E7" s="129">
        <f t="shared" ref="E7:E12" si="0">IF(C7=0,0,D7/C7)</f>
        <v>0</v>
      </c>
    </row>
    <row r="8" spans="1:5" ht="14.4" customHeight="1" x14ac:dyDescent="0.3">
      <c r="A8" s="252" t="str">
        <f>HYPERLINK("#'LŽ Statim'!A1","% podíl statimových žádanek")</f>
        <v>% podíl statimových žádanek</v>
      </c>
      <c r="B8" s="250" t="s">
        <v>197</v>
      </c>
      <c r="C8" s="251">
        <v>0.3</v>
      </c>
      <c r="D8" s="251">
        <f>IF('LŽ Statim'!G3="",0,'LŽ Statim'!G3)</f>
        <v>0</v>
      </c>
      <c r="E8" s="129">
        <f>IF(C8=0,0,D8/C8)</f>
        <v>0</v>
      </c>
    </row>
    <row r="9" spans="1:5" ht="14.4" customHeight="1" x14ac:dyDescent="0.3">
      <c r="A9" s="134" t="s">
        <v>78</v>
      </c>
      <c r="B9" s="131"/>
      <c r="C9" s="132"/>
      <c r="D9" s="132"/>
      <c r="E9" s="129"/>
    </row>
    <row r="10" spans="1:5" ht="14.4" customHeight="1" x14ac:dyDescent="0.3">
      <c r="A10" s="134" t="s">
        <v>79</v>
      </c>
      <c r="B10" s="131"/>
      <c r="C10" s="132"/>
      <c r="D10" s="132"/>
      <c r="E10" s="129"/>
    </row>
    <row r="11" spans="1:5" ht="14.4" customHeight="1" x14ac:dyDescent="0.3">
      <c r="A11" s="135" t="s">
        <v>83</v>
      </c>
      <c r="B11" s="131"/>
      <c r="C11" s="128"/>
      <c r="D11" s="128"/>
      <c r="E11" s="129"/>
    </row>
    <row r="12" spans="1:5" ht="14.4" customHeight="1" x14ac:dyDescent="0.3">
      <c r="A12" s="136" t="str">
        <f>HYPERLINK("#HI!A1","Dodržení rozpočtu dle % HOSPODÁŘSKÉHO INDEXU pracoviště při nepřekročených ""Nákladech celkem""")</f>
        <v>Dodržení rozpočtu dle % HOSPODÁŘSKÉHO INDEXU pracoviště při nepřekročených "Nákladech celkem"</v>
      </c>
      <c r="B12" s="131" t="s">
        <v>62</v>
      </c>
      <c r="C12" s="132">
        <f>IF(ISERROR(HI!F6),"",HI!F6)</f>
        <v>43.822188846188673</v>
      </c>
      <c r="D12" s="132">
        <f>IF(ISERROR(HI!E6),"",HI!E6)</f>
        <v>47.042339999999996</v>
      </c>
      <c r="E12" s="129">
        <f t="shared" si="0"/>
        <v>1.0734822070415906</v>
      </c>
    </row>
    <row r="13" spans="1:5" ht="14.4" customHeight="1" thickBot="1" x14ac:dyDescent="0.35">
      <c r="A13" s="137" t="str">
        <f>HYPERLINK("#HI!A1","Osobní náklady")</f>
        <v>Osobní náklady</v>
      </c>
      <c r="B13" s="131"/>
      <c r="C13" s="128">
        <f ca="1">IF(ISERROR(VLOOKUP("Osobní náklady (Kč) *",INDIRECT("HI!$A:$G"),6,0)),0,VLOOKUP("Osobní náklady (Kč) *",INDIRECT("HI!$A:$G"),6,0))</f>
        <v>1534.00758646334</v>
      </c>
      <c r="D13" s="128">
        <f ca="1">IF(ISERROR(VLOOKUP("Osobní náklady (Kč) *",INDIRECT("HI!$A:$G"),5,0)),0,VLOOKUP("Osobní náklady (Kč) *",INDIRECT("HI!$A:$G"),5,0))</f>
        <v>1637.7566800000009</v>
      </c>
      <c r="E13" s="129">
        <f ca="1">IF(C13=0,0,D13/C13)</f>
        <v>1.0676327121535656</v>
      </c>
    </row>
    <row r="14" spans="1:5" ht="14.4" customHeight="1" thickBot="1" x14ac:dyDescent="0.35">
      <c r="A14" s="141"/>
      <c r="B14" s="142"/>
      <c r="C14" s="143"/>
      <c r="D14" s="143"/>
      <c r="E14" s="144"/>
    </row>
    <row r="15" spans="1:5" ht="14.4" customHeight="1" thickBot="1" x14ac:dyDescent="0.35">
      <c r="A15" s="145" t="str">
        <f>HYPERLINK("#HI!A1","VÝNOSY CELKEM (v tisících)")</f>
        <v>VÝNOSY CELKEM (v tisících)</v>
      </c>
      <c r="B15" s="146"/>
      <c r="C15" s="147">
        <f ca="1">IF(ISERROR(VLOOKUP("Výnosy celkem",INDIRECT("HI!$A:$G"),6,0)),0,VLOOKUP("Výnosy celkem",INDIRECT("HI!$A:$G"),6,0))</f>
        <v>0</v>
      </c>
      <c r="D15" s="147">
        <f ca="1">IF(ISERROR(VLOOKUP("Výnosy celkem",INDIRECT("HI!$A:$G"),5,0)),0,VLOOKUP("Výnosy celkem",INDIRECT("HI!$A:$G"),5,0))</f>
        <v>0</v>
      </c>
      <c r="E15" s="148">
        <f t="shared" ref="E15:E16" ca="1" si="1">IF(C15=0,0,D15/C15)</f>
        <v>0</v>
      </c>
    </row>
    <row r="16" spans="1:5" ht="14.4" customHeight="1" x14ac:dyDescent="0.3">
      <c r="A16" s="149" t="str">
        <f>HYPERLINK("#HI!A1","Ambulance (body za výkony + Kč za ZUM a ZULP)")</f>
        <v>Ambulance (body za výkony + Kč za ZUM a ZULP)</v>
      </c>
      <c r="B16" s="127"/>
      <c r="C16" s="128">
        <f ca="1">IF(ISERROR(VLOOKUP("Ambulance *",INDIRECT("HI!$A:$G"),6,0)),0,VLOOKUP("Ambulance *",INDIRECT("HI!$A:$G"),6,0))</f>
        <v>0</v>
      </c>
      <c r="D16" s="128">
        <f ca="1">IF(ISERROR(VLOOKUP("Ambulance *",INDIRECT("HI!$A:$G"),5,0)),0,VLOOKUP("Ambulance *",INDIRECT("HI!$A:$G"),5,0))</f>
        <v>0</v>
      </c>
      <c r="E16" s="129">
        <f t="shared" ca="1" si="1"/>
        <v>0</v>
      </c>
    </row>
    <row r="17" spans="1:5" ht="14.4" customHeight="1" x14ac:dyDescent="0.3">
      <c r="A17" s="150" t="str">
        <f>HYPERLINK("#HI!A1","Hospitalizace (casemix * 30000)")</f>
        <v>Hospitalizace (casemix * 30000)</v>
      </c>
      <c r="B17" s="131"/>
      <c r="C17" s="128">
        <f ca="1">IF(ISERROR(VLOOKUP("Hospitalizace *",INDIRECT("HI!$A:$G"),6,0)),0,VLOOKUP("Hospitalizace *",INDIRECT("HI!$A:$G"),6,0))</f>
        <v>0</v>
      </c>
      <c r="D17" s="128">
        <f ca="1">IF(ISERROR(VLOOKUP("Hospitalizace *",INDIRECT("HI!$A:$G"),5,0)),0,VLOOKUP("Hospitalizace *",INDIRECT("HI!$A:$G"),5,0))</f>
        <v>0</v>
      </c>
      <c r="E17" s="129">
        <f ca="1">IF(C17=0,0,D17/C17)</f>
        <v>0</v>
      </c>
    </row>
    <row r="18" spans="1:5" ht="14.4" customHeight="1" thickBot="1" x14ac:dyDescent="0.35">
      <c r="A18" s="151" t="s">
        <v>80</v>
      </c>
      <c r="B18" s="138"/>
      <c r="C18" s="139"/>
      <c r="D18" s="139"/>
      <c r="E18" s="140"/>
    </row>
    <row r="19" spans="1:5" ht="14.4" customHeight="1" thickBot="1" x14ac:dyDescent="0.35">
      <c r="A19" s="152"/>
      <c r="B19" s="153"/>
      <c r="C19" s="154"/>
      <c r="D19" s="154"/>
      <c r="E19" s="155"/>
    </row>
    <row r="20" spans="1:5" ht="14.4" customHeight="1" thickBot="1" x14ac:dyDescent="0.35">
      <c r="A20" s="156" t="s">
        <v>81</v>
      </c>
      <c r="B20" s="157"/>
      <c r="C20" s="158"/>
      <c r="D20" s="158"/>
      <c r="E20" s="159"/>
    </row>
  </sheetData>
  <mergeCells count="1">
    <mergeCell ref="A1:E1"/>
  </mergeCells>
  <conditionalFormatting sqref="E5">
    <cfRule type="cellIs" dxfId="49" priority="17" operator="greaterThan">
      <formula>1</formula>
    </cfRule>
    <cfRule type="iconSet" priority="18">
      <iconSet iconSet="3Symbols2" reverse="1">
        <cfvo type="percent" val="0"/>
        <cfvo type="num" val="1"/>
        <cfvo type="num" val="1"/>
      </iconSet>
    </cfRule>
  </conditionalFormatting>
  <conditionalFormatting sqref="E11">
    <cfRule type="cellIs" dxfId="48" priority="15" operator="greaterThan">
      <formula>1</formula>
    </cfRule>
    <cfRule type="iconSet" priority="16">
      <iconSet iconSet="3Symbols2" reverse="1">
        <cfvo type="percent" val="0"/>
        <cfvo type="num" val="1"/>
        <cfvo type="num" val="1"/>
      </iconSet>
    </cfRule>
  </conditionalFormatting>
  <conditionalFormatting sqref="E13">
    <cfRule type="cellIs" dxfId="47" priority="11" operator="greaterThan">
      <formula>1</formula>
    </cfRule>
    <cfRule type="iconSet" priority="12">
      <iconSet iconSet="3Symbols2" reverse="1">
        <cfvo type="percent" val="0"/>
        <cfvo type="num" val="1"/>
        <cfvo type="num" val="1"/>
      </iconSet>
    </cfRule>
  </conditionalFormatting>
  <conditionalFormatting sqref="E16">
    <cfRule type="cellIs" dxfId="46" priority="9" operator="lessThan">
      <formula>1</formula>
    </cfRule>
    <cfRule type="iconSet" priority="10">
      <iconSet iconSet="3Symbols2">
        <cfvo type="percent" val="0"/>
        <cfvo type="num" val="1"/>
        <cfvo type="num" val="1"/>
      </iconSet>
    </cfRule>
  </conditionalFormatting>
  <conditionalFormatting sqref="E17">
    <cfRule type="cellIs" dxfId="45" priority="7" operator="lessThan">
      <formula>1</formula>
    </cfRule>
    <cfRule type="iconSet" priority="8">
      <iconSet iconSet="3Symbols2">
        <cfvo type="percent" val="0"/>
        <cfvo type="num" val="1"/>
        <cfvo type="num" val="1"/>
      </iconSet>
    </cfRule>
  </conditionalFormatting>
  <conditionalFormatting sqref="E6">
    <cfRule type="cellIs" dxfId="44" priority="5" operator="greaterThan">
      <formula>1</formula>
    </cfRule>
    <cfRule type="iconSet" priority="6">
      <iconSet iconSet="3Symbols2" reverse="1">
        <cfvo type="percent" val="0"/>
        <cfvo type="num" val="1"/>
        <cfvo type="num" val="1"/>
      </iconSet>
    </cfRule>
  </conditionalFormatting>
  <conditionalFormatting sqref="E15">
    <cfRule type="cellIs" dxfId="43" priority="20" operator="lessThan">
      <formula>1</formula>
    </cfRule>
  </conditionalFormatting>
  <conditionalFormatting sqref="E8">
    <cfRule type="cellIs" dxfId="42" priority="3" operator="greaterThan">
      <formula>1</formula>
    </cfRule>
    <cfRule type="iconSet" priority="4">
      <iconSet iconSet="3Symbols2" reverse="1">
        <cfvo type="percent" val="0"/>
        <cfvo type="num" val="1"/>
        <cfvo type="num" val="1"/>
      </iconSet>
    </cfRule>
  </conditionalFormatting>
  <conditionalFormatting sqref="E15">
    <cfRule type="iconSet" priority="52">
      <iconSet iconSet="3Symbols2">
        <cfvo type="percent" val="0"/>
        <cfvo type="num" val="1"/>
        <cfvo type="num" val="1"/>
      </iconSet>
    </cfRule>
  </conditionalFormatting>
  <conditionalFormatting sqref="E4 E7 E12">
    <cfRule type="cellIs" dxfId="41" priority="57" operator="greaterThan">
      <formula>1</formula>
    </cfRule>
    <cfRule type="iconSet" priority="58">
      <iconSet iconSet="3Symbols2" reverse="1">
        <cfvo type="percent" val="0"/>
        <cfvo type="num" val="1"/>
        <cfvo type="num" val="1"/>
      </iconSet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7">
    <tabColor rgb="FFFFFF66"/>
    <pageSetUpPr fitToPage="1"/>
  </sheetPr>
  <dimension ref="A1:H23"/>
  <sheetViews>
    <sheetView showGridLines="0" showRowColHeaders="0" zoomScaleNormal="100" workbookViewId="0">
      <selection sqref="A1:H1"/>
    </sheetView>
  </sheetViews>
  <sheetFormatPr defaultRowHeight="14.4" customHeight="1" x14ac:dyDescent="0.3"/>
  <cols>
    <col min="1" max="1" width="34.21875" style="96" bestFit="1" customWidth="1"/>
    <col min="2" max="3" width="9.5546875" style="96" customWidth="1"/>
    <col min="4" max="4" width="2.21875" style="96" customWidth="1"/>
    <col min="5" max="8" width="9.5546875" style="96" customWidth="1"/>
    <col min="9" max="16384" width="8.88671875" style="96"/>
  </cols>
  <sheetData>
    <row r="1" spans="1:8" ht="18.600000000000001" customHeight="1" thickBot="1" x14ac:dyDescent="0.4">
      <c r="A1" s="261" t="s">
        <v>71</v>
      </c>
      <c r="B1" s="261"/>
      <c r="C1" s="261"/>
      <c r="D1" s="261"/>
      <c r="E1" s="261"/>
      <c r="F1" s="261"/>
      <c r="G1" s="262"/>
      <c r="H1" s="262"/>
    </row>
    <row r="2" spans="1:8" ht="14.4" customHeight="1" thickBot="1" x14ac:dyDescent="0.35">
      <c r="A2" s="175" t="s">
        <v>199</v>
      </c>
      <c r="B2" s="77"/>
      <c r="C2" s="77"/>
      <c r="D2" s="77"/>
      <c r="E2" s="77"/>
      <c r="F2" s="77"/>
    </row>
    <row r="3" spans="1:8" ht="14.4" customHeight="1" x14ac:dyDescent="0.3">
      <c r="A3" s="263"/>
      <c r="B3" s="73">
        <v>2012</v>
      </c>
      <c r="C3" s="40">
        <v>2013</v>
      </c>
      <c r="D3" s="7"/>
      <c r="E3" s="267">
        <v>2014</v>
      </c>
      <c r="F3" s="268"/>
      <c r="G3" s="268"/>
      <c r="H3" s="269"/>
    </row>
    <row r="4" spans="1:8" ht="14.4" customHeight="1" thickBot="1" x14ac:dyDescent="0.35">
      <c r="A4" s="264"/>
      <c r="B4" s="265" t="s">
        <v>51</v>
      </c>
      <c r="C4" s="266"/>
      <c r="D4" s="7"/>
      <c r="E4" s="94" t="s">
        <v>51</v>
      </c>
      <c r="F4" s="75" t="s">
        <v>52</v>
      </c>
      <c r="G4" s="75" t="s">
        <v>48</v>
      </c>
      <c r="H4" s="76" t="s">
        <v>53</v>
      </c>
    </row>
    <row r="5" spans="1:8" ht="14.4" customHeight="1" x14ac:dyDescent="0.3">
      <c r="A5" s="78" t="str">
        <f>HYPERLINK("#'Léky Žádanky'!A1","Léky (Kč)")</f>
        <v>Léky (Kč)</v>
      </c>
      <c r="B5" s="27">
        <v>0</v>
      </c>
      <c r="C5" s="29">
        <v>0.34655000000000002</v>
      </c>
      <c r="D5" s="8"/>
      <c r="E5" s="83">
        <v>0</v>
      </c>
      <c r="F5" s="28">
        <v>0.51375553712066668</v>
      </c>
      <c r="G5" s="82">
        <f>E5-F5</f>
        <v>-0.51375553712066668</v>
      </c>
      <c r="H5" s="88">
        <f>IF(F5&lt;0.00000001,"",E5/F5)</f>
        <v>0</v>
      </c>
    </row>
    <row r="6" spans="1:8" ht="14.4" customHeight="1" x14ac:dyDescent="0.3">
      <c r="A6" s="78" t="str">
        <f>HYPERLINK("#'Materiál Žádanky'!A1","Materiál - SZM (Kč)")</f>
        <v>Materiál - SZM (Kč)</v>
      </c>
      <c r="B6" s="10">
        <v>0</v>
      </c>
      <c r="C6" s="31">
        <v>21.52206</v>
      </c>
      <c r="D6" s="8"/>
      <c r="E6" s="84">
        <v>47.042339999999996</v>
      </c>
      <c r="F6" s="30">
        <v>43.822188846188673</v>
      </c>
      <c r="G6" s="85">
        <f>E6-F6</f>
        <v>3.2201511538113223</v>
      </c>
      <c r="H6" s="89">
        <f>IF(F6&lt;0.00000001,"",E6/F6)</f>
        <v>1.0734822070415906</v>
      </c>
    </row>
    <row r="7" spans="1:8" ht="14.4" customHeight="1" x14ac:dyDescent="0.3">
      <c r="A7" s="78" t="str">
        <f>HYPERLINK("#'Osobní náklady'!A1","Osobní náklady (Kč) *")</f>
        <v>Osobní náklady (Kč) *</v>
      </c>
      <c r="B7" s="10">
        <v>0</v>
      </c>
      <c r="C7" s="31">
        <v>867.06063000000006</v>
      </c>
      <c r="D7" s="8"/>
      <c r="E7" s="84">
        <v>1637.7566800000009</v>
      </c>
      <c r="F7" s="30">
        <v>1534.00758646334</v>
      </c>
      <c r="G7" s="85">
        <f>E7-F7</f>
        <v>103.74909353666089</v>
      </c>
      <c r="H7" s="89">
        <f>IF(F7&lt;0.00000001,"",E7/F7)</f>
        <v>1.0676327121535656</v>
      </c>
    </row>
    <row r="8" spans="1:8" ht="14.4" customHeight="1" thickBot="1" x14ac:dyDescent="0.35">
      <c r="A8" s="1" t="s">
        <v>54</v>
      </c>
      <c r="B8" s="11">
        <v>0</v>
      </c>
      <c r="C8" s="33">
        <v>206.18735999999998</v>
      </c>
      <c r="D8" s="8"/>
      <c r="E8" s="86">
        <v>381.41715000000022</v>
      </c>
      <c r="F8" s="32">
        <v>437.36721139869729</v>
      </c>
      <c r="G8" s="87">
        <f>E8-F8</f>
        <v>-55.950061398697073</v>
      </c>
      <c r="H8" s="90">
        <f>IF(F8&lt;0.00000001,"",E8/F8)</f>
        <v>0.87207531808392957</v>
      </c>
    </row>
    <row r="9" spans="1:8" ht="14.4" customHeight="1" thickBot="1" x14ac:dyDescent="0.35">
      <c r="A9" s="2" t="s">
        <v>55</v>
      </c>
      <c r="B9" s="3">
        <v>0</v>
      </c>
      <c r="C9" s="35">
        <v>1095.1166000000001</v>
      </c>
      <c r="D9" s="8"/>
      <c r="E9" s="3">
        <v>2066.2161700000011</v>
      </c>
      <c r="F9" s="34">
        <v>2015.7107422453466</v>
      </c>
      <c r="G9" s="34">
        <f>E9-F9</f>
        <v>50.50542775465442</v>
      </c>
      <c r="H9" s="91">
        <f>IF(F9&lt;0.00000001,"",E9/F9)</f>
        <v>1.0250558905581837</v>
      </c>
    </row>
    <row r="10" spans="1:8" ht="14.4" customHeight="1" thickBot="1" x14ac:dyDescent="0.35">
      <c r="A10" s="12"/>
      <c r="B10" s="12"/>
      <c r="C10" s="74"/>
      <c r="D10" s="8"/>
      <c r="E10" s="12"/>
      <c r="F10" s="13"/>
    </row>
    <row r="11" spans="1:8" ht="14.4" customHeight="1" x14ac:dyDescent="0.3">
      <c r="A11" s="99" t="str">
        <f>HYPERLINK("#'ZV Vykáz.-A'!A1","Ambulance *")</f>
        <v>Ambulance *</v>
      </c>
      <c r="B11" s="9">
        <f>IF(ISERROR(VLOOKUP("Celkem:",#REF!,2,0)),0,VLOOKUP("Celkem:",#REF!,2,0)/1000)</f>
        <v>0</v>
      </c>
      <c r="C11" s="29">
        <f>IF(ISERROR(VLOOKUP("Celkem:",#REF!,4,0)),0,VLOOKUP("Celkem:",#REF!,4,0)/1000)</f>
        <v>0</v>
      </c>
      <c r="D11" s="8"/>
      <c r="E11" s="83">
        <f>IF(ISERROR(VLOOKUP("Celkem:",#REF!,6,0)),0,VLOOKUP("Celkem:",#REF!,6,0)/1000)</f>
        <v>0</v>
      </c>
      <c r="F11" s="28">
        <f>B11</f>
        <v>0</v>
      </c>
      <c r="G11" s="82">
        <f>E11-F11</f>
        <v>0</v>
      </c>
      <c r="H11" s="88" t="str">
        <f>IF(F11&lt;0.00000001,"",E11/F11)</f>
        <v/>
      </c>
    </row>
    <row r="12" spans="1:8" ht="14.4" customHeight="1" thickBot="1" x14ac:dyDescent="0.35">
      <c r="A12" s="100" t="str">
        <f>HYPERLINK("#CaseMix!A1","Hospitalizace *")</f>
        <v>Hospitalizace *</v>
      </c>
      <c r="B12" s="11">
        <f>IF(ISERROR(VLOOKUP("Celkem",#REF!,2,0)),0,VLOOKUP("Celkem",#REF!,2,0)*30)</f>
        <v>0</v>
      </c>
      <c r="C12" s="33">
        <f>IF(ISERROR(VLOOKUP("Celkem",#REF!,3,0)),0,VLOOKUP("Celkem",#REF!,3,0)*30)</f>
        <v>0</v>
      </c>
      <c r="D12" s="8"/>
      <c r="E12" s="86">
        <f>IF(ISERROR(VLOOKUP("Celkem",#REF!,4,0)),0,VLOOKUP("Celkem",#REF!,4,0)*30)</f>
        <v>0</v>
      </c>
      <c r="F12" s="32">
        <f>B12</f>
        <v>0</v>
      </c>
      <c r="G12" s="87">
        <f>E12-F12</f>
        <v>0</v>
      </c>
      <c r="H12" s="90" t="str">
        <f>IF(F12&lt;0.00000001,"",E12/F12)</f>
        <v/>
      </c>
    </row>
    <row r="13" spans="1:8" ht="14.4" customHeight="1" thickBot="1" x14ac:dyDescent="0.35">
      <c r="A13" s="4" t="s">
        <v>56</v>
      </c>
      <c r="B13" s="5">
        <f>SUM(B11:B12)</f>
        <v>0</v>
      </c>
      <c r="C13" s="37">
        <f>SUM(C11:C12)</f>
        <v>0</v>
      </c>
      <c r="D13" s="8"/>
      <c r="E13" s="5">
        <f>SUM(E11:E12)</f>
        <v>0</v>
      </c>
      <c r="F13" s="36">
        <f>SUM(F11:F12)</f>
        <v>0</v>
      </c>
      <c r="G13" s="36">
        <f>E13-F13</f>
        <v>0</v>
      </c>
      <c r="H13" s="92" t="str">
        <f>IF(F13&lt;0.00000001,"",E13/F13)</f>
        <v/>
      </c>
    </row>
    <row r="14" spans="1:8" ht="14.4" customHeight="1" thickBot="1" x14ac:dyDescent="0.35">
      <c r="A14" s="12"/>
      <c r="B14" s="12"/>
      <c r="C14" s="74"/>
      <c r="D14" s="8"/>
      <c r="E14" s="12"/>
      <c r="F14" s="13"/>
    </row>
    <row r="15" spans="1:8" ht="14.4" customHeight="1" thickBot="1" x14ac:dyDescent="0.35">
      <c r="A15" s="101" t="str">
        <f>HYPERLINK("#'HI Graf'!A1","Hospodářský index (Výnosy / Náklady) *")</f>
        <v>Hospodářský index (Výnosy / Náklady) *</v>
      </c>
      <c r="B15" s="6" t="str">
        <f>IF(B9=0,"",B13/B9)</f>
        <v/>
      </c>
      <c r="C15" s="39">
        <f>IF(C9=0,"",C13/C9)</f>
        <v>0</v>
      </c>
      <c r="D15" s="8"/>
      <c r="E15" s="6">
        <f>IF(E9=0,"",E13/E9)</f>
        <v>0</v>
      </c>
      <c r="F15" s="38">
        <f>IF(F9=0,"",F13/F9)</f>
        <v>0</v>
      </c>
      <c r="G15" s="38">
        <f>IF(ISERROR(F15-E15),"",E15-F15)</f>
        <v>0</v>
      </c>
      <c r="H15" s="93" t="str">
        <f>IF(ISERROR(F15-E15),"",IF(F15&lt;0.00000001,"",E15/F15))</f>
        <v/>
      </c>
    </row>
    <row r="17" spans="1:8" ht="14.4" customHeight="1" x14ac:dyDescent="0.3">
      <c r="A17" s="79" t="s">
        <v>85</v>
      </c>
    </row>
    <row r="18" spans="1:8" ht="14.4" customHeight="1" x14ac:dyDescent="0.3">
      <c r="A18" s="228" t="s">
        <v>144</v>
      </c>
      <c r="B18" s="229"/>
      <c r="C18" s="229"/>
      <c r="D18" s="229"/>
      <c r="E18" s="229"/>
      <c r="F18" s="229"/>
      <c r="G18" s="229"/>
      <c r="H18" s="229"/>
    </row>
    <row r="19" spans="1:8" x14ac:dyDescent="0.3">
      <c r="A19" s="227" t="s">
        <v>143</v>
      </c>
      <c r="B19" s="229"/>
      <c r="C19" s="229"/>
      <c r="D19" s="229"/>
      <c r="E19" s="229"/>
      <c r="F19" s="229"/>
      <c r="G19" s="229"/>
      <c r="H19" s="229"/>
    </row>
    <row r="20" spans="1:8" ht="14.4" customHeight="1" x14ac:dyDescent="0.3">
      <c r="A20" s="80" t="s">
        <v>198</v>
      </c>
    </row>
    <row r="21" spans="1:8" ht="14.4" customHeight="1" x14ac:dyDescent="0.3">
      <c r="A21" s="80" t="s">
        <v>86</v>
      </c>
    </row>
    <row r="22" spans="1:8" ht="14.4" customHeight="1" x14ac:dyDescent="0.3">
      <c r="A22" s="81" t="s">
        <v>87</v>
      </c>
    </row>
    <row r="23" spans="1:8" ht="14.4" customHeight="1" x14ac:dyDescent="0.3">
      <c r="A23" s="81" t="s">
        <v>88</v>
      </c>
    </row>
  </sheetData>
  <mergeCells count="4">
    <mergeCell ref="A3:A4"/>
    <mergeCell ref="B4:C4"/>
    <mergeCell ref="E3:H3"/>
    <mergeCell ref="A1:H1"/>
  </mergeCells>
  <conditionalFormatting sqref="F11:F12">
    <cfRule type="dataBar" priority="5">
      <dataBar>
        <cfvo type="num" val="MIN($F$11:$F$12)-SUM($F$11:$F$12)/8"/>
        <cfvo type="num" val="MAX($F$11:$F$12)+SUM($F$11:$F$12)/8"/>
        <color theme="5" tint="0.39997558519241921"/>
      </dataBar>
      <extLst>
        <ext xmlns:x14="http://schemas.microsoft.com/office/spreadsheetml/2009/9/main" uri="{B025F937-C7B1-47D3-B67F-A62EFF666E3E}">
          <x14:id>{81B0F473-4FC4-40C6-A269-30D44C2366B5}</x14:id>
        </ext>
      </extLst>
    </cfRule>
  </conditionalFormatting>
  <conditionalFormatting sqref="F5:F8">
    <cfRule type="dataBar" priority="6">
      <dataBar>
        <cfvo type="num" val="MIN($F$5:$F$8)-SUM($F$5:$F$8)/8"/>
        <cfvo type="num" val="MAX($F$5:$F$8)+SUM($F$5:$F$8)/8"/>
        <color theme="3" tint="0.39997558519241921"/>
      </dataBar>
      <extLst>
        <ext xmlns:x14="http://schemas.microsoft.com/office/spreadsheetml/2009/9/main" uri="{B025F937-C7B1-47D3-B67F-A62EFF666E3E}">
          <x14:id>{F9D6C8AA-B651-4DA5-ADB2-0E4242823C71}</x14:id>
        </ext>
      </extLst>
    </cfRule>
  </conditionalFormatting>
  <conditionalFormatting sqref="G5:G9">
    <cfRule type="cellIs" dxfId="40" priority="4" operator="greaterThan">
      <formula>0</formula>
    </cfRule>
  </conditionalFormatting>
  <conditionalFormatting sqref="G11:G13 G15">
    <cfRule type="cellIs" dxfId="39" priority="3" operator="lessThan">
      <formula>0</formula>
    </cfRule>
  </conditionalFormatting>
  <conditionalFormatting sqref="H5:H9">
    <cfRule type="cellIs" dxfId="38" priority="2" operator="greaterThan">
      <formula>1</formula>
    </cfRule>
  </conditionalFormatting>
  <conditionalFormatting sqref="H11:H13 H15">
    <cfRule type="cellIs" dxfId="37" priority="1" operator="lessThan">
      <formula>1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0F473-4FC4-40C6-A269-30D44C2366B5}">
            <x14:dataBar minLength="0" maxLength="100" negativeBarColorSameAsPositive="1" axisPosition="none">
              <x14:cfvo type="num">
                <xm:f>MIN($F$11:$F$12)-SUM($F$11:$F$12)/8</xm:f>
              </x14:cfvo>
              <x14:cfvo type="num">
                <xm:f>MAX($F$11:$F$12)+SUM($F$11:$F$12)/8</xm:f>
              </x14:cfvo>
            </x14:dataBar>
          </x14:cfRule>
          <xm:sqref>F11:F12</xm:sqref>
        </x14:conditionalFormatting>
        <x14:conditionalFormatting xmlns:xm="http://schemas.microsoft.com/office/excel/2006/main">
          <x14:cfRule type="dataBar" id="{F9D6C8AA-B651-4DA5-ADB2-0E4242823C71}">
            <x14:dataBar minLength="0" maxLength="100" negativeBarColorSameAsPositive="1" axisPosition="none">
              <x14:cfvo type="num">
                <xm:f>MIN($F$5:$F$8)-SUM($F$5:$F$8)/8</xm:f>
              </x14:cfvo>
              <x14:cfvo type="num">
                <xm:f>MAX($F$5:$F$8)+SUM($F$5:$F$8)/8</xm:f>
              </x14:cfvo>
            </x14:dataBar>
          </x14:cfRule>
          <xm:sqref>F5:F8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tabColor theme="0" tint="-0.249977111117893"/>
    <pageSetUpPr fitToPage="1"/>
  </sheetPr>
  <dimension ref="A1:Q35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Q1"/>
    </sheetView>
  </sheetViews>
  <sheetFormatPr defaultRowHeight="14.4" customHeight="1" x14ac:dyDescent="0.3"/>
  <cols>
    <col min="1" max="1" width="42" style="96" bestFit="1" customWidth="1"/>
    <col min="2" max="2" width="12.77734375" style="96" bestFit="1" customWidth="1"/>
    <col min="3" max="3" width="13.6640625" style="96" bestFit="1" customWidth="1"/>
    <col min="4" max="15" width="7.77734375" style="96" bestFit="1" customWidth="1"/>
    <col min="16" max="16" width="8.88671875" style="96" customWidth="1"/>
    <col min="17" max="17" width="6.6640625" style="96" bestFit="1" customWidth="1"/>
    <col min="18" max="16384" width="8.88671875" style="96"/>
  </cols>
  <sheetData>
    <row r="1" spans="1:17" s="160" customFormat="1" ht="18.600000000000001" customHeight="1" thickBot="1" x14ac:dyDescent="0.4">
      <c r="A1" s="270" t="s">
        <v>201</v>
      </c>
      <c r="B1" s="270"/>
      <c r="C1" s="270"/>
      <c r="D1" s="270"/>
      <c r="E1" s="270"/>
      <c r="F1" s="270"/>
      <c r="G1" s="270"/>
      <c r="H1" s="261"/>
      <c r="I1" s="261"/>
      <c r="J1" s="261"/>
      <c r="K1" s="261"/>
      <c r="L1" s="261"/>
      <c r="M1" s="261"/>
      <c r="N1" s="261"/>
      <c r="O1" s="261"/>
      <c r="P1" s="261"/>
      <c r="Q1" s="261"/>
    </row>
    <row r="2" spans="1:17" s="160" customFormat="1" ht="14.4" customHeight="1" thickBot="1" x14ac:dyDescent="0.3">
      <c r="A2" s="175" t="s">
        <v>199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</row>
    <row r="3" spans="1:17" ht="14.4" customHeight="1" x14ac:dyDescent="0.3">
      <c r="A3" s="58"/>
      <c r="B3" s="271" t="s">
        <v>9</v>
      </c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  <c r="N3" s="272"/>
      <c r="O3" s="272"/>
      <c r="P3" s="104"/>
      <c r="Q3" s="106"/>
    </row>
    <row r="4" spans="1:17" ht="14.4" customHeight="1" x14ac:dyDescent="0.3">
      <c r="A4" s="59"/>
      <c r="B4" s="20">
        <v>2014</v>
      </c>
      <c r="C4" s="105" t="s">
        <v>10</v>
      </c>
      <c r="D4" s="95" t="s">
        <v>89</v>
      </c>
      <c r="E4" s="95" t="s">
        <v>90</v>
      </c>
      <c r="F4" s="95" t="s">
        <v>91</v>
      </c>
      <c r="G4" s="95" t="s">
        <v>92</v>
      </c>
      <c r="H4" s="95" t="s">
        <v>93</v>
      </c>
      <c r="I4" s="95" t="s">
        <v>94</v>
      </c>
      <c r="J4" s="95" t="s">
        <v>95</v>
      </c>
      <c r="K4" s="95" t="s">
        <v>96</v>
      </c>
      <c r="L4" s="95" t="s">
        <v>97</v>
      </c>
      <c r="M4" s="95" t="s">
        <v>98</v>
      </c>
      <c r="N4" s="95" t="s">
        <v>99</v>
      </c>
      <c r="O4" s="95" t="s">
        <v>100</v>
      </c>
      <c r="P4" s="273" t="s">
        <v>2</v>
      </c>
      <c r="Q4" s="274"/>
    </row>
    <row r="5" spans="1:17" ht="14.4" customHeight="1" thickBot="1" x14ac:dyDescent="0.35">
      <c r="A5" s="60"/>
      <c r="B5" s="21" t="s">
        <v>11</v>
      </c>
      <c r="C5" s="22" t="s">
        <v>11</v>
      </c>
      <c r="D5" s="22" t="s">
        <v>12</v>
      </c>
      <c r="E5" s="22" t="s">
        <v>12</v>
      </c>
      <c r="F5" s="22" t="s">
        <v>12</v>
      </c>
      <c r="G5" s="22" t="s">
        <v>12</v>
      </c>
      <c r="H5" s="22" t="s">
        <v>12</v>
      </c>
      <c r="I5" s="22" t="s">
        <v>12</v>
      </c>
      <c r="J5" s="22" t="s">
        <v>12</v>
      </c>
      <c r="K5" s="22" t="s">
        <v>12</v>
      </c>
      <c r="L5" s="22" t="s">
        <v>12</v>
      </c>
      <c r="M5" s="22" t="s">
        <v>12</v>
      </c>
      <c r="N5" s="22" t="s">
        <v>12</v>
      </c>
      <c r="O5" s="22" t="s">
        <v>12</v>
      </c>
      <c r="P5" s="22" t="s">
        <v>12</v>
      </c>
      <c r="Q5" s="23" t="s">
        <v>13</v>
      </c>
    </row>
    <row r="6" spans="1:17" ht="14.4" customHeight="1" x14ac:dyDescent="0.3">
      <c r="A6" s="14" t="s">
        <v>14</v>
      </c>
      <c r="B6" s="43">
        <v>4.9406564584124654E-324</v>
      </c>
      <c r="C6" s="44">
        <v>0</v>
      </c>
      <c r="D6" s="44">
        <v>4.9406564584124654E-324</v>
      </c>
      <c r="E6" s="44">
        <v>4.9406564584124654E-324</v>
      </c>
      <c r="F6" s="44">
        <v>4.9406564584124654E-324</v>
      </c>
      <c r="G6" s="44">
        <v>4.9406564584124654E-324</v>
      </c>
      <c r="H6" s="44">
        <v>4.9406564584124654E-324</v>
      </c>
      <c r="I6" s="44">
        <v>4.9406564584124654E-324</v>
      </c>
      <c r="J6" s="44">
        <v>4.9406564584124654E-324</v>
      </c>
      <c r="K6" s="44">
        <v>4.9406564584124654E-324</v>
      </c>
      <c r="L6" s="44">
        <v>4.9406564584124654E-324</v>
      </c>
      <c r="M6" s="44">
        <v>4.9406564584124654E-324</v>
      </c>
      <c r="N6" s="44">
        <v>4.9406564584124654E-324</v>
      </c>
      <c r="O6" s="44">
        <v>4.9406564584124654E-324</v>
      </c>
      <c r="P6" s="45">
        <v>3.9525251667299724E-323</v>
      </c>
      <c r="Q6" s="67" t="s">
        <v>200</v>
      </c>
    </row>
    <row r="7" spans="1:17" ht="14.4" customHeight="1" x14ac:dyDescent="0.3">
      <c r="A7" s="15" t="s">
        <v>15</v>
      </c>
      <c r="B7" s="46">
        <v>0.77063330568099997</v>
      </c>
      <c r="C7" s="47">
        <v>6.4219442139999999E-2</v>
      </c>
      <c r="D7" s="47">
        <v>4.9406564584124654E-324</v>
      </c>
      <c r="E7" s="47">
        <v>4.9406564584124654E-324</v>
      </c>
      <c r="F7" s="47">
        <v>4.9406564584124654E-324</v>
      </c>
      <c r="G7" s="47">
        <v>4.9406564584124654E-324</v>
      </c>
      <c r="H7" s="47">
        <v>4.9406564584124654E-324</v>
      </c>
      <c r="I7" s="47">
        <v>4.9406564584124654E-324</v>
      </c>
      <c r="J7" s="47">
        <v>4.9406564584124654E-324</v>
      </c>
      <c r="K7" s="47">
        <v>4.9406564584124654E-324</v>
      </c>
      <c r="L7" s="47">
        <v>4.9406564584124654E-324</v>
      </c>
      <c r="M7" s="47">
        <v>4.9406564584124654E-324</v>
      </c>
      <c r="N7" s="47">
        <v>4.9406564584124654E-324</v>
      </c>
      <c r="O7" s="47">
        <v>4.9406564584124654E-324</v>
      </c>
      <c r="P7" s="48">
        <v>3.9525251667299724E-323</v>
      </c>
      <c r="Q7" s="68">
        <v>7.9050503334599447E-323</v>
      </c>
    </row>
    <row r="8" spans="1:17" ht="14.4" customHeight="1" x14ac:dyDescent="0.3">
      <c r="A8" s="15" t="s">
        <v>16</v>
      </c>
      <c r="B8" s="46">
        <v>4.9406564584124654E-324</v>
      </c>
      <c r="C8" s="47">
        <v>0</v>
      </c>
      <c r="D8" s="47">
        <v>4.9406564584124654E-324</v>
      </c>
      <c r="E8" s="47">
        <v>4.9406564584124654E-324</v>
      </c>
      <c r="F8" s="47">
        <v>4.9406564584124654E-324</v>
      </c>
      <c r="G8" s="47">
        <v>4.9406564584124654E-324</v>
      </c>
      <c r="H8" s="47">
        <v>4.9406564584124654E-324</v>
      </c>
      <c r="I8" s="47">
        <v>4.9406564584124654E-324</v>
      </c>
      <c r="J8" s="47">
        <v>4.9406564584124654E-324</v>
      </c>
      <c r="K8" s="47">
        <v>4.9406564584124654E-324</v>
      </c>
      <c r="L8" s="47">
        <v>4.9406564584124654E-324</v>
      </c>
      <c r="M8" s="47">
        <v>4.9406564584124654E-324</v>
      </c>
      <c r="N8" s="47">
        <v>4.9406564584124654E-324</v>
      </c>
      <c r="O8" s="47">
        <v>4.9406564584124654E-324</v>
      </c>
      <c r="P8" s="48">
        <v>3.9525251667299724E-323</v>
      </c>
      <c r="Q8" s="68" t="s">
        <v>200</v>
      </c>
    </row>
    <row r="9" spans="1:17" ht="14.4" customHeight="1" x14ac:dyDescent="0.3">
      <c r="A9" s="15" t="s">
        <v>17</v>
      </c>
      <c r="B9" s="46">
        <v>65.733283269283007</v>
      </c>
      <c r="C9" s="47">
        <v>5.4777736057729998</v>
      </c>
      <c r="D9" s="47">
        <v>5.1352399999999996</v>
      </c>
      <c r="E9" s="47">
        <v>3.4969000000000001</v>
      </c>
      <c r="F9" s="47">
        <v>6.0209599999999996</v>
      </c>
      <c r="G9" s="47">
        <v>9.6388599999999993</v>
      </c>
      <c r="H9" s="47">
        <v>3.6082200000000002</v>
      </c>
      <c r="I9" s="47">
        <v>7.8077699999999997</v>
      </c>
      <c r="J9" s="47">
        <v>6.0573399999999999</v>
      </c>
      <c r="K9" s="47">
        <v>5.27705</v>
      </c>
      <c r="L9" s="47">
        <v>4.9406564584124654E-324</v>
      </c>
      <c r="M9" s="47">
        <v>4.9406564584124654E-324</v>
      </c>
      <c r="N9" s="47">
        <v>4.9406564584124654E-324</v>
      </c>
      <c r="O9" s="47">
        <v>4.9406564584124654E-324</v>
      </c>
      <c r="P9" s="48">
        <v>47.042340000000003</v>
      </c>
      <c r="Q9" s="68">
        <v>1.0734822070409999</v>
      </c>
    </row>
    <row r="10" spans="1:17" ht="14.4" customHeight="1" x14ac:dyDescent="0.3">
      <c r="A10" s="15" t="s">
        <v>18</v>
      </c>
      <c r="B10" s="46">
        <v>4.9406564584124654E-324</v>
      </c>
      <c r="C10" s="47">
        <v>0</v>
      </c>
      <c r="D10" s="47">
        <v>4.9406564584124654E-324</v>
      </c>
      <c r="E10" s="47">
        <v>4.9406564584124654E-324</v>
      </c>
      <c r="F10" s="47">
        <v>4.9406564584124654E-324</v>
      </c>
      <c r="G10" s="47">
        <v>4.9406564584124654E-324</v>
      </c>
      <c r="H10" s="47">
        <v>4.9406564584124654E-324</v>
      </c>
      <c r="I10" s="47">
        <v>4.9406564584124654E-324</v>
      </c>
      <c r="J10" s="47">
        <v>4.9406564584124654E-324</v>
      </c>
      <c r="K10" s="47">
        <v>4.9406564584124654E-324</v>
      </c>
      <c r="L10" s="47">
        <v>4.9406564584124654E-324</v>
      </c>
      <c r="M10" s="47">
        <v>4.9406564584124654E-324</v>
      </c>
      <c r="N10" s="47">
        <v>4.9406564584124654E-324</v>
      </c>
      <c r="O10" s="47">
        <v>4.9406564584124654E-324</v>
      </c>
      <c r="P10" s="48">
        <v>3.9525251667299724E-323</v>
      </c>
      <c r="Q10" s="68" t="s">
        <v>200</v>
      </c>
    </row>
    <row r="11" spans="1:17" ht="14.4" customHeight="1" x14ac:dyDescent="0.3">
      <c r="A11" s="15" t="s">
        <v>19</v>
      </c>
      <c r="B11" s="46">
        <v>240.20200522550701</v>
      </c>
      <c r="C11" s="47">
        <v>20.016833768792001</v>
      </c>
      <c r="D11" s="47">
        <v>9.1153600000000008</v>
      </c>
      <c r="E11" s="47">
        <v>2.4839500000000001</v>
      </c>
      <c r="F11" s="47">
        <v>44.373930000000001</v>
      </c>
      <c r="G11" s="47">
        <v>53.985480000000003</v>
      </c>
      <c r="H11" s="47">
        <v>3.8070400000000002</v>
      </c>
      <c r="I11" s="47">
        <v>33.288600000000002</v>
      </c>
      <c r="J11" s="47">
        <v>4.9406564584124654E-324</v>
      </c>
      <c r="K11" s="47">
        <v>3.44401</v>
      </c>
      <c r="L11" s="47">
        <v>4.9406564584124654E-324</v>
      </c>
      <c r="M11" s="47">
        <v>4.9406564584124654E-324</v>
      </c>
      <c r="N11" s="47">
        <v>4.9406564584124654E-324</v>
      </c>
      <c r="O11" s="47">
        <v>4.9406564584124654E-324</v>
      </c>
      <c r="P11" s="48">
        <v>150.49836999999999</v>
      </c>
      <c r="Q11" s="68">
        <v>0.93982377369400005</v>
      </c>
    </row>
    <row r="12" spans="1:17" ht="14.4" customHeight="1" x14ac:dyDescent="0.3">
      <c r="A12" s="15" t="s">
        <v>20</v>
      </c>
      <c r="B12" s="46">
        <v>1.0001864980149999</v>
      </c>
      <c r="C12" s="47">
        <v>8.3348874833999997E-2</v>
      </c>
      <c r="D12" s="47">
        <v>4.9406564584124654E-324</v>
      </c>
      <c r="E12" s="47">
        <v>4.9406564584124654E-324</v>
      </c>
      <c r="F12" s="47">
        <v>7.1340000000000001E-2</v>
      </c>
      <c r="G12" s="47">
        <v>4.9406564584124654E-324</v>
      </c>
      <c r="H12" s="47">
        <v>4.9406564584124654E-324</v>
      </c>
      <c r="I12" s="47">
        <v>4.9406564584124654E-324</v>
      </c>
      <c r="J12" s="47">
        <v>4.9406564584124654E-324</v>
      </c>
      <c r="K12" s="47">
        <v>4.9406564584124654E-324</v>
      </c>
      <c r="L12" s="47">
        <v>4.9406564584124654E-324</v>
      </c>
      <c r="M12" s="47">
        <v>4.9406564584124654E-324</v>
      </c>
      <c r="N12" s="47">
        <v>4.9406564584124654E-324</v>
      </c>
      <c r="O12" s="47">
        <v>4.9406564584124654E-324</v>
      </c>
      <c r="P12" s="48">
        <v>7.1340000000000001E-2</v>
      </c>
      <c r="Q12" s="68">
        <v>0.106990046568</v>
      </c>
    </row>
    <row r="13" spans="1:17" ht="14.4" customHeight="1" x14ac:dyDescent="0.3">
      <c r="A13" s="15" t="s">
        <v>21</v>
      </c>
      <c r="B13" s="46">
        <v>2.9125820172550001</v>
      </c>
      <c r="C13" s="47">
        <v>0.24271516810400001</v>
      </c>
      <c r="D13" s="47">
        <v>4.9406564584124654E-324</v>
      </c>
      <c r="E13" s="47">
        <v>4.9406564584124654E-324</v>
      </c>
      <c r="F13" s="47">
        <v>4.9406564584124654E-324</v>
      </c>
      <c r="G13" s="47">
        <v>4.9406564584124654E-324</v>
      </c>
      <c r="H13" s="47">
        <v>4.9406564584124654E-324</v>
      </c>
      <c r="I13" s="47">
        <v>4.9406564584124654E-324</v>
      </c>
      <c r="J13" s="47">
        <v>4.9406564584124654E-324</v>
      </c>
      <c r="K13" s="47">
        <v>4.9406564584124654E-324</v>
      </c>
      <c r="L13" s="47">
        <v>4.9406564584124654E-324</v>
      </c>
      <c r="M13" s="47">
        <v>4.9406564584124654E-324</v>
      </c>
      <c r="N13" s="47">
        <v>4.9406564584124654E-324</v>
      </c>
      <c r="O13" s="47">
        <v>4.9406564584124654E-324</v>
      </c>
      <c r="P13" s="48">
        <v>3.9525251667299724E-323</v>
      </c>
      <c r="Q13" s="68">
        <v>1.9762625833649862E-323</v>
      </c>
    </row>
    <row r="14" spans="1:17" ht="14.4" customHeight="1" x14ac:dyDescent="0.3">
      <c r="A14" s="15" t="s">
        <v>22</v>
      </c>
      <c r="B14" s="46">
        <v>111.19815684896101</v>
      </c>
      <c r="C14" s="47">
        <v>9.2665130707460008</v>
      </c>
      <c r="D14" s="47">
        <v>11.108000000000001</v>
      </c>
      <c r="E14" s="47">
        <v>10.148</v>
      </c>
      <c r="F14" s="47">
        <v>8.1322799999999997</v>
      </c>
      <c r="G14" s="47">
        <v>7.3769999999999998</v>
      </c>
      <c r="H14" s="47">
        <v>6.5</v>
      </c>
      <c r="I14" s="47">
        <v>6.1719999999999997</v>
      </c>
      <c r="J14" s="47">
        <v>5.6210000000000004</v>
      </c>
      <c r="K14" s="47">
        <v>5.5</v>
      </c>
      <c r="L14" s="47">
        <v>4.9406564584124654E-324</v>
      </c>
      <c r="M14" s="47">
        <v>4.9406564584124654E-324</v>
      </c>
      <c r="N14" s="47">
        <v>4.9406564584124654E-324</v>
      </c>
      <c r="O14" s="47">
        <v>4.9406564584124654E-324</v>
      </c>
      <c r="P14" s="48">
        <v>60.558280000000003</v>
      </c>
      <c r="Q14" s="68">
        <v>0.81689681352700005</v>
      </c>
    </row>
    <row r="15" spans="1:17" ht="14.4" customHeight="1" x14ac:dyDescent="0.3">
      <c r="A15" s="15" t="s">
        <v>23</v>
      </c>
      <c r="B15" s="46">
        <v>4.9406564584124654E-324</v>
      </c>
      <c r="C15" s="47">
        <v>0</v>
      </c>
      <c r="D15" s="47">
        <v>4.9406564584124654E-324</v>
      </c>
      <c r="E15" s="47">
        <v>4.9406564584124654E-324</v>
      </c>
      <c r="F15" s="47">
        <v>4.9406564584124654E-324</v>
      </c>
      <c r="G15" s="47">
        <v>4.9406564584124654E-324</v>
      </c>
      <c r="H15" s="47">
        <v>4.9406564584124654E-324</v>
      </c>
      <c r="I15" s="47">
        <v>4.9406564584124654E-324</v>
      </c>
      <c r="J15" s="47">
        <v>4.9406564584124654E-324</v>
      </c>
      <c r="K15" s="47">
        <v>4.9406564584124654E-324</v>
      </c>
      <c r="L15" s="47">
        <v>4.9406564584124654E-324</v>
      </c>
      <c r="M15" s="47">
        <v>4.9406564584124654E-324</v>
      </c>
      <c r="N15" s="47">
        <v>4.9406564584124654E-324</v>
      </c>
      <c r="O15" s="47">
        <v>4.9406564584124654E-324</v>
      </c>
      <c r="P15" s="48">
        <v>3.9525251667299724E-323</v>
      </c>
      <c r="Q15" s="68" t="s">
        <v>200</v>
      </c>
    </row>
    <row r="16" spans="1:17" ht="14.4" customHeight="1" x14ac:dyDescent="0.3">
      <c r="A16" s="15" t="s">
        <v>24</v>
      </c>
      <c r="B16" s="46">
        <v>4.9406564584124654E-324</v>
      </c>
      <c r="C16" s="47">
        <v>0</v>
      </c>
      <c r="D16" s="47">
        <v>4.9406564584124654E-324</v>
      </c>
      <c r="E16" s="47">
        <v>4.9406564584124654E-324</v>
      </c>
      <c r="F16" s="47">
        <v>4.9406564584124654E-324</v>
      </c>
      <c r="G16" s="47">
        <v>4.9406564584124654E-324</v>
      </c>
      <c r="H16" s="47">
        <v>4.9406564584124654E-324</v>
      </c>
      <c r="I16" s="47">
        <v>4.9406564584124654E-324</v>
      </c>
      <c r="J16" s="47">
        <v>4.9406564584124654E-324</v>
      </c>
      <c r="K16" s="47">
        <v>4.9406564584124654E-324</v>
      </c>
      <c r="L16" s="47">
        <v>4.9406564584124654E-324</v>
      </c>
      <c r="M16" s="47">
        <v>4.9406564584124654E-324</v>
      </c>
      <c r="N16" s="47">
        <v>4.9406564584124654E-324</v>
      </c>
      <c r="O16" s="47">
        <v>4.9406564584124654E-324</v>
      </c>
      <c r="P16" s="48">
        <v>3.9525251667299724E-323</v>
      </c>
      <c r="Q16" s="68" t="s">
        <v>200</v>
      </c>
    </row>
    <row r="17" spans="1:17" ht="14.4" customHeight="1" x14ac:dyDescent="0.3">
      <c r="A17" s="15" t="s">
        <v>25</v>
      </c>
      <c r="B17" s="46">
        <v>6.3074241458079996</v>
      </c>
      <c r="C17" s="47">
        <v>0.52561867881699997</v>
      </c>
      <c r="D17" s="47">
        <v>7.32775</v>
      </c>
      <c r="E17" s="47">
        <v>10.565300000000001</v>
      </c>
      <c r="F17" s="47">
        <v>8.3239699999999992</v>
      </c>
      <c r="G17" s="47">
        <v>4.9406564584124654E-324</v>
      </c>
      <c r="H17" s="47">
        <v>4.9406564584124654E-324</v>
      </c>
      <c r="I17" s="47">
        <v>4.9406564584124654E-324</v>
      </c>
      <c r="J17" s="47">
        <v>4.9406564584124654E-324</v>
      </c>
      <c r="K17" s="47">
        <v>4.9406564584124654E-324</v>
      </c>
      <c r="L17" s="47">
        <v>4.9406564584124654E-324</v>
      </c>
      <c r="M17" s="47">
        <v>4.9406564584124654E-324</v>
      </c>
      <c r="N17" s="47">
        <v>4.9406564584124654E-324</v>
      </c>
      <c r="O17" s="47">
        <v>4.9406564584124654E-324</v>
      </c>
      <c r="P17" s="48">
        <v>26.217020000000002</v>
      </c>
      <c r="Q17" s="68">
        <v>6.2348003068939999</v>
      </c>
    </row>
    <row r="18" spans="1:17" ht="14.4" customHeight="1" x14ac:dyDescent="0.3">
      <c r="A18" s="15" t="s">
        <v>26</v>
      </c>
      <c r="B18" s="46">
        <v>0</v>
      </c>
      <c r="C18" s="47">
        <v>0</v>
      </c>
      <c r="D18" s="47">
        <v>0.73699999999999999</v>
      </c>
      <c r="E18" s="47">
        <v>4.9406564584124654E-324</v>
      </c>
      <c r="F18" s="47">
        <v>0.91400000000000003</v>
      </c>
      <c r="G18" s="47">
        <v>2.2970000000000002</v>
      </c>
      <c r="H18" s="47">
        <v>4.9406564584124654E-324</v>
      </c>
      <c r="I18" s="47">
        <v>4.9406564584124654E-324</v>
      </c>
      <c r="J18" s="47">
        <v>4.9406564584124654E-324</v>
      </c>
      <c r="K18" s="47">
        <v>4.9406564584124654E-324</v>
      </c>
      <c r="L18" s="47">
        <v>4.9406564584124654E-324</v>
      </c>
      <c r="M18" s="47">
        <v>4.9406564584124654E-324</v>
      </c>
      <c r="N18" s="47">
        <v>4.9406564584124654E-324</v>
      </c>
      <c r="O18" s="47">
        <v>4.9406564584124654E-324</v>
      </c>
      <c r="P18" s="48">
        <v>3.948</v>
      </c>
      <c r="Q18" s="68" t="s">
        <v>200</v>
      </c>
    </row>
    <row r="19" spans="1:17" ht="14.4" customHeight="1" x14ac:dyDescent="0.3">
      <c r="A19" s="15" t="s">
        <v>27</v>
      </c>
      <c r="B19" s="46">
        <v>215.43105830917401</v>
      </c>
      <c r="C19" s="47">
        <v>17.952588192431001</v>
      </c>
      <c r="D19" s="47">
        <v>4.4561999999999999</v>
      </c>
      <c r="E19" s="47">
        <v>18.374680000000001</v>
      </c>
      <c r="F19" s="47">
        <v>22.509070000000001</v>
      </c>
      <c r="G19" s="47">
        <v>9.4175900000000006</v>
      </c>
      <c r="H19" s="47">
        <v>5.7057900000000004</v>
      </c>
      <c r="I19" s="47">
        <v>9.6143099999999997</v>
      </c>
      <c r="J19" s="47">
        <v>14.17661</v>
      </c>
      <c r="K19" s="47">
        <v>3.1810499999999999</v>
      </c>
      <c r="L19" s="47">
        <v>4.9406564584124654E-324</v>
      </c>
      <c r="M19" s="47">
        <v>4.9406564584124654E-324</v>
      </c>
      <c r="N19" s="47">
        <v>4.9406564584124654E-324</v>
      </c>
      <c r="O19" s="47">
        <v>4.9406564584124654E-324</v>
      </c>
      <c r="P19" s="48">
        <v>87.435299999999998</v>
      </c>
      <c r="Q19" s="68">
        <v>0.60879313795000001</v>
      </c>
    </row>
    <row r="20" spans="1:17" ht="14.4" customHeight="1" x14ac:dyDescent="0.3">
      <c r="A20" s="15" t="s">
        <v>28</v>
      </c>
      <c r="B20" s="46">
        <v>2301.01137969501</v>
      </c>
      <c r="C20" s="47">
        <v>191.75094830791801</v>
      </c>
      <c r="D20" s="47">
        <v>187.45870000000099</v>
      </c>
      <c r="E20" s="47">
        <v>185.18833000000001</v>
      </c>
      <c r="F20" s="47">
        <v>185.86451</v>
      </c>
      <c r="G20" s="47">
        <v>197.58544000000001</v>
      </c>
      <c r="H20" s="47">
        <v>197.42367999999999</v>
      </c>
      <c r="I20" s="47">
        <v>196.46800999999999</v>
      </c>
      <c r="J20" s="47">
        <v>289.67728</v>
      </c>
      <c r="K20" s="47">
        <v>198.09073000000001</v>
      </c>
      <c r="L20" s="47">
        <v>4.9406564584124654E-324</v>
      </c>
      <c r="M20" s="47">
        <v>4.9406564584124654E-324</v>
      </c>
      <c r="N20" s="47">
        <v>4.9406564584124654E-324</v>
      </c>
      <c r="O20" s="47">
        <v>4.9406564584124654E-324</v>
      </c>
      <c r="P20" s="48">
        <v>1637.75668</v>
      </c>
      <c r="Q20" s="68">
        <v>1.067632712153</v>
      </c>
    </row>
    <row r="21" spans="1:17" ht="14.4" customHeight="1" x14ac:dyDescent="0.3">
      <c r="A21" s="16" t="s">
        <v>29</v>
      </c>
      <c r="B21" s="46">
        <v>78.999404053321996</v>
      </c>
      <c r="C21" s="47">
        <v>6.5832836711100002</v>
      </c>
      <c r="D21" s="47">
        <v>6.5640000000000001</v>
      </c>
      <c r="E21" s="47">
        <v>6.5640000000000001</v>
      </c>
      <c r="F21" s="47">
        <v>6.5640000000000001</v>
      </c>
      <c r="G21" s="47">
        <v>6.5640000000000001</v>
      </c>
      <c r="H21" s="47">
        <v>6.5640000000000001</v>
      </c>
      <c r="I21" s="47">
        <v>6.5640000000000001</v>
      </c>
      <c r="J21" s="47">
        <v>6.5640000000000001</v>
      </c>
      <c r="K21" s="47">
        <v>6.5640000000000001</v>
      </c>
      <c r="L21" s="47">
        <v>1.4821969375237396E-323</v>
      </c>
      <c r="M21" s="47">
        <v>1.4821969375237396E-323</v>
      </c>
      <c r="N21" s="47">
        <v>1.4821969375237396E-323</v>
      </c>
      <c r="O21" s="47">
        <v>1.4821969375237396E-323</v>
      </c>
      <c r="P21" s="48">
        <v>52.512</v>
      </c>
      <c r="Q21" s="68">
        <v>0.99707081267099995</v>
      </c>
    </row>
    <row r="22" spans="1:17" ht="14.4" customHeight="1" x14ac:dyDescent="0.3">
      <c r="A22" s="15" t="s">
        <v>30</v>
      </c>
      <c r="B22" s="46">
        <v>0</v>
      </c>
      <c r="C22" s="47">
        <v>0</v>
      </c>
      <c r="D22" s="47">
        <v>4.9406564584124654E-324</v>
      </c>
      <c r="E22" s="47">
        <v>4.9406564584124654E-324</v>
      </c>
      <c r="F22" s="47">
        <v>4.9406564584124654E-324</v>
      </c>
      <c r="G22" s="47">
        <v>4.9406564584124654E-324</v>
      </c>
      <c r="H22" s="47">
        <v>4.9406564584124654E-324</v>
      </c>
      <c r="I22" s="47">
        <v>4.9406564584124654E-324</v>
      </c>
      <c r="J22" s="47">
        <v>4.9406564584124654E-324</v>
      </c>
      <c r="K22" s="47">
        <v>4.9406564584124654E-324</v>
      </c>
      <c r="L22" s="47">
        <v>4.9406564584124654E-324</v>
      </c>
      <c r="M22" s="47">
        <v>4.9406564584124654E-324</v>
      </c>
      <c r="N22" s="47">
        <v>4.9406564584124654E-324</v>
      </c>
      <c r="O22" s="47">
        <v>4.9406564584124654E-324</v>
      </c>
      <c r="P22" s="48">
        <v>3.9525251667299724E-323</v>
      </c>
      <c r="Q22" s="68" t="s">
        <v>200</v>
      </c>
    </row>
    <row r="23" spans="1:17" ht="14.4" customHeight="1" x14ac:dyDescent="0.3">
      <c r="A23" s="16" t="s">
        <v>31</v>
      </c>
      <c r="B23" s="46">
        <v>1.9762625833649862E-323</v>
      </c>
      <c r="C23" s="47">
        <v>0</v>
      </c>
      <c r="D23" s="47">
        <v>1.9762625833649862E-323</v>
      </c>
      <c r="E23" s="47">
        <v>1.9762625833649862E-323</v>
      </c>
      <c r="F23" s="47">
        <v>1.9762625833649862E-323</v>
      </c>
      <c r="G23" s="47">
        <v>1.9762625833649862E-323</v>
      </c>
      <c r="H23" s="47">
        <v>1.9762625833649862E-323</v>
      </c>
      <c r="I23" s="47">
        <v>1.9762625833649862E-323</v>
      </c>
      <c r="J23" s="47">
        <v>1.9762625833649862E-323</v>
      </c>
      <c r="K23" s="47">
        <v>1.9762625833649862E-323</v>
      </c>
      <c r="L23" s="47">
        <v>1.9762625833649862E-323</v>
      </c>
      <c r="M23" s="47">
        <v>1.9762625833649862E-323</v>
      </c>
      <c r="N23" s="47">
        <v>1.9762625833649862E-323</v>
      </c>
      <c r="O23" s="47">
        <v>1.9762625833649862E-323</v>
      </c>
      <c r="P23" s="48">
        <v>1.5810100666919889E-322</v>
      </c>
      <c r="Q23" s="68" t="s">
        <v>200</v>
      </c>
    </row>
    <row r="24" spans="1:17" ht="14.4" customHeight="1" x14ac:dyDescent="0.3">
      <c r="A24" s="16" t="s">
        <v>32</v>
      </c>
      <c r="B24" s="46">
        <v>-9.0949470177292804E-13</v>
      </c>
      <c r="C24" s="47">
        <v>-5.6843418860808002E-14</v>
      </c>
      <c r="D24" s="47">
        <v>-2.8421709430404001E-14</v>
      </c>
      <c r="E24" s="47">
        <v>-2.8421709430404001E-14</v>
      </c>
      <c r="F24" s="47">
        <v>9.9999999999E-2</v>
      </c>
      <c r="G24" s="47">
        <v>-1.13686837721616E-13</v>
      </c>
      <c r="H24" s="47">
        <v>2.8421709430404001E-14</v>
      </c>
      <c r="I24" s="47">
        <v>7.6840000000000006E-2</v>
      </c>
      <c r="J24" s="47">
        <v>-5.6843418860808002E-14</v>
      </c>
      <c r="K24" s="47">
        <v>0</v>
      </c>
      <c r="L24" s="47">
        <v>-1.0869444208507424E-322</v>
      </c>
      <c r="M24" s="47">
        <v>-1.0869444208507424E-322</v>
      </c>
      <c r="N24" s="47">
        <v>-1.0869444208507424E-322</v>
      </c>
      <c r="O24" s="47">
        <v>-1.0869444208507424E-322</v>
      </c>
      <c r="P24" s="48">
        <v>0.17683999999899999</v>
      </c>
      <c r="Q24" s="68"/>
    </row>
    <row r="25" spans="1:17" ht="14.4" customHeight="1" x14ac:dyDescent="0.3">
      <c r="A25" s="17" t="s">
        <v>33</v>
      </c>
      <c r="B25" s="49">
        <v>3023.5661133680201</v>
      </c>
      <c r="C25" s="50">
        <v>251.96384278066799</v>
      </c>
      <c r="D25" s="50">
        <v>231.902250000001</v>
      </c>
      <c r="E25" s="50">
        <v>236.82115999999999</v>
      </c>
      <c r="F25" s="50">
        <v>282.87405999999999</v>
      </c>
      <c r="G25" s="50">
        <v>286.86536999999998</v>
      </c>
      <c r="H25" s="50">
        <v>223.60873000000001</v>
      </c>
      <c r="I25" s="50">
        <v>259.99153000000001</v>
      </c>
      <c r="J25" s="50">
        <v>322.09622999999999</v>
      </c>
      <c r="K25" s="50">
        <v>222.05683999999999</v>
      </c>
      <c r="L25" s="50">
        <v>4.9406564584124654E-324</v>
      </c>
      <c r="M25" s="50">
        <v>4.9406564584124654E-324</v>
      </c>
      <c r="N25" s="50">
        <v>4.9406564584124654E-324</v>
      </c>
      <c r="O25" s="50">
        <v>4.9406564584124654E-324</v>
      </c>
      <c r="P25" s="51">
        <v>2066.2161700000001</v>
      </c>
      <c r="Q25" s="69">
        <v>1.0250558905580001</v>
      </c>
    </row>
    <row r="26" spans="1:17" ht="14.4" customHeight="1" x14ac:dyDescent="0.3">
      <c r="A26" s="15" t="s">
        <v>34</v>
      </c>
      <c r="B26" s="46">
        <v>493.00070881769199</v>
      </c>
      <c r="C26" s="47">
        <v>41.083392401474001</v>
      </c>
      <c r="D26" s="47">
        <v>35.72231</v>
      </c>
      <c r="E26" s="47">
        <v>32.013170000000002</v>
      </c>
      <c r="F26" s="47">
        <v>35.911529999999999</v>
      </c>
      <c r="G26" s="47">
        <v>40.12086</v>
      </c>
      <c r="H26" s="47">
        <v>39.024520000000003</v>
      </c>
      <c r="I26" s="47">
        <v>39.293689999999998</v>
      </c>
      <c r="J26" s="47">
        <v>66.483459999999994</v>
      </c>
      <c r="K26" s="47">
        <v>34.12829</v>
      </c>
      <c r="L26" s="47">
        <v>4.9406564584124654E-324</v>
      </c>
      <c r="M26" s="47">
        <v>4.9406564584124654E-324</v>
      </c>
      <c r="N26" s="47">
        <v>4.9406564584124654E-324</v>
      </c>
      <c r="O26" s="47">
        <v>4.9406564584124654E-324</v>
      </c>
      <c r="P26" s="48">
        <v>322.69783000000001</v>
      </c>
      <c r="Q26" s="68">
        <v>0.98183782769899997</v>
      </c>
    </row>
    <row r="27" spans="1:17" ht="14.4" customHeight="1" x14ac:dyDescent="0.3">
      <c r="A27" s="18" t="s">
        <v>35</v>
      </c>
      <c r="B27" s="49">
        <v>3516.56682218571</v>
      </c>
      <c r="C27" s="50">
        <v>293.04723518214303</v>
      </c>
      <c r="D27" s="50">
        <v>267.624560000001</v>
      </c>
      <c r="E27" s="50">
        <v>268.83433000000002</v>
      </c>
      <c r="F27" s="50">
        <v>318.78559000000001</v>
      </c>
      <c r="G27" s="50">
        <v>326.98622999999998</v>
      </c>
      <c r="H27" s="50">
        <v>262.63324999999998</v>
      </c>
      <c r="I27" s="50">
        <v>299.28521999999998</v>
      </c>
      <c r="J27" s="50">
        <v>388.57969000000003</v>
      </c>
      <c r="K27" s="50">
        <v>256.18513000000002</v>
      </c>
      <c r="L27" s="50">
        <v>9.8813129168249309E-324</v>
      </c>
      <c r="M27" s="50">
        <v>9.8813129168249309E-324</v>
      </c>
      <c r="N27" s="50">
        <v>9.8813129168249309E-324</v>
      </c>
      <c r="O27" s="50">
        <v>9.8813129168249309E-324</v>
      </c>
      <c r="P27" s="51">
        <v>2388.9140000000002</v>
      </c>
      <c r="Q27" s="69">
        <v>1.0189969880259999</v>
      </c>
    </row>
    <row r="28" spans="1:17" ht="14.4" customHeight="1" x14ac:dyDescent="0.3">
      <c r="A28" s="16" t="s">
        <v>36</v>
      </c>
      <c r="B28" s="46">
        <v>1.2351641146031164E-322</v>
      </c>
      <c r="C28" s="47">
        <v>0</v>
      </c>
      <c r="D28" s="47">
        <v>1.2351641146031164E-322</v>
      </c>
      <c r="E28" s="47">
        <v>1.2351641146031164E-322</v>
      </c>
      <c r="F28" s="47">
        <v>1.2351641146031164E-322</v>
      </c>
      <c r="G28" s="47">
        <v>1.2351641146031164E-322</v>
      </c>
      <c r="H28" s="47">
        <v>1.2351641146031164E-322</v>
      </c>
      <c r="I28" s="47">
        <v>1.2351641146031164E-322</v>
      </c>
      <c r="J28" s="47">
        <v>1.2351641146031164E-322</v>
      </c>
      <c r="K28" s="47">
        <v>1.2351641146031164E-322</v>
      </c>
      <c r="L28" s="47">
        <v>1.2351641146031164E-322</v>
      </c>
      <c r="M28" s="47">
        <v>1.2351641146031164E-322</v>
      </c>
      <c r="N28" s="47">
        <v>1.2351641146031164E-322</v>
      </c>
      <c r="O28" s="47">
        <v>1.2351641146031164E-322</v>
      </c>
      <c r="P28" s="48">
        <v>9.8813129168249309E-322</v>
      </c>
      <c r="Q28" s="68">
        <v>0</v>
      </c>
    </row>
    <row r="29" spans="1:17" ht="14.4" customHeight="1" x14ac:dyDescent="0.3">
      <c r="A29" s="16" t="s">
        <v>37</v>
      </c>
      <c r="B29" s="46">
        <v>9.8813129168249309E-324</v>
      </c>
      <c r="C29" s="47">
        <v>0</v>
      </c>
      <c r="D29" s="47">
        <v>9.8813129168249309E-324</v>
      </c>
      <c r="E29" s="47">
        <v>9.8813129168249309E-324</v>
      </c>
      <c r="F29" s="47">
        <v>9.8813129168249309E-324</v>
      </c>
      <c r="G29" s="47">
        <v>9.8813129168249309E-324</v>
      </c>
      <c r="H29" s="47">
        <v>9.8813129168249309E-324</v>
      </c>
      <c r="I29" s="47">
        <v>9.8813129168249309E-324</v>
      </c>
      <c r="J29" s="47">
        <v>9.8813129168249309E-324</v>
      </c>
      <c r="K29" s="47">
        <v>9.8813129168249309E-324</v>
      </c>
      <c r="L29" s="47">
        <v>9.8813129168249309E-324</v>
      </c>
      <c r="M29" s="47">
        <v>9.8813129168249309E-324</v>
      </c>
      <c r="N29" s="47">
        <v>9.8813129168249309E-324</v>
      </c>
      <c r="O29" s="47">
        <v>9.8813129168249309E-324</v>
      </c>
      <c r="P29" s="48">
        <v>7.9050503334599447E-323</v>
      </c>
      <c r="Q29" s="68" t="s">
        <v>200</v>
      </c>
    </row>
    <row r="30" spans="1:17" ht="14.4" customHeight="1" x14ac:dyDescent="0.3">
      <c r="A30" s="16" t="s">
        <v>38</v>
      </c>
      <c r="B30" s="46">
        <v>4.9406564584124654E-323</v>
      </c>
      <c r="C30" s="47">
        <v>0</v>
      </c>
      <c r="D30" s="47">
        <v>4.9406564584124654E-323</v>
      </c>
      <c r="E30" s="47">
        <v>4.9406564584124654E-323</v>
      </c>
      <c r="F30" s="47">
        <v>4.9406564584124654E-323</v>
      </c>
      <c r="G30" s="47">
        <v>4.9406564584124654E-323</v>
      </c>
      <c r="H30" s="47">
        <v>4.9406564584124654E-323</v>
      </c>
      <c r="I30" s="47">
        <v>4.9406564584124654E-323</v>
      </c>
      <c r="J30" s="47">
        <v>4.9406564584124654E-323</v>
      </c>
      <c r="K30" s="47">
        <v>4.9406564584124654E-323</v>
      </c>
      <c r="L30" s="47">
        <v>4.9406564584124654E-323</v>
      </c>
      <c r="M30" s="47">
        <v>4.9406564584124654E-323</v>
      </c>
      <c r="N30" s="47">
        <v>4.9406564584124654E-323</v>
      </c>
      <c r="O30" s="47">
        <v>4.9406564584124654E-323</v>
      </c>
      <c r="P30" s="48">
        <v>3.9525251667299724E-322</v>
      </c>
      <c r="Q30" s="68">
        <v>0</v>
      </c>
    </row>
    <row r="31" spans="1:17" ht="14.4" customHeight="1" thickBot="1" x14ac:dyDescent="0.35">
      <c r="A31" s="19" t="s">
        <v>39</v>
      </c>
      <c r="B31" s="52">
        <v>2.4703282292062327E-323</v>
      </c>
      <c r="C31" s="53">
        <v>0</v>
      </c>
      <c r="D31" s="53">
        <v>2.4703282292062327E-323</v>
      </c>
      <c r="E31" s="53">
        <v>2.4703282292062327E-323</v>
      </c>
      <c r="F31" s="53">
        <v>2.4703282292062327E-323</v>
      </c>
      <c r="G31" s="53">
        <v>2.4703282292062327E-323</v>
      </c>
      <c r="H31" s="53">
        <v>2.4703282292062327E-323</v>
      </c>
      <c r="I31" s="53">
        <v>2.4703282292062327E-323</v>
      </c>
      <c r="J31" s="53">
        <v>2.4703282292062327E-323</v>
      </c>
      <c r="K31" s="53">
        <v>2.4703282292062327E-323</v>
      </c>
      <c r="L31" s="53">
        <v>2.4703282292062327E-323</v>
      </c>
      <c r="M31" s="53">
        <v>2.4703282292062327E-323</v>
      </c>
      <c r="N31" s="53">
        <v>2.4703282292062327E-323</v>
      </c>
      <c r="O31" s="53">
        <v>2.4703282292062327E-323</v>
      </c>
      <c r="P31" s="54">
        <v>1.9762625833649862E-322</v>
      </c>
      <c r="Q31" s="70" t="s">
        <v>200</v>
      </c>
    </row>
    <row r="32" spans="1:17" ht="14.4" customHeight="1" x14ac:dyDescent="0.3"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</row>
    <row r="33" spans="1:17" ht="14.4" customHeight="1" x14ac:dyDescent="0.3">
      <c r="A33" s="79" t="s">
        <v>85</v>
      </c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</row>
    <row r="34" spans="1:17" ht="14.4" customHeight="1" x14ac:dyDescent="0.3">
      <c r="A34" s="102" t="s">
        <v>109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8"/>
    </row>
    <row r="35" spans="1:17" ht="14.4" customHeight="1" x14ac:dyDescent="0.3">
      <c r="A35" s="103" t="s">
        <v>40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8"/>
    </row>
  </sheetData>
  <autoFilter ref="A5:A31"/>
  <mergeCells count="3">
    <mergeCell ref="A1:Q1"/>
    <mergeCell ref="B3:O3"/>
    <mergeCell ref="P4:Q4"/>
  </mergeCells>
  <hyperlinks>
    <hyperlink ref="A2" location="Obsah!A1" display="Zpět na Obsah  KL 01  1.-4.měsíc"/>
  </hyperlinks>
  <pageMargins left="0.25" right="0.25" top="0.75" bottom="0.75" header="0.3" footer="0.3"/>
  <pageSetup paperSize="9" scale="8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6">
    <tabColor theme="0" tint="-0.249977111117893"/>
    <pageSetUpPr fitToPage="1"/>
  </sheetPr>
  <dimension ref="A1:K126"/>
  <sheetViews>
    <sheetView showGridLines="0" showRowColHeader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K1"/>
    </sheetView>
  </sheetViews>
  <sheetFormatPr defaultRowHeight="14.4" customHeight="1" x14ac:dyDescent="0.3"/>
  <cols>
    <col min="1" max="1" width="50" style="96" customWidth="1"/>
    <col min="2" max="11" width="10" style="96" customWidth="1"/>
    <col min="12" max="16384" width="8.88671875" style="96"/>
  </cols>
  <sheetData>
    <row r="1" spans="1:11" s="55" customFormat="1" ht="18.600000000000001" customHeight="1" thickBot="1" x14ac:dyDescent="0.4">
      <c r="A1" s="270" t="s">
        <v>41</v>
      </c>
      <c r="B1" s="270"/>
      <c r="C1" s="270"/>
      <c r="D1" s="270"/>
      <c r="E1" s="270"/>
      <c r="F1" s="270"/>
      <c r="G1" s="270"/>
      <c r="H1" s="275"/>
      <c r="I1" s="275"/>
      <c r="J1" s="275"/>
      <c r="K1" s="275"/>
    </row>
    <row r="2" spans="1:11" s="55" customFormat="1" ht="14.4" customHeight="1" thickBot="1" x14ac:dyDescent="0.35">
      <c r="A2" s="175" t="s">
        <v>199</v>
      </c>
      <c r="B2" s="56"/>
      <c r="C2" s="56"/>
      <c r="D2" s="56"/>
      <c r="E2" s="56"/>
      <c r="F2" s="56"/>
      <c r="G2" s="56"/>
      <c r="H2" s="56"/>
      <c r="I2" s="56"/>
      <c r="J2" s="56"/>
      <c r="K2" s="56"/>
    </row>
    <row r="3" spans="1:11" ht="14.4" customHeight="1" x14ac:dyDescent="0.3">
      <c r="A3" s="58"/>
      <c r="B3" s="271" t="s">
        <v>42</v>
      </c>
      <c r="C3" s="272"/>
      <c r="D3" s="272"/>
      <c r="E3" s="272"/>
      <c r="F3" s="278" t="s">
        <v>43</v>
      </c>
      <c r="G3" s="272"/>
      <c r="H3" s="272"/>
      <c r="I3" s="272"/>
      <c r="J3" s="272"/>
      <c r="K3" s="279"/>
    </row>
    <row r="4" spans="1:11" ht="14.4" customHeight="1" x14ac:dyDescent="0.3">
      <c r="A4" s="59"/>
      <c r="B4" s="276"/>
      <c r="C4" s="277"/>
      <c r="D4" s="277"/>
      <c r="E4" s="277"/>
      <c r="F4" s="280" t="s">
        <v>105</v>
      </c>
      <c r="G4" s="282" t="s">
        <v>44</v>
      </c>
      <c r="H4" s="107" t="s">
        <v>75</v>
      </c>
      <c r="I4" s="280" t="s">
        <v>45</v>
      </c>
      <c r="J4" s="282" t="s">
        <v>107</v>
      </c>
      <c r="K4" s="283" t="s">
        <v>108</v>
      </c>
    </row>
    <row r="5" spans="1:11" ht="42" thickBot="1" x14ac:dyDescent="0.35">
      <c r="A5" s="60"/>
      <c r="B5" s="24" t="s">
        <v>101</v>
      </c>
      <c r="C5" s="25" t="s">
        <v>102</v>
      </c>
      <c r="D5" s="26" t="s">
        <v>103</v>
      </c>
      <c r="E5" s="26" t="s">
        <v>104</v>
      </c>
      <c r="F5" s="281"/>
      <c r="G5" s="281"/>
      <c r="H5" s="25" t="s">
        <v>106</v>
      </c>
      <c r="I5" s="281"/>
      <c r="J5" s="281"/>
      <c r="K5" s="284"/>
    </row>
    <row r="6" spans="1:11" ht="14.4" customHeight="1" thickBot="1" x14ac:dyDescent="0.35">
      <c r="A6" s="324" t="s">
        <v>202</v>
      </c>
      <c r="B6" s="306">
        <v>1871.2519692687799</v>
      </c>
      <c r="C6" s="306">
        <v>2027.59501</v>
      </c>
      <c r="D6" s="307">
        <v>156.34304073122499</v>
      </c>
      <c r="E6" s="308">
        <v>1.08354996724</v>
      </c>
      <c r="F6" s="306">
        <v>3023.5661133680201</v>
      </c>
      <c r="G6" s="307">
        <v>2015.71074224535</v>
      </c>
      <c r="H6" s="309">
        <v>222.05683999999999</v>
      </c>
      <c r="I6" s="306">
        <v>2066.2161700000001</v>
      </c>
      <c r="J6" s="307">
        <v>50.505427754654001</v>
      </c>
      <c r="K6" s="310">
        <v>0.68337059370499997</v>
      </c>
    </row>
    <row r="7" spans="1:11" ht="14.4" customHeight="1" thickBot="1" x14ac:dyDescent="0.35">
      <c r="A7" s="325" t="s">
        <v>203</v>
      </c>
      <c r="B7" s="306">
        <v>198.15136768125899</v>
      </c>
      <c r="C7" s="306">
        <v>246.56715</v>
      </c>
      <c r="D7" s="307">
        <v>48.415782318741002</v>
      </c>
      <c r="E7" s="308">
        <v>1.2443373613069999</v>
      </c>
      <c r="F7" s="306">
        <v>421.81684716470198</v>
      </c>
      <c r="G7" s="307">
        <v>281.21123144313498</v>
      </c>
      <c r="H7" s="309">
        <v>14.22106</v>
      </c>
      <c r="I7" s="306">
        <v>258.17032999999998</v>
      </c>
      <c r="J7" s="307">
        <v>-23.040901443134</v>
      </c>
      <c r="K7" s="310">
        <v>0.61204366713900005</v>
      </c>
    </row>
    <row r="8" spans="1:11" ht="14.4" customHeight="1" thickBot="1" x14ac:dyDescent="0.35">
      <c r="A8" s="326" t="s">
        <v>204</v>
      </c>
      <c r="B8" s="306">
        <v>123.796010889191</v>
      </c>
      <c r="C8" s="306">
        <v>179.73348999999999</v>
      </c>
      <c r="D8" s="307">
        <v>55.937479110807999</v>
      </c>
      <c r="E8" s="308">
        <v>1.4518520322990001</v>
      </c>
      <c r="F8" s="306">
        <v>310.61869031574201</v>
      </c>
      <c r="G8" s="307">
        <v>207.079126877161</v>
      </c>
      <c r="H8" s="309">
        <v>8.7210599999999996</v>
      </c>
      <c r="I8" s="306">
        <v>197.61205000000001</v>
      </c>
      <c r="J8" s="307">
        <v>-9.4670768771610003</v>
      </c>
      <c r="K8" s="310">
        <v>0.63618853649499996</v>
      </c>
    </row>
    <row r="9" spans="1:11" ht="14.4" customHeight="1" thickBot="1" x14ac:dyDescent="0.35">
      <c r="A9" s="327" t="s">
        <v>205</v>
      </c>
      <c r="B9" s="311">
        <v>4.9406564584124654E-324</v>
      </c>
      <c r="C9" s="311">
        <v>0.77005000000000001</v>
      </c>
      <c r="D9" s="312">
        <v>0.77005000000000001</v>
      </c>
      <c r="E9" s="313" t="s">
        <v>206</v>
      </c>
      <c r="F9" s="311">
        <v>0.77063330568099997</v>
      </c>
      <c r="G9" s="312">
        <v>0.51375553711999999</v>
      </c>
      <c r="H9" s="314">
        <v>4.9406564584124654E-324</v>
      </c>
      <c r="I9" s="311">
        <v>3.9525251667299724E-323</v>
      </c>
      <c r="J9" s="312">
        <v>-0.51375553711999999</v>
      </c>
      <c r="K9" s="315">
        <v>4.9406564584124654E-323</v>
      </c>
    </row>
    <row r="10" spans="1:11" ht="14.4" customHeight="1" thickBot="1" x14ac:dyDescent="0.35">
      <c r="A10" s="328" t="s">
        <v>207</v>
      </c>
      <c r="B10" s="306">
        <v>4.9406564584124654E-324</v>
      </c>
      <c r="C10" s="306">
        <v>0.77005000000000001</v>
      </c>
      <c r="D10" s="307">
        <v>0.77005000000000001</v>
      </c>
      <c r="E10" s="316" t="s">
        <v>206</v>
      </c>
      <c r="F10" s="306">
        <v>0.77063330568099997</v>
      </c>
      <c r="G10" s="307">
        <v>0.51375553711999999</v>
      </c>
      <c r="H10" s="309">
        <v>4.9406564584124654E-324</v>
      </c>
      <c r="I10" s="306">
        <v>3.9525251667299724E-323</v>
      </c>
      <c r="J10" s="307">
        <v>-0.51375553711999999</v>
      </c>
      <c r="K10" s="310">
        <v>4.9406564584124654E-323</v>
      </c>
    </row>
    <row r="11" spans="1:11" ht="14.4" customHeight="1" thickBot="1" x14ac:dyDescent="0.35">
      <c r="A11" s="327" t="s">
        <v>208</v>
      </c>
      <c r="B11" s="311">
        <v>4.9406564584124654E-324</v>
      </c>
      <c r="C11" s="311">
        <v>43.093330000000002</v>
      </c>
      <c r="D11" s="312">
        <v>43.093330000000002</v>
      </c>
      <c r="E11" s="313" t="s">
        <v>206</v>
      </c>
      <c r="F11" s="311">
        <v>65.733283269283007</v>
      </c>
      <c r="G11" s="312">
        <v>43.822188846189</v>
      </c>
      <c r="H11" s="314">
        <v>5.27705</v>
      </c>
      <c r="I11" s="311">
        <v>47.042340000000003</v>
      </c>
      <c r="J11" s="312">
        <v>3.2201511538099998</v>
      </c>
      <c r="K11" s="315">
        <v>0.715654804694</v>
      </c>
    </row>
    <row r="12" spans="1:11" ht="14.4" customHeight="1" thickBot="1" x14ac:dyDescent="0.35">
      <c r="A12" s="328" t="s">
        <v>209</v>
      </c>
      <c r="B12" s="306">
        <v>4.9406564584124654E-324</v>
      </c>
      <c r="C12" s="306">
        <v>40.366329999999998</v>
      </c>
      <c r="D12" s="307">
        <v>40.366329999999998</v>
      </c>
      <c r="E12" s="316" t="s">
        <v>206</v>
      </c>
      <c r="F12" s="306">
        <v>58.999903784494002</v>
      </c>
      <c r="G12" s="307">
        <v>39.333269189661998</v>
      </c>
      <c r="H12" s="309">
        <v>5.27705</v>
      </c>
      <c r="I12" s="306">
        <v>44.234340000000003</v>
      </c>
      <c r="J12" s="307">
        <v>4.901070810337</v>
      </c>
      <c r="K12" s="310">
        <v>0.74973579891800002</v>
      </c>
    </row>
    <row r="13" spans="1:11" ht="14.4" customHeight="1" thickBot="1" x14ac:dyDescent="0.35">
      <c r="A13" s="328" t="s">
        <v>210</v>
      </c>
      <c r="B13" s="306">
        <v>4.9406564584124654E-324</v>
      </c>
      <c r="C13" s="306">
        <v>2.7120000000000002</v>
      </c>
      <c r="D13" s="307">
        <v>2.7120000000000002</v>
      </c>
      <c r="E13" s="316" t="s">
        <v>206</v>
      </c>
      <c r="F13" s="306">
        <v>6.7181672275680002</v>
      </c>
      <c r="G13" s="307">
        <v>4.4787781517120004</v>
      </c>
      <c r="H13" s="309">
        <v>4.9406564584124654E-324</v>
      </c>
      <c r="I13" s="306">
        <v>2.6619999999999999</v>
      </c>
      <c r="J13" s="307">
        <v>-1.8167781517120001</v>
      </c>
      <c r="K13" s="310">
        <v>0.39623902023099999</v>
      </c>
    </row>
    <row r="14" spans="1:11" ht="14.4" customHeight="1" thickBot="1" x14ac:dyDescent="0.35">
      <c r="A14" s="328" t="s">
        <v>211</v>
      </c>
      <c r="B14" s="306">
        <v>4.9406564584124654E-324</v>
      </c>
      <c r="C14" s="306">
        <v>1.4999999999999999E-2</v>
      </c>
      <c r="D14" s="307">
        <v>1.4999999999999999E-2</v>
      </c>
      <c r="E14" s="316" t="s">
        <v>206</v>
      </c>
      <c r="F14" s="306">
        <v>1.5212257220000001E-2</v>
      </c>
      <c r="G14" s="307">
        <v>1.0141504813E-2</v>
      </c>
      <c r="H14" s="309">
        <v>4.9406564584124654E-324</v>
      </c>
      <c r="I14" s="306">
        <v>0.14599999999999999</v>
      </c>
      <c r="J14" s="307">
        <v>0.13585849518599999</v>
      </c>
      <c r="K14" s="310">
        <v>9.5975237520879997</v>
      </c>
    </row>
    <row r="15" spans="1:11" ht="14.4" customHeight="1" thickBot="1" x14ac:dyDescent="0.35">
      <c r="A15" s="327" t="s">
        <v>212</v>
      </c>
      <c r="B15" s="311">
        <v>123.281503269052</v>
      </c>
      <c r="C15" s="311">
        <v>132.63751999999999</v>
      </c>
      <c r="D15" s="312">
        <v>9.3560167309469993</v>
      </c>
      <c r="E15" s="317">
        <v>1.0758914880399999</v>
      </c>
      <c r="F15" s="311">
        <v>240.20200522550701</v>
      </c>
      <c r="G15" s="312">
        <v>160.134670150338</v>
      </c>
      <c r="H15" s="314">
        <v>3.44401</v>
      </c>
      <c r="I15" s="311">
        <v>150.49836999999999</v>
      </c>
      <c r="J15" s="312">
        <v>-9.636300150337</v>
      </c>
      <c r="K15" s="315">
        <v>0.62654918246199998</v>
      </c>
    </row>
    <row r="16" spans="1:11" ht="14.4" customHeight="1" thickBot="1" x14ac:dyDescent="0.35">
      <c r="A16" s="328" t="s">
        <v>213</v>
      </c>
      <c r="B16" s="306">
        <v>2.9998876387590001</v>
      </c>
      <c r="C16" s="306">
        <v>0</v>
      </c>
      <c r="D16" s="307">
        <v>-2.9998876387590001</v>
      </c>
      <c r="E16" s="308">
        <v>0</v>
      </c>
      <c r="F16" s="306">
        <v>2.7929345469999999E-3</v>
      </c>
      <c r="G16" s="307">
        <v>1.861956364E-3</v>
      </c>
      <c r="H16" s="309">
        <v>4.9406564584124654E-324</v>
      </c>
      <c r="I16" s="306">
        <v>4.077</v>
      </c>
      <c r="J16" s="307">
        <v>4.0751380436350004</v>
      </c>
      <c r="K16" s="310">
        <v>1459.7549390527299</v>
      </c>
    </row>
    <row r="17" spans="1:11" ht="14.4" customHeight="1" thickBot="1" x14ac:dyDescent="0.35">
      <c r="A17" s="328" t="s">
        <v>214</v>
      </c>
      <c r="B17" s="306">
        <v>3.9281288852000003E-2</v>
      </c>
      <c r="C17" s="306">
        <v>0.14355999999999999</v>
      </c>
      <c r="D17" s="307">
        <v>0.10427871114700001</v>
      </c>
      <c r="E17" s="308">
        <v>3.6546662341110001</v>
      </c>
      <c r="F17" s="306">
        <v>0.15283576581300001</v>
      </c>
      <c r="G17" s="307">
        <v>0.101890510542</v>
      </c>
      <c r="H17" s="309">
        <v>4.9406564584124654E-324</v>
      </c>
      <c r="I17" s="306">
        <v>9.0880000000000002E-2</v>
      </c>
      <c r="J17" s="307">
        <v>-1.1010510542E-2</v>
      </c>
      <c r="K17" s="310">
        <v>0.59462521430100002</v>
      </c>
    </row>
    <row r="18" spans="1:11" ht="14.4" customHeight="1" thickBot="1" x14ac:dyDescent="0.35">
      <c r="A18" s="328" t="s">
        <v>215</v>
      </c>
      <c r="B18" s="306">
        <v>1.9999361160210001</v>
      </c>
      <c r="C18" s="306">
        <v>1.7806299999999999</v>
      </c>
      <c r="D18" s="307">
        <v>-0.219306116021</v>
      </c>
      <c r="E18" s="308">
        <v>0.89034343934000004</v>
      </c>
      <c r="F18" s="306">
        <v>4.6597864094989996</v>
      </c>
      <c r="G18" s="307">
        <v>3.1065242729990001</v>
      </c>
      <c r="H18" s="309">
        <v>4.9406564584124654E-324</v>
      </c>
      <c r="I18" s="306">
        <v>0.43992999999999999</v>
      </c>
      <c r="J18" s="307">
        <v>-2.6665942729990002</v>
      </c>
      <c r="K18" s="310">
        <v>9.4409906665000001E-2</v>
      </c>
    </row>
    <row r="19" spans="1:11" ht="14.4" customHeight="1" thickBot="1" x14ac:dyDescent="0.35">
      <c r="A19" s="328" t="s">
        <v>216</v>
      </c>
      <c r="B19" s="306">
        <v>5.2328590325919997</v>
      </c>
      <c r="C19" s="306">
        <v>3.9340799999999998</v>
      </c>
      <c r="D19" s="307">
        <v>-1.2987790325919999</v>
      </c>
      <c r="E19" s="308">
        <v>0.75180316830500005</v>
      </c>
      <c r="F19" s="306">
        <v>6.1302059320140003</v>
      </c>
      <c r="G19" s="307">
        <v>4.0868039546760002</v>
      </c>
      <c r="H19" s="309">
        <v>1.4532099999999999</v>
      </c>
      <c r="I19" s="306">
        <v>3.5941999999999998</v>
      </c>
      <c r="J19" s="307">
        <v>-0.49260395467599999</v>
      </c>
      <c r="K19" s="310">
        <v>0.58630983034799999</v>
      </c>
    </row>
    <row r="20" spans="1:11" ht="14.4" customHeight="1" thickBot="1" x14ac:dyDescent="0.35">
      <c r="A20" s="328" t="s">
        <v>217</v>
      </c>
      <c r="B20" s="306">
        <v>1.5408379563000001E-2</v>
      </c>
      <c r="C20" s="306">
        <v>0.88505</v>
      </c>
      <c r="D20" s="307">
        <v>0.86964162043600002</v>
      </c>
      <c r="E20" s="308">
        <v>57.439524794099</v>
      </c>
      <c r="F20" s="306">
        <v>0.99991897388999995</v>
      </c>
      <c r="G20" s="307">
        <v>0.66661264925999997</v>
      </c>
      <c r="H20" s="309">
        <v>4.9406564584124654E-324</v>
      </c>
      <c r="I20" s="306">
        <v>10.74873</v>
      </c>
      <c r="J20" s="307">
        <v>10.082117350739001</v>
      </c>
      <c r="K20" s="310">
        <v>10.749600998345</v>
      </c>
    </row>
    <row r="21" spans="1:11" ht="14.4" customHeight="1" thickBot="1" x14ac:dyDescent="0.35">
      <c r="A21" s="328" t="s">
        <v>218</v>
      </c>
      <c r="B21" s="306">
        <v>109.932819535452</v>
      </c>
      <c r="C21" s="306">
        <v>118.61415</v>
      </c>
      <c r="D21" s="307">
        <v>8.6813304645470009</v>
      </c>
      <c r="E21" s="308">
        <v>1.07896941515</v>
      </c>
      <c r="F21" s="306">
        <v>221.008190799711</v>
      </c>
      <c r="G21" s="307">
        <v>147.33879386647399</v>
      </c>
      <c r="H21" s="309">
        <v>0.60499999999999998</v>
      </c>
      <c r="I21" s="306">
        <v>126.23074</v>
      </c>
      <c r="J21" s="307">
        <v>-21.108053866473</v>
      </c>
      <c r="K21" s="310">
        <v>0.57115865047000003</v>
      </c>
    </row>
    <row r="22" spans="1:11" ht="14.4" customHeight="1" thickBot="1" x14ac:dyDescent="0.35">
      <c r="A22" s="328" t="s">
        <v>219</v>
      </c>
      <c r="B22" s="306">
        <v>3</v>
      </c>
      <c r="C22" s="306">
        <v>2.4612500000000002</v>
      </c>
      <c r="D22" s="307">
        <v>-0.53874999999899997</v>
      </c>
      <c r="E22" s="308">
        <v>0.82041666666599999</v>
      </c>
      <c r="F22" s="306">
        <v>4.5615312182869996</v>
      </c>
      <c r="G22" s="307">
        <v>3.0410208121909998</v>
      </c>
      <c r="H22" s="309">
        <v>0.60087999999999997</v>
      </c>
      <c r="I22" s="306">
        <v>2.4033600000000002</v>
      </c>
      <c r="J22" s="307">
        <v>-0.63766081219100001</v>
      </c>
      <c r="K22" s="310">
        <v>0.52687571014800005</v>
      </c>
    </row>
    <row r="23" spans="1:11" ht="14.4" customHeight="1" thickBot="1" x14ac:dyDescent="0.35">
      <c r="A23" s="328" t="s">
        <v>220</v>
      </c>
      <c r="B23" s="306">
        <v>4.9406564584124654E-324</v>
      </c>
      <c r="C23" s="306">
        <v>2.36</v>
      </c>
      <c r="D23" s="307">
        <v>2.36</v>
      </c>
      <c r="E23" s="316" t="s">
        <v>206</v>
      </c>
      <c r="F23" s="306">
        <v>0</v>
      </c>
      <c r="G23" s="307">
        <v>0</v>
      </c>
      <c r="H23" s="309">
        <v>4.9406564584124654E-324</v>
      </c>
      <c r="I23" s="306">
        <v>3.9525251667299724E-323</v>
      </c>
      <c r="J23" s="307">
        <v>3.9525251667299724E-323</v>
      </c>
      <c r="K23" s="318" t="s">
        <v>200</v>
      </c>
    </row>
    <row r="24" spans="1:11" ht="14.4" customHeight="1" thickBot="1" x14ac:dyDescent="0.35">
      <c r="A24" s="328" t="s">
        <v>221</v>
      </c>
      <c r="B24" s="306">
        <v>4.9406564584124654E-324</v>
      </c>
      <c r="C24" s="306">
        <v>2.4588000000000001</v>
      </c>
      <c r="D24" s="307">
        <v>2.4588000000000001</v>
      </c>
      <c r="E24" s="316" t="s">
        <v>206</v>
      </c>
      <c r="F24" s="306">
        <v>2.6867431917419999</v>
      </c>
      <c r="G24" s="307">
        <v>1.7911621278280001</v>
      </c>
      <c r="H24" s="309">
        <v>0.78491999999999995</v>
      </c>
      <c r="I24" s="306">
        <v>2.4029099999999999</v>
      </c>
      <c r="J24" s="307">
        <v>0.61174787217100002</v>
      </c>
      <c r="K24" s="310">
        <v>0.89435790044399999</v>
      </c>
    </row>
    <row r="25" spans="1:11" ht="14.4" customHeight="1" thickBot="1" x14ac:dyDescent="0.35">
      <c r="A25" s="328" t="s">
        <v>222</v>
      </c>
      <c r="B25" s="306">
        <v>4.9406564584124654E-324</v>
      </c>
      <c r="C25" s="306">
        <v>4.9406564584124654E-324</v>
      </c>
      <c r="D25" s="307">
        <v>0</v>
      </c>
      <c r="E25" s="308">
        <v>1</v>
      </c>
      <c r="F25" s="306">
        <v>4.9406564584124654E-324</v>
      </c>
      <c r="G25" s="307">
        <v>0</v>
      </c>
      <c r="H25" s="309">
        <v>4.9406564584124654E-324</v>
      </c>
      <c r="I25" s="306">
        <v>0.51061999999999996</v>
      </c>
      <c r="J25" s="307">
        <v>0.51061999999999996</v>
      </c>
      <c r="K25" s="318" t="s">
        <v>206</v>
      </c>
    </row>
    <row r="26" spans="1:11" ht="14.4" customHeight="1" thickBot="1" x14ac:dyDescent="0.35">
      <c r="A26" s="327" t="s">
        <v>223</v>
      </c>
      <c r="B26" s="311">
        <v>0.14064514849199999</v>
      </c>
      <c r="C26" s="311">
        <v>9.4200000000000006E-2</v>
      </c>
      <c r="D26" s="312">
        <v>-4.6445148492000002E-2</v>
      </c>
      <c r="E26" s="317">
        <v>0.66977070314800002</v>
      </c>
      <c r="F26" s="311">
        <v>1.0001864980149999</v>
      </c>
      <c r="G26" s="312">
        <v>0.666790998676</v>
      </c>
      <c r="H26" s="314">
        <v>4.9406564584124654E-324</v>
      </c>
      <c r="I26" s="311">
        <v>7.1340000000000001E-2</v>
      </c>
      <c r="J26" s="312">
        <v>-0.59545099867600004</v>
      </c>
      <c r="K26" s="315">
        <v>7.1326697711999995E-2</v>
      </c>
    </row>
    <row r="27" spans="1:11" ht="14.4" customHeight="1" thickBot="1" x14ac:dyDescent="0.35">
      <c r="A27" s="328" t="s">
        <v>224</v>
      </c>
      <c r="B27" s="306">
        <v>0.14064514849199999</v>
      </c>
      <c r="C27" s="306">
        <v>9.4200000000000006E-2</v>
      </c>
      <c r="D27" s="307">
        <v>-4.6445148492000002E-2</v>
      </c>
      <c r="E27" s="308">
        <v>0.66977070314800002</v>
      </c>
      <c r="F27" s="306">
        <v>1.0001864980149999</v>
      </c>
      <c r="G27" s="307">
        <v>0.666790998676</v>
      </c>
      <c r="H27" s="309">
        <v>4.9406564584124654E-324</v>
      </c>
      <c r="I27" s="306">
        <v>7.1340000000000001E-2</v>
      </c>
      <c r="J27" s="307">
        <v>-0.59545099867600004</v>
      </c>
      <c r="K27" s="310">
        <v>7.1326697711999995E-2</v>
      </c>
    </row>
    <row r="28" spans="1:11" ht="14.4" customHeight="1" thickBot="1" x14ac:dyDescent="0.35">
      <c r="A28" s="327" t="s">
        <v>225</v>
      </c>
      <c r="B28" s="311">
        <v>0.37386247164600001</v>
      </c>
      <c r="C28" s="311">
        <v>3.1383899999999998</v>
      </c>
      <c r="D28" s="312">
        <v>2.7645275283530002</v>
      </c>
      <c r="E28" s="317">
        <v>8.3945039633890008</v>
      </c>
      <c r="F28" s="311">
        <v>2.9125820172550001</v>
      </c>
      <c r="G28" s="312">
        <v>1.941721344836</v>
      </c>
      <c r="H28" s="314">
        <v>4.9406564584124654E-324</v>
      </c>
      <c r="I28" s="311">
        <v>3.9525251667299724E-323</v>
      </c>
      <c r="J28" s="312">
        <v>-1.941721344836</v>
      </c>
      <c r="K28" s="315">
        <v>1.4821969375237396E-323</v>
      </c>
    </row>
    <row r="29" spans="1:11" ht="14.4" customHeight="1" thickBot="1" x14ac:dyDescent="0.35">
      <c r="A29" s="328" t="s">
        <v>226</v>
      </c>
      <c r="B29" s="306">
        <v>0.37386247164600001</v>
      </c>
      <c r="C29" s="306">
        <v>3.1383899999999998</v>
      </c>
      <c r="D29" s="307">
        <v>2.7645275283530002</v>
      </c>
      <c r="E29" s="308">
        <v>8.3945039633890008</v>
      </c>
      <c r="F29" s="306">
        <v>2.9125820172550001</v>
      </c>
      <c r="G29" s="307">
        <v>1.941721344836</v>
      </c>
      <c r="H29" s="309">
        <v>4.9406564584124654E-324</v>
      </c>
      <c r="I29" s="306">
        <v>3.9525251667299724E-323</v>
      </c>
      <c r="J29" s="307">
        <v>-1.941721344836</v>
      </c>
      <c r="K29" s="310">
        <v>1.4821969375237396E-323</v>
      </c>
    </row>
    <row r="30" spans="1:11" ht="14.4" customHeight="1" thickBot="1" x14ac:dyDescent="0.35">
      <c r="A30" s="326" t="s">
        <v>22</v>
      </c>
      <c r="B30" s="306">
        <v>74.355356792066999</v>
      </c>
      <c r="C30" s="306">
        <v>66.833659999999995</v>
      </c>
      <c r="D30" s="307">
        <v>-7.5216967920669999</v>
      </c>
      <c r="E30" s="308">
        <v>0.89884122521099996</v>
      </c>
      <c r="F30" s="306">
        <v>111.19815684896101</v>
      </c>
      <c r="G30" s="307">
        <v>74.132104565972995</v>
      </c>
      <c r="H30" s="309">
        <v>5.5</v>
      </c>
      <c r="I30" s="306">
        <v>60.558280000000003</v>
      </c>
      <c r="J30" s="307">
        <v>-13.573824565973</v>
      </c>
      <c r="K30" s="310">
        <v>0.54459787568399998</v>
      </c>
    </row>
    <row r="31" spans="1:11" ht="14.4" customHeight="1" thickBot="1" x14ac:dyDescent="0.35">
      <c r="A31" s="327" t="s">
        <v>227</v>
      </c>
      <c r="B31" s="311">
        <v>74.355356792066999</v>
      </c>
      <c r="C31" s="311">
        <v>66.833659999999995</v>
      </c>
      <c r="D31" s="312">
        <v>-7.5216967920669999</v>
      </c>
      <c r="E31" s="317">
        <v>0.89884122521099996</v>
      </c>
      <c r="F31" s="311">
        <v>111.19815684896101</v>
      </c>
      <c r="G31" s="312">
        <v>74.132104565972995</v>
      </c>
      <c r="H31" s="314">
        <v>5.5</v>
      </c>
      <c r="I31" s="311">
        <v>60.558280000000003</v>
      </c>
      <c r="J31" s="312">
        <v>-13.573824565973</v>
      </c>
      <c r="K31" s="315">
        <v>0.54459787568399998</v>
      </c>
    </row>
    <row r="32" spans="1:11" ht="14.4" customHeight="1" thickBot="1" x14ac:dyDescent="0.35">
      <c r="A32" s="328" t="s">
        <v>228</v>
      </c>
      <c r="B32" s="306">
        <v>32.685910414113003</v>
      </c>
      <c r="C32" s="306">
        <v>33.655999999999999</v>
      </c>
      <c r="D32" s="307">
        <v>0.97008958588600003</v>
      </c>
      <c r="E32" s="308">
        <v>1.029679136165</v>
      </c>
      <c r="F32" s="306">
        <v>49.202501880671001</v>
      </c>
      <c r="G32" s="307">
        <v>32.801667920447002</v>
      </c>
      <c r="H32" s="309">
        <v>3.44</v>
      </c>
      <c r="I32" s="306">
        <v>27.591999999999999</v>
      </c>
      <c r="J32" s="307">
        <v>-5.209667920447</v>
      </c>
      <c r="K32" s="310">
        <v>0.56078449154700005</v>
      </c>
    </row>
    <row r="33" spans="1:11" ht="14.4" customHeight="1" thickBot="1" x14ac:dyDescent="0.35">
      <c r="A33" s="328" t="s">
        <v>229</v>
      </c>
      <c r="B33" s="306">
        <v>5.3335625597060003</v>
      </c>
      <c r="C33" s="306">
        <v>5.1020000000000003</v>
      </c>
      <c r="D33" s="307">
        <v>-0.23156255970600001</v>
      </c>
      <c r="E33" s="308">
        <v>0.95658388607699996</v>
      </c>
      <c r="F33" s="306">
        <v>8.0000541912450007</v>
      </c>
      <c r="G33" s="307">
        <v>5.3333694608300002</v>
      </c>
      <c r="H33" s="309">
        <v>0.51300000000000001</v>
      </c>
      <c r="I33" s="306">
        <v>4.9809999999999999</v>
      </c>
      <c r="J33" s="307">
        <v>-0.35236946082999998</v>
      </c>
      <c r="K33" s="310">
        <v>0.62262078242499996</v>
      </c>
    </row>
    <row r="34" spans="1:11" ht="14.4" customHeight="1" thickBot="1" x14ac:dyDescent="0.35">
      <c r="A34" s="328" t="s">
        <v>230</v>
      </c>
      <c r="B34" s="306">
        <v>33.335883818246998</v>
      </c>
      <c r="C34" s="306">
        <v>25.045000000000002</v>
      </c>
      <c r="D34" s="307">
        <v>-8.2908838182469999</v>
      </c>
      <c r="E34" s="308">
        <v>0.751292515193</v>
      </c>
      <c r="F34" s="306">
        <v>48.228002284279</v>
      </c>
      <c r="G34" s="307">
        <v>32.152001522852999</v>
      </c>
      <c r="H34" s="309">
        <v>1.5469999999999999</v>
      </c>
      <c r="I34" s="306">
        <v>27.747</v>
      </c>
      <c r="J34" s="307">
        <v>-4.4050015228530004</v>
      </c>
      <c r="K34" s="310">
        <v>0.57532965675000003</v>
      </c>
    </row>
    <row r="35" spans="1:11" ht="14.4" customHeight="1" thickBot="1" x14ac:dyDescent="0.35">
      <c r="A35" s="328" t="s">
        <v>231</v>
      </c>
      <c r="B35" s="306">
        <v>3</v>
      </c>
      <c r="C35" s="306">
        <v>3.0306600000000001</v>
      </c>
      <c r="D35" s="307">
        <v>3.0659999999000001E-2</v>
      </c>
      <c r="E35" s="308">
        <v>1.0102199999999999</v>
      </c>
      <c r="F35" s="306">
        <v>5.7675984927639998</v>
      </c>
      <c r="G35" s="307">
        <v>3.8450656618429999</v>
      </c>
      <c r="H35" s="309">
        <v>4.9406564584124654E-324</v>
      </c>
      <c r="I35" s="306">
        <v>0.23827999999999999</v>
      </c>
      <c r="J35" s="307">
        <v>-3.6067856618429999</v>
      </c>
      <c r="K35" s="310">
        <v>4.1313555425000002E-2</v>
      </c>
    </row>
    <row r="36" spans="1:11" ht="14.4" customHeight="1" thickBot="1" x14ac:dyDescent="0.35">
      <c r="A36" s="329" t="s">
        <v>232</v>
      </c>
      <c r="B36" s="311">
        <v>71.350968668042995</v>
      </c>
      <c r="C36" s="311">
        <v>111.36939</v>
      </c>
      <c r="D36" s="312">
        <v>40.018421331957001</v>
      </c>
      <c r="E36" s="317">
        <v>1.5608672465</v>
      </c>
      <c r="F36" s="311">
        <v>221.738482454983</v>
      </c>
      <c r="G36" s="312">
        <v>147.82565496998899</v>
      </c>
      <c r="H36" s="314">
        <v>3.1810499999999999</v>
      </c>
      <c r="I36" s="311">
        <v>117.60032</v>
      </c>
      <c r="J36" s="312">
        <v>-30.225334969988001</v>
      </c>
      <c r="K36" s="315">
        <v>0.530355934152</v>
      </c>
    </row>
    <row r="37" spans="1:11" ht="14.4" customHeight="1" thickBot="1" x14ac:dyDescent="0.35">
      <c r="A37" s="326" t="s">
        <v>25</v>
      </c>
      <c r="B37" s="306">
        <v>4.5499075733680003</v>
      </c>
      <c r="C37" s="306">
        <v>10.73442</v>
      </c>
      <c r="D37" s="307">
        <v>6.1845124266309996</v>
      </c>
      <c r="E37" s="308">
        <v>2.35926111177</v>
      </c>
      <c r="F37" s="306">
        <v>6.3074241458079996</v>
      </c>
      <c r="G37" s="307">
        <v>4.2049494305390001</v>
      </c>
      <c r="H37" s="309">
        <v>4.9406564584124654E-324</v>
      </c>
      <c r="I37" s="306">
        <v>26.217020000000002</v>
      </c>
      <c r="J37" s="307">
        <v>22.012070569460001</v>
      </c>
      <c r="K37" s="310">
        <v>4.1565335379289996</v>
      </c>
    </row>
    <row r="38" spans="1:11" ht="14.4" customHeight="1" thickBot="1" x14ac:dyDescent="0.35">
      <c r="A38" s="327" t="s">
        <v>233</v>
      </c>
      <c r="B38" s="311">
        <v>4.9406564584124654E-324</v>
      </c>
      <c r="C38" s="311">
        <v>8.6115700000000004</v>
      </c>
      <c r="D38" s="312">
        <v>8.6115700000000004</v>
      </c>
      <c r="E38" s="313" t="s">
        <v>206</v>
      </c>
      <c r="F38" s="311">
        <v>0</v>
      </c>
      <c r="G38" s="312">
        <v>0</v>
      </c>
      <c r="H38" s="314">
        <v>4.9406564584124654E-324</v>
      </c>
      <c r="I38" s="311">
        <v>3.4584595208887258E-323</v>
      </c>
      <c r="J38" s="312">
        <v>3.4584595208887258E-323</v>
      </c>
      <c r="K38" s="319" t="s">
        <v>200</v>
      </c>
    </row>
    <row r="39" spans="1:11" ht="14.4" customHeight="1" thickBot="1" x14ac:dyDescent="0.35">
      <c r="A39" s="328" t="s">
        <v>234</v>
      </c>
      <c r="B39" s="306">
        <v>4.9406564584124654E-324</v>
      </c>
      <c r="C39" s="306">
        <v>8.6115700000000004</v>
      </c>
      <c r="D39" s="307">
        <v>8.6115700000000004</v>
      </c>
      <c r="E39" s="316" t="s">
        <v>206</v>
      </c>
      <c r="F39" s="306">
        <v>0</v>
      </c>
      <c r="G39" s="307">
        <v>0</v>
      </c>
      <c r="H39" s="309">
        <v>4.9406564584124654E-324</v>
      </c>
      <c r="I39" s="306">
        <v>3.4584595208887258E-323</v>
      </c>
      <c r="J39" s="307">
        <v>3.4584595208887258E-323</v>
      </c>
      <c r="K39" s="318" t="s">
        <v>200</v>
      </c>
    </row>
    <row r="40" spans="1:11" ht="14.4" customHeight="1" thickBot="1" x14ac:dyDescent="0.35">
      <c r="A40" s="330" t="s">
        <v>235</v>
      </c>
      <c r="B40" s="306">
        <v>4.5499075733680003</v>
      </c>
      <c r="C40" s="306">
        <v>2.1228500000000001</v>
      </c>
      <c r="D40" s="307">
        <v>-2.4270575733680002</v>
      </c>
      <c r="E40" s="308">
        <v>0.46656991724899999</v>
      </c>
      <c r="F40" s="306">
        <v>6.3074241458079996</v>
      </c>
      <c r="G40" s="307">
        <v>4.2049494305390001</v>
      </c>
      <c r="H40" s="309">
        <v>4.9406564584124654E-324</v>
      </c>
      <c r="I40" s="306">
        <v>26.217020000000002</v>
      </c>
      <c r="J40" s="307">
        <v>22.012070569460001</v>
      </c>
      <c r="K40" s="310">
        <v>4.1565335379289996</v>
      </c>
    </row>
    <row r="41" spans="1:11" ht="14.4" customHeight="1" thickBot="1" x14ac:dyDescent="0.35">
      <c r="A41" s="328" t="s">
        <v>236</v>
      </c>
      <c r="B41" s="306">
        <v>4.9406564584124654E-324</v>
      </c>
      <c r="C41" s="306">
        <v>0.92564999999999997</v>
      </c>
      <c r="D41" s="307">
        <v>0.92564999999999997</v>
      </c>
      <c r="E41" s="316" t="s">
        <v>206</v>
      </c>
      <c r="F41" s="306">
        <v>4.9999915584819998</v>
      </c>
      <c r="G41" s="307">
        <v>3.3333277056549999</v>
      </c>
      <c r="H41" s="309">
        <v>4.9406564584124654E-324</v>
      </c>
      <c r="I41" s="306">
        <v>11.50511</v>
      </c>
      <c r="J41" s="307">
        <v>8.1717822943440002</v>
      </c>
      <c r="K41" s="310">
        <v>2.3010258848289999</v>
      </c>
    </row>
    <row r="42" spans="1:11" ht="14.4" customHeight="1" thickBot="1" x14ac:dyDescent="0.35">
      <c r="A42" s="328" t="s">
        <v>237</v>
      </c>
      <c r="B42" s="306">
        <v>4</v>
      </c>
      <c r="C42" s="306">
        <v>1.1972</v>
      </c>
      <c r="D42" s="307">
        <v>-2.8028</v>
      </c>
      <c r="E42" s="308">
        <v>0.29930000000000001</v>
      </c>
      <c r="F42" s="306">
        <v>1.3074325873249999</v>
      </c>
      <c r="G42" s="307">
        <v>0.87162172488300005</v>
      </c>
      <c r="H42" s="309">
        <v>4.9406564584124654E-324</v>
      </c>
      <c r="I42" s="306">
        <v>14.71191</v>
      </c>
      <c r="J42" s="307">
        <v>13.840288275116</v>
      </c>
      <c r="K42" s="310">
        <v>11.252518976974001</v>
      </c>
    </row>
    <row r="43" spans="1:11" ht="14.4" customHeight="1" thickBot="1" x14ac:dyDescent="0.35">
      <c r="A43" s="331" t="s">
        <v>26</v>
      </c>
      <c r="B43" s="311">
        <v>4.9406564584124654E-324</v>
      </c>
      <c r="C43" s="311">
        <v>7.4619999999999997</v>
      </c>
      <c r="D43" s="312">
        <v>7.4619999999999997</v>
      </c>
      <c r="E43" s="313" t="s">
        <v>206</v>
      </c>
      <c r="F43" s="311">
        <v>0</v>
      </c>
      <c r="G43" s="312">
        <v>0</v>
      </c>
      <c r="H43" s="314">
        <v>4.9406564584124654E-324</v>
      </c>
      <c r="I43" s="311">
        <v>3.948</v>
      </c>
      <c r="J43" s="312">
        <v>3.948</v>
      </c>
      <c r="K43" s="319" t="s">
        <v>200</v>
      </c>
    </row>
    <row r="44" spans="1:11" ht="14.4" customHeight="1" thickBot="1" x14ac:dyDescent="0.35">
      <c r="A44" s="327" t="s">
        <v>238</v>
      </c>
      <c r="B44" s="311">
        <v>4.9406564584124654E-324</v>
      </c>
      <c r="C44" s="311">
        <v>7.4619999999999997</v>
      </c>
      <c r="D44" s="312">
        <v>7.4619999999999997</v>
      </c>
      <c r="E44" s="313" t="s">
        <v>206</v>
      </c>
      <c r="F44" s="311">
        <v>0</v>
      </c>
      <c r="G44" s="312">
        <v>0</v>
      </c>
      <c r="H44" s="314">
        <v>4.9406564584124654E-324</v>
      </c>
      <c r="I44" s="311">
        <v>3.948</v>
      </c>
      <c r="J44" s="312">
        <v>3.948</v>
      </c>
      <c r="K44" s="319" t="s">
        <v>200</v>
      </c>
    </row>
    <row r="45" spans="1:11" ht="14.4" customHeight="1" thickBot="1" x14ac:dyDescent="0.35">
      <c r="A45" s="328" t="s">
        <v>239</v>
      </c>
      <c r="B45" s="306">
        <v>4.9406564584124654E-324</v>
      </c>
      <c r="C45" s="306">
        <v>6.3620000000000001</v>
      </c>
      <c r="D45" s="307">
        <v>6.3620000000000001</v>
      </c>
      <c r="E45" s="316" t="s">
        <v>206</v>
      </c>
      <c r="F45" s="306">
        <v>0</v>
      </c>
      <c r="G45" s="307">
        <v>0</v>
      </c>
      <c r="H45" s="309">
        <v>4.9406564584124654E-324</v>
      </c>
      <c r="I45" s="306">
        <v>3.948</v>
      </c>
      <c r="J45" s="307">
        <v>3.948</v>
      </c>
      <c r="K45" s="318" t="s">
        <v>200</v>
      </c>
    </row>
    <row r="46" spans="1:11" ht="14.4" customHeight="1" thickBot="1" x14ac:dyDescent="0.35">
      <c r="A46" s="328" t="s">
        <v>240</v>
      </c>
      <c r="B46" s="306">
        <v>4.9406564584124654E-324</v>
      </c>
      <c r="C46" s="306">
        <v>1.1000000000000001</v>
      </c>
      <c r="D46" s="307">
        <v>1.1000000000000001</v>
      </c>
      <c r="E46" s="316" t="s">
        <v>206</v>
      </c>
      <c r="F46" s="306">
        <v>0</v>
      </c>
      <c r="G46" s="307">
        <v>0</v>
      </c>
      <c r="H46" s="309">
        <v>4.9406564584124654E-324</v>
      </c>
      <c r="I46" s="306">
        <v>3.9525251667299724E-323</v>
      </c>
      <c r="J46" s="307">
        <v>3.9525251667299724E-323</v>
      </c>
      <c r="K46" s="318" t="s">
        <v>200</v>
      </c>
    </row>
    <row r="47" spans="1:11" ht="14.4" customHeight="1" thickBot="1" x14ac:dyDescent="0.35">
      <c r="A47" s="326" t="s">
        <v>27</v>
      </c>
      <c r="B47" s="306">
        <v>66.801061094673997</v>
      </c>
      <c r="C47" s="306">
        <v>93.172970000000007</v>
      </c>
      <c r="D47" s="307">
        <v>26.371908905325</v>
      </c>
      <c r="E47" s="308">
        <v>1.394782784482</v>
      </c>
      <c r="F47" s="306">
        <v>215.43105830917401</v>
      </c>
      <c r="G47" s="307">
        <v>143.62070553944901</v>
      </c>
      <c r="H47" s="309">
        <v>3.1810499999999999</v>
      </c>
      <c r="I47" s="306">
        <v>87.435299999999998</v>
      </c>
      <c r="J47" s="307">
        <v>-56.185405539449</v>
      </c>
      <c r="K47" s="310">
        <v>0.40586209196599998</v>
      </c>
    </row>
    <row r="48" spans="1:11" ht="14.4" customHeight="1" thickBot="1" x14ac:dyDescent="0.35">
      <c r="A48" s="327" t="s">
        <v>241</v>
      </c>
      <c r="B48" s="311">
        <v>0.64337135728899997</v>
      </c>
      <c r="C48" s="311">
        <v>0.65339999999999998</v>
      </c>
      <c r="D48" s="312">
        <v>1.0028642710000001E-2</v>
      </c>
      <c r="E48" s="317">
        <v>1.015587642496</v>
      </c>
      <c r="F48" s="311">
        <v>0.26116318637800001</v>
      </c>
      <c r="G48" s="312">
        <v>0.17410879091799999</v>
      </c>
      <c r="H48" s="314">
        <v>4.9406564584124654E-324</v>
      </c>
      <c r="I48" s="311">
        <v>3.9525251667299724E-323</v>
      </c>
      <c r="J48" s="312">
        <v>-0.17410879091799999</v>
      </c>
      <c r="K48" s="315">
        <v>1.5316035021078643E-322</v>
      </c>
    </row>
    <row r="49" spans="1:11" ht="14.4" customHeight="1" thickBot="1" x14ac:dyDescent="0.35">
      <c r="A49" s="328" t="s">
        <v>242</v>
      </c>
      <c r="B49" s="306">
        <v>0.64337135728899997</v>
      </c>
      <c r="C49" s="306">
        <v>0.65339999999999998</v>
      </c>
      <c r="D49" s="307">
        <v>1.0028642710000001E-2</v>
      </c>
      <c r="E49" s="308">
        <v>1.015587642496</v>
      </c>
      <c r="F49" s="306">
        <v>0.26116318637800001</v>
      </c>
      <c r="G49" s="307">
        <v>0.17410879091799999</v>
      </c>
      <c r="H49" s="309">
        <v>4.9406564584124654E-324</v>
      </c>
      <c r="I49" s="306">
        <v>3.9525251667299724E-323</v>
      </c>
      <c r="J49" s="307">
        <v>-0.17410879091799999</v>
      </c>
      <c r="K49" s="310">
        <v>1.5316035021078643E-322</v>
      </c>
    </row>
    <row r="50" spans="1:11" ht="14.4" customHeight="1" thickBot="1" x14ac:dyDescent="0.35">
      <c r="A50" s="327" t="s">
        <v>243</v>
      </c>
      <c r="B50" s="311">
        <v>6.9680507599750001</v>
      </c>
      <c r="C50" s="311">
        <v>5.8797300000000003</v>
      </c>
      <c r="D50" s="312">
        <v>-1.088320759975</v>
      </c>
      <c r="E50" s="317">
        <v>0.84381273939199997</v>
      </c>
      <c r="F50" s="311">
        <v>8.14591297634</v>
      </c>
      <c r="G50" s="312">
        <v>5.4306086508930003</v>
      </c>
      <c r="H50" s="314">
        <v>0.60224999999999995</v>
      </c>
      <c r="I50" s="311">
        <v>4.9336399999999996</v>
      </c>
      <c r="J50" s="312">
        <v>-0.49696865089300002</v>
      </c>
      <c r="K50" s="315">
        <v>0.60565832391399999</v>
      </c>
    </row>
    <row r="51" spans="1:11" ht="14.4" customHeight="1" thickBot="1" x14ac:dyDescent="0.35">
      <c r="A51" s="328" t="s">
        <v>244</v>
      </c>
      <c r="B51" s="306">
        <v>6.3623293228999997E-2</v>
      </c>
      <c r="C51" s="306">
        <v>6.8400000000000002E-2</v>
      </c>
      <c r="D51" s="307">
        <v>4.7767067699999999E-3</v>
      </c>
      <c r="E51" s="308">
        <v>1.0750779553780001</v>
      </c>
      <c r="F51" s="306">
        <v>6.9972257977000005E-2</v>
      </c>
      <c r="G51" s="307">
        <v>4.6648171984000002E-2</v>
      </c>
      <c r="H51" s="309">
        <v>9.4999999999999998E-3</v>
      </c>
      <c r="I51" s="306">
        <v>4.3700000000000003E-2</v>
      </c>
      <c r="J51" s="307">
        <v>-2.9481719839999998E-3</v>
      </c>
      <c r="K51" s="310">
        <v>0.62453322592500005</v>
      </c>
    </row>
    <row r="52" spans="1:11" ht="14.4" customHeight="1" thickBot="1" x14ac:dyDescent="0.35">
      <c r="A52" s="328" t="s">
        <v>245</v>
      </c>
      <c r="B52" s="306">
        <v>6.9044274667460002</v>
      </c>
      <c r="C52" s="306">
        <v>5.8113299999999999</v>
      </c>
      <c r="D52" s="307">
        <v>-1.0930974667460001</v>
      </c>
      <c r="E52" s="308">
        <v>0.84168166411900003</v>
      </c>
      <c r="F52" s="306">
        <v>8.0759407183620002</v>
      </c>
      <c r="G52" s="307">
        <v>5.3839604789079996</v>
      </c>
      <c r="H52" s="309">
        <v>0.59275</v>
      </c>
      <c r="I52" s="306">
        <v>4.8899400000000002</v>
      </c>
      <c r="J52" s="307">
        <v>-0.49402047890799999</v>
      </c>
      <c r="K52" s="310">
        <v>0.605494786369</v>
      </c>
    </row>
    <row r="53" spans="1:11" ht="14.4" customHeight="1" thickBot="1" x14ac:dyDescent="0.35">
      <c r="A53" s="327" t="s">
        <v>246</v>
      </c>
      <c r="B53" s="311">
        <v>0.99974045147699997</v>
      </c>
      <c r="C53" s="311">
        <v>0.27</v>
      </c>
      <c r="D53" s="312">
        <v>-0.72974045147699995</v>
      </c>
      <c r="E53" s="317">
        <v>0.27007009629399997</v>
      </c>
      <c r="F53" s="311">
        <v>1.2798062825150001</v>
      </c>
      <c r="G53" s="312">
        <v>0.85320418834300005</v>
      </c>
      <c r="H53" s="314">
        <v>4.9406564584124654E-324</v>
      </c>
      <c r="I53" s="311">
        <v>0.40500000000000003</v>
      </c>
      <c r="J53" s="312">
        <v>-0.44820418834300002</v>
      </c>
      <c r="K53" s="315">
        <v>0.31645414273400002</v>
      </c>
    </row>
    <row r="54" spans="1:11" ht="14.4" customHeight="1" thickBot="1" x14ac:dyDescent="0.35">
      <c r="A54" s="328" t="s">
        <v>247</v>
      </c>
      <c r="B54" s="306">
        <v>0.99974045147699997</v>
      </c>
      <c r="C54" s="306">
        <v>0.27</v>
      </c>
      <c r="D54" s="307">
        <v>-0.72974045147699995</v>
      </c>
      <c r="E54" s="308">
        <v>0.27007009629399997</v>
      </c>
      <c r="F54" s="306">
        <v>1.2798062825150001</v>
      </c>
      <c r="G54" s="307">
        <v>0.85320418834300005</v>
      </c>
      <c r="H54" s="309">
        <v>4.9406564584124654E-324</v>
      </c>
      <c r="I54" s="306">
        <v>0.40500000000000003</v>
      </c>
      <c r="J54" s="307">
        <v>-0.44820418834300002</v>
      </c>
      <c r="K54" s="310">
        <v>0.31645414273400002</v>
      </c>
    </row>
    <row r="55" spans="1:11" ht="14.4" customHeight="1" thickBot="1" x14ac:dyDescent="0.35">
      <c r="A55" s="327" t="s">
        <v>248</v>
      </c>
      <c r="B55" s="311">
        <v>20.584533011051001</v>
      </c>
      <c r="C55" s="311">
        <v>21.32893</v>
      </c>
      <c r="D55" s="312">
        <v>0.74439698894799999</v>
      </c>
      <c r="E55" s="317">
        <v>1.036162928182</v>
      </c>
      <c r="F55" s="311">
        <v>32.080634131947001</v>
      </c>
      <c r="G55" s="312">
        <v>21.387089421298001</v>
      </c>
      <c r="H55" s="314">
        <v>2.5788000000000002</v>
      </c>
      <c r="I55" s="311">
        <v>20.642859999999999</v>
      </c>
      <c r="J55" s="312">
        <v>-0.74422942129799996</v>
      </c>
      <c r="K55" s="315">
        <v>0.64346795375300003</v>
      </c>
    </row>
    <row r="56" spans="1:11" ht="14.4" customHeight="1" thickBot="1" x14ac:dyDescent="0.35">
      <c r="A56" s="328" t="s">
        <v>249</v>
      </c>
      <c r="B56" s="306">
        <v>12.000012185037001</v>
      </c>
      <c r="C56" s="306">
        <v>12.5444</v>
      </c>
      <c r="D56" s="307">
        <v>0.54438781496199995</v>
      </c>
      <c r="E56" s="308">
        <v>1.0453656051810001</v>
      </c>
      <c r="F56" s="306">
        <v>18.758167965218</v>
      </c>
      <c r="G56" s="307">
        <v>12.505445310144999</v>
      </c>
      <c r="H56" s="309">
        <v>1.4912099999999999</v>
      </c>
      <c r="I56" s="306">
        <v>11.97892</v>
      </c>
      <c r="J56" s="307">
        <v>-0.52652531014500004</v>
      </c>
      <c r="K56" s="310">
        <v>0.63859754439799998</v>
      </c>
    </row>
    <row r="57" spans="1:11" ht="14.4" customHeight="1" thickBot="1" x14ac:dyDescent="0.35">
      <c r="A57" s="328" t="s">
        <v>250</v>
      </c>
      <c r="B57" s="306">
        <v>8.5845208260129997</v>
      </c>
      <c r="C57" s="306">
        <v>8.7845300000000002</v>
      </c>
      <c r="D57" s="307">
        <v>0.20000917398599999</v>
      </c>
      <c r="E57" s="308">
        <v>1.023298816327</v>
      </c>
      <c r="F57" s="306">
        <v>13.322466166728001</v>
      </c>
      <c r="G57" s="307">
        <v>8.8816441111519993</v>
      </c>
      <c r="H57" s="309">
        <v>1.0875900000000001</v>
      </c>
      <c r="I57" s="306">
        <v>8.6639400000000002</v>
      </c>
      <c r="J57" s="307">
        <v>-0.217704111152</v>
      </c>
      <c r="K57" s="310">
        <v>0.65032553969899998</v>
      </c>
    </row>
    <row r="58" spans="1:11" ht="14.4" customHeight="1" thickBot="1" x14ac:dyDescent="0.35">
      <c r="A58" s="327" t="s">
        <v>251</v>
      </c>
      <c r="B58" s="311">
        <v>37.605365514879999</v>
      </c>
      <c r="C58" s="311">
        <v>9.0779099999999993</v>
      </c>
      <c r="D58" s="312">
        <v>-28.52745551488</v>
      </c>
      <c r="E58" s="317">
        <v>0.24139932894400001</v>
      </c>
      <c r="F58" s="311">
        <v>13.663541731996</v>
      </c>
      <c r="G58" s="312">
        <v>9.1090278213300007</v>
      </c>
      <c r="H58" s="314">
        <v>4.9406564584124654E-324</v>
      </c>
      <c r="I58" s="311">
        <v>46.173299999999998</v>
      </c>
      <c r="J58" s="312">
        <v>37.064272178669</v>
      </c>
      <c r="K58" s="315">
        <v>3.379306837543</v>
      </c>
    </row>
    <row r="59" spans="1:11" ht="14.4" customHeight="1" thickBot="1" x14ac:dyDescent="0.35">
      <c r="A59" s="328" t="s">
        <v>252</v>
      </c>
      <c r="B59" s="306">
        <v>4.9406564584124654E-324</v>
      </c>
      <c r="C59" s="306">
        <v>1.9569099999999999</v>
      </c>
      <c r="D59" s="307">
        <v>1.9569099999999999</v>
      </c>
      <c r="E59" s="316" t="s">
        <v>206</v>
      </c>
      <c r="F59" s="306">
        <v>2.0084091064840002</v>
      </c>
      <c r="G59" s="307">
        <v>1.3389394043230001</v>
      </c>
      <c r="H59" s="309">
        <v>4.9406564584124654E-324</v>
      </c>
      <c r="I59" s="306">
        <v>3.9525251667299724E-323</v>
      </c>
      <c r="J59" s="307">
        <v>-1.3389394043230001</v>
      </c>
      <c r="K59" s="310">
        <v>1.9762625833649862E-323</v>
      </c>
    </row>
    <row r="60" spans="1:11" ht="14.4" customHeight="1" thickBot="1" x14ac:dyDescent="0.35">
      <c r="A60" s="328" t="s">
        <v>253</v>
      </c>
      <c r="B60" s="306">
        <v>22.329955392403999</v>
      </c>
      <c r="C60" s="306">
        <v>6.1230000000000002</v>
      </c>
      <c r="D60" s="307">
        <v>-16.206955392404002</v>
      </c>
      <c r="E60" s="308">
        <v>0.27420565300700001</v>
      </c>
      <c r="F60" s="306">
        <v>6.0535869533830002</v>
      </c>
      <c r="G60" s="307">
        <v>4.0357246355890002</v>
      </c>
      <c r="H60" s="309">
        <v>4.9406564584124654E-324</v>
      </c>
      <c r="I60" s="306">
        <v>27.331160000000001</v>
      </c>
      <c r="J60" s="307">
        <v>23.29543536441</v>
      </c>
      <c r="K60" s="310">
        <v>4.5148703092010001</v>
      </c>
    </row>
    <row r="61" spans="1:11" ht="14.4" customHeight="1" thickBot="1" x14ac:dyDescent="0.35">
      <c r="A61" s="328" t="s">
        <v>254</v>
      </c>
      <c r="B61" s="306">
        <v>4.9406564584124654E-324</v>
      </c>
      <c r="C61" s="306">
        <v>0.998</v>
      </c>
      <c r="D61" s="307">
        <v>0.998</v>
      </c>
      <c r="E61" s="316" t="s">
        <v>206</v>
      </c>
      <c r="F61" s="306">
        <v>0</v>
      </c>
      <c r="G61" s="307">
        <v>0</v>
      </c>
      <c r="H61" s="309">
        <v>4.9406564584124654E-324</v>
      </c>
      <c r="I61" s="306">
        <v>3.9525251667299724E-323</v>
      </c>
      <c r="J61" s="307">
        <v>3.9525251667299724E-323</v>
      </c>
      <c r="K61" s="318" t="s">
        <v>200</v>
      </c>
    </row>
    <row r="62" spans="1:11" ht="14.4" customHeight="1" thickBot="1" x14ac:dyDescent="0.35">
      <c r="A62" s="328" t="s">
        <v>255</v>
      </c>
      <c r="B62" s="306">
        <v>15.275410122475</v>
      </c>
      <c r="C62" s="306">
        <v>4.9406564584124654E-324</v>
      </c>
      <c r="D62" s="307">
        <v>-15.275410122475</v>
      </c>
      <c r="E62" s="308">
        <v>0</v>
      </c>
      <c r="F62" s="306">
        <v>5.6015456721270001</v>
      </c>
      <c r="G62" s="307">
        <v>3.7343637814180002</v>
      </c>
      <c r="H62" s="309">
        <v>4.9406564584124654E-324</v>
      </c>
      <c r="I62" s="306">
        <v>18.842140000000001</v>
      </c>
      <c r="J62" s="307">
        <v>15.107776218581</v>
      </c>
      <c r="K62" s="310">
        <v>3.3637394217369998</v>
      </c>
    </row>
    <row r="63" spans="1:11" ht="14.4" customHeight="1" thickBot="1" x14ac:dyDescent="0.35">
      <c r="A63" s="327" t="s">
        <v>256</v>
      </c>
      <c r="B63" s="311">
        <v>4.9406564584124654E-324</v>
      </c>
      <c r="C63" s="311">
        <v>55.963000000000001</v>
      </c>
      <c r="D63" s="312">
        <v>55.963000000000001</v>
      </c>
      <c r="E63" s="313" t="s">
        <v>206</v>
      </c>
      <c r="F63" s="311">
        <v>159.99999999999699</v>
      </c>
      <c r="G63" s="312">
        <v>106.66666666666499</v>
      </c>
      <c r="H63" s="314">
        <v>4.9406564584124654E-324</v>
      </c>
      <c r="I63" s="311">
        <v>15.2805</v>
      </c>
      <c r="J63" s="312">
        <v>-91.386166666663996</v>
      </c>
      <c r="K63" s="315">
        <v>9.5503124999999994E-2</v>
      </c>
    </row>
    <row r="64" spans="1:11" ht="14.4" customHeight="1" thickBot="1" x14ac:dyDescent="0.35">
      <c r="A64" s="328" t="s">
        <v>257</v>
      </c>
      <c r="B64" s="306">
        <v>4.9406564584124654E-324</v>
      </c>
      <c r="C64" s="306">
        <v>27.39</v>
      </c>
      <c r="D64" s="307">
        <v>27.39</v>
      </c>
      <c r="E64" s="316" t="s">
        <v>206</v>
      </c>
      <c r="F64" s="306">
        <v>9.9999999999989999</v>
      </c>
      <c r="G64" s="307">
        <v>6.6666666666659999</v>
      </c>
      <c r="H64" s="309">
        <v>4.9406564584124654E-324</v>
      </c>
      <c r="I64" s="306">
        <v>15.2805</v>
      </c>
      <c r="J64" s="307">
        <v>8.6138333333329999</v>
      </c>
      <c r="K64" s="310">
        <v>1.5280499999999999</v>
      </c>
    </row>
    <row r="65" spans="1:11" ht="14.4" customHeight="1" thickBot="1" x14ac:dyDescent="0.35">
      <c r="A65" s="328" t="s">
        <v>258</v>
      </c>
      <c r="B65" s="306">
        <v>4.9406564584124654E-324</v>
      </c>
      <c r="C65" s="306">
        <v>28.573</v>
      </c>
      <c r="D65" s="307">
        <v>28.573</v>
      </c>
      <c r="E65" s="316" t="s">
        <v>206</v>
      </c>
      <c r="F65" s="306">
        <v>149.99999999999699</v>
      </c>
      <c r="G65" s="307">
        <v>99.999999999997996</v>
      </c>
      <c r="H65" s="309">
        <v>4.9406564584124654E-324</v>
      </c>
      <c r="I65" s="306">
        <v>3.9525251667299724E-323</v>
      </c>
      <c r="J65" s="307">
        <v>-99.999999999997996</v>
      </c>
      <c r="K65" s="310">
        <v>0</v>
      </c>
    </row>
    <row r="66" spans="1:11" ht="14.4" customHeight="1" thickBot="1" x14ac:dyDescent="0.35">
      <c r="A66" s="325" t="s">
        <v>28</v>
      </c>
      <c r="B66" s="306">
        <v>1551.0829662528099</v>
      </c>
      <c r="C66" s="306">
        <v>1609.90155</v>
      </c>
      <c r="D66" s="307">
        <v>58.818583747190999</v>
      </c>
      <c r="E66" s="308">
        <v>1.037920978456</v>
      </c>
      <c r="F66" s="306">
        <v>2301.01137969501</v>
      </c>
      <c r="G66" s="307">
        <v>1534.00758646334</v>
      </c>
      <c r="H66" s="309">
        <v>198.09073000000001</v>
      </c>
      <c r="I66" s="306">
        <v>1637.75668</v>
      </c>
      <c r="J66" s="307">
        <v>103.749093536659</v>
      </c>
      <c r="K66" s="310">
        <v>0.71175514143499996</v>
      </c>
    </row>
    <row r="67" spans="1:11" ht="14.4" customHeight="1" thickBot="1" x14ac:dyDescent="0.35">
      <c r="A67" s="331" t="s">
        <v>259</v>
      </c>
      <c r="B67" s="311">
        <v>1148.6666666665999</v>
      </c>
      <c r="C67" s="311">
        <v>1192.5239999999999</v>
      </c>
      <c r="D67" s="312">
        <v>43.857333333397001</v>
      </c>
      <c r="E67" s="317">
        <v>1.0381810795119999</v>
      </c>
      <c r="F67" s="311">
        <v>1705.99999999997</v>
      </c>
      <c r="G67" s="312">
        <v>1137.3333333333101</v>
      </c>
      <c r="H67" s="314">
        <v>146.77000000000001</v>
      </c>
      <c r="I67" s="311">
        <v>1213.405</v>
      </c>
      <c r="J67" s="312">
        <v>76.071666666686994</v>
      </c>
      <c r="K67" s="315">
        <v>0.71125732708</v>
      </c>
    </row>
    <row r="68" spans="1:11" ht="14.4" customHeight="1" thickBot="1" x14ac:dyDescent="0.35">
      <c r="A68" s="327" t="s">
        <v>260</v>
      </c>
      <c r="B68" s="311">
        <v>1148.6666666665999</v>
      </c>
      <c r="C68" s="311">
        <v>1192.5239999999999</v>
      </c>
      <c r="D68" s="312">
        <v>43.857333333397001</v>
      </c>
      <c r="E68" s="317">
        <v>1.0381810795119999</v>
      </c>
      <c r="F68" s="311">
        <v>1699.99999999997</v>
      </c>
      <c r="G68" s="312">
        <v>1133.3333333333101</v>
      </c>
      <c r="H68" s="314">
        <v>141.77000000000001</v>
      </c>
      <c r="I68" s="311">
        <v>1178.405</v>
      </c>
      <c r="J68" s="312">
        <v>45.071666666687001</v>
      </c>
      <c r="K68" s="315">
        <v>0.693179411764</v>
      </c>
    </row>
    <row r="69" spans="1:11" ht="14.4" customHeight="1" thickBot="1" x14ac:dyDescent="0.35">
      <c r="A69" s="328" t="s">
        <v>261</v>
      </c>
      <c r="B69" s="306">
        <v>1148.6666666665999</v>
      </c>
      <c r="C69" s="306">
        <v>1192.5239999999999</v>
      </c>
      <c r="D69" s="307">
        <v>43.857333333397001</v>
      </c>
      <c r="E69" s="308">
        <v>1.0381810795119999</v>
      </c>
      <c r="F69" s="306">
        <v>1699.99999999997</v>
      </c>
      <c r="G69" s="307">
        <v>1133.3333333333101</v>
      </c>
      <c r="H69" s="309">
        <v>141.77000000000001</v>
      </c>
      <c r="I69" s="306">
        <v>1178.405</v>
      </c>
      <c r="J69" s="307">
        <v>45.071666666687001</v>
      </c>
      <c r="K69" s="310">
        <v>0.693179411764</v>
      </c>
    </row>
    <row r="70" spans="1:11" ht="14.4" customHeight="1" thickBot="1" x14ac:dyDescent="0.35">
      <c r="A70" s="327" t="s">
        <v>262</v>
      </c>
      <c r="B70" s="311">
        <v>4.9406564584124654E-324</v>
      </c>
      <c r="C70" s="311">
        <v>4.9406564584124654E-324</v>
      </c>
      <c r="D70" s="312">
        <v>0</v>
      </c>
      <c r="E70" s="317">
        <v>1</v>
      </c>
      <c r="F70" s="311">
        <v>4.9406564584124654E-324</v>
      </c>
      <c r="G70" s="312">
        <v>0</v>
      </c>
      <c r="H70" s="314">
        <v>5</v>
      </c>
      <c r="I70" s="311">
        <v>35</v>
      </c>
      <c r="J70" s="312">
        <v>35</v>
      </c>
      <c r="K70" s="319" t="s">
        <v>206</v>
      </c>
    </row>
    <row r="71" spans="1:11" ht="14.4" customHeight="1" thickBot="1" x14ac:dyDescent="0.35">
      <c r="A71" s="328" t="s">
        <v>263</v>
      </c>
      <c r="B71" s="306">
        <v>4.9406564584124654E-324</v>
      </c>
      <c r="C71" s="306">
        <v>4.9406564584124654E-324</v>
      </c>
      <c r="D71" s="307">
        <v>0</v>
      </c>
      <c r="E71" s="308">
        <v>1</v>
      </c>
      <c r="F71" s="306">
        <v>4.9406564584124654E-324</v>
      </c>
      <c r="G71" s="307">
        <v>0</v>
      </c>
      <c r="H71" s="309">
        <v>5</v>
      </c>
      <c r="I71" s="306">
        <v>35</v>
      </c>
      <c r="J71" s="307">
        <v>35</v>
      </c>
      <c r="K71" s="318" t="s">
        <v>206</v>
      </c>
    </row>
    <row r="72" spans="1:11" ht="14.4" customHeight="1" thickBot="1" x14ac:dyDescent="0.35">
      <c r="A72" s="327" t="s">
        <v>264</v>
      </c>
      <c r="B72" s="311">
        <v>4.9406564584124654E-324</v>
      </c>
      <c r="C72" s="311">
        <v>4.9406564584124654E-324</v>
      </c>
      <c r="D72" s="312">
        <v>0</v>
      </c>
      <c r="E72" s="317">
        <v>1</v>
      </c>
      <c r="F72" s="311">
        <v>5.9999999999989999</v>
      </c>
      <c r="G72" s="312">
        <v>3.9999999999989999</v>
      </c>
      <c r="H72" s="314">
        <v>4.9406564584124654E-324</v>
      </c>
      <c r="I72" s="311">
        <v>3.9525251667299724E-323</v>
      </c>
      <c r="J72" s="312">
        <v>-3.9999999999989999</v>
      </c>
      <c r="K72" s="315">
        <v>4.9406564584124654E-324</v>
      </c>
    </row>
    <row r="73" spans="1:11" ht="14.4" customHeight="1" thickBot="1" x14ac:dyDescent="0.35">
      <c r="A73" s="328" t="s">
        <v>265</v>
      </c>
      <c r="B73" s="306">
        <v>4.9406564584124654E-324</v>
      </c>
      <c r="C73" s="306">
        <v>4.9406564584124654E-324</v>
      </c>
      <c r="D73" s="307">
        <v>0</v>
      </c>
      <c r="E73" s="308">
        <v>1</v>
      </c>
      <c r="F73" s="306">
        <v>5.9999999999989999</v>
      </c>
      <c r="G73" s="307">
        <v>3.9999999999989999</v>
      </c>
      <c r="H73" s="309">
        <v>4.9406564584124654E-324</v>
      </c>
      <c r="I73" s="306">
        <v>3.9525251667299724E-323</v>
      </c>
      <c r="J73" s="307">
        <v>-3.9999999999989999</v>
      </c>
      <c r="K73" s="310">
        <v>4.9406564584124654E-324</v>
      </c>
    </row>
    <row r="74" spans="1:11" ht="14.4" customHeight="1" thickBot="1" x14ac:dyDescent="0.35">
      <c r="A74" s="326" t="s">
        <v>266</v>
      </c>
      <c r="B74" s="306">
        <v>391.08296625287397</v>
      </c>
      <c r="C74" s="306">
        <v>405.45269000000002</v>
      </c>
      <c r="D74" s="307">
        <v>14.369723747126001</v>
      </c>
      <c r="E74" s="308">
        <v>1.0367434150470001</v>
      </c>
      <c r="F74" s="306">
        <v>578.01137969504305</v>
      </c>
      <c r="G74" s="307">
        <v>385.340919796695</v>
      </c>
      <c r="H74" s="309">
        <v>49.902650000000001</v>
      </c>
      <c r="I74" s="306">
        <v>412.55909000000003</v>
      </c>
      <c r="J74" s="307">
        <v>27.218170203303998</v>
      </c>
      <c r="K74" s="310">
        <v>0.71375599943599999</v>
      </c>
    </row>
    <row r="75" spans="1:11" ht="14.4" customHeight="1" thickBot="1" x14ac:dyDescent="0.35">
      <c r="A75" s="327" t="s">
        <v>267</v>
      </c>
      <c r="B75" s="311">
        <v>102.66666587645</v>
      </c>
      <c r="C75" s="311">
        <v>107.32165999999999</v>
      </c>
      <c r="D75" s="312">
        <v>4.6549941235499999</v>
      </c>
      <c r="E75" s="317">
        <v>1.0453408522009999</v>
      </c>
      <c r="F75" s="311">
        <v>153.011379695052</v>
      </c>
      <c r="G75" s="312">
        <v>102.007586463368</v>
      </c>
      <c r="H75" s="314">
        <v>13.210140000000001</v>
      </c>
      <c r="I75" s="311">
        <v>109.20782</v>
      </c>
      <c r="J75" s="312">
        <v>7.2002335366320001</v>
      </c>
      <c r="K75" s="315">
        <v>0.71372351662699995</v>
      </c>
    </row>
    <row r="76" spans="1:11" ht="14.4" customHeight="1" thickBot="1" x14ac:dyDescent="0.35">
      <c r="A76" s="328" t="s">
        <v>268</v>
      </c>
      <c r="B76" s="306">
        <v>102.66666587645</v>
      </c>
      <c r="C76" s="306">
        <v>107.32165999999999</v>
      </c>
      <c r="D76" s="307">
        <v>4.6549941235499999</v>
      </c>
      <c r="E76" s="308">
        <v>1.0453408522009999</v>
      </c>
      <c r="F76" s="306">
        <v>153.011379695052</v>
      </c>
      <c r="G76" s="307">
        <v>102.007586463368</v>
      </c>
      <c r="H76" s="309">
        <v>13.210140000000001</v>
      </c>
      <c r="I76" s="306">
        <v>109.20782</v>
      </c>
      <c r="J76" s="307">
        <v>7.2002335366320001</v>
      </c>
      <c r="K76" s="310">
        <v>0.71372351662699995</v>
      </c>
    </row>
    <row r="77" spans="1:11" ht="14.4" customHeight="1" thickBot="1" x14ac:dyDescent="0.35">
      <c r="A77" s="327" t="s">
        <v>269</v>
      </c>
      <c r="B77" s="311">
        <v>288.41630037642398</v>
      </c>
      <c r="C77" s="311">
        <v>298.13103000000001</v>
      </c>
      <c r="D77" s="312">
        <v>9.7147296235759999</v>
      </c>
      <c r="E77" s="317">
        <v>1.0336830117119999</v>
      </c>
      <c r="F77" s="311">
        <v>424.99999999999102</v>
      </c>
      <c r="G77" s="312">
        <v>283.33333333332803</v>
      </c>
      <c r="H77" s="314">
        <v>36.692509999999999</v>
      </c>
      <c r="I77" s="311">
        <v>303.35127</v>
      </c>
      <c r="J77" s="312">
        <v>20.017936666672</v>
      </c>
      <c r="K77" s="315">
        <v>0.71376769411700003</v>
      </c>
    </row>
    <row r="78" spans="1:11" ht="14.4" customHeight="1" thickBot="1" x14ac:dyDescent="0.35">
      <c r="A78" s="328" t="s">
        <v>270</v>
      </c>
      <c r="B78" s="306">
        <v>288.41630037642398</v>
      </c>
      <c r="C78" s="306">
        <v>298.13103000000001</v>
      </c>
      <c r="D78" s="307">
        <v>9.7147296235759999</v>
      </c>
      <c r="E78" s="308">
        <v>1.0336830117119999</v>
      </c>
      <c r="F78" s="306">
        <v>424.99999999999102</v>
      </c>
      <c r="G78" s="307">
        <v>283.33333333332803</v>
      </c>
      <c r="H78" s="309">
        <v>36.692509999999999</v>
      </c>
      <c r="I78" s="306">
        <v>303.35127</v>
      </c>
      <c r="J78" s="307">
        <v>20.017936666672</v>
      </c>
      <c r="K78" s="310">
        <v>0.71376769411700003</v>
      </c>
    </row>
    <row r="79" spans="1:11" ht="14.4" customHeight="1" thickBot="1" x14ac:dyDescent="0.35">
      <c r="A79" s="326" t="s">
        <v>271</v>
      </c>
      <c r="B79" s="306">
        <v>11.333333333332</v>
      </c>
      <c r="C79" s="306">
        <v>11.924860000000001</v>
      </c>
      <c r="D79" s="307">
        <v>0.59152666666700005</v>
      </c>
      <c r="E79" s="308">
        <v>1.0521935294110001</v>
      </c>
      <c r="F79" s="306">
        <v>16.999999999999002</v>
      </c>
      <c r="G79" s="307">
        <v>11.333333333333</v>
      </c>
      <c r="H79" s="309">
        <v>1.41808</v>
      </c>
      <c r="I79" s="306">
        <v>11.792590000000001</v>
      </c>
      <c r="J79" s="307">
        <v>0.45925666666600001</v>
      </c>
      <c r="K79" s="310">
        <v>0.69368176470499998</v>
      </c>
    </row>
    <row r="80" spans="1:11" ht="14.4" customHeight="1" thickBot="1" x14ac:dyDescent="0.35">
      <c r="A80" s="327" t="s">
        <v>272</v>
      </c>
      <c r="B80" s="311">
        <v>11.333333333332</v>
      </c>
      <c r="C80" s="311">
        <v>11.924860000000001</v>
      </c>
      <c r="D80" s="312">
        <v>0.59152666666700005</v>
      </c>
      <c r="E80" s="317">
        <v>1.0521935294110001</v>
      </c>
      <c r="F80" s="311">
        <v>16.999999999999002</v>
      </c>
      <c r="G80" s="312">
        <v>11.333333333333</v>
      </c>
      <c r="H80" s="314">
        <v>1.41808</v>
      </c>
      <c r="I80" s="311">
        <v>11.792590000000001</v>
      </c>
      <c r="J80" s="312">
        <v>0.45925666666600001</v>
      </c>
      <c r="K80" s="315">
        <v>0.69368176470499998</v>
      </c>
    </row>
    <row r="81" spans="1:11" ht="14.4" customHeight="1" thickBot="1" x14ac:dyDescent="0.35">
      <c r="A81" s="328" t="s">
        <v>273</v>
      </c>
      <c r="B81" s="306">
        <v>11.333333333332</v>
      </c>
      <c r="C81" s="306">
        <v>11.924860000000001</v>
      </c>
      <c r="D81" s="307">
        <v>0.59152666666700005</v>
      </c>
      <c r="E81" s="308">
        <v>1.0521935294110001</v>
      </c>
      <c r="F81" s="306">
        <v>16.999999999999002</v>
      </c>
      <c r="G81" s="307">
        <v>11.333333333333</v>
      </c>
      <c r="H81" s="309">
        <v>1.41808</v>
      </c>
      <c r="I81" s="306">
        <v>11.792590000000001</v>
      </c>
      <c r="J81" s="307">
        <v>0.45925666666600001</v>
      </c>
      <c r="K81" s="310">
        <v>0.69368176470499998</v>
      </c>
    </row>
    <row r="82" spans="1:11" ht="14.4" customHeight="1" thickBot="1" x14ac:dyDescent="0.35">
      <c r="A82" s="325" t="s">
        <v>274</v>
      </c>
      <c r="B82" s="306">
        <v>4.9406564584124654E-324</v>
      </c>
      <c r="C82" s="306">
        <v>2.7029999999999998</v>
      </c>
      <c r="D82" s="307">
        <v>2.7029999999999998</v>
      </c>
      <c r="E82" s="316" t="s">
        <v>206</v>
      </c>
      <c r="F82" s="306">
        <v>0</v>
      </c>
      <c r="G82" s="307">
        <v>0</v>
      </c>
      <c r="H82" s="309">
        <v>4.9406564584124654E-324</v>
      </c>
      <c r="I82" s="306">
        <v>0.17684</v>
      </c>
      <c r="J82" s="307">
        <v>0.17684</v>
      </c>
      <c r="K82" s="318" t="s">
        <v>200</v>
      </c>
    </row>
    <row r="83" spans="1:11" ht="14.4" customHeight="1" thickBot="1" x14ac:dyDescent="0.35">
      <c r="A83" s="326" t="s">
        <v>275</v>
      </c>
      <c r="B83" s="306">
        <v>4.9406564584124654E-324</v>
      </c>
      <c r="C83" s="306">
        <v>2.7029999999999998</v>
      </c>
      <c r="D83" s="307">
        <v>2.7029999999999998</v>
      </c>
      <c r="E83" s="316" t="s">
        <v>206</v>
      </c>
      <c r="F83" s="306">
        <v>0</v>
      </c>
      <c r="G83" s="307">
        <v>0</v>
      </c>
      <c r="H83" s="309">
        <v>4.9406564584124654E-324</v>
      </c>
      <c r="I83" s="306">
        <v>0.17684</v>
      </c>
      <c r="J83" s="307">
        <v>0.17684</v>
      </c>
      <c r="K83" s="318" t="s">
        <v>200</v>
      </c>
    </row>
    <row r="84" spans="1:11" ht="14.4" customHeight="1" thickBot="1" x14ac:dyDescent="0.35">
      <c r="A84" s="327" t="s">
        <v>276</v>
      </c>
      <c r="B84" s="311">
        <v>4.9406564584124654E-324</v>
      </c>
      <c r="C84" s="311">
        <v>1.7</v>
      </c>
      <c r="D84" s="312">
        <v>1.7</v>
      </c>
      <c r="E84" s="313" t="s">
        <v>206</v>
      </c>
      <c r="F84" s="311">
        <v>0</v>
      </c>
      <c r="G84" s="312">
        <v>0</v>
      </c>
      <c r="H84" s="314">
        <v>4.9406564584124654E-324</v>
      </c>
      <c r="I84" s="311">
        <v>0.1</v>
      </c>
      <c r="J84" s="312">
        <v>0.1</v>
      </c>
      <c r="K84" s="319" t="s">
        <v>200</v>
      </c>
    </row>
    <row r="85" spans="1:11" ht="14.4" customHeight="1" thickBot="1" x14ac:dyDescent="0.35">
      <c r="A85" s="328" t="s">
        <v>277</v>
      </c>
      <c r="B85" s="306">
        <v>4.9406564584124654E-324</v>
      </c>
      <c r="C85" s="306">
        <v>1.7</v>
      </c>
      <c r="D85" s="307">
        <v>1.7</v>
      </c>
      <c r="E85" s="316" t="s">
        <v>206</v>
      </c>
      <c r="F85" s="306">
        <v>0</v>
      </c>
      <c r="G85" s="307">
        <v>0</v>
      </c>
      <c r="H85" s="309">
        <v>4.9406564584124654E-324</v>
      </c>
      <c r="I85" s="306">
        <v>3.9525251667299724E-323</v>
      </c>
      <c r="J85" s="307">
        <v>3.9525251667299724E-323</v>
      </c>
      <c r="K85" s="318" t="s">
        <v>200</v>
      </c>
    </row>
    <row r="86" spans="1:11" ht="14.4" customHeight="1" thickBot="1" x14ac:dyDescent="0.35">
      <c r="A86" s="328" t="s">
        <v>278</v>
      </c>
      <c r="B86" s="306">
        <v>4.9406564584124654E-324</v>
      </c>
      <c r="C86" s="306">
        <v>4.9406564584124654E-324</v>
      </c>
      <c r="D86" s="307">
        <v>0</v>
      </c>
      <c r="E86" s="308">
        <v>1</v>
      </c>
      <c r="F86" s="306">
        <v>4.9406564584124654E-324</v>
      </c>
      <c r="G86" s="307">
        <v>0</v>
      </c>
      <c r="H86" s="309">
        <v>4.9406564584124654E-324</v>
      </c>
      <c r="I86" s="306">
        <v>0.1</v>
      </c>
      <c r="J86" s="307">
        <v>0.1</v>
      </c>
      <c r="K86" s="318" t="s">
        <v>206</v>
      </c>
    </row>
    <row r="87" spans="1:11" ht="14.4" customHeight="1" thickBot="1" x14ac:dyDescent="0.35">
      <c r="A87" s="327" t="s">
        <v>279</v>
      </c>
      <c r="B87" s="311">
        <v>4.9406564584124654E-324</v>
      </c>
      <c r="C87" s="311">
        <v>4.9406564584124654E-324</v>
      </c>
      <c r="D87" s="312">
        <v>0</v>
      </c>
      <c r="E87" s="317">
        <v>1</v>
      </c>
      <c r="F87" s="311">
        <v>4.9406564584124654E-324</v>
      </c>
      <c r="G87" s="312">
        <v>0</v>
      </c>
      <c r="H87" s="314">
        <v>4.9406564584124654E-324</v>
      </c>
      <c r="I87" s="311">
        <v>7.6839999999E-2</v>
      </c>
      <c r="J87" s="312">
        <v>7.6839999999E-2</v>
      </c>
      <c r="K87" s="319" t="s">
        <v>206</v>
      </c>
    </row>
    <row r="88" spans="1:11" ht="14.4" customHeight="1" thickBot="1" x14ac:dyDescent="0.35">
      <c r="A88" s="328" t="s">
        <v>280</v>
      </c>
      <c r="B88" s="306">
        <v>4.9406564584124654E-324</v>
      </c>
      <c r="C88" s="306">
        <v>4.9406564584124654E-324</v>
      </c>
      <c r="D88" s="307">
        <v>0</v>
      </c>
      <c r="E88" s="308">
        <v>1</v>
      </c>
      <c r="F88" s="306">
        <v>4.9406564584124654E-324</v>
      </c>
      <c r="G88" s="307">
        <v>0</v>
      </c>
      <c r="H88" s="309">
        <v>4.9406564584124654E-324</v>
      </c>
      <c r="I88" s="306">
        <v>7.6839999999E-2</v>
      </c>
      <c r="J88" s="307">
        <v>7.6839999999E-2</v>
      </c>
      <c r="K88" s="318" t="s">
        <v>206</v>
      </c>
    </row>
    <row r="89" spans="1:11" ht="14.4" customHeight="1" thickBot="1" x14ac:dyDescent="0.35">
      <c r="A89" s="330" t="s">
        <v>281</v>
      </c>
      <c r="B89" s="306">
        <v>4.9406564584124654E-324</v>
      </c>
      <c r="C89" s="306">
        <v>0.753</v>
      </c>
      <c r="D89" s="307">
        <v>0.753</v>
      </c>
      <c r="E89" s="316" t="s">
        <v>206</v>
      </c>
      <c r="F89" s="306">
        <v>0</v>
      </c>
      <c r="G89" s="307">
        <v>0</v>
      </c>
      <c r="H89" s="309">
        <v>4.9406564584124654E-324</v>
      </c>
      <c r="I89" s="306">
        <v>3.9525251667299724E-323</v>
      </c>
      <c r="J89" s="307">
        <v>3.9525251667299724E-323</v>
      </c>
      <c r="K89" s="318" t="s">
        <v>200</v>
      </c>
    </row>
    <row r="90" spans="1:11" ht="14.4" customHeight="1" thickBot="1" x14ac:dyDescent="0.35">
      <c r="A90" s="328" t="s">
        <v>282</v>
      </c>
      <c r="B90" s="306">
        <v>4.9406564584124654E-324</v>
      </c>
      <c r="C90" s="306">
        <v>0.753</v>
      </c>
      <c r="D90" s="307">
        <v>0.753</v>
      </c>
      <c r="E90" s="316" t="s">
        <v>206</v>
      </c>
      <c r="F90" s="306">
        <v>0</v>
      </c>
      <c r="G90" s="307">
        <v>0</v>
      </c>
      <c r="H90" s="309">
        <v>4.9406564584124654E-324</v>
      </c>
      <c r="I90" s="306">
        <v>3.9525251667299724E-323</v>
      </c>
      <c r="J90" s="307">
        <v>3.9525251667299724E-323</v>
      </c>
      <c r="K90" s="318" t="s">
        <v>200</v>
      </c>
    </row>
    <row r="91" spans="1:11" ht="14.4" customHeight="1" thickBot="1" x14ac:dyDescent="0.35">
      <c r="A91" s="330" t="s">
        <v>283</v>
      </c>
      <c r="B91" s="306">
        <v>4.9406564584124654E-324</v>
      </c>
      <c r="C91" s="306">
        <v>0.25</v>
      </c>
      <c r="D91" s="307">
        <v>0.25</v>
      </c>
      <c r="E91" s="316" t="s">
        <v>206</v>
      </c>
      <c r="F91" s="306">
        <v>0</v>
      </c>
      <c r="G91" s="307">
        <v>0</v>
      </c>
      <c r="H91" s="309">
        <v>4.9406564584124654E-324</v>
      </c>
      <c r="I91" s="306">
        <v>3.9525251667299724E-323</v>
      </c>
      <c r="J91" s="307">
        <v>3.9525251667299724E-323</v>
      </c>
      <c r="K91" s="318" t="s">
        <v>200</v>
      </c>
    </row>
    <row r="92" spans="1:11" ht="14.4" customHeight="1" thickBot="1" x14ac:dyDescent="0.35">
      <c r="A92" s="328" t="s">
        <v>284</v>
      </c>
      <c r="B92" s="306">
        <v>4.9406564584124654E-324</v>
      </c>
      <c r="C92" s="306">
        <v>0.25</v>
      </c>
      <c r="D92" s="307">
        <v>0.25</v>
      </c>
      <c r="E92" s="316" t="s">
        <v>206</v>
      </c>
      <c r="F92" s="306">
        <v>0</v>
      </c>
      <c r="G92" s="307">
        <v>0</v>
      </c>
      <c r="H92" s="309">
        <v>4.9406564584124654E-324</v>
      </c>
      <c r="I92" s="306">
        <v>3.9525251667299724E-323</v>
      </c>
      <c r="J92" s="307">
        <v>3.9525251667299724E-323</v>
      </c>
      <c r="K92" s="318" t="s">
        <v>200</v>
      </c>
    </row>
    <row r="93" spans="1:11" ht="14.4" customHeight="1" thickBot="1" x14ac:dyDescent="0.35">
      <c r="A93" s="325" t="s">
        <v>285</v>
      </c>
      <c r="B93" s="306">
        <v>50.666666666662998</v>
      </c>
      <c r="C93" s="306">
        <v>57.053919999999998</v>
      </c>
      <c r="D93" s="307">
        <v>6.387253333336</v>
      </c>
      <c r="E93" s="308">
        <v>1.1260642105259999</v>
      </c>
      <c r="F93" s="306">
        <v>78.999404053321996</v>
      </c>
      <c r="G93" s="307">
        <v>52.666269368880997</v>
      </c>
      <c r="H93" s="309">
        <v>6.5640000000000001</v>
      </c>
      <c r="I93" s="306">
        <v>52.512</v>
      </c>
      <c r="J93" s="307">
        <v>-0.15426936888100001</v>
      </c>
      <c r="K93" s="310">
        <v>0.66471387511400004</v>
      </c>
    </row>
    <row r="94" spans="1:11" ht="14.4" customHeight="1" thickBot="1" x14ac:dyDescent="0.35">
      <c r="A94" s="326" t="s">
        <v>286</v>
      </c>
      <c r="B94" s="306">
        <v>50.666666666662998</v>
      </c>
      <c r="C94" s="306">
        <v>52.17</v>
      </c>
      <c r="D94" s="307">
        <v>1.5033333333359999</v>
      </c>
      <c r="E94" s="308">
        <v>1.029671052631</v>
      </c>
      <c r="F94" s="306">
        <v>78.999404053321996</v>
      </c>
      <c r="G94" s="307">
        <v>52.666269368880997</v>
      </c>
      <c r="H94" s="309">
        <v>6.5640000000000001</v>
      </c>
      <c r="I94" s="306">
        <v>52.512</v>
      </c>
      <c r="J94" s="307">
        <v>-0.15426936888100001</v>
      </c>
      <c r="K94" s="310">
        <v>0.66471387511400004</v>
      </c>
    </row>
    <row r="95" spans="1:11" ht="14.4" customHeight="1" thickBot="1" x14ac:dyDescent="0.35">
      <c r="A95" s="327" t="s">
        <v>287</v>
      </c>
      <c r="B95" s="311">
        <v>50.666666666662998</v>
      </c>
      <c r="C95" s="311">
        <v>52.17</v>
      </c>
      <c r="D95" s="312">
        <v>1.5033333333359999</v>
      </c>
      <c r="E95" s="317">
        <v>1.029671052631</v>
      </c>
      <c r="F95" s="311">
        <v>78.999404053321996</v>
      </c>
      <c r="G95" s="312">
        <v>52.666269368880997</v>
      </c>
      <c r="H95" s="314">
        <v>6.5640000000000001</v>
      </c>
      <c r="I95" s="311">
        <v>52.512</v>
      </c>
      <c r="J95" s="312">
        <v>-0.15426936888100001</v>
      </c>
      <c r="K95" s="315">
        <v>0.66471387511400004</v>
      </c>
    </row>
    <row r="96" spans="1:11" ht="14.4" customHeight="1" thickBot="1" x14ac:dyDescent="0.35">
      <c r="A96" s="328" t="s">
        <v>288</v>
      </c>
      <c r="B96" s="306">
        <v>7.9999999999989999</v>
      </c>
      <c r="C96" s="306">
        <v>9.3740000000000006</v>
      </c>
      <c r="D96" s="307">
        <v>1.3740000000000001</v>
      </c>
      <c r="E96" s="308">
        <v>1.1717500000000001</v>
      </c>
      <c r="F96" s="306">
        <v>14.999404053323</v>
      </c>
      <c r="G96" s="307">
        <v>9.9996027022150002</v>
      </c>
      <c r="H96" s="309">
        <v>1.2150000000000001</v>
      </c>
      <c r="I96" s="306">
        <v>9.7200000000000006</v>
      </c>
      <c r="J96" s="307">
        <v>-0.279602702215</v>
      </c>
      <c r="K96" s="310">
        <v>0.64802574591899997</v>
      </c>
    </row>
    <row r="97" spans="1:11" ht="14.4" customHeight="1" thickBot="1" x14ac:dyDescent="0.35">
      <c r="A97" s="328" t="s">
        <v>289</v>
      </c>
      <c r="B97" s="306">
        <v>42.666666666664</v>
      </c>
      <c r="C97" s="306">
        <v>42.795999999999999</v>
      </c>
      <c r="D97" s="307">
        <v>0.12933333333499999</v>
      </c>
      <c r="E97" s="308">
        <v>1.00303125</v>
      </c>
      <c r="F97" s="306">
        <v>63.999999999998003</v>
      </c>
      <c r="G97" s="307">
        <v>42.666666666665002</v>
      </c>
      <c r="H97" s="309">
        <v>5.3490000000000002</v>
      </c>
      <c r="I97" s="306">
        <v>42.792000000000002</v>
      </c>
      <c r="J97" s="307">
        <v>0.12533333333400001</v>
      </c>
      <c r="K97" s="310">
        <v>0.66862500000000002</v>
      </c>
    </row>
    <row r="98" spans="1:11" ht="14.4" customHeight="1" thickBot="1" x14ac:dyDescent="0.35">
      <c r="A98" s="326" t="s">
        <v>290</v>
      </c>
      <c r="B98" s="306">
        <v>4.9406564584124654E-324</v>
      </c>
      <c r="C98" s="306">
        <v>4.8839199999999998</v>
      </c>
      <c r="D98" s="307">
        <v>4.8839199999999998</v>
      </c>
      <c r="E98" s="316" t="s">
        <v>206</v>
      </c>
      <c r="F98" s="306">
        <v>0</v>
      </c>
      <c r="G98" s="307">
        <v>0</v>
      </c>
      <c r="H98" s="309">
        <v>4.9406564584124654E-324</v>
      </c>
      <c r="I98" s="306">
        <v>3.9525251667299724E-323</v>
      </c>
      <c r="J98" s="307">
        <v>3.9525251667299724E-323</v>
      </c>
      <c r="K98" s="318" t="s">
        <v>200</v>
      </c>
    </row>
    <row r="99" spans="1:11" ht="14.4" customHeight="1" thickBot="1" x14ac:dyDescent="0.35">
      <c r="A99" s="327" t="s">
        <v>291</v>
      </c>
      <c r="B99" s="311">
        <v>4.9406564584124654E-324</v>
      </c>
      <c r="C99" s="311">
        <v>4.8839199999999998</v>
      </c>
      <c r="D99" s="312">
        <v>4.8839199999999998</v>
      </c>
      <c r="E99" s="313" t="s">
        <v>206</v>
      </c>
      <c r="F99" s="311">
        <v>0</v>
      </c>
      <c r="G99" s="312">
        <v>0</v>
      </c>
      <c r="H99" s="314">
        <v>4.9406564584124654E-324</v>
      </c>
      <c r="I99" s="311">
        <v>3.9525251667299724E-323</v>
      </c>
      <c r="J99" s="312">
        <v>3.9525251667299724E-323</v>
      </c>
      <c r="K99" s="319" t="s">
        <v>200</v>
      </c>
    </row>
    <row r="100" spans="1:11" ht="14.4" customHeight="1" thickBot="1" x14ac:dyDescent="0.35">
      <c r="A100" s="328" t="s">
        <v>292</v>
      </c>
      <c r="B100" s="306">
        <v>4.9406564584124654E-324</v>
      </c>
      <c r="C100" s="306">
        <v>4.8839199999999998</v>
      </c>
      <c r="D100" s="307">
        <v>4.8839199999999998</v>
      </c>
      <c r="E100" s="316" t="s">
        <v>206</v>
      </c>
      <c r="F100" s="306">
        <v>0</v>
      </c>
      <c r="G100" s="307">
        <v>0</v>
      </c>
      <c r="H100" s="309">
        <v>4.9406564584124654E-324</v>
      </c>
      <c r="I100" s="306">
        <v>3.9525251667299724E-323</v>
      </c>
      <c r="J100" s="307">
        <v>3.9525251667299724E-323</v>
      </c>
      <c r="K100" s="318" t="s">
        <v>200</v>
      </c>
    </row>
    <row r="101" spans="1:11" ht="14.4" customHeight="1" thickBot="1" x14ac:dyDescent="0.35">
      <c r="A101" s="324" t="s">
        <v>293</v>
      </c>
      <c r="B101" s="306">
        <v>4.3665987256929997</v>
      </c>
      <c r="C101" s="306">
        <v>10.23577</v>
      </c>
      <c r="D101" s="307">
        <v>5.8691712743059998</v>
      </c>
      <c r="E101" s="308">
        <v>2.3441059375959998</v>
      </c>
      <c r="F101" s="306">
        <v>0</v>
      </c>
      <c r="G101" s="307">
        <v>0</v>
      </c>
      <c r="H101" s="309">
        <v>9.5000000000000001E-2</v>
      </c>
      <c r="I101" s="306">
        <v>0.73</v>
      </c>
      <c r="J101" s="307">
        <v>0.73</v>
      </c>
      <c r="K101" s="318" t="s">
        <v>200</v>
      </c>
    </row>
    <row r="102" spans="1:11" ht="14.4" customHeight="1" thickBot="1" x14ac:dyDescent="0.35">
      <c r="A102" s="325" t="s">
        <v>294</v>
      </c>
      <c r="B102" s="306">
        <v>4.3665987256929997</v>
      </c>
      <c r="C102" s="306">
        <v>10.23577</v>
      </c>
      <c r="D102" s="307">
        <v>5.8691712743059998</v>
      </c>
      <c r="E102" s="308">
        <v>2.3441059375959998</v>
      </c>
      <c r="F102" s="306">
        <v>0</v>
      </c>
      <c r="G102" s="307">
        <v>0</v>
      </c>
      <c r="H102" s="309">
        <v>9.5000000000000001E-2</v>
      </c>
      <c r="I102" s="306">
        <v>0.73</v>
      </c>
      <c r="J102" s="307">
        <v>0.73</v>
      </c>
      <c r="K102" s="318" t="s">
        <v>200</v>
      </c>
    </row>
    <row r="103" spans="1:11" ht="14.4" customHeight="1" thickBot="1" x14ac:dyDescent="0.35">
      <c r="A103" s="326" t="s">
        <v>295</v>
      </c>
      <c r="B103" s="306">
        <v>4.3665987256929997</v>
      </c>
      <c r="C103" s="306">
        <v>9.8087700000000009</v>
      </c>
      <c r="D103" s="307">
        <v>5.4421712743060002</v>
      </c>
      <c r="E103" s="308">
        <v>2.246318156574</v>
      </c>
      <c r="F103" s="306">
        <v>0</v>
      </c>
      <c r="G103" s="307">
        <v>0</v>
      </c>
      <c r="H103" s="309">
        <v>4.9406564584124654E-324</v>
      </c>
      <c r="I103" s="306">
        <v>3.9525251667299724E-323</v>
      </c>
      <c r="J103" s="307">
        <v>3.9525251667299724E-323</v>
      </c>
      <c r="K103" s="318" t="s">
        <v>200</v>
      </c>
    </row>
    <row r="104" spans="1:11" ht="14.4" customHeight="1" thickBot="1" x14ac:dyDescent="0.35">
      <c r="A104" s="327" t="s">
        <v>296</v>
      </c>
      <c r="B104" s="311">
        <v>4.3665987256929997</v>
      </c>
      <c r="C104" s="311">
        <v>9.8087700000000009</v>
      </c>
      <c r="D104" s="312">
        <v>5.4421712743060002</v>
      </c>
      <c r="E104" s="317">
        <v>2.246318156574</v>
      </c>
      <c r="F104" s="311">
        <v>0</v>
      </c>
      <c r="G104" s="312">
        <v>0</v>
      </c>
      <c r="H104" s="314">
        <v>4.9406564584124654E-324</v>
      </c>
      <c r="I104" s="311">
        <v>3.9525251667299724E-323</v>
      </c>
      <c r="J104" s="312">
        <v>3.9525251667299724E-323</v>
      </c>
      <c r="K104" s="319" t="s">
        <v>200</v>
      </c>
    </row>
    <row r="105" spans="1:11" ht="14.4" customHeight="1" thickBot="1" x14ac:dyDescent="0.35">
      <c r="A105" s="328" t="s">
        <v>297</v>
      </c>
      <c r="B105" s="306">
        <v>4.9406564584124654E-324</v>
      </c>
      <c r="C105" s="306">
        <v>8.6115700000000004</v>
      </c>
      <c r="D105" s="307">
        <v>8.6115700000000004</v>
      </c>
      <c r="E105" s="316" t="s">
        <v>206</v>
      </c>
      <c r="F105" s="306">
        <v>0</v>
      </c>
      <c r="G105" s="307">
        <v>0</v>
      </c>
      <c r="H105" s="309">
        <v>4.9406564584124654E-324</v>
      </c>
      <c r="I105" s="306">
        <v>3.9525251667299724E-323</v>
      </c>
      <c r="J105" s="307">
        <v>3.9525251667299724E-323</v>
      </c>
      <c r="K105" s="318" t="s">
        <v>200</v>
      </c>
    </row>
    <row r="106" spans="1:11" ht="14.4" customHeight="1" thickBot="1" x14ac:dyDescent="0.35">
      <c r="A106" s="328" t="s">
        <v>298</v>
      </c>
      <c r="B106" s="306">
        <v>4.9406564584124654E-324</v>
      </c>
      <c r="C106" s="306">
        <v>1.1972</v>
      </c>
      <c r="D106" s="307">
        <v>1.1972</v>
      </c>
      <c r="E106" s="316" t="s">
        <v>206</v>
      </c>
      <c r="F106" s="306">
        <v>0</v>
      </c>
      <c r="G106" s="307">
        <v>0</v>
      </c>
      <c r="H106" s="309">
        <v>4.9406564584124654E-324</v>
      </c>
      <c r="I106" s="306">
        <v>3.9525251667299724E-323</v>
      </c>
      <c r="J106" s="307">
        <v>3.9525251667299724E-323</v>
      </c>
      <c r="K106" s="318" t="s">
        <v>200</v>
      </c>
    </row>
    <row r="107" spans="1:11" ht="14.4" customHeight="1" thickBot="1" x14ac:dyDescent="0.35">
      <c r="A107" s="331" t="s">
        <v>299</v>
      </c>
      <c r="B107" s="311">
        <v>4.9406564584124654E-324</v>
      </c>
      <c r="C107" s="311">
        <v>0.42699999999999999</v>
      </c>
      <c r="D107" s="312">
        <v>0.42699999999999999</v>
      </c>
      <c r="E107" s="313" t="s">
        <v>206</v>
      </c>
      <c r="F107" s="311">
        <v>0</v>
      </c>
      <c r="G107" s="312">
        <v>0</v>
      </c>
      <c r="H107" s="314">
        <v>9.5000000000000001E-2</v>
      </c>
      <c r="I107" s="311">
        <v>0.73</v>
      </c>
      <c r="J107" s="312">
        <v>0.73</v>
      </c>
      <c r="K107" s="319" t="s">
        <v>200</v>
      </c>
    </row>
    <row r="108" spans="1:11" ht="14.4" customHeight="1" thickBot="1" x14ac:dyDescent="0.35">
      <c r="A108" s="327" t="s">
        <v>300</v>
      </c>
      <c r="B108" s="311">
        <v>4.9406564584124654E-324</v>
      </c>
      <c r="C108" s="311">
        <v>0.42699999999999999</v>
      </c>
      <c r="D108" s="312">
        <v>0.42699999999999999</v>
      </c>
      <c r="E108" s="313" t="s">
        <v>206</v>
      </c>
      <c r="F108" s="311">
        <v>0</v>
      </c>
      <c r="G108" s="312">
        <v>0</v>
      </c>
      <c r="H108" s="314">
        <v>9.5000000000000001E-2</v>
      </c>
      <c r="I108" s="311">
        <v>0.73</v>
      </c>
      <c r="J108" s="312">
        <v>0.73</v>
      </c>
      <c r="K108" s="319" t="s">
        <v>200</v>
      </c>
    </row>
    <row r="109" spans="1:11" ht="14.4" customHeight="1" thickBot="1" x14ac:dyDescent="0.35">
      <c r="A109" s="328" t="s">
        <v>301</v>
      </c>
      <c r="B109" s="306">
        <v>4.9406564584124654E-324</v>
      </c>
      <c r="C109" s="306">
        <v>0.42699999999999999</v>
      </c>
      <c r="D109" s="307">
        <v>0.42699999999999999</v>
      </c>
      <c r="E109" s="316" t="s">
        <v>206</v>
      </c>
      <c r="F109" s="306">
        <v>0</v>
      </c>
      <c r="G109" s="307">
        <v>0</v>
      </c>
      <c r="H109" s="309">
        <v>9.5000000000000001E-2</v>
      </c>
      <c r="I109" s="306">
        <v>0.73</v>
      </c>
      <c r="J109" s="307">
        <v>0.73</v>
      </c>
      <c r="K109" s="318" t="s">
        <v>200</v>
      </c>
    </row>
    <row r="110" spans="1:11" ht="14.4" customHeight="1" thickBot="1" x14ac:dyDescent="0.35">
      <c r="A110" s="324" t="s">
        <v>302</v>
      </c>
      <c r="B110" s="306">
        <v>127.66666666666499</v>
      </c>
      <c r="C110" s="306">
        <v>295.0772</v>
      </c>
      <c r="D110" s="307">
        <v>167.410533333335</v>
      </c>
      <c r="E110" s="308">
        <v>2.311309660574</v>
      </c>
      <c r="F110" s="306">
        <v>493.00070881769199</v>
      </c>
      <c r="G110" s="307">
        <v>328.66713921179502</v>
      </c>
      <c r="H110" s="309">
        <v>34.12829</v>
      </c>
      <c r="I110" s="306">
        <v>322.69783000000001</v>
      </c>
      <c r="J110" s="307">
        <v>-5.9693092117940001</v>
      </c>
      <c r="K110" s="310">
        <v>0.65455855179900002</v>
      </c>
    </row>
    <row r="111" spans="1:11" ht="14.4" customHeight="1" thickBot="1" x14ac:dyDescent="0.35">
      <c r="A111" s="329" t="s">
        <v>303</v>
      </c>
      <c r="B111" s="311">
        <v>127.66666666666499</v>
      </c>
      <c r="C111" s="311">
        <v>295.0772</v>
      </c>
      <c r="D111" s="312">
        <v>167.410533333335</v>
      </c>
      <c r="E111" s="317">
        <v>2.311309660574</v>
      </c>
      <c r="F111" s="311">
        <v>493.00070881769199</v>
      </c>
      <c r="G111" s="312">
        <v>328.66713921179502</v>
      </c>
      <c r="H111" s="314">
        <v>34.12829</v>
      </c>
      <c r="I111" s="311">
        <v>322.69783000000001</v>
      </c>
      <c r="J111" s="312">
        <v>-5.9693092117940001</v>
      </c>
      <c r="K111" s="315">
        <v>0.65455855179900002</v>
      </c>
    </row>
    <row r="112" spans="1:11" ht="14.4" customHeight="1" thickBot="1" x14ac:dyDescent="0.35">
      <c r="A112" s="331" t="s">
        <v>34</v>
      </c>
      <c r="B112" s="311">
        <v>127.66666666666499</v>
      </c>
      <c r="C112" s="311">
        <v>295.0772</v>
      </c>
      <c r="D112" s="312">
        <v>167.410533333335</v>
      </c>
      <c r="E112" s="317">
        <v>2.311309660574</v>
      </c>
      <c r="F112" s="311">
        <v>493.00070881769199</v>
      </c>
      <c r="G112" s="312">
        <v>328.66713921179502</v>
      </c>
      <c r="H112" s="314">
        <v>34.12829</v>
      </c>
      <c r="I112" s="311">
        <v>322.69783000000001</v>
      </c>
      <c r="J112" s="312">
        <v>-5.9693092117940001</v>
      </c>
      <c r="K112" s="315">
        <v>0.65455855179900002</v>
      </c>
    </row>
    <row r="113" spans="1:11" ht="14.4" customHeight="1" thickBot="1" x14ac:dyDescent="0.35">
      <c r="A113" s="327" t="s">
        <v>304</v>
      </c>
      <c r="B113" s="311">
        <v>4.9406564584124654E-324</v>
      </c>
      <c r="C113" s="311">
        <v>4.9406564584124654E-324</v>
      </c>
      <c r="D113" s="312">
        <v>0</v>
      </c>
      <c r="E113" s="317">
        <v>1</v>
      </c>
      <c r="F113" s="311">
        <v>5</v>
      </c>
      <c r="G113" s="312">
        <v>3.333333333333</v>
      </c>
      <c r="H113" s="314">
        <v>4.9406564584124654E-324</v>
      </c>
      <c r="I113" s="311">
        <v>3.9525251667299724E-323</v>
      </c>
      <c r="J113" s="312">
        <v>-3.333333333333</v>
      </c>
      <c r="K113" s="315">
        <v>9.8813129168249309E-324</v>
      </c>
    </row>
    <row r="114" spans="1:11" ht="14.4" customHeight="1" thickBot="1" x14ac:dyDescent="0.35">
      <c r="A114" s="328" t="s">
        <v>305</v>
      </c>
      <c r="B114" s="306">
        <v>4.9406564584124654E-324</v>
      </c>
      <c r="C114" s="306">
        <v>4.9406564584124654E-324</v>
      </c>
      <c r="D114" s="307">
        <v>0</v>
      </c>
      <c r="E114" s="308">
        <v>1</v>
      </c>
      <c r="F114" s="306">
        <v>5</v>
      </c>
      <c r="G114" s="307">
        <v>3.333333333333</v>
      </c>
      <c r="H114" s="309">
        <v>4.9406564584124654E-324</v>
      </c>
      <c r="I114" s="306">
        <v>3.9525251667299724E-323</v>
      </c>
      <c r="J114" s="307">
        <v>-3.333333333333</v>
      </c>
      <c r="K114" s="310">
        <v>9.8813129168249309E-324</v>
      </c>
    </row>
    <row r="115" spans="1:11" ht="14.4" customHeight="1" thickBot="1" x14ac:dyDescent="0.35">
      <c r="A115" s="327" t="s">
        <v>306</v>
      </c>
      <c r="B115" s="311">
        <v>3</v>
      </c>
      <c r="C115" s="311">
        <v>1.9</v>
      </c>
      <c r="D115" s="312">
        <v>-1.1000000000000001</v>
      </c>
      <c r="E115" s="317">
        <v>0.63333333333300001</v>
      </c>
      <c r="F115" s="311">
        <v>5.0007088176919998</v>
      </c>
      <c r="G115" s="312">
        <v>3.3338058784609998</v>
      </c>
      <c r="H115" s="314">
        <v>0.14699999999999999</v>
      </c>
      <c r="I115" s="311">
        <v>2.5009999999999999</v>
      </c>
      <c r="J115" s="312">
        <v>-0.83280587846099996</v>
      </c>
      <c r="K115" s="315">
        <v>0.50012909992900001</v>
      </c>
    </row>
    <row r="116" spans="1:11" ht="14.4" customHeight="1" thickBot="1" x14ac:dyDescent="0.35">
      <c r="A116" s="328" t="s">
        <v>307</v>
      </c>
      <c r="B116" s="306">
        <v>3</v>
      </c>
      <c r="C116" s="306">
        <v>1.9</v>
      </c>
      <c r="D116" s="307">
        <v>-1.1000000000000001</v>
      </c>
      <c r="E116" s="308">
        <v>0.63333333333300001</v>
      </c>
      <c r="F116" s="306">
        <v>5.0007088176919998</v>
      </c>
      <c r="G116" s="307">
        <v>3.3338058784609998</v>
      </c>
      <c r="H116" s="309">
        <v>0.14699999999999999</v>
      </c>
      <c r="I116" s="306">
        <v>2.5009999999999999</v>
      </c>
      <c r="J116" s="307">
        <v>-0.83280587846099996</v>
      </c>
      <c r="K116" s="310">
        <v>0.50012909992900001</v>
      </c>
    </row>
    <row r="117" spans="1:11" ht="14.4" customHeight="1" thickBot="1" x14ac:dyDescent="0.35">
      <c r="A117" s="327" t="s">
        <v>308</v>
      </c>
      <c r="B117" s="311">
        <v>5.333333333333</v>
      </c>
      <c r="C117" s="311">
        <v>3.5962000000000001</v>
      </c>
      <c r="D117" s="312">
        <v>-1.7371333333329999</v>
      </c>
      <c r="E117" s="317">
        <v>0.67428750000000004</v>
      </c>
      <c r="F117" s="311">
        <v>3</v>
      </c>
      <c r="G117" s="312">
        <v>2</v>
      </c>
      <c r="H117" s="314">
        <v>0.48320000000000002</v>
      </c>
      <c r="I117" s="311">
        <v>3.8953000000000002</v>
      </c>
      <c r="J117" s="312">
        <v>1.8953</v>
      </c>
      <c r="K117" s="315">
        <v>1.298433333333</v>
      </c>
    </row>
    <row r="118" spans="1:11" ht="14.4" customHeight="1" thickBot="1" x14ac:dyDescent="0.35">
      <c r="A118" s="328" t="s">
        <v>309</v>
      </c>
      <c r="B118" s="306">
        <v>5.333333333333</v>
      </c>
      <c r="C118" s="306">
        <v>3.5962000000000001</v>
      </c>
      <c r="D118" s="307">
        <v>-1.7371333333329999</v>
      </c>
      <c r="E118" s="308">
        <v>0.67428750000000004</v>
      </c>
      <c r="F118" s="306">
        <v>3</v>
      </c>
      <c r="G118" s="307">
        <v>2</v>
      </c>
      <c r="H118" s="309">
        <v>0.48320000000000002</v>
      </c>
      <c r="I118" s="306">
        <v>3.8953000000000002</v>
      </c>
      <c r="J118" s="307">
        <v>1.8953</v>
      </c>
      <c r="K118" s="310">
        <v>1.298433333333</v>
      </c>
    </row>
    <row r="119" spans="1:11" ht="14.4" customHeight="1" thickBot="1" x14ac:dyDescent="0.35">
      <c r="A119" s="327" t="s">
        <v>310</v>
      </c>
      <c r="B119" s="311">
        <v>119.33333333333201</v>
      </c>
      <c r="C119" s="311">
        <v>115.39382000000001</v>
      </c>
      <c r="D119" s="312">
        <v>-3.939513333331</v>
      </c>
      <c r="E119" s="317">
        <v>0.96698731843499997</v>
      </c>
      <c r="F119" s="311">
        <v>220</v>
      </c>
      <c r="G119" s="312">
        <v>146.666666666667</v>
      </c>
      <c r="H119" s="314">
        <v>14.480370000000001</v>
      </c>
      <c r="I119" s="311">
        <v>125.28503000000001</v>
      </c>
      <c r="J119" s="312">
        <v>-21.381636666666001</v>
      </c>
      <c r="K119" s="315">
        <v>0.56947740909</v>
      </c>
    </row>
    <row r="120" spans="1:11" ht="14.4" customHeight="1" thickBot="1" x14ac:dyDescent="0.35">
      <c r="A120" s="328" t="s">
        <v>311</v>
      </c>
      <c r="B120" s="306">
        <v>119.33333333333201</v>
      </c>
      <c r="C120" s="306">
        <v>115.39382000000001</v>
      </c>
      <c r="D120" s="307">
        <v>-3.939513333331</v>
      </c>
      <c r="E120" s="308">
        <v>0.96698731843499997</v>
      </c>
      <c r="F120" s="306">
        <v>220</v>
      </c>
      <c r="G120" s="307">
        <v>146.666666666667</v>
      </c>
      <c r="H120" s="309">
        <v>14.480370000000001</v>
      </c>
      <c r="I120" s="306">
        <v>125.28503000000001</v>
      </c>
      <c r="J120" s="307">
        <v>-21.381636666666001</v>
      </c>
      <c r="K120" s="310">
        <v>0.56947740909</v>
      </c>
    </row>
    <row r="121" spans="1:11" ht="14.4" customHeight="1" thickBot="1" x14ac:dyDescent="0.35">
      <c r="A121" s="327" t="s">
        <v>312</v>
      </c>
      <c r="B121" s="311">
        <v>4.9406564584124654E-324</v>
      </c>
      <c r="C121" s="311">
        <v>6.056</v>
      </c>
      <c r="D121" s="312">
        <v>6.056</v>
      </c>
      <c r="E121" s="313" t="s">
        <v>206</v>
      </c>
      <c r="F121" s="311">
        <v>4.9406564584124654E-324</v>
      </c>
      <c r="G121" s="312">
        <v>0</v>
      </c>
      <c r="H121" s="314">
        <v>4.9406564584124654E-324</v>
      </c>
      <c r="I121" s="311">
        <v>9.2439999999999998</v>
      </c>
      <c r="J121" s="312">
        <v>9.2439999999999998</v>
      </c>
      <c r="K121" s="319" t="s">
        <v>206</v>
      </c>
    </row>
    <row r="122" spans="1:11" ht="14.4" customHeight="1" thickBot="1" x14ac:dyDescent="0.35">
      <c r="A122" s="328" t="s">
        <v>313</v>
      </c>
      <c r="B122" s="306">
        <v>4.9406564584124654E-324</v>
      </c>
      <c r="C122" s="306">
        <v>6.056</v>
      </c>
      <c r="D122" s="307">
        <v>6.056</v>
      </c>
      <c r="E122" s="316" t="s">
        <v>206</v>
      </c>
      <c r="F122" s="306">
        <v>4.9406564584124654E-324</v>
      </c>
      <c r="G122" s="307">
        <v>0</v>
      </c>
      <c r="H122" s="309">
        <v>4.9406564584124654E-324</v>
      </c>
      <c r="I122" s="306">
        <v>9.2439999999999998</v>
      </c>
      <c r="J122" s="307">
        <v>9.2439999999999998</v>
      </c>
      <c r="K122" s="318" t="s">
        <v>206</v>
      </c>
    </row>
    <row r="123" spans="1:11" ht="14.4" customHeight="1" thickBot="1" x14ac:dyDescent="0.35">
      <c r="A123" s="327" t="s">
        <v>314</v>
      </c>
      <c r="B123" s="311">
        <v>4.9406564584124654E-324</v>
      </c>
      <c r="C123" s="311">
        <v>168.13118</v>
      </c>
      <c r="D123" s="312">
        <v>168.13118</v>
      </c>
      <c r="E123" s="313" t="s">
        <v>206</v>
      </c>
      <c r="F123" s="311">
        <v>260</v>
      </c>
      <c r="G123" s="312">
        <v>173.333333333333</v>
      </c>
      <c r="H123" s="314">
        <v>19.017720000000001</v>
      </c>
      <c r="I123" s="311">
        <v>181.77250000000001</v>
      </c>
      <c r="J123" s="312">
        <v>8.4391666666660008</v>
      </c>
      <c r="K123" s="315">
        <v>0.699125</v>
      </c>
    </row>
    <row r="124" spans="1:11" ht="14.4" customHeight="1" thickBot="1" x14ac:dyDescent="0.35">
      <c r="A124" s="328" t="s">
        <v>315</v>
      </c>
      <c r="B124" s="306">
        <v>4.9406564584124654E-324</v>
      </c>
      <c r="C124" s="306">
        <v>168.13118</v>
      </c>
      <c r="D124" s="307">
        <v>168.13118</v>
      </c>
      <c r="E124" s="316" t="s">
        <v>206</v>
      </c>
      <c r="F124" s="306">
        <v>260</v>
      </c>
      <c r="G124" s="307">
        <v>173.333333333333</v>
      </c>
      <c r="H124" s="309">
        <v>19.017720000000001</v>
      </c>
      <c r="I124" s="306">
        <v>181.77250000000001</v>
      </c>
      <c r="J124" s="307">
        <v>8.4391666666660008</v>
      </c>
      <c r="K124" s="310">
        <v>0.699125</v>
      </c>
    </row>
    <row r="125" spans="1:11" ht="14.4" customHeight="1" thickBot="1" x14ac:dyDescent="0.35">
      <c r="A125" s="332"/>
      <c r="B125" s="306">
        <v>-5.0020372097479999</v>
      </c>
      <c r="C125" s="306">
        <v>-2312.4364399999999</v>
      </c>
      <c r="D125" s="307">
        <v>-2307.4344027902498</v>
      </c>
      <c r="E125" s="308">
        <v>462.29892802346001</v>
      </c>
      <c r="F125" s="306">
        <v>-3516.56682218571</v>
      </c>
      <c r="G125" s="307">
        <v>-2344.3778814571401</v>
      </c>
      <c r="H125" s="309">
        <v>-256.09012999999999</v>
      </c>
      <c r="I125" s="306">
        <v>-2388.1840000000002</v>
      </c>
      <c r="J125" s="307">
        <v>-43.806118542859998</v>
      </c>
      <c r="K125" s="310">
        <v>0.67912373651799995</v>
      </c>
    </row>
    <row r="126" spans="1:11" ht="14.4" customHeight="1" thickBot="1" x14ac:dyDescent="0.35">
      <c r="A126" s="333" t="s">
        <v>46</v>
      </c>
      <c r="B126" s="320">
        <v>-1994.5520372097501</v>
      </c>
      <c r="C126" s="320">
        <v>-2312.4364399999999</v>
      </c>
      <c r="D126" s="321">
        <v>-317.884402790254</v>
      </c>
      <c r="E126" s="322">
        <v>-1.0507536902179999</v>
      </c>
      <c r="F126" s="320">
        <v>-3516.56682218571</v>
      </c>
      <c r="G126" s="321">
        <v>-2344.3778814571401</v>
      </c>
      <c r="H126" s="320">
        <v>-256.09012999999999</v>
      </c>
      <c r="I126" s="320">
        <v>-2388.1840000000002</v>
      </c>
      <c r="J126" s="321">
        <v>-43.806118542859998</v>
      </c>
      <c r="K126" s="323">
        <v>0.67912373651799995</v>
      </c>
    </row>
  </sheetData>
  <autoFilter ref="A5"/>
  <mergeCells count="8">
    <mergeCell ref="A1:K1"/>
    <mergeCell ref="B3:E4"/>
    <mergeCell ref="F3:K3"/>
    <mergeCell ref="F4:F5"/>
    <mergeCell ref="G4:G5"/>
    <mergeCell ref="I4:I5"/>
    <mergeCell ref="J4:J5"/>
    <mergeCell ref="K4:K5"/>
  </mergeCells>
  <hyperlinks>
    <hyperlink ref="A2" location="Obsah!A1" display="Zpět na Obsah  KL 01  1.-4.měsíc"/>
  </hyperlinks>
  <pageMargins left="0.25" right="0.25" top="0.75" bottom="0.75" header="0.3" footer="0.3"/>
  <pageSetup paperSize="9" scale="7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9">
    <tabColor theme="3" tint="0.39997558519241921"/>
    <pageSetUpPr fitToPage="1"/>
  </sheetPr>
  <dimension ref="A1:J14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72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199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186</v>
      </c>
      <c r="C4" s="288" t="s">
        <v>51</v>
      </c>
      <c r="D4" s="289"/>
      <c r="E4" s="240"/>
      <c r="F4" s="235" t="s">
        <v>51</v>
      </c>
      <c r="G4" s="236" t="s">
        <v>52</v>
      </c>
      <c r="H4" s="236" t="s">
        <v>48</v>
      </c>
      <c r="I4" s="237" t="s">
        <v>53</v>
      </c>
    </row>
    <row r="5" spans="1:10" ht="14.4" customHeight="1" x14ac:dyDescent="0.3">
      <c r="A5" s="334" t="s">
        <v>316</v>
      </c>
      <c r="B5" s="335" t="s">
        <v>317</v>
      </c>
      <c r="C5" s="336" t="s">
        <v>318</v>
      </c>
      <c r="D5" s="336" t="s">
        <v>318</v>
      </c>
      <c r="E5" s="336"/>
      <c r="F5" s="336" t="s">
        <v>318</v>
      </c>
      <c r="G5" s="336" t="s">
        <v>318</v>
      </c>
      <c r="H5" s="336" t="s">
        <v>318</v>
      </c>
      <c r="I5" s="337" t="s">
        <v>318</v>
      </c>
      <c r="J5" s="338" t="s">
        <v>49</v>
      </c>
    </row>
    <row r="6" spans="1:10" ht="14.4" customHeight="1" x14ac:dyDescent="0.3">
      <c r="A6" s="334" t="s">
        <v>316</v>
      </c>
      <c r="B6" s="335" t="s">
        <v>207</v>
      </c>
      <c r="C6" s="336" t="s">
        <v>318</v>
      </c>
      <c r="D6" s="336">
        <v>0.34655000000000002</v>
      </c>
      <c r="E6" s="336"/>
      <c r="F6" s="336">
        <v>0</v>
      </c>
      <c r="G6" s="336">
        <v>0.51375553712066668</v>
      </c>
      <c r="H6" s="336">
        <v>-0.51375553712066668</v>
      </c>
      <c r="I6" s="337">
        <v>0</v>
      </c>
      <c r="J6" s="338" t="s">
        <v>1</v>
      </c>
    </row>
    <row r="7" spans="1:10" ht="14.4" customHeight="1" x14ac:dyDescent="0.3">
      <c r="A7" s="334" t="s">
        <v>316</v>
      </c>
      <c r="B7" s="335" t="s">
        <v>319</v>
      </c>
      <c r="C7" s="336" t="s">
        <v>318</v>
      </c>
      <c r="D7" s="336">
        <v>0.34655000000000002</v>
      </c>
      <c r="E7" s="336"/>
      <c r="F7" s="336">
        <v>0</v>
      </c>
      <c r="G7" s="336">
        <v>0.51375553712066668</v>
      </c>
      <c r="H7" s="336">
        <v>-0.51375553712066668</v>
      </c>
      <c r="I7" s="337">
        <v>0</v>
      </c>
      <c r="J7" s="338" t="s">
        <v>320</v>
      </c>
    </row>
    <row r="9" spans="1:10" ht="14.4" customHeight="1" x14ac:dyDescent="0.3">
      <c r="A9" s="334" t="s">
        <v>316</v>
      </c>
      <c r="B9" s="335" t="s">
        <v>317</v>
      </c>
      <c r="C9" s="336" t="s">
        <v>318</v>
      </c>
      <c r="D9" s="336" t="s">
        <v>318</v>
      </c>
      <c r="E9" s="336"/>
      <c r="F9" s="336" t="s">
        <v>318</v>
      </c>
      <c r="G9" s="336" t="s">
        <v>318</v>
      </c>
      <c r="H9" s="336" t="s">
        <v>318</v>
      </c>
      <c r="I9" s="337" t="s">
        <v>318</v>
      </c>
      <c r="J9" s="338" t="s">
        <v>49</v>
      </c>
    </row>
    <row r="10" spans="1:10" ht="14.4" customHeight="1" x14ac:dyDescent="0.3">
      <c r="A10" s="334" t="s">
        <v>321</v>
      </c>
      <c r="B10" s="335" t="s">
        <v>317</v>
      </c>
      <c r="C10" s="336" t="s">
        <v>318</v>
      </c>
      <c r="D10" s="336" t="s">
        <v>318</v>
      </c>
      <c r="E10" s="336"/>
      <c r="F10" s="336" t="s">
        <v>318</v>
      </c>
      <c r="G10" s="336" t="s">
        <v>318</v>
      </c>
      <c r="H10" s="336" t="s">
        <v>318</v>
      </c>
      <c r="I10" s="337" t="s">
        <v>318</v>
      </c>
      <c r="J10" s="338" t="s">
        <v>0</v>
      </c>
    </row>
    <row r="11" spans="1:10" ht="14.4" customHeight="1" x14ac:dyDescent="0.3">
      <c r="A11" s="334" t="s">
        <v>321</v>
      </c>
      <c r="B11" s="335" t="s">
        <v>207</v>
      </c>
      <c r="C11" s="336" t="s">
        <v>318</v>
      </c>
      <c r="D11" s="336">
        <v>0.34655000000000002</v>
      </c>
      <c r="E11" s="336"/>
      <c r="F11" s="336">
        <v>0</v>
      </c>
      <c r="G11" s="336">
        <v>0.51375553712066668</v>
      </c>
      <c r="H11" s="336">
        <v>-0.51375553712066668</v>
      </c>
      <c r="I11" s="337">
        <v>0</v>
      </c>
      <c r="J11" s="338" t="s">
        <v>1</v>
      </c>
    </row>
    <row r="12" spans="1:10" ht="14.4" customHeight="1" x14ac:dyDescent="0.3">
      <c r="A12" s="334" t="s">
        <v>321</v>
      </c>
      <c r="B12" s="335" t="s">
        <v>319</v>
      </c>
      <c r="C12" s="336" t="s">
        <v>318</v>
      </c>
      <c r="D12" s="336">
        <v>0.34655000000000002</v>
      </c>
      <c r="E12" s="336"/>
      <c r="F12" s="336">
        <v>0</v>
      </c>
      <c r="G12" s="336">
        <v>0.51375553712066668</v>
      </c>
      <c r="H12" s="336">
        <v>-0.51375553712066668</v>
      </c>
      <c r="I12" s="337">
        <v>0</v>
      </c>
      <c r="J12" s="338" t="s">
        <v>322</v>
      </c>
    </row>
    <row r="13" spans="1:10" ht="14.4" customHeight="1" x14ac:dyDescent="0.3">
      <c r="A13" s="334" t="s">
        <v>318</v>
      </c>
      <c r="B13" s="335" t="s">
        <v>318</v>
      </c>
      <c r="C13" s="336" t="s">
        <v>318</v>
      </c>
      <c r="D13" s="336" t="s">
        <v>318</v>
      </c>
      <c r="E13" s="336"/>
      <c r="F13" s="336" t="s">
        <v>318</v>
      </c>
      <c r="G13" s="336" t="s">
        <v>318</v>
      </c>
      <c r="H13" s="336" t="s">
        <v>318</v>
      </c>
      <c r="I13" s="337" t="s">
        <v>318</v>
      </c>
      <c r="J13" s="338" t="s">
        <v>323</v>
      </c>
    </row>
    <row r="14" spans="1:10" ht="14.4" customHeight="1" x14ac:dyDescent="0.3">
      <c r="A14" s="334" t="s">
        <v>316</v>
      </c>
      <c r="B14" s="335" t="s">
        <v>319</v>
      </c>
      <c r="C14" s="336" t="s">
        <v>318</v>
      </c>
      <c r="D14" s="336">
        <v>0.34655000000000002</v>
      </c>
      <c r="E14" s="336"/>
      <c r="F14" s="336">
        <v>0</v>
      </c>
      <c r="G14" s="336">
        <v>0.51375553712066668</v>
      </c>
      <c r="H14" s="336">
        <v>-0.51375553712066668</v>
      </c>
      <c r="I14" s="337">
        <v>0</v>
      </c>
      <c r="J14" s="338" t="s">
        <v>320</v>
      </c>
    </row>
  </sheetData>
  <mergeCells count="3">
    <mergeCell ref="F3:I3"/>
    <mergeCell ref="C4:D4"/>
    <mergeCell ref="A1:I1"/>
  </mergeCells>
  <conditionalFormatting sqref="F8 F15:F65537">
    <cfRule type="cellIs" dxfId="36" priority="18" stopIfTrue="1" operator="greaterThan">
      <formula>1</formula>
    </cfRule>
  </conditionalFormatting>
  <conditionalFormatting sqref="H5:H7">
    <cfRule type="expression" dxfId="35" priority="14">
      <formula>$H5&gt;0</formula>
    </cfRule>
  </conditionalFormatting>
  <conditionalFormatting sqref="I5:I7">
    <cfRule type="expression" dxfId="34" priority="15">
      <formula>$I5&gt;1</formula>
    </cfRule>
  </conditionalFormatting>
  <conditionalFormatting sqref="B5:B7">
    <cfRule type="expression" dxfId="33" priority="11">
      <formula>OR($J5="NS",$J5="SumaNS",$J5="Účet")</formula>
    </cfRule>
  </conditionalFormatting>
  <conditionalFormatting sqref="B5:D7 F5:I7">
    <cfRule type="expression" dxfId="32" priority="17">
      <formula>AND($J5&lt;&gt;"",$J5&lt;&gt;"mezeraKL")</formula>
    </cfRule>
  </conditionalFormatting>
  <conditionalFormatting sqref="B5:D7 F5:I7">
    <cfRule type="expression" dxfId="31" priority="12">
      <formula>OR($J5="KL",$J5="SumaKL")</formula>
    </cfRule>
    <cfRule type="expression" priority="16" stopIfTrue="1">
      <formula>OR($J5="mezeraNS",$J5="mezeraKL")</formula>
    </cfRule>
  </conditionalFormatting>
  <conditionalFormatting sqref="F5:I7 B5:D7">
    <cfRule type="expression" dxfId="30" priority="13">
      <formula>OR($J5="SumaNS",$J5="NS")</formula>
    </cfRule>
  </conditionalFormatting>
  <conditionalFormatting sqref="A5:A7">
    <cfRule type="expression" dxfId="29" priority="9">
      <formula>AND($J5&lt;&gt;"mezeraKL",$J5&lt;&gt;"")</formula>
    </cfRule>
  </conditionalFormatting>
  <conditionalFormatting sqref="A5:A7">
    <cfRule type="expression" dxfId="28" priority="10">
      <formula>AND($J5&lt;&gt;"",$J5&lt;&gt;"mezeraKL")</formula>
    </cfRule>
  </conditionalFormatting>
  <conditionalFormatting sqref="H9:H14">
    <cfRule type="expression" dxfId="27" priority="5">
      <formula>$H9&gt;0</formula>
    </cfRule>
  </conditionalFormatting>
  <conditionalFormatting sqref="A9:A14">
    <cfRule type="expression" dxfId="26" priority="2">
      <formula>AND($J9&lt;&gt;"mezeraKL",$J9&lt;&gt;"")</formula>
    </cfRule>
  </conditionalFormatting>
  <conditionalFormatting sqref="I9:I14">
    <cfRule type="expression" dxfId="25" priority="6">
      <formula>$I9&gt;1</formula>
    </cfRule>
  </conditionalFormatting>
  <conditionalFormatting sqref="B9:B14">
    <cfRule type="expression" dxfId="24" priority="1">
      <formula>OR($J9="NS",$J9="SumaNS",$J9="Účet")</formula>
    </cfRule>
  </conditionalFormatting>
  <conditionalFormatting sqref="A9:D14 F9:I14">
    <cfRule type="expression" dxfId="23" priority="8">
      <formula>AND($J9&lt;&gt;"",$J9&lt;&gt;"mezeraKL")</formula>
    </cfRule>
  </conditionalFormatting>
  <conditionalFormatting sqref="B9:D14 F9:I14">
    <cfRule type="expression" dxfId="22" priority="3">
      <formula>OR($J9="KL",$J9="SumaKL")</formula>
    </cfRule>
    <cfRule type="expression" priority="7" stopIfTrue="1">
      <formula>OR($J9="mezeraNS",$J9="mezeraKL")</formula>
    </cfRule>
  </conditionalFormatting>
  <conditionalFormatting sqref="B9:D14 F9:I14">
    <cfRule type="expression" dxfId="21" priority="4">
      <formula>OR($J9="SumaNS",$J9="NS")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5">
    <tabColor theme="0" tint="-0.249977111117893"/>
    <pageSetUpPr fitToPage="1"/>
  </sheetPr>
  <dimension ref="A1:Q7"/>
  <sheetViews>
    <sheetView showGridLines="0" showRowColHeaders="0" workbookViewId="0">
      <pane ySplit="5" topLeftCell="A6" activePane="bottomLeft" state="frozen"/>
      <selection activeCell="N30" sqref="N30"/>
      <selection pane="bottomLeft" sqref="A1:Q1"/>
    </sheetView>
  </sheetViews>
  <sheetFormatPr defaultRowHeight="14.4" customHeight="1" x14ac:dyDescent="0.3"/>
  <cols>
    <col min="1" max="1" width="50" style="253" customWidth="1"/>
    <col min="2" max="2" width="5.44140625" style="163" bestFit="1" customWidth="1"/>
    <col min="3" max="3" width="6.109375" style="163" bestFit="1" customWidth="1"/>
    <col min="4" max="4" width="7.44140625" style="163" bestFit="1" customWidth="1"/>
    <col min="5" max="5" width="6.21875" style="163" bestFit="1" customWidth="1"/>
    <col min="6" max="6" width="6.33203125" style="166" bestFit="1" customWidth="1"/>
    <col min="7" max="7" width="6.109375" style="166" bestFit="1" customWidth="1"/>
    <col min="8" max="8" width="7.44140625" style="166" bestFit="1" customWidth="1"/>
    <col min="9" max="9" width="6.21875" style="166" bestFit="1" customWidth="1"/>
    <col min="10" max="10" width="5.44140625" style="163" bestFit="1" customWidth="1"/>
    <col min="11" max="11" width="6.109375" style="163" bestFit="1" customWidth="1"/>
    <col min="12" max="12" width="7.44140625" style="163" bestFit="1" customWidth="1"/>
    <col min="13" max="13" width="6.21875" style="163" bestFit="1" customWidth="1"/>
    <col min="14" max="14" width="5.33203125" style="166" bestFit="1" customWidth="1"/>
    <col min="15" max="15" width="6.109375" style="166" bestFit="1" customWidth="1"/>
    <col min="16" max="16" width="7.44140625" style="166" bestFit="1" customWidth="1"/>
    <col min="17" max="17" width="6.21875" style="166" bestFit="1" customWidth="1"/>
    <col min="18" max="16384" width="8.88671875" style="96"/>
  </cols>
  <sheetData>
    <row r="1" spans="1:17" ht="18.600000000000001" customHeight="1" thickBot="1" x14ac:dyDescent="0.4">
      <c r="A1" s="296" t="s">
        <v>187</v>
      </c>
      <c r="B1" s="296"/>
      <c r="C1" s="296"/>
      <c r="D1" s="296"/>
      <c r="E1" s="296"/>
      <c r="F1" s="262"/>
      <c r="G1" s="262"/>
      <c r="H1" s="262"/>
      <c r="I1" s="262"/>
      <c r="J1" s="292"/>
      <c r="K1" s="292"/>
      <c r="L1" s="292"/>
      <c r="M1" s="292"/>
      <c r="N1" s="292"/>
      <c r="O1" s="292"/>
      <c r="P1" s="292"/>
      <c r="Q1" s="292"/>
    </row>
    <row r="2" spans="1:17" ht="14.4" customHeight="1" thickBot="1" x14ac:dyDescent="0.35">
      <c r="A2" s="175" t="s">
        <v>199</v>
      </c>
      <c r="B2" s="170"/>
      <c r="C2" s="170"/>
      <c r="D2" s="170"/>
      <c r="E2" s="170"/>
    </row>
    <row r="3" spans="1:17" ht="14.4" customHeight="1" thickBot="1" x14ac:dyDescent="0.35">
      <c r="A3" s="242" t="s">
        <v>2</v>
      </c>
      <c r="B3" s="246">
        <f>SUM(B6:B1048576)</f>
        <v>2</v>
      </c>
      <c r="C3" s="247">
        <f>SUM(C6:C1048576)</f>
        <v>0</v>
      </c>
      <c r="D3" s="247">
        <f>SUM(D6:D1048576)</f>
        <v>0</v>
      </c>
      <c r="E3" s="248">
        <f>SUM(E6:E1048576)</f>
        <v>0</v>
      </c>
      <c r="F3" s="245">
        <f>IF(SUM($B3:$E3)=0,"",B3/SUM($B3:$E3))</f>
        <v>1</v>
      </c>
      <c r="G3" s="243">
        <f t="shared" ref="G3:I3" si="0">IF(SUM($B3:$E3)=0,"",C3/SUM($B3:$E3))</f>
        <v>0</v>
      </c>
      <c r="H3" s="243">
        <f t="shared" si="0"/>
        <v>0</v>
      </c>
      <c r="I3" s="244">
        <f t="shared" si="0"/>
        <v>0</v>
      </c>
      <c r="J3" s="247">
        <f>SUM(J6:J1048576)</f>
        <v>1</v>
      </c>
      <c r="K3" s="247">
        <f>SUM(K6:K1048576)</f>
        <v>0</v>
      </c>
      <c r="L3" s="247">
        <f>SUM(L6:L1048576)</f>
        <v>0</v>
      </c>
      <c r="M3" s="248">
        <f>SUM(M6:M1048576)</f>
        <v>0</v>
      </c>
      <c r="N3" s="245">
        <f>IF(SUM($J3:$M3)=0,"",J3/SUM($J3:$M3))</f>
        <v>1</v>
      </c>
      <c r="O3" s="243">
        <f t="shared" ref="O3:Q3" si="1">IF(SUM($J3:$M3)=0,"",K3/SUM($J3:$M3))</f>
        <v>0</v>
      </c>
      <c r="P3" s="243">
        <f t="shared" si="1"/>
        <v>0</v>
      </c>
      <c r="Q3" s="244">
        <f t="shared" si="1"/>
        <v>0</v>
      </c>
    </row>
    <row r="4" spans="1:17" ht="14.4" customHeight="1" thickBot="1" x14ac:dyDescent="0.35">
      <c r="A4" s="241"/>
      <c r="B4" s="300" t="s">
        <v>189</v>
      </c>
      <c r="C4" s="301"/>
      <c r="D4" s="301"/>
      <c r="E4" s="302"/>
      <c r="F4" s="297" t="s">
        <v>194</v>
      </c>
      <c r="G4" s="298"/>
      <c r="H4" s="298"/>
      <c r="I4" s="299"/>
      <c r="J4" s="300" t="s">
        <v>195</v>
      </c>
      <c r="K4" s="301"/>
      <c r="L4" s="301"/>
      <c r="M4" s="302"/>
      <c r="N4" s="297" t="s">
        <v>196</v>
      </c>
      <c r="O4" s="298"/>
      <c r="P4" s="298"/>
      <c r="Q4" s="299"/>
    </row>
    <row r="5" spans="1:17" ht="14.4" customHeight="1" thickBot="1" x14ac:dyDescent="0.35">
      <c r="A5" s="339" t="s">
        <v>188</v>
      </c>
      <c r="B5" s="340" t="s">
        <v>190</v>
      </c>
      <c r="C5" s="340" t="s">
        <v>191</v>
      </c>
      <c r="D5" s="340" t="s">
        <v>192</v>
      </c>
      <c r="E5" s="341" t="s">
        <v>193</v>
      </c>
      <c r="F5" s="342" t="s">
        <v>190</v>
      </c>
      <c r="G5" s="343" t="s">
        <v>191</v>
      </c>
      <c r="H5" s="343" t="s">
        <v>192</v>
      </c>
      <c r="I5" s="344" t="s">
        <v>193</v>
      </c>
      <c r="J5" s="340" t="s">
        <v>190</v>
      </c>
      <c r="K5" s="340" t="s">
        <v>191</v>
      </c>
      <c r="L5" s="340" t="s">
        <v>192</v>
      </c>
      <c r="M5" s="341" t="s">
        <v>193</v>
      </c>
      <c r="N5" s="342" t="s">
        <v>190</v>
      </c>
      <c r="O5" s="343" t="s">
        <v>191</v>
      </c>
      <c r="P5" s="343" t="s">
        <v>192</v>
      </c>
      <c r="Q5" s="344" t="s">
        <v>193</v>
      </c>
    </row>
    <row r="6" spans="1:17" ht="14.4" customHeight="1" x14ac:dyDescent="0.3">
      <c r="A6" s="351" t="s">
        <v>324</v>
      </c>
      <c r="B6" s="355"/>
      <c r="C6" s="345"/>
      <c r="D6" s="345"/>
      <c r="E6" s="357"/>
      <c r="F6" s="353"/>
      <c r="G6" s="346"/>
      <c r="H6" s="346"/>
      <c r="I6" s="359"/>
      <c r="J6" s="355"/>
      <c r="K6" s="345"/>
      <c r="L6" s="345"/>
      <c r="M6" s="357"/>
      <c r="N6" s="353"/>
      <c r="O6" s="346"/>
      <c r="P6" s="346"/>
      <c r="Q6" s="347"/>
    </row>
    <row r="7" spans="1:17" ht="14.4" customHeight="1" thickBot="1" x14ac:dyDescent="0.35">
      <c r="A7" s="352" t="s">
        <v>325</v>
      </c>
      <c r="B7" s="356">
        <v>2</v>
      </c>
      <c r="C7" s="348"/>
      <c r="D7" s="348"/>
      <c r="E7" s="358"/>
      <c r="F7" s="354">
        <v>1</v>
      </c>
      <c r="G7" s="349">
        <v>0</v>
      </c>
      <c r="H7" s="349">
        <v>0</v>
      </c>
      <c r="I7" s="360">
        <v>0</v>
      </c>
      <c r="J7" s="356">
        <v>1</v>
      </c>
      <c r="K7" s="348"/>
      <c r="L7" s="348"/>
      <c r="M7" s="358"/>
      <c r="N7" s="354">
        <v>1</v>
      </c>
      <c r="O7" s="349">
        <v>0</v>
      </c>
      <c r="P7" s="349">
        <v>0</v>
      </c>
      <c r="Q7" s="350">
        <v>0</v>
      </c>
    </row>
  </sheetData>
  <mergeCells count="5">
    <mergeCell ref="N4:Q4"/>
    <mergeCell ref="A1:Q1"/>
    <mergeCell ref="F4:I4"/>
    <mergeCell ref="B4:E4"/>
    <mergeCell ref="J4:M4"/>
  </mergeCells>
  <conditionalFormatting sqref="G3 O3 G6:G1048576 O6:O1048576">
    <cfRule type="cellIs" dxfId="20" priority="1" operator="greaterThan">
      <formula>0.3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1">
    <tabColor theme="3" tint="0.39997558519241921"/>
    <pageSetUpPr fitToPage="1"/>
  </sheetPr>
  <dimension ref="A1:J18"/>
  <sheetViews>
    <sheetView showGridLines="0" showRowColHeaders="0" workbookViewId="0">
      <pane ySplit="4" topLeftCell="A5" activePane="bottomLeft" state="frozen"/>
      <selection activeCell="A2" sqref="A2:I2"/>
      <selection pane="bottomLeft" sqref="A1:I1"/>
    </sheetView>
  </sheetViews>
  <sheetFormatPr defaultRowHeight="14.4" customHeight="1" x14ac:dyDescent="0.3"/>
  <cols>
    <col min="1" max="1" width="5.5546875" style="164" customWidth="1"/>
    <col min="2" max="2" width="61.109375" style="164" customWidth="1"/>
    <col min="3" max="3" width="9.5546875" style="96" customWidth="1"/>
    <col min="4" max="4" width="9.5546875" style="165" customWidth="1"/>
    <col min="5" max="5" width="2.21875" style="165" customWidth="1"/>
    <col min="6" max="6" width="9.5546875" style="166" customWidth="1"/>
    <col min="7" max="7" width="9.5546875" style="163" customWidth="1"/>
    <col min="8" max="9" width="9.5546875" style="96" customWidth="1"/>
    <col min="10" max="10" width="0" style="96" hidden="1" customWidth="1"/>
    <col min="11" max="16384" width="8.88671875" style="96"/>
  </cols>
  <sheetData>
    <row r="1" spans="1:10" ht="18.600000000000001" customHeight="1" thickBot="1" x14ac:dyDescent="0.4">
      <c r="A1" s="290" t="s">
        <v>73</v>
      </c>
      <c r="B1" s="291"/>
      <c r="C1" s="291"/>
      <c r="D1" s="291"/>
      <c r="E1" s="291"/>
      <c r="F1" s="291"/>
      <c r="G1" s="262"/>
      <c r="H1" s="292"/>
      <c r="I1" s="292"/>
    </row>
    <row r="2" spans="1:10" ht="14.4" customHeight="1" thickBot="1" x14ac:dyDescent="0.35">
      <c r="A2" s="175" t="s">
        <v>199</v>
      </c>
      <c r="B2" s="162"/>
      <c r="C2" s="162"/>
      <c r="D2" s="162"/>
      <c r="E2" s="162"/>
      <c r="F2" s="162"/>
    </row>
    <row r="3" spans="1:10" ht="14.4" customHeight="1" thickBot="1" x14ac:dyDescent="0.35">
      <c r="A3" s="175"/>
      <c r="B3" s="162"/>
      <c r="C3" s="233">
        <v>2012</v>
      </c>
      <c r="D3" s="234">
        <v>2013</v>
      </c>
      <c r="E3" s="7"/>
      <c r="F3" s="285">
        <v>2014</v>
      </c>
      <c r="G3" s="286"/>
      <c r="H3" s="286"/>
      <c r="I3" s="287"/>
    </row>
    <row r="4" spans="1:10" ht="14.4" customHeight="1" thickBot="1" x14ac:dyDescent="0.35">
      <c r="A4" s="238" t="s">
        <v>0</v>
      </c>
      <c r="B4" s="239" t="s">
        <v>186</v>
      </c>
      <c r="C4" s="288" t="s">
        <v>51</v>
      </c>
      <c r="D4" s="289"/>
      <c r="E4" s="240"/>
      <c r="F4" s="235" t="s">
        <v>51</v>
      </c>
      <c r="G4" s="236" t="s">
        <v>52</v>
      </c>
      <c r="H4" s="236" t="s">
        <v>48</v>
      </c>
      <c r="I4" s="237" t="s">
        <v>53</v>
      </c>
    </row>
    <row r="5" spans="1:10" ht="14.4" customHeight="1" x14ac:dyDescent="0.3">
      <c r="A5" s="334" t="s">
        <v>316</v>
      </c>
      <c r="B5" s="335" t="s">
        <v>317</v>
      </c>
      <c r="C5" s="336" t="s">
        <v>318</v>
      </c>
      <c r="D5" s="336" t="s">
        <v>318</v>
      </c>
      <c r="E5" s="336"/>
      <c r="F5" s="336" t="s">
        <v>318</v>
      </c>
      <c r="G5" s="336" t="s">
        <v>318</v>
      </c>
      <c r="H5" s="336" t="s">
        <v>318</v>
      </c>
      <c r="I5" s="337" t="s">
        <v>318</v>
      </c>
      <c r="J5" s="338" t="s">
        <v>49</v>
      </c>
    </row>
    <row r="6" spans="1:10" ht="14.4" customHeight="1" x14ac:dyDescent="0.3">
      <c r="A6" s="334" t="s">
        <v>316</v>
      </c>
      <c r="B6" s="335" t="s">
        <v>209</v>
      </c>
      <c r="C6" s="336" t="s">
        <v>318</v>
      </c>
      <c r="D6" s="336">
        <v>18.859059999999999</v>
      </c>
      <c r="E6" s="336"/>
      <c r="F6" s="336">
        <v>44.234340000000003</v>
      </c>
      <c r="G6" s="336">
        <v>39.333269189662666</v>
      </c>
      <c r="H6" s="336">
        <v>4.9010708103373375</v>
      </c>
      <c r="I6" s="337">
        <v>1.1246036983782015</v>
      </c>
      <c r="J6" s="338" t="s">
        <v>1</v>
      </c>
    </row>
    <row r="7" spans="1:10" ht="14.4" customHeight="1" x14ac:dyDescent="0.3">
      <c r="A7" s="334" t="s">
        <v>316</v>
      </c>
      <c r="B7" s="335" t="s">
        <v>210</v>
      </c>
      <c r="C7" s="336" t="s">
        <v>318</v>
      </c>
      <c r="D7" s="336">
        <v>2.6629999999999998</v>
      </c>
      <c r="E7" s="336"/>
      <c r="F7" s="336">
        <v>2.6619999999999999</v>
      </c>
      <c r="G7" s="336">
        <v>4.4787781517120004</v>
      </c>
      <c r="H7" s="336">
        <v>-1.8167781517120005</v>
      </c>
      <c r="I7" s="337">
        <v>0.59435853034659858</v>
      </c>
      <c r="J7" s="338" t="s">
        <v>1</v>
      </c>
    </row>
    <row r="8" spans="1:10" ht="14.4" customHeight="1" x14ac:dyDescent="0.3">
      <c r="A8" s="334" t="s">
        <v>316</v>
      </c>
      <c r="B8" s="335" t="s">
        <v>211</v>
      </c>
      <c r="C8" s="336" t="s">
        <v>318</v>
      </c>
      <c r="D8" s="336">
        <v>0</v>
      </c>
      <c r="E8" s="336"/>
      <c r="F8" s="336">
        <v>0.14599999999999999</v>
      </c>
      <c r="G8" s="336">
        <v>1.0141504813333334E-2</v>
      </c>
      <c r="H8" s="336">
        <v>0.13585849518666665</v>
      </c>
      <c r="I8" s="337">
        <v>14.39628562893837</v>
      </c>
      <c r="J8" s="338" t="s">
        <v>1</v>
      </c>
    </row>
    <row r="9" spans="1:10" ht="14.4" customHeight="1" x14ac:dyDescent="0.3">
      <c r="A9" s="334" t="s">
        <v>316</v>
      </c>
      <c r="B9" s="335" t="s">
        <v>319</v>
      </c>
      <c r="C9" s="336" t="s">
        <v>318</v>
      </c>
      <c r="D9" s="336">
        <v>21.52206</v>
      </c>
      <c r="E9" s="336"/>
      <c r="F9" s="336">
        <v>47.042340000000003</v>
      </c>
      <c r="G9" s="336">
        <v>43.822188846187998</v>
      </c>
      <c r="H9" s="336">
        <v>3.2201511538120045</v>
      </c>
      <c r="I9" s="337">
        <v>1.0734822070416075</v>
      </c>
      <c r="J9" s="338" t="s">
        <v>320</v>
      </c>
    </row>
    <row r="11" spans="1:10" ht="14.4" customHeight="1" x14ac:dyDescent="0.3">
      <c r="A11" s="334" t="s">
        <v>316</v>
      </c>
      <c r="B11" s="335" t="s">
        <v>317</v>
      </c>
      <c r="C11" s="336" t="s">
        <v>318</v>
      </c>
      <c r="D11" s="336" t="s">
        <v>318</v>
      </c>
      <c r="E11" s="336"/>
      <c r="F11" s="336" t="s">
        <v>318</v>
      </c>
      <c r="G11" s="336" t="s">
        <v>318</v>
      </c>
      <c r="H11" s="336" t="s">
        <v>318</v>
      </c>
      <c r="I11" s="337" t="s">
        <v>318</v>
      </c>
      <c r="J11" s="338" t="s">
        <v>49</v>
      </c>
    </row>
    <row r="12" spans="1:10" ht="14.4" customHeight="1" x14ac:dyDescent="0.3">
      <c r="A12" s="334" t="s">
        <v>321</v>
      </c>
      <c r="B12" s="335" t="s">
        <v>317</v>
      </c>
      <c r="C12" s="336" t="s">
        <v>318</v>
      </c>
      <c r="D12" s="336" t="s">
        <v>318</v>
      </c>
      <c r="E12" s="336"/>
      <c r="F12" s="336" t="s">
        <v>318</v>
      </c>
      <c r="G12" s="336" t="s">
        <v>318</v>
      </c>
      <c r="H12" s="336" t="s">
        <v>318</v>
      </c>
      <c r="I12" s="337" t="s">
        <v>318</v>
      </c>
      <c r="J12" s="338" t="s">
        <v>0</v>
      </c>
    </row>
    <row r="13" spans="1:10" ht="14.4" customHeight="1" x14ac:dyDescent="0.3">
      <c r="A13" s="334" t="s">
        <v>321</v>
      </c>
      <c r="B13" s="335" t="s">
        <v>209</v>
      </c>
      <c r="C13" s="336" t="s">
        <v>318</v>
      </c>
      <c r="D13" s="336">
        <v>18.859059999999999</v>
      </c>
      <c r="E13" s="336"/>
      <c r="F13" s="336">
        <v>44.234340000000003</v>
      </c>
      <c r="G13" s="336">
        <v>39.333269189662666</v>
      </c>
      <c r="H13" s="336">
        <v>4.9010708103373375</v>
      </c>
      <c r="I13" s="337">
        <v>1.1246036983782015</v>
      </c>
      <c r="J13" s="338" t="s">
        <v>1</v>
      </c>
    </row>
    <row r="14" spans="1:10" ht="14.4" customHeight="1" x14ac:dyDescent="0.3">
      <c r="A14" s="334" t="s">
        <v>321</v>
      </c>
      <c r="B14" s="335" t="s">
        <v>210</v>
      </c>
      <c r="C14" s="336" t="s">
        <v>318</v>
      </c>
      <c r="D14" s="336">
        <v>2.6629999999999998</v>
      </c>
      <c r="E14" s="336"/>
      <c r="F14" s="336">
        <v>2.6619999999999999</v>
      </c>
      <c r="G14" s="336">
        <v>4.4787781517120004</v>
      </c>
      <c r="H14" s="336">
        <v>-1.8167781517120005</v>
      </c>
      <c r="I14" s="337">
        <v>0.59435853034659858</v>
      </c>
      <c r="J14" s="338" t="s">
        <v>1</v>
      </c>
    </row>
    <row r="15" spans="1:10" ht="14.4" customHeight="1" x14ac:dyDescent="0.3">
      <c r="A15" s="334" t="s">
        <v>321</v>
      </c>
      <c r="B15" s="335" t="s">
        <v>211</v>
      </c>
      <c r="C15" s="336" t="s">
        <v>318</v>
      </c>
      <c r="D15" s="336">
        <v>0</v>
      </c>
      <c r="E15" s="336"/>
      <c r="F15" s="336">
        <v>0.14599999999999999</v>
      </c>
      <c r="G15" s="336">
        <v>1.0141504813333334E-2</v>
      </c>
      <c r="H15" s="336">
        <v>0.13585849518666665</v>
      </c>
      <c r="I15" s="337">
        <v>14.39628562893837</v>
      </c>
      <c r="J15" s="338" t="s">
        <v>1</v>
      </c>
    </row>
    <row r="16" spans="1:10" ht="14.4" customHeight="1" x14ac:dyDescent="0.3">
      <c r="A16" s="334" t="s">
        <v>321</v>
      </c>
      <c r="B16" s="335" t="s">
        <v>319</v>
      </c>
      <c r="C16" s="336" t="s">
        <v>318</v>
      </c>
      <c r="D16" s="336">
        <v>21.52206</v>
      </c>
      <c r="E16" s="336"/>
      <c r="F16" s="336">
        <v>47.042340000000003</v>
      </c>
      <c r="G16" s="336">
        <v>43.822188846187998</v>
      </c>
      <c r="H16" s="336">
        <v>3.2201511538120045</v>
      </c>
      <c r="I16" s="337">
        <v>1.0734822070416075</v>
      </c>
      <c r="J16" s="338" t="s">
        <v>322</v>
      </c>
    </row>
    <row r="17" spans="1:10" ht="14.4" customHeight="1" x14ac:dyDescent="0.3">
      <c r="A17" s="334" t="s">
        <v>318</v>
      </c>
      <c r="B17" s="335" t="s">
        <v>318</v>
      </c>
      <c r="C17" s="336" t="s">
        <v>318</v>
      </c>
      <c r="D17" s="336" t="s">
        <v>318</v>
      </c>
      <c r="E17" s="336"/>
      <c r="F17" s="336" t="s">
        <v>318</v>
      </c>
      <c r="G17" s="336" t="s">
        <v>318</v>
      </c>
      <c r="H17" s="336" t="s">
        <v>318</v>
      </c>
      <c r="I17" s="337" t="s">
        <v>318</v>
      </c>
      <c r="J17" s="338" t="s">
        <v>323</v>
      </c>
    </row>
    <row r="18" spans="1:10" ht="14.4" customHeight="1" x14ac:dyDescent="0.3">
      <c r="A18" s="334" t="s">
        <v>316</v>
      </c>
      <c r="B18" s="335" t="s">
        <v>319</v>
      </c>
      <c r="C18" s="336" t="s">
        <v>318</v>
      </c>
      <c r="D18" s="336">
        <v>21.52206</v>
      </c>
      <c r="E18" s="336"/>
      <c r="F18" s="336">
        <v>47.042340000000003</v>
      </c>
      <c r="G18" s="336">
        <v>43.822188846187998</v>
      </c>
      <c r="H18" s="336">
        <v>3.2201511538120045</v>
      </c>
      <c r="I18" s="337">
        <v>1.0734822070416075</v>
      </c>
      <c r="J18" s="338" t="s">
        <v>320</v>
      </c>
    </row>
  </sheetData>
  <mergeCells count="3">
    <mergeCell ref="A1:I1"/>
    <mergeCell ref="F3:I3"/>
    <mergeCell ref="C4:D4"/>
  </mergeCells>
  <conditionalFormatting sqref="F10 F19:F65537">
    <cfRule type="cellIs" dxfId="19" priority="18" stopIfTrue="1" operator="greaterThan">
      <formula>1</formula>
    </cfRule>
  </conditionalFormatting>
  <conditionalFormatting sqref="H5:H9">
    <cfRule type="expression" dxfId="18" priority="14">
      <formula>$H5&gt;0</formula>
    </cfRule>
  </conditionalFormatting>
  <conditionalFormatting sqref="I5:I9">
    <cfRule type="expression" dxfId="17" priority="15">
      <formula>$I5&gt;1</formula>
    </cfRule>
  </conditionalFormatting>
  <conditionalFormatting sqref="B5:B9">
    <cfRule type="expression" dxfId="16" priority="11">
      <formula>OR($J5="NS",$J5="SumaNS",$J5="Účet")</formula>
    </cfRule>
  </conditionalFormatting>
  <conditionalFormatting sqref="F5:I9 B5:D9">
    <cfRule type="expression" dxfId="15" priority="17">
      <formula>AND($J5&lt;&gt;"",$J5&lt;&gt;"mezeraKL")</formula>
    </cfRule>
  </conditionalFormatting>
  <conditionalFormatting sqref="B5:D9 F5:I9">
    <cfRule type="expression" dxfId="14" priority="12">
      <formula>OR($J5="KL",$J5="SumaKL")</formula>
    </cfRule>
    <cfRule type="expression" priority="16" stopIfTrue="1">
      <formula>OR($J5="mezeraNS",$J5="mezeraKL")</formula>
    </cfRule>
  </conditionalFormatting>
  <conditionalFormatting sqref="B5:D9 F5:I9">
    <cfRule type="expression" dxfId="13" priority="13">
      <formula>OR($J5="SumaNS",$J5="NS")</formula>
    </cfRule>
  </conditionalFormatting>
  <conditionalFormatting sqref="A5:A9">
    <cfRule type="expression" dxfId="12" priority="9">
      <formula>AND($J5&lt;&gt;"mezeraKL",$J5&lt;&gt;"")</formula>
    </cfRule>
  </conditionalFormatting>
  <conditionalFormatting sqref="A5:A9">
    <cfRule type="expression" dxfId="11" priority="10">
      <formula>AND($J5&lt;&gt;"",$J5&lt;&gt;"mezeraKL")</formula>
    </cfRule>
  </conditionalFormatting>
  <conditionalFormatting sqref="H11:H18">
    <cfRule type="expression" dxfId="10" priority="5">
      <formula>$H11&gt;0</formula>
    </cfRule>
  </conditionalFormatting>
  <conditionalFormatting sqref="A11:A18">
    <cfRule type="expression" dxfId="9" priority="2">
      <formula>AND($J11&lt;&gt;"mezeraKL",$J11&lt;&gt;"")</formula>
    </cfRule>
  </conditionalFormatting>
  <conditionalFormatting sqref="I11:I18">
    <cfRule type="expression" dxfId="8" priority="6">
      <formula>$I11&gt;1</formula>
    </cfRule>
  </conditionalFormatting>
  <conditionalFormatting sqref="B11:B18">
    <cfRule type="expression" dxfId="7" priority="1">
      <formula>OR($J11="NS",$J11="SumaNS",$J11="Účet")</formula>
    </cfRule>
  </conditionalFormatting>
  <conditionalFormatting sqref="A11:D18 F11:I18">
    <cfRule type="expression" dxfId="6" priority="8">
      <formula>AND($J11&lt;&gt;"",$J11&lt;&gt;"mezeraKL")</formula>
    </cfRule>
  </conditionalFormatting>
  <conditionalFormatting sqref="B11:D18 F11:I18">
    <cfRule type="expression" dxfId="5" priority="3">
      <formula>OR($J11="KL",$J11="SumaKL")</formula>
    </cfRule>
    <cfRule type="expression" priority="7" stopIfTrue="1">
      <formula>OR($J11="mezeraNS",$J11="mezeraKL")</formula>
    </cfRule>
  </conditionalFormatting>
  <conditionalFormatting sqref="B11:D18 F11:I18">
    <cfRule type="expression" dxfId="4" priority="4">
      <formula>OR($J11="SumaNS",$J11="NS")</formula>
    </cfRule>
  </conditionalFormatting>
  <hyperlinks>
    <hyperlink ref="A2" location="Obsah!A1" display="Zpět na Obsah  KL 01  1.-4.měsíc"/>
  </hyperlinks>
  <pageMargins left="0.25" right="0.25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1">
    <tabColor theme="0" tint="-0.249977111117893"/>
    <pageSetUpPr fitToPage="1"/>
  </sheetPr>
  <dimension ref="A1:K15"/>
  <sheetViews>
    <sheetView showGridLines="0" showRowColHeaders="0" workbookViewId="0">
      <pane ySplit="4" topLeftCell="A5" activePane="bottomLeft" state="frozen"/>
      <selection activeCell="A2" sqref="A2:I2"/>
      <selection pane="bottomLeft" sqref="A1:K1"/>
    </sheetView>
  </sheetViews>
  <sheetFormatPr defaultRowHeight="14.4" customHeight="1" outlineLevelCol="1" x14ac:dyDescent="0.3"/>
  <cols>
    <col min="1" max="1" width="6.6640625" style="96" hidden="1" customWidth="1" outlineLevel="1"/>
    <col min="2" max="2" width="28.33203125" style="96" hidden="1" customWidth="1" outlineLevel="1"/>
    <col min="3" max="3" width="5.33203125" style="165" bestFit="1" customWidth="1" collapsed="1"/>
    <col min="4" max="4" width="18.77734375" style="169" customWidth="1"/>
    <col min="5" max="5" width="9" style="165" bestFit="1" customWidth="1"/>
    <col min="6" max="6" width="18.77734375" style="169" customWidth="1"/>
    <col min="7" max="7" width="12.44140625" style="165" hidden="1" customWidth="1" outlineLevel="1"/>
    <col min="8" max="8" width="25.77734375" style="165" customWidth="1" collapsed="1"/>
    <col min="9" max="9" width="7.77734375" style="163" customWidth="1"/>
    <col min="10" max="10" width="10" style="163" customWidth="1"/>
    <col min="11" max="11" width="11.109375" style="163" customWidth="1"/>
    <col min="12" max="16384" width="8.88671875" style="96"/>
  </cols>
  <sheetData>
    <row r="1" spans="1:11" ht="18.600000000000001" customHeight="1" thickBot="1" x14ac:dyDescent="0.4">
      <c r="A1" s="295" t="s">
        <v>353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</row>
    <row r="2" spans="1:11" ht="14.4" customHeight="1" thickBot="1" x14ac:dyDescent="0.35">
      <c r="A2" s="175" t="s">
        <v>199</v>
      </c>
      <c r="B2" s="57"/>
      <c r="C2" s="167"/>
      <c r="D2" s="167"/>
      <c r="E2" s="167"/>
      <c r="F2" s="167"/>
      <c r="G2" s="167"/>
      <c r="H2" s="167"/>
      <c r="I2" s="168"/>
      <c r="J2" s="168"/>
      <c r="K2" s="168"/>
    </row>
    <row r="3" spans="1:11" ht="14.4" customHeight="1" thickBot="1" x14ac:dyDescent="0.35">
      <c r="A3" s="57"/>
      <c r="B3" s="57"/>
      <c r="C3" s="293"/>
      <c r="D3" s="294"/>
      <c r="E3" s="294"/>
      <c r="F3" s="294"/>
      <c r="G3" s="294"/>
      <c r="H3" s="108" t="s">
        <v>70</v>
      </c>
      <c r="I3" s="71">
        <f>IF(J3&lt;&gt;0,K3/J3,0)</f>
        <v>9.5381873479318724</v>
      </c>
      <c r="J3" s="71">
        <f>SUBTOTAL(9,J5:J1048576)</f>
        <v>4932</v>
      </c>
      <c r="K3" s="72">
        <f>SUBTOTAL(9,K5:K1048576)</f>
        <v>47042.34</v>
      </c>
    </row>
    <row r="4" spans="1:11" s="164" customFormat="1" ht="14.4" customHeight="1" thickBot="1" x14ac:dyDescent="0.35">
      <c r="A4" s="361" t="s">
        <v>3</v>
      </c>
      <c r="B4" s="362" t="s">
        <v>4</v>
      </c>
      <c r="C4" s="362" t="s">
        <v>0</v>
      </c>
      <c r="D4" s="362" t="s">
        <v>5</v>
      </c>
      <c r="E4" s="362" t="s">
        <v>6</v>
      </c>
      <c r="F4" s="362" t="s">
        <v>1</v>
      </c>
      <c r="G4" s="362" t="s">
        <v>50</v>
      </c>
      <c r="H4" s="363" t="s">
        <v>7</v>
      </c>
      <c r="I4" s="364" t="s">
        <v>76</v>
      </c>
      <c r="J4" s="364" t="s">
        <v>8</v>
      </c>
      <c r="K4" s="365" t="s">
        <v>84</v>
      </c>
    </row>
    <row r="5" spans="1:11" ht="14.4" customHeight="1" x14ac:dyDescent="0.3">
      <c r="A5" s="366" t="s">
        <v>316</v>
      </c>
      <c r="B5" s="367" t="s">
        <v>317</v>
      </c>
      <c r="C5" s="368" t="s">
        <v>321</v>
      </c>
      <c r="D5" s="369" t="s">
        <v>317</v>
      </c>
      <c r="E5" s="368" t="s">
        <v>347</v>
      </c>
      <c r="F5" s="369" t="s">
        <v>348</v>
      </c>
      <c r="G5" s="368" t="s">
        <v>326</v>
      </c>
      <c r="H5" s="368" t="s">
        <v>327</v>
      </c>
      <c r="I5" s="345">
        <v>1.33</v>
      </c>
      <c r="J5" s="345">
        <v>2000</v>
      </c>
      <c r="K5" s="357">
        <v>2662</v>
      </c>
    </row>
    <row r="6" spans="1:11" ht="14.4" customHeight="1" x14ac:dyDescent="0.3">
      <c r="A6" s="370" t="s">
        <v>316</v>
      </c>
      <c r="B6" s="371" t="s">
        <v>317</v>
      </c>
      <c r="C6" s="372" t="s">
        <v>321</v>
      </c>
      <c r="D6" s="373" t="s">
        <v>317</v>
      </c>
      <c r="E6" s="372" t="s">
        <v>349</v>
      </c>
      <c r="F6" s="373" t="s">
        <v>350</v>
      </c>
      <c r="G6" s="372" t="s">
        <v>328</v>
      </c>
      <c r="H6" s="372" t="s">
        <v>329</v>
      </c>
      <c r="I6" s="374">
        <v>0.73</v>
      </c>
      <c r="J6" s="374">
        <v>200</v>
      </c>
      <c r="K6" s="375">
        <v>146</v>
      </c>
    </row>
    <row r="7" spans="1:11" ht="14.4" customHeight="1" x14ac:dyDescent="0.3">
      <c r="A7" s="370" t="s">
        <v>316</v>
      </c>
      <c r="B7" s="371" t="s">
        <v>317</v>
      </c>
      <c r="C7" s="372" t="s">
        <v>321</v>
      </c>
      <c r="D7" s="373" t="s">
        <v>317</v>
      </c>
      <c r="E7" s="372" t="s">
        <v>351</v>
      </c>
      <c r="F7" s="373" t="s">
        <v>352</v>
      </c>
      <c r="G7" s="372" t="s">
        <v>330</v>
      </c>
      <c r="H7" s="372" t="s">
        <v>331</v>
      </c>
      <c r="I7" s="374">
        <v>14.109</v>
      </c>
      <c r="J7" s="374">
        <v>600</v>
      </c>
      <c r="K7" s="375">
        <v>8465.8799999999992</v>
      </c>
    </row>
    <row r="8" spans="1:11" ht="14.4" customHeight="1" x14ac:dyDescent="0.3">
      <c r="A8" s="370" t="s">
        <v>316</v>
      </c>
      <c r="B8" s="371" t="s">
        <v>317</v>
      </c>
      <c r="C8" s="372" t="s">
        <v>321</v>
      </c>
      <c r="D8" s="373" t="s">
        <v>317</v>
      </c>
      <c r="E8" s="372" t="s">
        <v>351</v>
      </c>
      <c r="F8" s="373" t="s">
        <v>352</v>
      </c>
      <c r="G8" s="372" t="s">
        <v>332</v>
      </c>
      <c r="H8" s="372" t="s">
        <v>333</v>
      </c>
      <c r="I8" s="374">
        <v>17.542499999999997</v>
      </c>
      <c r="J8" s="374">
        <v>320</v>
      </c>
      <c r="K8" s="375">
        <v>5614.4000000000005</v>
      </c>
    </row>
    <row r="9" spans="1:11" ht="14.4" customHeight="1" x14ac:dyDescent="0.3">
      <c r="A9" s="370" t="s">
        <v>316</v>
      </c>
      <c r="B9" s="371" t="s">
        <v>317</v>
      </c>
      <c r="C9" s="372" t="s">
        <v>321</v>
      </c>
      <c r="D9" s="373" t="s">
        <v>317</v>
      </c>
      <c r="E9" s="372" t="s">
        <v>351</v>
      </c>
      <c r="F9" s="373" t="s">
        <v>352</v>
      </c>
      <c r="G9" s="372" t="s">
        <v>334</v>
      </c>
      <c r="H9" s="372" t="s">
        <v>335</v>
      </c>
      <c r="I9" s="374">
        <v>10.89</v>
      </c>
      <c r="J9" s="374">
        <v>20</v>
      </c>
      <c r="K9" s="375">
        <v>217.8</v>
      </c>
    </row>
    <row r="10" spans="1:11" ht="14.4" customHeight="1" x14ac:dyDescent="0.3">
      <c r="A10" s="370" t="s">
        <v>316</v>
      </c>
      <c r="B10" s="371" t="s">
        <v>317</v>
      </c>
      <c r="C10" s="372" t="s">
        <v>321</v>
      </c>
      <c r="D10" s="373" t="s">
        <v>317</v>
      </c>
      <c r="E10" s="372" t="s">
        <v>351</v>
      </c>
      <c r="F10" s="373" t="s">
        <v>352</v>
      </c>
      <c r="G10" s="372" t="s">
        <v>336</v>
      </c>
      <c r="H10" s="372" t="s">
        <v>337</v>
      </c>
      <c r="I10" s="374">
        <v>18.150000000000002</v>
      </c>
      <c r="J10" s="374">
        <v>190</v>
      </c>
      <c r="K10" s="375">
        <v>3448.5</v>
      </c>
    </row>
    <row r="11" spans="1:11" ht="14.4" customHeight="1" x14ac:dyDescent="0.3">
      <c r="A11" s="370" t="s">
        <v>316</v>
      </c>
      <c r="B11" s="371" t="s">
        <v>317</v>
      </c>
      <c r="C11" s="372" t="s">
        <v>321</v>
      </c>
      <c r="D11" s="373" t="s">
        <v>317</v>
      </c>
      <c r="E11" s="372" t="s">
        <v>351</v>
      </c>
      <c r="F11" s="373" t="s">
        <v>352</v>
      </c>
      <c r="G11" s="372" t="s">
        <v>338</v>
      </c>
      <c r="H11" s="372" t="s">
        <v>339</v>
      </c>
      <c r="I11" s="374">
        <v>14.993333333333332</v>
      </c>
      <c r="J11" s="374">
        <v>1300</v>
      </c>
      <c r="K11" s="375">
        <v>19559.05</v>
      </c>
    </row>
    <row r="12" spans="1:11" ht="14.4" customHeight="1" x14ac:dyDescent="0.3">
      <c r="A12" s="370" t="s">
        <v>316</v>
      </c>
      <c r="B12" s="371" t="s">
        <v>317</v>
      </c>
      <c r="C12" s="372" t="s">
        <v>321</v>
      </c>
      <c r="D12" s="373" t="s">
        <v>317</v>
      </c>
      <c r="E12" s="372" t="s">
        <v>351</v>
      </c>
      <c r="F12" s="373" t="s">
        <v>352</v>
      </c>
      <c r="G12" s="372" t="s">
        <v>340</v>
      </c>
      <c r="H12" s="372" t="s">
        <v>341</v>
      </c>
      <c r="I12" s="374">
        <v>14.52</v>
      </c>
      <c r="J12" s="374">
        <v>60</v>
      </c>
      <c r="K12" s="375">
        <v>871.2</v>
      </c>
    </row>
    <row r="13" spans="1:11" ht="14.4" customHeight="1" x14ac:dyDescent="0.3">
      <c r="A13" s="370" t="s">
        <v>316</v>
      </c>
      <c r="B13" s="371" t="s">
        <v>317</v>
      </c>
      <c r="C13" s="372" t="s">
        <v>321</v>
      </c>
      <c r="D13" s="373" t="s">
        <v>317</v>
      </c>
      <c r="E13" s="372" t="s">
        <v>351</v>
      </c>
      <c r="F13" s="373" t="s">
        <v>352</v>
      </c>
      <c r="G13" s="372" t="s">
        <v>342</v>
      </c>
      <c r="H13" s="372" t="s">
        <v>341</v>
      </c>
      <c r="I13" s="374">
        <v>14.777499999999998</v>
      </c>
      <c r="J13" s="374">
        <v>240</v>
      </c>
      <c r="K13" s="375">
        <v>3546.5099999999998</v>
      </c>
    </row>
    <row r="14" spans="1:11" ht="14.4" customHeight="1" x14ac:dyDescent="0.3">
      <c r="A14" s="370" t="s">
        <v>316</v>
      </c>
      <c r="B14" s="371" t="s">
        <v>317</v>
      </c>
      <c r="C14" s="372" t="s">
        <v>321</v>
      </c>
      <c r="D14" s="373" t="s">
        <v>317</v>
      </c>
      <c r="E14" s="372" t="s">
        <v>351</v>
      </c>
      <c r="F14" s="373" t="s">
        <v>352</v>
      </c>
      <c r="G14" s="372" t="s">
        <v>343</v>
      </c>
      <c r="H14" s="372" t="s">
        <v>344</v>
      </c>
      <c r="I14" s="374">
        <v>2087.46</v>
      </c>
      <c r="J14" s="374">
        <v>1</v>
      </c>
      <c r="K14" s="375">
        <v>2087.46</v>
      </c>
    </row>
    <row r="15" spans="1:11" ht="14.4" customHeight="1" thickBot="1" x14ac:dyDescent="0.35">
      <c r="A15" s="376" t="s">
        <v>316</v>
      </c>
      <c r="B15" s="377" t="s">
        <v>317</v>
      </c>
      <c r="C15" s="378" t="s">
        <v>321</v>
      </c>
      <c r="D15" s="379" t="s">
        <v>317</v>
      </c>
      <c r="E15" s="378" t="s">
        <v>351</v>
      </c>
      <c r="F15" s="379" t="s">
        <v>352</v>
      </c>
      <c r="G15" s="378" t="s">
        <v>345</v>
      </c>
      <c r="H15" s="378" t="s">
        <v>346</v>
      </c>
      <c r="I15" s="348">
        <v>423.54</v>
      </c>
      <c r="J15" s="348">
        <v>1</v>
      </c>
      <c r="K15" s="358">
        <v>423.54</v>
      </c>
    </row>
  </sheetData>
  <autoFilter ref="A4:K4"/>
  <mergeCells count="2">
    <mergeCell ref="A1:K1"/>
    <mergeCell ref="C3:G3"/>
  </mergeCells>
  <hyperlinks>
    <hyperlink ref="A2" location="Obsah!A1" display="Zpět na Obsah  KL 01  1.-4.měsíc"/>
  </hyperlink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Obsah</vt:lpstr>
      <vt:lpstr>Motivace</vt:lpstr>
      <vt:lpstr>HI</vt:lpstr>
      <vt:lpstr>Man Tab</vt:lpstr>
      <vt:lpstr>HV</vt:lpstr>
      <vt:lpstr>Léky Žádanky</vt:lpstr>
      <vt:lpstr>LŽ Statim</vt:lpstr>
      <vt:lpstr>Materiál Žádanky</vt:lpstr>
      <vt:lpstr>MŽ Detail</vt:lpstr>
      <vt:lpstr>Osobní náklady</vt:lpstr>
      <vt:lpstr>ON 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62361</dc:creator>
  <cp:lastModifiedBy>62361</cp:lastModifiedBy>
  <cp:lastPrinted>2014-08-21T08:13:26Z</cp:lastPrinted>
  <dcterms:created xsi:type="dcterms:W3CDTF">2013-04-17T20:15:29Z</dcterms:created>
  <dcterms:modified xsi:type="dcterms:W3CDTF">2014-09-18T10:09:03Z</dcterms:modified>
</cp:coreProperties>
</file>