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Man Tab" sheetId="366" r:id="rId4"/>
    <sheet name="HV" sheetId="367" r:id="rId5"/>
    <sheet name="Léky Žádanky" sheetId="219" r:id="rId6"/>
    <sheet name="LŽ Detail" sheetId="220" r:id="rId7"/>
    <sheet name="LŽ Statim" sheetId="427" r:id="rId8"/>
    <sheet name="Materiál Žádanky" sheetId="420" r:id="rId9"/>
    <sheet name="MŽ Detail" sheetId="403" r:id="rId10"/>
    <sheet name="Osobní náklady" sheetId="419" r:id="rId11"/>
    <sheet name="ON Data" sheetId="418" state="hidden" r:id="rId12"/>
  </sheets>
  <definedNames>
    <definedName name="_xlnm._FilterDatabase" localSheetId="4" hidden="1">HV!$A$5:$A$5</definedName>
    <definedName name="_xlnm._FilterDatabase" localSheetId="5" hidden="1">'Léky Žádanky'!$A$4:$I$4</definedName>
    <definedName name="_xlnm._FilterDatabase" localSheetId="6" hidden="1">'LŽ Detail'!$A$4:$N$4</definedName>
    <definedName name="_xlnm._FilterDatabase" localSheetId="7" hidden="1">'LŽ Statim'!$A$5:$I$5</definedName>
    <definedName name="_xlnm._FilterDatabase" localSheetId="3" hidden="1">'Man Tab'!$A$5:$A$31</definedName>
    <definedName name="_xlnm._FilterDatabase" localSheetId="8" hidden="1">'Materiál Žádanky'!$A$4:$I$4</definedName>
    <definedName name="_xlnm._FilterDatabase" localSheetId="9" hidden="1">'MŽ Detail'!$A$4:$K$4</definedName>
    <definedName name="doměsíce">#REF!</definedName>
  </definedNames>
  <calcPr calcId="162913"/>
</workbook>
</file>

<file path=xl/calcChain.xml><?xml version="1.0" encoding="utf-8"?>
<calcChain xmlns="http://schemas.openxmlformats.org/spreadsheetml/2006/main">
  <c r="A8" i="414" l="1"/>
  <c r="A7" i="414"/>
  <c r="AH21" i="419" l="1"/>
  <c r="AH22" i="419" s="1"/>
  <c r="AG21" i="419"/>
  <c r="AG22" i="419" s="1"/>
  <c r="AF21" i="419"/>
  <c r="AE21" i="419"/>
  <c r="AD21" i="419"/>
  <c r="AC21" i="419"/>
  <c r="AC22" i="419" s="1"/>
  <c r="AB21" i="419"/>
  <c r="AA21" i="419"/>
  <c r="Z21" i="419"/>
  <c r="Y21" i="419"/>
  <c r="Y22" i="419" s="1"/>
  <c r="X21" i="419"/>
  <c r="W21" i="419"/>
  <c r="W22" i="419" s="1"/>
  <c r="V21" i="419"/>
  <c r="V22" i="419" s="1"/>
  <c r="U21" i="419"/>
  <c r="U22" i="419" s="1"/>
  <c r="T21" i="419"/>
  <c r="S21" i="419"/>
  <c r="R21" i="419"/>
  <c r="Q21" i="419"/>
  <c r="Q22" i="419" s="1"/>
  <c r="P21" i="419"/>
  <c r="O21" i="419"/>
  <c r="O22" i="419" s="1"/>
  <c r="N21" i="419"/>
  <c r="M21" i="419"/>
  <c r="M22" i="419" s="1"/>
  <c r="L21" i="419"/>
  <c r="K21" i="419"/>
  <c r="J21" i="419"/>
  <c r="I21" i="419"/>
  <c r="I22" i="419" s="1"/>
  <c r="H21" i="419"/>
  <c r="AH20" i="419"/>
  <c r="AG20" i="419"/>
  <c r="AF20" i="419"/>
  <c r="AE20" i="419"/>
  <c r="AD20" i="419"/>
  <c r="AC20" i="419"/>
  <c r="AB20" i="419"/>
  <c r="AA20" i="419"/>
  <c r="Z20" i="419"/>
  <c r="Y20" i="419"/>
  <c r="X20" i="419"/>
  <c r="W20" i="419"/>
  <c r="V20" i="419"/>
  <c r="U20" i="419"/>
  <c r="T20" i="419"/>
  <c r="S20" i="419"/>
  <c r="R20" i="419"/>
  <c r="Q20" i="419"/>
  <c r="P20" i="419"/>
  <c r="O20" i="419"/>
  <c r="N20" i="419"/>
  <c r="M20" i="419"/>
  <c r="L20" i="419"/>
  <c r="K20" i="419"/>
  <c r="J20" i="419"/>
  <c r="I20" i="419"/>
  <c r="H20" i="419"/>
  <c r="AH19" i="419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AH17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AH16" i="419"/>
  <c r="AG16" i="419"/>
  <c r="AF16" i="419"/>
  <c r="AE16" i="419"/>
  <c r="AD16" i="419"/>
  <c r="AC16" i="419"/>
  <c r="AB16" i="419"/>
  <c r="AA16" i="419"/>
  <c r="Z16" i="419"/>
  <c r="Y16" i="419"/>
  <c r="X16" i="419"/>
  <c r="W16" i="419"/>
  <c r="V16" i="419"/>
  <c r="U16" i="419"/>
  <c r="T16" i="419"/>
  <c r="S16" i="419"/>
  <c r="R16" i="419"/>
  <c r="Q16" i="419"/>
  <c r="P16" i="419"/>
  <c r="O16" i="419"/>
  <c r="N16" i="419"/>
  <c r="M16" i="419"/>
  <c r="L16" i="419"/>
  <c r="K16" i="419"/>
  <c r="J16" i="419"/>
  <c r="I16" i="419"/>
  <c r="H16" i="419"/>
  <c r="AH14" i="419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AH13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AH12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AH11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H18" i="419" l="1"/>
  <c r="L18" i="419"/>
  <c r="P18" i="419"/>
  <c r="T18" i="419"/>
  <c r="X18" i="419"/>
  <c r="AB18" i="419"/>
  <c r="AF18" i="419"/>
  <c r="J18" i="419"/>
  <c r="N18" i="419"/>
  <c r="R18" i="419"/>
  <c r="Z18" i="419"/>
  <c r="AD18" i="419"/>
  <c r="J23" i="419"/>
  <c r="N23" i="419"/>
  <c r="R23" i="419"/>
  <c r="Z23" i="419"/>
  <c r="AD23" i="419"/>
  <c r="V18" i="419"/>
  <c r="N22" i="419"/>
  <c r="AD22" i="419"/>
  <c r="M23" i="419"/>
  <c r="U23" i="419"/>
  <c r="AC23" i="419"/>
  <c r="I18" i="419"/>
  <c r="M18" i="419"/>
  <c r="Q18" i="419"/>
  <c r="U18" i="419"/>
  <c r="Y18" i="419"/>
  <c r="AC18" i="419"/>
  <c r="AG18" i="419"/>
  <c r="K23" i="419"/>
  <c r="S23" i="419"/>
  <c r="AA23" i="419"/>
  <c r="AE23" i="419"/>
  <c r="R22" i="419"/>
  <c r="V23" i="419"/>
  <c r="H23" i="419"/>
  <c r="L23" i="419"/>
  <c r="P23" i="419"/>
  <c r="T23" i="419"/>
  <c r="X23" i="419"/>
  <c r="AB23" i="419"/>
  <c r="AF23" i="419"/>
  <c r="I23" i="419"/>
  <c r="Q23" i="419"/>
  <c r="Y23" i="419"/>
  <c r="AG23" i="419"/>
  <c r="K18" i="419"/>
  <c r="O18" i="419"/>
  <c r="S18" i="419"/>
  <c r="W18" i="419"/>
  <c r="AA18" i="419"/>
  <c r="AE18" i="419"/>
  <c r="AH18" i="419"/>
  <c r="J22" i="419"/>
  <c r="Z22" i="419"/>
  <c r="K22" i="419"/>
  <c r="S22" i="419"/>
  <c r="AA22" i="419"/>
  <c r="AE22" i="419"/>
  <c r="H22" i="419"/>
  <c r="L22" i="419"/>
  <c r="P22" i="419"/>
  <c r="T22" i="419"/>
  <c r="X22" i="419"/>
  <c r="AB22" i="419"/>
  <c r="AF22" i="419"/>
  <c r="O23" i="419"/>
  <c r="W23" i="419"/>
  <c r="AH23" i="419"/>
  <c r="M3" i="418"/>
  <c r="G21" i="419" l="1"/>
  <c r="G22" i="419" s="1"/>
  <c r="F21" i="419"/>
  <c r="F22" i="419" s="1"/>
  <c r="E21" i="419"/>
  <c r="D21" i="419"/>
  <c r="D22" i="419" s="1"/>
  <c r="C21" i="419"/>
  <c r="C22" i="419" s="1"/>
  <c r="G20" i="419"/>
  <c r="F20" i="419"/>
  <c r="E20" i="419"/>
  <c r="D20" i="419"/>
  <c r="C20" i="419"/>
  <c r="G19" i="419"/>
  <c r="F19" i="419"/>
  <c r="E19" i="419"/>
  <c r="D19" i="419"/>
  <c r="C19" i="419"/>
  <c r="G17" i="419"/>
  <c r="F17" i="419"/>
  <c r="E17" i="419"/>
  <c r="D17" i="419"/>
  <c r="C17" i="419"/>
  <c r="G16" i="419"/>
  <c r="F16" i="419"/>
  <c r="E16" i="419"/>
  <c r="D16" i="419"/>
  <c r="C16" i="419"/>
  <c r="G14" i="419"/>
  <c r="F14" i="419"/>
  <c r="E14" i="419"/>
  <c r="D14" i="419"/>
  <c r="C14" i="419"/>
  <c r="G13" i="419"/>
  <c r="F13" i="419"/>
  <c r="E13" i="419"/>
  <c r="D13" i="419"/>
  <c r="C13" i="419"/>
  <c r="G12" i="419"/>
  <c r="F12" i="419"/>
  <c r="E12" i="419"/>
  <c r="D12" i="419"/>
  <c r="C12" i="419"/>
  <c r="G11" i="419"/>
  <c r="F11" i="419"/>
  <c r="E11" i="419"/>
  <c r="D11" i="419"/>
  <c r="C11" i="419"/>
  <c r="E18" i="419" l="1"/>
  <c r="E23" i="419"/>
  <c r="D18" i="419"/>
  <c r="G18" i="419"/>
  <c r="C18" i="419"/>
  <c r="F18" i="419"/>
  <c r="C23" i="419"/>
  <c r="F23" i="419"/>
  <c r="E22" i="419"/>
  <c r="D23" i="419"/>
  <c r="G23" i="419"/>
  <c r="B21" i="419"/>
  <c r="B22" i="419" l="1"/>
  <c r="A12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AH26" i="419" l="1"/>
  <c r="AH25" i="419"/>
  <c r="A13" i="383" l="1"/>
  <c r="A10" i="383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C25" i="419" l="1"/>
  <c r="AH27" i="419" l="1"/>
  <c r="F26" i="419"/>
  <c r="C26" i="419"/>
  <c r="B26" i="419" l="1"/>
  <c r="C28" i="419"/>
  <c r="C27" i="419"/>
  <c r="R3" i="418"/>
  <c r="Q3" i="418"/>
  <c r="P3" i="418"/>
  <c r="O3" i="418"/>
  <c r="N3" i="418"/>
  <c r="L3" i="418"/>
  <c r="K3" i="418"/>
  <c r="J3" i="418"/>
  <c r="I3" i="418"/>
  <c r="H3" i="418"/>
  <c r="G3" i="418"/>
  <c r="F3" i="418"/>
  <c r="AH28" i="419" l="1"/>
  <c r="F25" i="419"/>
  <c r="F27" i="419" s="1"/>
  <c r="B25" i="419" l="1"/>
  <c r="B27" i="419" s="1"/>
  <c r="F28" i="419"/>
  <c r="B28" i="419" s="1"/>
  <c r="A7" i="339"/>
  <c r="D3" i="418" l="1"/>
  <c r="AG6" i="419" l="1"/>
  <c r="Y6" i="419"/>
  <c r="M6" i="419"/>
  <c r="AF6" i="419"/>
  <c r="AB6" i="419"/>
  <c r="X6" i="419"/>
  <c r="T6" i="419"/>
  <c r="P6" i="419"/>
  <c r="L6" i="419"/>
  <c r="H6" i="419"/>
  <c r="AH6" i="419"/>
  <c r="AE6" i="419"/>
  <c r="AA6" i="419"/>
  <c r="W6" i="419"/>
  <c r="S6" i="419"/>
  <c r="O6" i="419"/>
  <c r="K6" i="419"/>
  <c r="AD6" i="419"/>
  <c r="Z6" i="419"/>
  <c r="V6" i="419"/>
  <c r="R6" i="419"/>
  <c r="N6" i="419"/>
  <c r="J6" i="419"/>
  <c r="AC6" i="419"/>
  <c r="U6" i="419"/>
  <c r="Q6" i="419"/>
  <c r="I6" i="419"/>
  <c r="E6" i="419"/>
  <c r="G6" i="419"/>
  <c r="D6" i="419"/>
  <c r="F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D12" i="414" l="1"/>
  <c r="D7" i="414"/>
  <c r="A15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7" i="414" l="1"/>
  <c r="A16" i="414"/>
  <c r="E11" i="339" l="1"/>
  <c r="B11" i="339"/>
  <c r="F11" i="339" l="1"/>
  <c r="C11" i="339"/>
  <c r="H11" i="339" l="1"/>
  <c r="G11" i="339"/>
  <c r="A12" i="414"/>
  <c r="A13" i="414"/>
  <c r="A4" i="414"/>
  <c r="A6" i="339" l="1"/>
  <c r="A5" i="339"/>
  <c r="D4" i="414"/>
  <c r="C16" i="414"/>
  <c r="C13" i="414"/>
  <c r="D16" i="414"/>
  <c r="D13" i="414"/>
  <c r="C12" i="414" l="1"/>
  <c r="C7" i="414"/>
  <c r="E12" i="414" l="1"/>
  <c r="E7" i="414"/>
  <c r="K3" i="403" l="1"/>
  <c r="J3" i="403"/>
  <c r="I3" i="403" s="1"/>
  <c r="M3" i="220" l="1"/>
  <c r="E12" i="339" l="1"/>
  <c r="C12" i="339"/>
  <c r="B12" i="339"/>
  <c r="F12" i="339" s="1"/>
  <c r="N3" i="220"/>
  <c r="L3" i="220" s="1"/>
  <c r="C17" i="414"/>
  <c r="D17" i="414"/>
  <c r="F13" i="339" l="1"/>
  <c r="E13" i="339"/>
  <c r="E15" i="339" s="1"/>
  <c r="H12" i="339"/>
  <c r="G12" i="339"/>
  <c r="A4" i="383"/>
  <c r="A15" i="383"/>
  <c r="A14" i="383"/>
  <c r="A11" i="383"/>
  <c r="A7" i="383"/>
  <c r="A6" i="383"/>
  <c r="A5" i="383"/>
  <c r="C13" i="339"/>
  <c r="C15" i="339" s="1"/>
  <c r="B13" i="339"/>
  <c r="B15" i="339" s="1"/>
  <c r="C4" i="414"/>
  <c r="D15" i="414"/>
  <c r="H13" i="339" l="1"/>
  <c r="F15" i="339"/>
  <c r="E13" i="414"/>
  <c r="E4" i="414"/>
  <c r="G13" i="339"/>
  <c r="G15" i="339" l="1"/>
  <c r="H15" i="339"/>
  <c r="E16" i="414"/>
  <c r="E17" i="414"/>
  <c r="C15" i="414"/>
  <c r="E15" i="414" l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<sst xmlns="http://schemas.openxmlformats.org/spreadsheetml/2006/main" count="730" uniqueCount="368">
  <si>
    <t>NS</t>
  </si>
  <si>
    <t>Účet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</si>
  <si>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</si>
  <si>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</si>
  <si>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</si>
  <si>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</si>
  <si>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</si>
  <si>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</si>
  <si>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</si>
  <si>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</si>
  <si>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</si>
  <si>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</si>
  <si>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</si>
  <si>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</si>
  <si>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</si>
  <si>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</si>
  <si>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</si>
  <si>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</si>
  <si>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</si>
  <si>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</si>
  <si>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</si>
  <si>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</si>
  <si>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</si>
  <si>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</si>
  <si>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</si>
  <si>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</si>
  <si>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</si>
  <si>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</si>
  <si>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</si>
  <si>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</si>
  <si>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</si>
  <si>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</si>
  <si>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</si>
  <si>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</si>
  <si>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</si>
  <si>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</si>
  <si>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</si>
  <si>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</si>
  <si>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</si>
  <si>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</si>
  <si>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</si>
  <si>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</si>
  <si>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</si>
  <si>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</si>
  <si>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</si>
  <si>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</si>
  <si>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</si>
  <si>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</si>
  <si>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</si>
  <si>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</si>
  <si>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</si>
  <si>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</si>
  <si>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</si>
  <si>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</si>
  <si>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Kód</t>
  </si>
  <si>
    <t>Skutečnost</t>
  </si>
  <si>
    <t>Rozpočet</t>
  </si>
  <si>
    <t>Plnění</t>
  </si>
  <si>
    <t>Ostatní (Kč)</t>
  </si>
  <si>
    <t>Náklady celkem</t>
  </si>
  <si>
    <t>Výnosy celkem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</si>
  <si>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</si>
  <si>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</si>
  <si>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</si>
  <si>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</si>
  <si>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</si>
  <si>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</si>
  <si>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</si>
  <si>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</si>
  <si>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</si>
  <si>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</si>
  <si>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</si>
  <si>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</si>
  <si>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</si>
  <si>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</si>
  <si>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Celkem: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</si>
  <si>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</si>
  <si>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</si>
  <si>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</si>
  <si>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</si>
  <si>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</si>
  <si>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</si>
  <si>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</si>
  <si>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</si>
  <si>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</si>
  <si>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</si>
  <si>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</si>
  <si>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</si>
  <si>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</si>
  <si>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</si>
  <si>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</si>
  <si>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</si>
  <si>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</si>
  <si>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</si>
  <si>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Spotřeba léčivých přípravků - orientační přehled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</si>
  <si>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</si>
  <si>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</si>
  <si>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</si>
  <si>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</si>
  <si>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</si>
  <si>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</si>
  <si>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</si>
  <si>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</si>
  <si>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</si>
  <si>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</si>
  <si>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</si>
  <si>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</si>
  <si>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</si>
  <si>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</si>
  <si>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</si>
  <si>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</si>
  <si>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</si>
  <si>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</si>
  <si>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</si>
  <si>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</si>
  <si>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</si>
  <si>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</si>
  <si>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</si>
  <si>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</si>
  <si>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</si>
  <si>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</si>
  <si>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</si>
  <si>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</si>
  <si>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</si>
  <si>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</si>
  <si>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</si>
  <si>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</si>
  <si>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</si>
  <si>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</si>
  <si>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</si>
  <si>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</si>
  <si>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</si>
  <si>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</si>
  <si>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</si>
  <si>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</si>
  <si>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</si>
  <si>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</si>
  <si>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</si>
  <si>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</si>
  <si>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</si>
  <si>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</si>
  <si>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</si>
  <si>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</si>
  <si>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</si>
  <si>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</si>
  <si>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</si>
  <si>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</si>
  <si>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</si>
  <si>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</si>
  <si>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</si>
  <si>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</si>
  <si>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</si>
  <si>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</si>
  <si>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</si>
  <si>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</si>
  <si>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</si>
  <si>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</si>
  <si>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</si>
  <si>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</si>
  <si>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</si>
  <si>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</si>
  <si>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</si>
  <si>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</si>
  <si>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</si>
  <si>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</si>
  <si>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</si>
  <si>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</si>
  <si>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</si>
  <si>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</si>
  <si>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</si>
  <si>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</si>
  <si>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</si>
  <si>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</si>
  <si>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</si>
  <si>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</si>
  <si>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</si>
  <si>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</si>
  <si>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</si>
  <si>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</si>
  <si>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</si>
  <si>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</si>
  <si>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</si>
  <si>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</si>
  <si>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</si>
  <si>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01/2015</t>
  </si>
  <si>
    <t>02/2015</t>
  </si>
  <si>
    <t>03/2015</t>
  </si>
  <si>
    <t>04/2015</t>
  </si>
  <si>
    <t>05/2015</t>
  </si>
  <si>
    <t>06/2015</t>
  </si>
  <si>
    <t>07/2015</t>
  </si>
  <si>
    <t>08/2015</t>
  </si>
  <si>
    <t>09/2015</t>
  </si>
  <si>
    <t>10/2015</t>
  </si>
  <si>
    <t>11/2015</t>
  </si>
  <si>
    <t>12/2015</t>
  </si>
  <si>
    <t>Rozp. 2014            CELKEM</t>
  </si>
  <si>
    <t>Skut. 2014 CELKEM</t>
  </si>
  <si>
    <t>ROZDÍL  Skut. - Rozp. 2014</t>
  </si>
  <si>
    <t>% plnění rozp.2014</t>
  </si>
  <si>
    <t>Rozp.rok 2015</t>
  </si>
  <si>
    <t>Sk.v tis 2015</t>
  </si>
  <si>
    <t>ROZDÍL (Sk.do data - Rozp.do data 2015)</t>
  </si>
  <si>
    <t>% plnění (Skut.do data/Rozp.rok 2015)</t>
  </si>
  <si>
    <t>POMĚROVÉ  PLNĚNÍ = Rozpočet na rok 2015 celkem a 1/12  ročního rozpočtu, skutečnost daných měsíců a % plnění načítané skutečnosti do data k poměrné části rozpočtu do data.</t>
  </si>
  <si>
    <t>ergoterapeuti</t>
  </si>
  <si>
    <r>
      <t>Zpět na Obsah</t>
    </r>
    <r>
      <rPr>
        <sz val="9"/>
        <rFont val="Calibri"/>
        <family val="2"/>
        <charset val="238"/>
        <scheme val="minor"/>
      </rPr>
      <t xml:space="preserve"> | 1.-9.měsíc | Oddělení nemocniční hygieny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</si>
  <si>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</si>
  <si>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</si>
  <si>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</si>
  <si>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</si>
  <si>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</si>
  <si>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50113     Léky a léčiva</t>
  </si>
  <si>
    <t>--</t>
  </si>
  <si>
    <t>50113001     léky - paušál+TISS (LEK)</t>
  </si>
  <si>
    <t>50115     Zdravotnické prostředky</t>
  </si>
  <si>
    <t>50115020     diagnostika laboratorní-LEK (sk.Z_501)</t>
  </si>
  <si>
    <t>50115050     obvazový materiál (sk.Z_502)</t>
  </si>
  <si>
    <t>50115067     ostatní ZPr - rukavice (sk.Z_532)</t>
  </si>
  <si>
    <t>50117     Všeobecný materiál</t>
  </si>
  <si>
    <t>50117001     nákup zdravotnické techniky (Z 524, Z 510)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</si>
  <si>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</si>
  <si>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</si>
  <si>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</si>
  <si>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</si>
  <si>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50117011     obalový mat. pro sterilizaci (sk.V20)</t>
  </si>
  <si>
    <t>50117015     IT - spotřební materiál (sk. P37, 48)</t>
  </si>
  <si>
    <t>50117024     všeob.mat. - ostatní-vyjímky (V44) od 0,01 do 999,99</t>
  </si>
  <si>
    <t>50117190     technické plyny</t>
  </si>
  <si>
    <t>50118     Náhradní díly</t>
  </si>
  <si>
    <t>50118006     ND - ZVIT (sk.B63)</t>
  </si>
  <si>
    <t>50119     DDHM a textil</t>
  </si>
  <si>
    <t>50119077     OOPP a prádlo pro zaměstnance (sk.T14)</t>
  </si>
  <si>
    <t>50119100     jednorázové ochranné pomůcky (sk.T18A)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</si>
  <si>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</si>
  <si>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</si>
  <si>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</si>
  <si>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</si>
  <si>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</si>
  <si>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50210075     plyn</t>
  </si>
  <si>
    <t>51     Služby</t>
  </si>
  <si>
    <t>51102     Technika a stavby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</si>
  <si>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</si>
  <si>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</si>
  <si>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</si>
  <si>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</si>
  <si>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</si>
  <si>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51801     Přepravné</t>
  </si>
  <si>
    <t>51801000     přepravné-lab. vzorky,...</t>
  </si>
  <si>
    <t>51802     Spoje</t>
  </si>
  <si>
    <t>51802001     poštovné</t>
  </si>
  <si>
    <t>51802003     spoje - telekom.styk</t>
  </si>
  <si>
    <t>51804     Nájemné</t>
  </si>
  <si>
    <t>51804004     popl. za R a TV, veř. produkce</t>
  </si>
  <si>
    <t>51806     Úklid, odpad, desinf., deratizace</t>
  </si>
  <si>
    <t>51806001     úklid pravidelný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</si>
  <si>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</si>
  <si>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</si>
  <si>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</si>
  <si>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</si>
  <si>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51808013     revize - kalibrace - metrolog</t>
  </si>
  <si>
    <t>51874     Ostatní služby</t>
  </si>
  <si>
    <t>51874010     ostatní služby - zdravotní</t>
  </si>
  <si>
    <t>51874011     zkoušky kvality</t>
  </si>
  <si>
    <t>51874015     organ.rozvoj (certif., akred.)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</si>
  <si>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</si>
  <si>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</si>
  <si>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</si>
  <si>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</si>
  <si>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</si>
  <si>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</si>
  <si>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</si>
  <si>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</si>
  <si>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</si>
  <si>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</si>
  <si>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</si>
  <si>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</si>
  <si>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</si>
  <si>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</si>
  <si>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</si>
  <si>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</si>
  <si>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</si>
  <si>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</si>
  <si>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</si>
  <si>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</si>
  <si>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</si>
  <si>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54970     Předpis - KDF za služby</t>
  </si>
  <si>
    <t>54970000     předpis KDF - služby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</si>
  <si>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</si>
  <si>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</si>
  <si>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</si>
  <si>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</si>
  <si>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</si>
  <si>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</si>
  <si>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</si>
  <si>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</si>
  <si>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</si>
  <si>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6     Účtová třída 6 - Výnosy</t>
  </si>
  <si>
    <t>64     Jiné provozní výnosy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</si>
  <si>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</si>
  <si>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</si>
  <si>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</si>
  <si>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</si>
  <si>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64924442     telekom.služby, soukr. hovory</t>
  </si>
  <si>
    <t>64924449     ostatní provoz.sl.-hl.čin.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</si>
  <si>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</si>
  <si>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</si>
  <si>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</si>
  <si>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</si>
  <si>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</si>
  <si>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</si>
  <si>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</si>
  <si>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</si>
  <si>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</si>
  <si>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</si>
  <si>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</si>
  <si>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</si>
  <si>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79920     VPN - mezistřediskové převody</t>
  </si>
  <si>
    <t>79920000     mezistřediskové převody</t>
  </si>
  <si>
    <t>79950     VPN - správní režie</t>
  </si>
  <si>
    <t>79950001     režie HTS</t>
  </si>
  <si>
    <t>54</t>
  </si>
  <si>
    <t>Oddělení nemocniční hygieny</t>
  </si>
  <si>
    <t/>
  </si>
  <si>
    <t>Oddělení nemocniční hygieny Celkem</t>
  </si>
  <si>
    <t>SumaKL</t>
  </si>
  <si>
    <t>5498</t>
  </si>
  <si>
    <t>SumaNS</t>
  </si>
  <si>
    <t>mezeraNS</t>
  </si>
  <si>
    <t>50113001</t>
  </si>
  <si>
    <t>O</t>
  </si>
  <si>
    <t>900321</t>
  </si>
  <si>
    <t>KL PRIPRAVEK</t>
  </si>
  <si>
    <t>500979</t>
  </si>
  <si>
    <t>KL MS HYDROG.PEROX. 3% 500g</t>
  </si>
  <si>
    <t>Lékárna - léčiva</t>
  </si>
  <si>
    <t>54 - Oddělení nemocniční hygieny</t>
  </si>
  <si>
    <t>5498 - Oddělení nemocniční hygieny</t>
  </si>
  <si>
    <t>ZA604</t>
  </si>
  <si>
    <t>Tyčinka vatová sterilní jednotlivě balalená bal. á 1000 ks 5100/SG/CS</t>
  </si>
  <si>
    <t>ZM292</t>
  </si>
  <si>
    <t>Rukavice nitril sempercare bez p. M bal. á 200 ks 30803</t>
  </si>
  <si>
    <t>DC859</t>
  </si>
  <si>
    <t>COLUMBIA AGAR</t>
  </si>
  <si>
    <t>DD596</t>
  </si>
  <si>
    <t>Sabouraud agar s CMP</t>
  </si>
  <si>
    <t>DA999</t>
  </si>
  <si>
    <t>Půda s bromkresolem (kontrola sterility)</t>
  </si>
  <si>
    <t>DB001</t>
  </si>
  <si>
    <t>Glukózový bujon (5 ml)</t>
  </si>
  <si>
    <t>DD143</t>
  </si>
  <si>
    <t>CINIDLO PRO TEST PYR</t>
  </si>
  <si>
    <t>DD558</t>
  </si>
  <si>
    <t>ENDO AGAR</t>
  </si>
  <si>
    <t>DC521</t>
  </si>
  <si>
    <t>OXITEST</t>
  </si>
  <si>
    <t>DB423</t>
  </si>
  <si>
    <t>PYRATEST</t>
  </si>
  <si>
    <t>DE728</t>
  </si>
  <si>
    <t>PASTOREX STAPH PLUS 1x50 testů</t>
  </si>
  <si>
    <t>50115050</t>
  </si>
  <si>
    <t>502 SZM obvazový (112 02 040)</t>
  </si>
  <si>
    <t>50115067</t>
  </si>
  <si>
    <t>532 SZM Rukavice (112 02 108)</t>
  </si>
  <si>
    <t>50115020</t>
  </si>
  <si>
    <t>Diagnostika (112 04 004, 132 01 004)</t>
  </si>
  <si>
    <t>Spotřeba zdravotnického materiálu - orientační přehled</t>
  </si>
  <si>
    <t>ON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</si>
</sst>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71" formatCode="0.000"/>
    <numFmt numFmtId="173" formatCode="#,##0;\-#,##0;"/>
    <numFmt numFmtId="174" formatCode="General;\-General;"/>
    <numFmt numFmtId="175" formatCode="0%;\-0%;"/>
    <numFmt numFmtId="176" formatCode="#,##0%"/>
  </numFmts>
  <fonts count="57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411">
    <xf numFmtId="0" fontId="0" fillId="0" borderId="0" xfId="0"/>
    <xf numFmtId="0" fontId="27" fillId="2" borderId="17" xfId="81" applyFont="1" applyFill="1" applyBorder="1"/>
    <xf numFmtId="0" fontId="28" fillId="2" borderId="18" xfId="81" applyFont="1" applyFill="1" applyBorder="1"/>
    <xf numFmtId="3" fontId="28" fillId="2" borderId="19" xfId="81" applyNumberFormat="1" applyFont="1" applyFill="1" applyBorder="1"/>
    <xf numFmtId="0" fontId="28" fillId="4" borderId="18" xfId="81" applyFont="1" applyFill="1" applyBorder="1"/>
    <xf numFmtId="3" fontId="28" fillId="4" borderId="19" xfId="81" applyNumberFormat="1" applyFont="1" applyFill="1" applyBorder="1"/>
    <xf numFmtId="171" fontId="28" fillId="3" borderId="19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4" xfId="81" applyNumberFormat="1" applyFont="1" applyFill="1" applyBorder="1"/>
    <xf numFmtId="3" fontId="27" fillId="5" borderId="8" xfId="81" applyNumberFormat="1" applyFont="1" applyFill="1" applyBorder="1"/>
    <xf numFmtId="3" fontId="27" fillId="5" borderId="12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3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6" fillId="2" borderId="34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7" fillId="2" borderId="8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 wrapText="1"/>
    </xf>
    <xf numFmtId="0" fontId="38" fillId="2" borderId="23" xfId="0" applyFont="1" applyFill="1" applyBorder="1" applyAlignment="1">
      <alignment horizontal="center" vertical="center" wrapText="1"/>
    </xf>
    <xf numFmtId="0" fontId="36" fillId="2" borderId="23" xfId="0" applyFont="1" applyFill="1" applyBorder="1" applyAlignment="1">
      <alignment horizontal="center" vertical="center" wrapText="1"/>
    </xf>
    <xf numFmtId="3" fontId="27" fillId="5" borderId="4" xfId="81" applyNumberFormat="1" applyFont="1" applyFill="1" applyBorder="1"/>
    <xf numFmtId="3" fontId="27" fillId="5" borderId="29" xfId="81" applyNumberFormat="1" applyFont="1" applyFill="1" applyBorder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0" xfId="81" applyNumberFormat="1" applyFont="1" applyFill="1" applyBorder="1"/>
    <xf numFmtId="3" fontId="27" fillId="5" borderId="13" xfId="81" applyNumberFormat="1" applyFont="1" applyFill="1" applyBorder="1"/>
    <xf numFmtId="3" fontId="27" fillId="5" borderId="14" xfId="81" applyNumberFormat="1" applyFont="1" applyFill="1" applyBorder="1"/>
    <xf numFmtId="3" fontId="28" fillId="2" borderId="27" xfId="81" applyNumberFormat="1" applyFont="1" applyFill="1" applyBorder="1"/>
    <xf numFmtId="3" fontId="28" fillId="2" borderId="20" xfId="81" applyNumberFormat="1" applyFont="1" applyFill="1" applyBorder="1"/>
    <xf numFmtId="3" fontId="28" fillId="4" borderId="27" xfId="81" applyNumberFormat="1" applyFont="1" applyFill="1" applyBorder="1"/>
    <xf numFmtId="3" fontId="28" fillId="4" borderId="20" xfId="81" applyNumberFormat="1" applyFont="1" applyFill="1" applyBorder="1"/>
    <xf numFmtId="171" fontId="28" fillId="3" borderId="27" xfId="81" applyNumberFormat="1" applyFont="1" applyFill="1" applyBorder="1"/>
    <xf numFmtId="171" fontId="28" fillId="3" borderId="20" xfId="81" applyNumberFormat="1" applyFont="1" applyFill="1" applyBorder="1"/>
    <xf numFmtId="0" fontId="31" fillId="2" borderId="25" xfId="81" applyFont="1" applyFill="1" applyBorder="1" applyAlignment="1">
      <alignment horizontal="center"/>
    </xf>
    <xf numFmtId="0" fontId="32" fillId="0" borderId="36" xfId="0" applyFont="1" applyFill="1" applyBorder="1" applyAlignment="1"/>
    <xf numFmtId="0" fontId="40" fillId="0" borderId="0" xfId="0" applyFont="1" applyFill="1" applyBorder="1" applyAlignment="1"/>
    <xf numFmtId="3" fontId="33" fillId="0" borderId="7" xfId="0" applyNumberFormat="1" applyFont="1" applyFill="1" applyBorder="1" applyAlignment="1">
      <alignment horizontal="right" vertical="top"/>
    </xf>
    <xf numFmtId="3" fontId="33" fillId="0" borderId="5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3" fillId="0" borderId="11" xfId="0" applyNumberFormat="1" applyFont="1" applyFill="1" applyBorder="1" applyAlignment="1">
      <alignment horizontal="right" vertical="top"/>
    </xf>
    <xf numFmtId="3" fontId="33" fillId="0" borderId="9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3" fillId="0" borderId="32" xfId="0" applyNumberFormat="1" applyFont="1" applyFill="1" applyBorder="1" applyAlignment="1">
      <alignment horizontal="right" vertical="top"/>
    </xf>
    <xf numFmtId="3" fontId="33" fillId="0" borderId="23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6" xfId="82" applyFont="1" applyFill="1" applyBorder="1" applyAlignment="1"/>
    <xf numFmtId="0" fontId="29" fillId="0" borderId="0" xfId="49" applyFont="1" applyFill="1"/>
    <xf numFmtId="0" fontId="32" fillId="0" borderId="30" xfId="0" applyFont="1" applyFill="1" applyBorder="1" applyAlignment="1"/>
    <xf numFmtId="0" fontId="32" fillId="0" borderId="31" xfId="0" applyFont="1" applyFill="1" applyBorder="1" applyAlignment="1"/>
    <xf numFmtId="0" fontId="32" fillId="0" borderId="49" xfId="0" applyFont="1" applyFill="1" applyBorder="1" applyAlignment="1"/>
    <xf numFmtId="0" fontId="32" fillId="0" borderId="25" xfId="0" applyFont="1" applyBorder="1" applyAlignment="1"/>
    <xf numFmtId="0" fontId="32" fillId="5" borderId="6" xfId="0" applyFont="1" applyFill="1" applyBorder="1"/>
    <xf numFmtId="0" fontId="32" fillId="5" borderId="10" xfId="0" applyFont="1" applyFill="1" applyBorder="1"/>
    <xf numFmtId="0" fontId="32" fillId="5" borderId="22" xfId="0" applyFont="1" applyFill="1" applyBorder="1"/>
    <xf numFmtId="0" fontId="32" fillId="5" borderId="36" xfId="0" applyFont="1" applyFill="1" applyBorder="1"/>
    <xf numFmtId="0" fontId="32" fillId="5" borderId="42" xfId="0" applyFont="1" applyFill="1" applyBorder="1"/>
    <xf numFmtId="9" fontId="34" fillId="0" borderId="6" xfId="0" applyNumberFormat="1" applyFont="1" applyFill="1" applyBorder="1" applyAlignment="1">
      <alignment horizontal="right" vertical="top"/>
    </xf>
    <xf numFmtId="9" fontId="34" fillId="0" borderId="10" xfId="0" applyNumberFormat="1" applyFont="1" applyFill="1" applyBorder="1" applyAlignment="1">
      <alignment horizontal="right" vertical="top"/>
    </xf>
    <xf numFmtId="9" fontId="36" fillId="0" borderId="10" xfId="0" applyNumberFormat="1" applyFont="1" applyFill="1" applyBorder="1" applyAlignment="1">
      <alignment horizontal="right" vertical="top"/>
    </xf>
    <xf numFmtId="9" fontId="34" fillId="0" borderId="22" xfId="0" applyNumberFormat="1" applyFont="1" applyFill="1" applyBorder="1" applyAlignment="1">
      <alignment horizontal="right" vertical="top"/>
    </xf>
    <xf numFmtId="3" fontId="31" fillId="0" borderId="29" xfId="53" applyNumberFormat="1" applyFont="1" applyFill="1" applyBorder="1"/>
    <xf numFmtId="3" fontId="31" fillId="0" borderId="25" xfId="53" applyNumberFormat="1" applyFont="1" applyFill="1" applyBorder="1"/>
    <xf numFmtId="0" fontId="31" fillId="2" borderId="38" xfId="74" applyFont="1" applyFill="1" applyBorder="1" applyAlignment="1">
      <alignment horizontal="center"/>
    </xf>
    <xf numFmtId="0" fontId="27" fillId="5" borderId="36" xfId="81" applyFont="1" applyFill="1" applyBorder="1"/>
    <xf numFmtId="0" fontId="31" fillId="2" borderId="23" xfId="81" applyFont="1" applyFill="1" applyBorder="1" applyAlignment="1">
      <alignment horizontal="center"/>
    </xf>
    <xf numFmtId="0" fontId="31" fillId="2" borderId="22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4" fillId="2" borderId="17" xfId="1" applyFont="1" applyFill="1" applyBorder="1"/>
    <xf numFmtId="0" fontId="45" fillId="0" borderId="0" xfId="0" applyFont="1" applyFill="1"/>
    <xf numFmtId="0" fontId="46" fillId="0" borderId="0" xfId="0" applyFont="1" applyFill="1"/>
    <xf numFmtId="0" fontId="46" fillId="0" borderId="0" xfId="0" applyFont="1" applyFill="1" applyBorder="1"/>
    <xf numFmtId="3" fontId="32" fillId="0" borderId="29" xfId="0" applyNumberFormat="1" applyFont="1" applyFill="1" applyBorder="1"/>
    <xf numFmtId="3" fontId="32" fillId="0" borderId="24" xfId="0" applyNumberFormat="1" applyFont="1" applyFill="1" applyBorder="1"/>
    <xf numFmtId="3" fontId="32" fillId="0" borderId="8" xfId="0" applyNumberFormat="1" applyFont="1" applyFill="1" applyBorder="1"/>
    <xf numFmtId="3" fontId="32" fillId="0" borderId="9" xfId="0" applyNumberFormat="1" applyFont="1" applyFill="1" applyBorder="1"/>
    <xf numFmtId="3" fontId="32" fillId="0" borderId="12" xfId="0" applyNumberFormat="1" applyFont="1" applyFill="1" applyBorder="1"/>
    <xf numFmtId="3" fontId="32" fillId="0" borderId="13" xfId="0" applyNumberFormat="1" applyFont="1" applyFill="1" applyBorder="1"/>
    <xf numFmtId="9" fontId="32" fillId="0" borderId="25" xfId="0" applyNumberFormat="1" applyFont="1" applyFill="1" applyBorder="1"/>
    <xf numFmtId="9" fontId="32" fillId="0" borderId="10" xfId="0" applyNumberFormat="1" applyFont="1" applyFill="1" applyBorder="1"/>
    <xf numFmtId="9" fontId="32" fillId="0" borderId="14" xfId="0" applyNumberFormat="1" applyFont="1" applyFill="1" applyBorder="1"/>
    <xf numFmtId="9" fontId="28" fillId="2" borderId="20" xfId="81" applyNumberFormat="1" applyFont="1" applyFill="1" applyBorder="1"/>
    <xf numFmtId="9" fontId="28" fillId="4" borderId="20" xfId="81" applyNumberFormat="1" applyFont="1" applyFill="1" applyBorder="1"/>
    <xf numFmtId="9" fontId="28" fillId="3" borderId="20" xfId="81" applyNumberFormat="1" applyFont="1" applyFill="1" applyBorder="1"/>
    <xf numFmtId="0" fontId="31" fillId="2" borderId="21" xfId="81" applyFont="1" applyFill="1" applyBorder="1" applyAlignment="1">
      <alignment horizontal="center"/>
    </xf>
    <xf numFmtId="49" fontId="37" fillId="2" borderId="9" xfId="0" applyNumberFormat="1" applyFont="1" applyFill="1" applyBorder="1" applyAlignment="1">
      <alignment horizontal="center" vertical="center"/>
    </xf>
    <xf numFmtId="0" fontId="32" fillId="0" borderId="0" xfId="0" applyFont="1" applyFill="1"/>
    <xf numFmtId="0" fontId="32" fillId="0" borderId="42" xfId="0" applyFont="1" applyFill="1" applyBorder="1" applyAlignment="1"/>
    <xf numFmtId="0" fontId="32" fillId="0" borderId="0" xfId="0" applyFont="1" applyFill="1" applyAlignment="1"/>
    <xf numFmtId="0" fontId="44" fillId="4" borderId="33" xfId="1" applyFont="1" applyFill="1" applyBorder="1"/>
    <xf numFmtId="0" fontId="44" fillId="4" borderId="17" xfId="1" applyFont="1" applyFill="1" applyBorder="1"/>
    <xf numFmtId="0" fontId="44" fillId="3" borderId="18" xfId="1" applyFont="1" applyFill="1" applyBorder="1"/>
    <xf numFmtId="0" fontId="47" fillId="0" borderId="0" xfId="0" applyFont="1" applyFill="1" applyBorder="1" applyAlignment="1">
      <alignment vertical="center"/>
    </xf>
    <xf numFmtId="0" fontId="47" fillId="0" borderId="0" xfId="0" applyFont="1" applyFill="1" applyAlignment="1">
      <alignment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164" fontId="31" fillId="2" borderId="24" xfId="53" applyNumberFormat="1" applyFont="1" applyFill="1" applyBorder="1" applyAlignment="1">
      <alignment horizontal="right"/>
    </xf>
    <xf numFmtId="0" fontId="44" fillId="3" borderId="8" xfId="1" applyFont="1" applyFill="1" applyBorder="1"/>
    <xf numFmtId="0" fontId="44" fillId="3" borderId="4" xfId="1" applyFont="1" applyFill="1" applyBorder="1"/>
    <xf numFmtId="0" fontId="44" fillId="6" borderId="4" xfId="1" applyFont="1" applyFill="1" applyBorder="1"/>
    <xf numFmtId="0" fontId="44" fillId="6" borderId="47" xfId="1" applyFont="1" applyFill="1" applyBorder="1"/>
    <xf numFmtId="0" fontId="44" fillId="2" borderId="4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3" xfId="0" applyNumberFormat="1" applyFont="1" applyFill="1" applyBorder="1"/>
    <xf numFmtId="3" fontId="39" fillId="2" borderId="44" xfId="0" applyNumberFormat="1" applyFont="1" applyFill="1" applyBorder="1"/>
    <xf numFmtId="9" fontId="39" fillId="2" borderId="48" xfId="0" applyNumberFormat="1" applyFont="1" applyFill="1" applyBorder="1"/>
    <xf numFmtId="0" fontId="48" fillId="2" borderId="18" xfId="1" applyFont="1" applyFill="1" applyBorder="1" applyAlignment="1"/>
    <xf numFmtId="0" fontId="32" fillId="2" borderId="28" xfId="0" applyFont="1" applyFill="1" applyBorder="1" applyAlignment="1"/>
    <xf numFmtId="3" fontId="32" fillId="2" borderId="27" xfId="0" applyNumberFormat="1" applyFont="1" applyFill="1" applyBorder="1" applyAlignment="1"/>
    <xf numFmtId="9" fontId="32" fillId="2" borderId="20" xfId="0" applyNumberFormat="1" applyFont="1" applyFill="1" applyBorder="1" applyAlignment="1"/>
    <xf numFmtId="0" fontId="39" fillId="2" borderId="45" xfId="0" applyFont="1" applyFill="1" applyBorder="1" applyAlignment="1"/>
    <xf numFmtId="0" fontId="32" fillId="0" borderId="7" xfId="0" applyFont="1" applyBorder="1" applyAlignment="1"/>
    <xf numFmtId="3" fontId="32" fillId="0" borderId="5" xfId="0" applyNumberFormat="1" applyFont="1" applyBorder="1" applyAlignment="1"/>
    <xf numFmtId="9" fontId="32" fillId="0" borderId="10" xfId="0" applyNumberFormat="1" applyFont="1" applyBorder="1" applyAlignment="1"/>
    <xf numFmtId="0" fontId="29" fillId="2" borderId="34" xfId="1" applyFont="1" applyFill="1" applyBorder="1" applyAlignment="1">
      <alignment horizontal="left" indent="2"/>
    </xf>
    <xf numFmtId="0" fontId="32" fillId="0" borderId="11" xfId="0" applyFont="1" applyBorder="1" applyAlignment="1"/>
    <xf numFmtId="3" fontId="32" fillId="0" borderId="9" xfId="0" applyNumberFormat="1" applyFont="1" applyBorder="1" applyAlignment="1"/>
    <xf numFmtId="0" fontId="32" fillId="2" borderId="34" xfId="0" applyFont="1" applyFill="1" applyBorder="1" applyAlignment="1">
      <alignment horizontal="left" indent="2"/>
    </xf>
    <xf numFmtId="0" fontId="31" fillId="2" borderId="34" xfId="1" applyFont="1" applyFill="1" applyBorder="1" applyAlignment="1"/>
    <xf numFmtId="0" fontId="44" fillId="2" borderId="34" xfId="1" applyFont="1" applyFill="1" applyBorder="1" applyAlignment="1">
      <alignment horizontal="left" indent="2"/>
    </xf>
    <xf numFmtId="0" fontId="48" fillId="2" borderId="34" xfId="1" applyFont="1" applyFill="1" applyBorder="1" applyAlignment="1"/>
    <xf numFmtId="0" fontId="32" fillId="0" borderId="32" xfId="0" applyFont="1" applyBorder="1" applyAlignment="1"/>
    <xf numFmtId="3" fontId="32" fillId="0" borderId="23" xfId="0" applyNumberFormat="1" applyFont="1" applyBorder="1" applyAlignment="1"/>
    <xf numFmtId="9" fontId="32" fillId="0" borderId="22" xfId="0" applyNumberFormat="1" applyFont="1" applyBorder="1" applyAlignment="1"/>
    <xf numFmtId="0" fontId="39" fillId="0" borderId="36" xfId="0" applyFont="1" applyFill="1" applyBorder="1" applyAlignment="1">
      <alignment horizontal="left" indent="2"/>
    </xf>
    <xf numFmtId="0" fontId="32" fillId="0" borderId="36" xfId="0" applyFont="1" applyBorder="1" applyAlignment="1"/>
    <xf numFmtId="3" fontId="32" fillId="0" borderId="36" xfId="0" applyNumberFormat="1" applyFont="1" applyBorder="1" applyAlignment="1"/>
    <xf numFmtId="9" fontId="32" fillId="0" borderId="36" xfId="0" applyNumberFormat="1" applyFont="1" applyBorder="1" applyAlignment="1"/>
    <xf numFmtId="0" fontId="48" fillId="4" borderId="18" xfId="1" applyFont="1" applyFill="1" applyBorder="1" applyAlignment="1">
      <alignment horizontal="left"/>
    </xf>
    <xf numFmtId="0" fontId="32" fillId="4" borderId="28" xfId="0" applyFont="1" applyFill="1" applyBorder="1" applyAlignment="1"/>
    <xf numFmtId="3" fontId="32" fillId="4" borderId="27" xfId="0" applyNumberFormat="1" applyFont="1" applyFill="1" applyBorder="1" applyAlignment="1"/>
    <xf numFmtId="9" fontId="32" fillId="4" borderId="20" xfId="0" applyNumberFormat="1" applyFont="1" applyFill="1" applyBorder="1" applyAlignment="1"/>
    <xf numFmtId="0" fontId="48" fillId="4" borderId="45" xfId="1" applyFont="1" applyFill="1" applyBorder="1" applyAlignment="1">
      <alignment horizontal="left"/>
    </xf>
    <xf numFmtId="0" fontId="48" fillId="4" borderId="34" xfId="1" applyFont="1" applyFill="1" applyBorder="1" applyAlignment="1">
      <alignment horizontal="left"/>
    </xf>
    <xf numFmtId="0" fontId="32" fillId="4" borderId="35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2" xfId="0" applyNumberFormat="1" applyFont="1" applyBorder="1" applyAlignment="1"/>
    <xf numFmtId="0" fontId="39" fillId="3" borderId="18" xfId="0" applyFont="1" applyFill="1" applyBorder="1" applyAlignment="1"/>
    <xf numFmtId="0" fontId="32" fillId="3" borderId="28" xfId="0" applyFont="1" applyFill="1" applyBorder="1" applyAlignment="1"/>
    <xf numFmtId="3" fontId="32" fillId="3" borderId="27" xfId="0" applyNumberFormat="1" applyFont="1" applyFill="1" applyBorder="1" applyAlignment="1"/>
    <xf numFmtId="9" fontId="32" fillId="3" borderId="20" xfId="0" applyNumberFormat="1" applyFont="1" applyFill="1" applyBorder="1" applyAlignment="1"/>
    <xf numFmtId="0" fontId="7" fillId="0" borderId="0" xfId="81" applyFont="1" applyFill="1"/>
    <xf numFmtId="0" fontId="49" fillId="0" borderId="36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3" fontId="0" fillId="0" borderId="0" xfId="0" applyNumberFormat="1"/>
    <xf numFmtId="3" fontId="0" fillId="7" borderId="52" xfId="0" applyNumberFormat="1" applyFont="1" applyFill="1" applyBorder="1"/>
    <xf numFmtId="3" fontId="51" fillId="8" borderId="53" xfId="0" applyNumberFormat="1" applyFont="1" applyFill="1" applyBorder="1"/>
    <xf numFmtId="3" fontId="51" fillId="8" borderId="52" xfId="0" applyNumberFormat="1" applyFont="1" applyFill="1" applyBorder="1"/>
    <xf numFmtId="0" fontId="52" fillId="0" borderId="0" xfId="1" applyFont="1" applyFill="1"/>
    <xf numFmtId="3" fontId="50" fillId="0" borderId="0" xfId="26" applyNumberFormat="1" applyFont="1" applyFill="1" applyBorder="1" applyAlignment="1"/>
    <xf numFmtId="3" fontId="39" fillId="2" borderId="56" xfId="0" applyNumberFormat="1" applyFont="1" applyFill="1" applyBorder="1" applyAlignment="1">
      <alignment horizontal="center" vertical="center"/>
    </xf>
    <xf numFmtId="0" fontId="39" fillId="2" borderId="57" xfId="0" applyFont="1" applyFill="1" applyBorder="1" applyAlignment="1">
      <alignment horizontal="center" vertical="center"/>
    </xf>
    <xf numFmtId="3" fontId="53" fillId="2" borderId="59" xfId="0" applyNumberFormat="1" applyFont="1" applyFill="1" applyBorder="1" applyAlignment="1">
      <alignment horizontal="center" vertical="center" wrapText="1"/>
    </xf>
    <xf numFmtId="0" fontId="53" fillId="2" borderId="60" xfId="0" applyFont="1" applyFill="1" applyBorder="1" applyAlignment="1">
      <alignment horizontal="center" vertical="center" wrapText="1"/>
    </xf>
    <xf numFmtId="0" fontId="39" fillId="2" borderId="62" xfId="0" applyFont="1" applyFill="1" applyBorder="1" applyAlignment="1"/>
    <xf numFmtId="0" fontId="39" fillId="2" borderId="64" xfId="0" applyFont="1" applyFill="1" applyBorder="1" applyAlignment="1">
      <alignment horizontal="left" indent="1"/>
    </xf>
    <xf numFmtId="0" fontId="39" fillId="2" borderId="70" xfId="0" applyFont="1" applyFill="1" applyBorder="1" applyAlignment="1">
      <alignment horizontal="left" indent="1"/>
    </xf>
    <xf numFmtId="0" fontId="39" fillId="4" borderId="62" xfId="0" applyFont="1" applyFill="1" applyBorder="1" applyAlignment="1"/>
    <xf numFmtId="0" fontId="39" fillId="4" borderId="64" xfId="0" applyFont="1" applyFill="1" applyBorder="1" applyAlignment="1">
      <alignment horizontal="left" indent="1"/>
    </xf>
    <xf numFmtId="0" fontId="39" fillId="4" borderId="75" xfId="0" applyFont="1" applyFill="1" applyBorder="1" applyAlignment="1">
      <alignment horizontal="left" indent="1"/>
    </xf>
    <xf numFmtId="0" fontId="32" fillId="2" borderId="64" xfId="0" quotePrefix="1" applyFont="1" applyFill="1" applyBorder="1" applyAlignment="1">
      <alignment horizontal="left" indent="2"/>
    </xf>
    <xf numFmtId="0" fontId="32" fillId="2" borderId="70" xfId="0" quotePrefix="1" applyFont="1" applyFill="1" applyBorder="1" applyAlignment="1">
      <alignment horizontal="left" indent="2"/>
    </xf>
    <xf numFmtId="0" fontId="39" fillId="2" borderId="62" xfId="0" applyFont="1" applyFill="1" applyBorder="1" applyAlignment="1">
      <alignment horizontal="left" indent="1"/>
    </xf>
    <xf numFmtId="0" fontId="39" fillId="2" borderId="75" xfId="0" applyFont="1" applyFill="1" applyBorder="1" applyAlignment="1">
      <alignment horizontal="left" indent="1"/>
    </xf>
    <xf numFmtId="0" fontId="39" fillId="4" borderId="70" xfId="0" applyFont="1" applyFill="1" applyBorder="1" applyAlignment="1">
      <alignment horizontal="left" indent="1"/>
    </xf>
    <xf numFmtId="0" fontId="32" fillId="0" borderId="80" xfId="0" applyFont="1" applyBorder="1"/>
    <xf numFmtId="3" fontId="32" fillId="0" borderId="80" xfId="0" applyNumberFormat="1" applyFont="1" applyBorder="1"/>
    <xf numFmtId="0" fontId="39" fillId="4" borderId="54" xfId="0" applyFont="1" applyFill="1" applyBorder="1" applyAlignment="1">
      <alignment horizontal="center" vertical="center"/>
    </xf>
    <xf numFmtId="0" fontId="39" fillId="4" borderId="49" xfId="0" applyFont="1" applyFill="1" applyBorder="1" applyAlignment="1">
      <alignment horizontal="center" vertical="center"/>
    </xf>
    <xf numFmtId="0" fontId="0" fillId="0" borderId="0" xfId="0" applyNumberFormat="1"/>
    <xf numFmtId="3" fontId="39" fillId="2" borderId="79" xfId="0" applyNumberFormat="1" applyFont="1" applyFill="1" applyBorder="1" applyAlignment="1">
      <alignment horizontal="center" vertical="center"/>
    </xf>
    <xf numFmtId="3" fontId="53" fillId="2" borderId="77" xfId="0" applyNumberFormat="1" applyFont="1" applyFill="1" applyBorder="1" applyAlignment="1">
      <alignment horizontal="center" vertical="center" wrapText="1"/>
    </xf>
    <xf numFmtId="173" fontId="39" fillId="4" borderId="63" xfId="0" applyNumberFormat="1" applyFont="1" applyFill="1" applyBorder="1" applyAlignment="1"/>
    <xf numFmtId="173" fontId="39" fillId="4" borderId="56" xfId="0" applyNumberFormat="1" applyFont="1" applyFill="1" applyBorder="1" applyAlignment="1"/>
    <xf numFmtId="173" fontId="39" fillId="4" borderId="57" xfId="0" applyNumberFormat="1" applyFont="1" applyFill="1" applyBorder="1" applyAlignment="1"/>
    <xf numFmtId="173" fontId="39" fillId="0" borderId="65" xfId="0" applyNumberFormat="1" applyFont="1" applyBorder="1"/>
    <xf numFmtId="173" fontId="32" fillId="0" borderId="69" xfId="0" applyNumberFormat="1" applyFont="1" applyBorder="1"/>
    <xf numFmtId="173" fontId="32" fillId="0" borderId="67" xfId="0" applyNumberFormat="1" applyFont="1" applyBorder="1"/>
    <xf numFmtId="173" fontId="39" fillId="0" borderId="76" xfId="0" applyNumberFormat="1" applyFont="1" applyBorder="1"/>
    <xf numFmtId="173" fontId="32" fillId="0" borderId="77" xfId="0" applyNumberFormat="1" applyFont="1" applyBorder="1"/>
    <xf numFmtId="173" fontId="32" fillId="0" borderId="60" xfId="0" applyNumberFormat="1" applyFont="1" applyBorder="1"/>
    <xf numFmtId="173" fontId="39" fillId="2" borderId="78" xfId="0" applyNumberFormat="1" applyFont="1" applyFill="1" applyBorder="1" applyAlignment="1"/>
    <xf numFmtId="173" fontId="39" fillId="2" borderId="56" xfId="0" applyNumberFormat="1" applyFont="1" applyFill="1" applyBorder="1" applyAlignment="1"/>
    <xf numFmtId="173" fontId="39" fillId="2" borderId="57" xfId="0" applyNumberFormat="1" applyFont="1" applyFill="1" applyBorder="1" applyAlignment="1"/>
    <xf numFmtId="173" fontId="39" fillId="0" borderId="71" xfId="0" applyNumberFormat="1" applyFont="1" applyBorder="1"/>
    <xf numFmtId="173" fontId="32" fillId="0" borderId="72" xfId="0" applyNumberFormat="1" applyFont="1" applyBorder="1"/>
    <xf numFmtId="173" fontId="32" fillId="0" borderId="73" xfId="0" applyNumberFormat="1" applyFont="1" applyBorder="1"/>
    <xf numFmtId="173" fontId="39" fillId="0" borderId="63" xfId="0" applyNumberFormat="1" applyFont="1" applyBorder="1"/>
    <xf numFmtId="173" fontId="32" fillId="0" borderId="79" xfId="0" applyNumberFormat="1" applyFont="1" applyBorder="1"/>
    <xf numFmtId="173" fontId="32" fillId="0" borderId="57" xfId="0" applyNumberFormat="1" applyFont="1" applyBorder="1"/>
    <xf numFmtId="174" fontId="39" fillId="2" borderId="63" xfId="0" applyNumberFormat="1" applyFont="1" applyFill="1" applyBorder="1" applyAlignment="1"/>
    <xf numFmtId="174" fontId="32" fillId="2" borderId="56" xfId="0" applyNumberFormat="1" applyFont="1" applyFill="1" applyBorder="1" applyAlignment="1"/>
    <xf numFmtId="174" fontId="32" fillId="2" borderId="57" xfId="0" applyNumberFormat="1" applyFont="1" applyFill="1" applyBorder="1" applyAlignment="1"/>
    <xf numFmtId="174" fontId="39" fillId="0" borderId="65" xfId="0" applyNumberFormat="1" applyFont="1" applyBorder="1"/>
    <xf numFmtId="174" fontId="32" fillId="0" borderId="66" xfId="0" applyNumberFormat="1" applyFont="1" applyBorder="1"/>
    <xf numFmtId="174" fontId="32" fillId="0" borderId="67" xfId="0" applyNumberFormat="1" applyFont="1" applyBorder="1"/>
    <xf numFmtId="174" fontId="32" fillId="0" borderId="69" xfId="0" applyNumberFormat="1" applyFont="1" applyBorder="1"/>
    <xf numFmtId="174" fontId="39" fillId="0" borderId="71" xfId="0" applyNumberFormat="1" applyFont="1" applyBorder="1"/>
    <xf numFmtId="174" fontId="32" fillId="0" borderId="72" xfId="0" applyNumberFormat="1" applyFont="1" applyBorder="1"/>
    <xf numFmtId="174" fontId="32" fillId="0" borderId="73" xfId="0" applyNumberFormat="1" applyFont="1" applyBorder="1"/>
    <xf numFmtId="0" fontId="55" fillId="0" borderId="0" xfId="0" applyFont="1" applyAlignment="1">
      <alignment horizontal="left" vertical="center" indent="1"/>
    </xf>
    <xf numFmtId="0" fontId="55" fillId="0" borderId="0" xfId="0" applyFont="1" applyAlignment="1">
      <alignment vertical="center"/>
    </xf>
    <xf numFmtId="0" fontId="0" fillId="0" borderId="0" xfId="0" applyAlignment="1"/>
    <xf numFmtId="0" fontId="56" fillId="0" borderId="0" xfId="0" applyFont="1"/>
    <xf numFmtId="173" fontId="39" fillId="4" borderId="63" xfId="0" applyNumberFormat="1" applyFont="1" applyFill="1" applyBorder="1" applyAlignment="1">
      <alignment horizontal="center"/>
    </xf>
    <xf numFmtId="175" fontId="39" fillId="0" borderId="71" xfId="0" applyNumberFormat="1" applyFont="1" applyBorder="1"/>
    <xf numFmtId="0" fontId="31" fillId="2" borderId="86" xfId="74" applyFont="1" applyFill="1" applyBorder="1" applyAlignment="1">
      <alignment horizontal="center"/>
    </xf>
    <xf numFmtId="0" fontId="31" fillId="2" borderId="58" xfId="81" applyFont="1" applyFill="1" applyBorder="1" applyAlignment="1">
      <alignment horizontal="center"/>
    </xf>
    <xf numFmtId="0" fontId="31" fillId="2" borderId="59" xfId="81" applyFont="1" applyFill="1" applyBorder="1" applyAlignment="1">
      <alignment horizontal="center"/>
    </xf>
    <xf numFmtId="0" fontId="31" fillId="2" borderId="60" xfId="81" applyFont="1" applyFill="1" applyBorder="1" applyAlignment="1">
      <alignment horizontal="center"/>
    </xf>
    <xf numFmtId="0" fontId="31" fillId="2" borderId="61" xfId="81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right"/>
    </xf>
    <xf numFmtId="9" fontId="32" fillId="0" borderId="27" xfId="0" applyNumberFormat="1" applyFont="1" applyFill="1" applyBorder="1"/>
    <xf numFmtId="9" fontId="32" fillId="0" borderId="20" xfId="0" applyNumberFormat="1" applyFont="1" applyFill="1" applyBorder="1"/>
    <xf numFmtId="9" fontId="32" fillId="0" borderId="28" xfId="0" applyNumberFormat="1" applyFont="1" applyFill="1" applyBorder="1"/>
    <xf numFmtId="3" fontId="6" fillId="0" borderId="19" xfId="78" applyNumberFormat="1" applyFont="1" applyFill="1" applyBorder="1" applyAlignment="1"/>
    <xf numFmtId="3" fontId="6" fillId="0" borderId="27" xfId="78" applyNumberFormat="1" applyFont="1" applyFill="1" applyBorder="1" applyAlignment="1"/>
    <xf numFmtId="3" fontId="6" fillId="0" borderId="20" xfId="78" applyNumberFormat="1" applyFont="1" applyFill="1" applyBorder="1" applyAlignment="1"/>
    <xf numFmtId="0" fontId="32" fillId="5" borderId="68" xfId="0" applyFont="1" applyFill="1" applyBorder="1"/>
    <xf numFmtId="0" fontId="32" fillId="0" borderId="69" xfId="0" applyFont="1" applyBorder="1" applyAlignment="1"/>
    <xf numFmtId="9" fontId="32" fillId="0" borderId="67" xfId="0" applyNumberFormat="1" applyFont="1" applyBorder="1" applyAlignment="1"/>
    <xf numFmtId="0" fontId="25" fillId="2" borderId="34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9" fontId="39" fillId="0" borderId="65" xfId="0" applyNumberFormat="1" applyFont="1" applyBorder="1"/>
    <xf numFmtId="9" fontId="32" fillId="0" borderId="69" xfId="0" applyNumberFormat="1" applyFont="1" applyBorder="1"/>
    <xf numFmtId="9" fontId="32" fillId="0" borderId="67" xfId="0" applyNumberFormat="1" applyFont="1" applyBorder="1"/>
    <xf numFmtId="0" fontId="39" fillId="3" borderId="26" xfId="0" applyFont="1" applyFill="1" applyBorder="1" applyAlignment="1"/>
    <xf numFmtId="0" fontId="32" fillId="0" borderId="37" xfId="0" applyFont="1" applyBorder="1" applyAlignment="1"/>
    <xf numFmtId="0" fontId="39" fillId="2" borderId="26" xfId="0" applyFont="1" applyFill="1" applyBorder="1" applyAlignment="1"/>
    <xf numFmtId="0" fontId="39" fillId="4" borderId="26" xfId="0" applyFont="1" applyFill="1" applyBorder="1" applyAlignment="1"/>
    <xf numFmtId="0" fontId="41" fillId="0" borderId="1" xfId="0" applyFont="1" applyFill="1" applyBorder="1" applyAlignment="1"/>
    <xf numFmtId="0" fontId="41" fillId="0" borderId="1" xfId="0" applyFont="1" applyBorder="1" applyAlignment="1"/>
    <xf numFmtId="0" fontId="30" fillId="5" borderId="16" xfId="81" applyFont="1" applyFill="1" applyBorder="1" applyAlignment="1">
      <alignment horizontal="center" vertical="center"/>
    </xf>
    <xf numFmtId="0" fontId="40" fillId="0" borderId="2" xfId="0" applyFont="1" applyBorder="1" applyAlignment="1">
      <alignment horizontal="center" vertical="center"/>
    </xf>
    <xf numFmtId="0" fontId="31" fillId="2" borderId="40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38" xfId="81" applyFont="1" applyFill="1" applyBorder="1" applyAlignment="1">
      <alignment horizontal="center"/>
    </xf>
    <xf numFmtId="0" fontId="31" fillId="2" borderId="51" xfId="81" applyFont="1" applyFill="1" applyBorder="1" applyAlignment="1">
      <alignment horizontal="center"/>
    </xf>
    <xf numFmtId="0" fontId="31" fillId="2" borderId="39" xfId="81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4" xfId="0" applyFont="1" applyFill="1" applyBorder="1" applyAlignment="1">
      <alignment horizontal="center"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38" fillId="2" borderId="2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1" fillId="2" borderId="86" xfId="81" applyFont="1" applyFill="1" applyBorder="1" applyAlignment="1">
      <alignment horizontal="center"/>
    </xf>
    <xf numFmtId="0" fontId="31" fillId="2" borderId="84" xfId="81" applyFont="1" applyFill="1" applyBorder="1" applyAlignment="1">
      <alignment horizontal="center"/>
    </xf>
    <xf numFmtId="0" fontId="31" fillId="2" borderId="63" xfId="81" applyFont="1" applyFill="1" applyBorder="1" applyAlignment="1">
      <alignment horizontal="center"/>
    </xf>
    <xf numFmtId="0" fontId="31" fillId="2" borderId="85" xfId="81" applyFont="1" applyFill="1" applyBorder="1" applyAlignment="1">
      <alignment horizontal="center"/>
    </xf>
    <xf numFmtId="0" fontId="31" fillId="2" borderId="76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1" fillId="0" borderId="1" xfId="14" applyFont="1" applyFill="1" applyBorder="1" applyAlignment="1"/>
    <xf numFmtId="0" fontId="0" fillId="0" borderId="1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4" xfId="53" applyNumberFormat="1" applyFont="1" applyFill="1" applyBorder="1" applyAlignment="1">
      <alignment horizontal="right"/>
    </xf>
    <xf numFmtId="164" fontId="29" fillId="2" borderId="29" xfId="79" applyNumberFormat="1" applyFont="1" applyFill="1" applyBorder="1" applyAlignment="1">
      <alignment horizontal="right"/>
    </xf>
    <xf numFmtId="164" fontId="42" fillId="0" borderId="1" xfId="14" applyNumberFormat="1" applyFont="1" applyFill="1" applyBorder="1" applyAlignment="1"/>
    <xf numFmtId="0" fontId="5" fillId="0" borderId="1" xfId="14" applyFont="1" applyFill="1" applyBorder="1" applyAlignment="1"/>
    <xf numFmtId="9" fontId="3" fillId="2" borderId="88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87" xfId="80" applyNumberFormat="1" applyFont="1" applyFill="1" applyBorder="1" applyAlignment="1">
      <alignment horizontal="left"/>
    </xf>
    <xf numFmtId="3" fontId="3" fillId="2" borderId="78" xfId="80" applyNumberFormat="1" applyFont="1" applyFill="1" applyBorder="1" applyAlignment="1">
      <alignment horizontal="left"/>
    </xf>
    <xf numFmtId="0" fontId="2" fillId="0" borderId="1" xfId="26" applyFont="1" applyFill="1" applyBorder="1" applyAlignment="1"/>
    <xf numFmtId="166" fontId="39" fillId="2" borderId="55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3" fontId="33" fillId="9" borderId="90" xfId="0" applyNumberFormat="1" applyFont="1" applyFill="1" applyBorder="1" applyAlignment="1">
      <alignment horizontal="right" vertical="top"/>
    </xf>
    <xf numFmtId="3" fontId="33" fillId="9" borderId="91" xfId="0" applyNumberFormat="1" applyFont="1" applyFill="1" applyBorder="1" applyAlignment="1">
      <alignment horizontal="right" vertical="top"/>
    </xf>
    <xf numFmtId="176" fontId="33" fillId="9" borderId="92" xfId="0" applyNumberFormat="1" applyFont="1" applyFill="1" applyBorder="1" applyAlignment="1">
      <alignment horizontal="right" vertical="top"/>
    </xf>
    <xf numFmtId="3" fontId="33" fillId="0" borderId="90" xfId="0" applyNumberFormat="1" applyFont="1" applyBorder="1" applyAlignment="1">
      <alignment horizontal="right" vertical="top"/>
    </xf>
    <xf numFmtId="176" fontId="33" fillId="9" borderId="93" xfId="0" applyNumberFormat="1" applyFont="1" applyFill="1" applyBorder="1" applyAlignment="1">
      <alignment horizontal="right" vertical="top"/>
    </xf>
    <xf numFmtId="3" fontId="35" fillId="9" borderId="95" xfId="0" applyNumberFormat="1" applyFont="1" applyFill="1" applyBorder="1" applyAlignment="1">
      <alignment horizontal="right" vertical="top"/>
    </xf>
    <xf numFmtId="3" fontId="35" fillId="9" borderId="96" xfId="0" applyNumberFormat="1" applyFont="1" applyFill="1" applyBorder="1" applyAlignment="1">
      <alignment horizontal="right" vertical="top"/>
    </xf>
    <xf numFmtId="176" fontId="35" fillId="9" borderId="97" xfId="0" applyNumberFormat="1" applyFont="1" applyFill="1" applyBorder="1" applyAlignment="1">
      <alignment horizontal="right" vertical="top"/>
    </xf>
    <xf numFmtId="3" fontId="35" fillId="0" borderId="95" xfId="0" applyNumberFormat="1" applyFont="1" applyBorder="1" applyAlignment="1">
      <alignment horizontal="right" vertical="top"/>
    </xf>
    <xf numFmtId="0" fontId="35" fillId="9" borderId="98" xfId="0" applyFont="1" applyFill="1" applyBorder="1" applyAlignment="1">
      <alignment horizontal="right" vertical="top"/>
    </xf>
    <xf numFmtId="0" fontId="33" fillId="9" borderId="93" xfId="0" applyFont="1" applyFill="1" applyBorder="1" applyAlignment="1">
      <alignment horizontal="right" vertical="top"/>
    </xf>
    <xf numFmtId="176" fontId="35" fillId="9" borderId="98" xfId="0" applyNumberFormat="1" applyFont="1" applyFill="1" applyBorder="1" applyAlignment="1">
      <alignment horizontal="right" vertical="top"/>
    </xf>
    <xf numFmtId="0" fontId="33" fillId="9" borderId="92" xfId="0" applyFont="1" applyFill="1" applyBorder="1" applyAlignment="1">
      <alignment horizontal="right" vertical="top"/>
    </xf>
    <xf numFmtId="0" fontId="35" fillId="9" borderId="97" xfId="0" applyFont="1" applyFill="1" applyBorder="1" applyAlignment="1">
      <alignment horizontal="right" vertical="top"/>
    </xf>
    <xf numFmtId="3" fontId="35" fillId="0" borderId="99" xfId="0" applyNumberFormat="1" applyFont="1" applyBorder="1" applyAlignment="1">
      <alignment horizontal="right" vertical="top"/>
    </xf>
    <xf numFmtId="3" fontId="35" fillId="0" borderId="100" xfId="0" applyNumberFormat="1" applyFont="1" applyBorder="1" applyAlignment="1">
      <alignment horizontal="right" vertical="top"/>
    </xf>
    <xf numFmtId="0" fontId="35" fillId="0" borderId="101" xfId="0" applyFont="1" applyBorder="1" applyAlignment="1">
      <alignment horizontal="right" vertical="top"/>
    </xf>
    <xf numFmtId="176" fontId="35" fillId="9" borderId="102" xfId="0" applyNumberFormat="1" applyFont="1" applyFill="1" applyBorder="1" applyAlignment="1">
      <alignment horizontal="right" vertical="top"/>
    </xf>
    <xf numFmtId="0" fontId="37" fillId="10" borderId="89" xfId="0" applyFont="1" applyFill="1" applyBorder="1" applyAlignment="1">
      <alignment vertical="top"/>
    </xf>
    <xf numFmtId="0" fontId="37" fillId="10" borderId="89" xfId="0" applyFont="1" applyFill="1" applyBorder="1" applyAlignment="1">
      <alignment vertical="top" indent="2"/>
    </xf>
    <xf numFmtId="0" fontId="37" fillId="10" borderId="89" xfId="0" applyFont="1" applyFill="1" applyBorder="1" applyAlignment="1">
      <alignment vertical="top" indent="4"/>
    </xf>
    <xf numFmtId="0" fontId="38" fillId="10" borderId="94" xfId="0" applyFont="1" applyFill="1" applyBorder="1" applyAlignment="1">
      <alignment vertical="top" indent="6"/>
    </xf>
    <xf numFmtId="0" fontId="37" fillId="10" borderId="89" xfId="0" applyFont="1" applyFill="1" applyBorder="1" applyAlignment="1">
      <alignment vertical="top" indent="8"/>
    </xf>
    <xf numFmtId="0" fontId="38" fillId="10" borderId="94" xfId="0" applyFont="1" applyFill="1" applyBorder="1" applyAlignment="1">
      <alignment vertical="top" indent="2"/>
    </xf>
    <xf numFmtId="0" fontId="37" fillId="10" borderId="89" xfId="0" applyFont="1" applyFill="1" applyBorder="1" applyAlignment="1">
      <alignment vertical="top" indent="6"/>
    </xf>
    <xf numFmtId="0" fontId="38" fillId="10" borderId="94" xfId="0" applyFont="1" applyFill="1" applyBorder="1" applyAlignment="1">
      <alignment vertical="top" indent="4"/>
    </xf>
    <xf numFmtId="0" fontId="32" fillId="10" borderId="89" xfId="0" applyFont="1" applyFill="1" applyBorder="1"/>
    <xf numFmtId="0" fontId="38" fillId="10" borderId="18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103" xfId="53" applyNumberFormat="1" applyFont="1" applyFill="1" applyBorder="1" applyAlignment="1">
      <alignment horizontal="left"/>
    </xf>
    <xf numFmtId="164" fontId="31" fillId="2" borderId="104" xfId="53" applyNumberFormat="1" applyFont="1" applyFill="1" applyBorder="1" applyAlignment="1">
      <alignment horizontal="left"/>
    </xf>
    <xf numFmtId="164" fontId="31" fillId="2" borderId="46" xfId="53" applyNumberFormat="1" applyFont="1" applyFill="1" applyBorder="1" applyAlignment="1">
      <alignment horizontal="left"/>
    </xf>
    <xf numFmtId="3" fontId="31" fillId="2" borderId="46" xfId="53" applyNumberFormat="1" applyFont="1" applyFill="1" applyBorder="1" applyAlignment="1">
      <alignment horizontal="left"/>
    </xf>
    <xf numFmtId="3" fontId="31" fillId="2" borderId="50" xfId="53" applyNumberFormat="1" applyFont="1" applyFill="1" applyBorder="1" applyAlignment="1">
      <alignment horizontal="left"/>
    </xf>
    <xf numFmtId="0" fontId="32" fillId="0" borderId="56" xfId="0" applyFont="1" applyFill="1" applyBorder="1"/>
    <xf numFmtId="0" fontId="32" fillId="0" borderId="57" xfId="0" applyFont="1" applyFill="1" applyBorder="1"/>
    <xf numFmtId="164" fontId="32" fillId="0" borderId="57" xfId="0" applyNumberFormat="1" applyFont="1" applyFill="1" applyBorder="1"/>
    <xf numFmtId="164" fontId="32" fillId="0" borderId="57" xfId="0" applyNumberFormat="1" applyFont="1" applyFill="1" applyBorder="1" applyAlignment="1">
      <alignment horizontal="right"/>
    </xf>
    <xf numFmtId="3" fontId="32" fillId="0" borderId="57" xfId="0" applyNumberFormat="1" applyFont="1" applyFill="1" applyBorder="1"/>
    <xf numFmtId="3" fontId="32" fillId="0" borderId="58" xfId="0" applyNumberFormat="1" applyFont="1" applyFill="1" applyBorder="1"/>
    <xf numFmtId="0" fontId="32" fillId="0" borderId="59" xfId="0" applyFont="1" applyFill="1" applyBorder="1"/>
    <xf numFmtId="0" fontId="32" fillId="0" borderId="60" xfId="0" applyFont="1" applyFill="1" applyBorder="1"/>
    <xf numFmtId="164" fontId="32" fillId="0" borderId="60" xfId="0" applyNumberFormat="1" applyFont="1" applyFill="1" applyBorder="1"/>
    <xf numFmtId="164" fontId="32" fillId="0" borderId="60" xfId="0" applyNumberFormat="1" applyFont="1" applyFill="1" applyBorder="1" applyAlignment="1">
      <alignment horizontal="right"/>
    </xf>
    <xf numFmtId="3" fontId="32" fillId="0" borderId="60" xfId="0" applyNumberFormat="1" applyFont="1" applyFill="1" applyBorder="1"/>
    <xf numFmtId="3" fontId="32" fillId="0" borderId="61" xfId="0" applyNumberFormat="1" applyFont="1" applyFill="1" applyBorder="1"/>
    <xf numFmtId="0" fontId="3" fillId="2" borderId="103" xfId="79" applyFont="1" applyFill="1" applyBorder="1" applyAlignment="1">
      <alignment horizontal="left"/>
    </xf>
    <xf numFmtId="3" fontId="3" fillId="2" borderId="73" xfId="80" applyNumberFormat="1" applyFont="1" applyFill="1" applyBorder="1"/>
    <xf numFmtId="3" fontId="3" fillId="2" borderId="74" xfId="80" applyNumberFormat="1" applyFont="1" applyFill="1" applyBorder="1"/>
    <xf numFmtId="9" fontId="3" fillId="2" borderId="72" xfId="80" applyNumberFormat="1" applyFont="1" applyFill="1" applyBorder="1"/>
    <xf numFmtId="9" fontId="3" fillId="2" borderId="73" xfId="80" applyNumberFormat="1" applyFont="1" applyFill="1" applyBorder="1"/>
    <xf numFmtId="9" fontId="3" fillId="2" borderId="74" xfId="80" applyNumberFormat="1" applyFont="1" applyFill="1" applyBorder="1"/>
    <xf numFmtId="9" fontId="32" fillId="0" borderId="57" xfId="0" applyNumberFormat="1" applyFont="1" applyFill="1" applyBorder="1"/>
    <xf numFmtId="9" fontId="32" fillId="0" borderId="58" xfId="0" applyNumberFormat="1" applyFont="1" applyFill="1" applyBorder="1"/>
    <xf numFmtId="9" fontId="32" fillId="0" borderId="60" xfId="0" applyNumberFormat="1" applyFont="1" applyFill="1" applyBorder="1"/>
    <xf numFmtId="9" fontId="32" fillId="0" borderId="61" xfId="0" applyNumberFormat="1" applyFont="1" applyFill="1" applyBorder="1"/>
    <xf numFmtId="0" fontId="39" fillId="0" borderId="86" xfId="0" applyFont="1" applyFill="1" applyBorder="1"/>
    <xf numFmtId="0" fontId="39" fillId="0" borderId="85" xfId="0" applyFont="1" applyFill="1" applyBorder="1" applyAlignment="1">
      <alignment horizontal="left" indent="1"/>
    </xf>
    <xf numFmtId="9" fontId="32" fillId="0" borderId="79" xfId="0" applyNumberFormat="1" applyFont="1" applyFill="1" applyBorder="1"/>
    <xf numFmtId="9" fontId="32" fillId="0" borderId="77" xfId="0" applyNumberFormat="1" applyFont="1" applyFill="1" applyBorder="1"/>
    <xf numFmtId="3" fontId="32" fillId="0" borderId="56" xfId="0" applyNumberFormat="1" applyFont="1" applyFill="1" applyBorder="1"/>
    <xf numFmtId="3" fontId="32" fillId="0" borderId="59" xfId="0" applyNumberFormat="1" applyFont="1" applyFill="1" applyBorder="1"/>
    <xf numFmtId="9" fontId="32" fillId="0" borderId="83" xfId="0" applyNumberFormat="1" applyFont="1" applyFill="1" applyBorder="1"/>
    <xf numFmtId="9" fontId="32" fillId="0" borderId="82" xfId="0" applyNumberFormat="1" applyFont="1" applyFill="1" applyBorder="1"/>
    <xf numFmtId="0" fontId="32" fillId="0" borderId="66" xfId="0" applyFont="1" applyFill="1" applyBorder="1"/>
    <xf numFmtId="0" fontId="32" fillId="0" borderId="67" xfId="0" applyFont="1" applyFill="1" applyBorder="1"/>
    <xf numFmtId="164" fontId="32" fillId="0" borderId="67" xfId="0" applyNumberFormat="1" applyFont="1" applyFill="1" applyBorder="1"/>
    <xf numFmtId="164" fontId="32" fillId="0" borderId="67" xfId="0" applyNumberFormat="1" applyFont="1" applyFill="1" applyBorder="1" applyAlignment="1">
      <alignment horizontal="right"/>
    </xf>
    <xf numFmtId="3" fontId="32" fillId="0" borderId="67" xfId="0" applyNumberFormat="1" applyFont="1" applyFill="1" applyBorder="1"/>
    <xf numFmtId="3" fontId="32" fillId="0" borderId="68" xfId="0" applyNumberFormat="1" applyFont="1" applyFill="1" applyBorder="1"/>
    <xf numFmtId="173" fontId="39" fillId="4" borderId="105" xfId="0" applyNumberFormat="1" applyFont="1" applyFill="1" applyBorder="1" applyAlignment="1">
      <alignment horizontal="center"/>
    </xf>
    <xf numFmtId="173" fontId="39" fillId="4" borderId="106" xfId="0" applyNumberFormat="1" applyFont="1" applyFill="1" applyBorder="1" applyAlignment="1">
      <alignment horizontal="center"/>
    </xf>
    <xf numFmtId="173" fontId="32" fillId="0" borderId="107" xfId="0" applyNumberFormat="1" applyFont="1" applyBorder="1" applyAlignment="1">
      <alignment horizontal="right"/>
    </xf>
    <xf numFmtId="173" fontId="32" fillId="0" borderId="108" xfId="0" applyNumberFormat="1" applyFont="1" applyBorder="1" applyAlignment="1">
      <alignment horizontal="right"/>
    </xf>
    <xf numFmtId="173" fontId="32" fillId="0" borderId="108" xfId="0" applyNumberFormat="1" applyFont="1" applyBorder="1" applyAlignment="1">
      <alignment horizontal="right" wrapText="1"/>
    </xf>
    <xf numFmtId="175" fontId="32" fillId="0" borderId="107" xfId="0" applyNumberFormat="1" applyFont="1" applyBorder="1" applyAlignment="1">
      <alignment horizontal="right"/>
    </xf>
    <xf numFmtId="175" fontId="32" fillId="0" borderId="108" xfId="0" applyNumberFormat="1" applyFont="1" applyBorder="1" applyAlignment="1">
      <alignment horizontal="right"/>
    </xf>
    <xf numFmtId="173" fontId="32" fillId="0" borderId="109" xfId="0" applyNumberFormat="1" applyFont="1" applyBorder="1" applyAlignment="1">
      <alignment horizontal="right"/>
    </xf>
    <xf numFmtId="173" fontId="32" fillId="0" borderId="110" xfId="0" applyNumberFormat="1" applyFont="1" applyBorder="1" applyAlignment="1">
      <alignment horizontal="right"/>
    </xf>
    <xf numFmtId="0" fontId="39" fillId="2" borderId="83" xfId="0" applyFont="1" applyFill="1" applyBorder="1" applyAlignment="1">
      <alignment horizontal="center" vertical="center"/>
    </xf>
    <xf numFmtId="0" fontId="53" fillId="2" borderId="82" xfId="0" applyFont="1" applyFill="1" applyBorder="1" applyAlignment="1">
      <alignment horizontal="center" vertical="center" wrapText="1"/>
    </xf>
    <xf numFmtId="174" fontId="32" fillId="2" borderId="83" xfId="0" applyNumberFormat="1" applyFont="1" applyFill="1" applyBorder="1" applyAlignment="1"/>
    <xf numFmtId="174" fontId="32" fillId="0" borderId="81" xfId="0" applyNumberFormat="1" applyFont="1" applyBorder="1"/>
    <xf numFmtId="174" fontId="32" fillId="0" borderId="111" xfId="0" applyNumberFormat="1" applyFont="1" applyBorder="1"/>
    <xf numFmtId="173" fontId="39" fillId="4" borderId="83" xfId="0" applyNumberFormat="1" applyFont="1" applyFill="1" applyBorder="1" applyAlignment="1"/>
    <xf numFmtId="173" fontId="32" fillId="0" borderId="81" xfId="0" applyNumberFormat="1" applyFont="1" applyBorder="1"/>
    <xf numFmtId="173" fontId="32" fillId="0" borderId="82" xfId="0" applyNumberFormat="1" applyFont="1" applyBorder="1"/>
    <xf numFmtId="173" fontId="39" fillId="2" borderId="83" xfId="0" applyNumberFormat="1" applyFont="1" applyFill="1" applyBorder="1" applyAlignment="1"/>
    <xf numFmtId="173" fontId="32" fillId="0" borderId="111" xfId="0" applyNumberFormat="1" applyFont="1" applyBorder="1"/>
    <xf numFmtId="173" fontId="32" fillId="0" borderId="83" xfId="0" applyNumberFormat="1" applyFont="1" applyBorder="1"/>
    <xf numFmtId="9" fontId="32" fillId="0" borderId="81" xfId="0" applyNumberFormat="1" applyFont="1" applyBorder="1"/>
    <xf numFmtId="173" fontId="39" fillId="4" borderId="112" xfId="0" applyNumberFormat="1" applyFont="1" applyFill="1" applyBorder="1" applyAlignment="1">
      <alignment horizontal="center"/>
    </xf>
    <xf numFmtId="173" fontId="32" fillId="0" borderId="113" xfId="0" applyNumberFormat="1" applyFont="1" applyBorder="1" applyAlignment="1">
      <alignment horizontal="right"/>
    </xf>
    <xf numFmtId="175" fontId="32" fillId="0" borderId="113" xfId="0" applyNumberFormat="1" applyFont="1" applyBorder="1" applyAlignment="1">
      <alignment horizontal="right"/>
    </xf>
    <xf numFmtId="173" fontId="32" fillId="0" borderId="114" xfId="0" applyNumberFormat="1" applyFont="1" applyBorder="1" applyAlignment="1">
      <alignment horizontal="right"/>
    </xf>
    <xf numFmtId="0" fontId="0" fillId="0" borderId="15" xfId="0" applyBorder="1"/>
    <xf numFmtId="173" fontId="39" fillId="4" borderId="62" xfId="0" applyNumberFormat="1" applyFont="1" applyFill="1" applyBorder="1" applyAlignment="1">
      <alignment horizontal="center"/>
    </xf>
    <xf numFmtId="173" fontId="32" fillId="0" borderId="64" xfId="0" applyNumberFormat="1" applyFont="1" applyBorder="1" applyAlignment="1">
      <alignment horizontal="right"/>
    </xf>
    <xf numFmtId="175" fontId="32" fillId="0" borderId="64" xfId="0" applyNumberFormat="1" applyFont="1" applyBorder="1" applyAlignment="1">
      <alignment horizontal="right"/>
    </xf>
    <xf numFmtId="173" fontId="32" fillId="0" borderId="75" xfId="0" applyNumberFormat="1" applyFont="1" applyBorder="1" applyAlignment="1">
      <alignment horizontal="right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50"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17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96" bestFit="1" customWidth="1"/>
    <col min="2" max="2" width="102.21875" style="96" bestFit="1" customWidth="1"/>
    <col min="3" max="3" width="16.109375" style="42" hidden="1" customWidth="1"/>
    <col min="4" max="16384" width="8.88671875" style="96"/>
  </cols>
  <sheetData>
    <row r="1" spans="1:3" ht="18.600000000000001" customHeight="1" thickBot="1" x14ac:dyDescent="0.4">
      <c r="A1" s="260" t="s">
        <v>63</v>
      </c>
      <c r="B1" s="260"/>
    </row>
    <row r="2" spans="1:3" ht="14.4" customHeight="1" thickBot="1" x14ac:dyDescent="0.35">
      <c r="A2" s="174" t="s">
        <v>206</v>
      </c>
      <c r="B2" s="41"/>
    </row>
    <row r="3" spans="1:3" ht="14.4" customHeight="1" thickBot="1" x14ac:dyDescent="0.35">
      <c r="A3" s="256" t="s">
        <v>79</v>
      </c>
      <c r="B3" s="257"/>
    </row>
    <row r="4" spans="1:3" ht="14.4" customHeight="1" x14ac:dyDescent="0.3">
      <c r="A4" s="109" t="str">
        <f t="shared" ref="A4:A7" si="0">HYPERLINK("#'"&amp;C4&amp;"'!A1",C4)</f>
        <v>Motivace</v>
      </c>
      <c r="B4" s="61" t="s">
        <v>73</v>
      </c>
      <c r="C4" s="42" t="s">
        <v>74</v>
      </c>
    </row>
    <row r="5" spans="1:3" ht="14.4" customHeight="1" x14ac:dyDescent="0.3">
      <c r="A5" s="110" t="str">
        <f t="shared" si="0"/>
        <v>HI</v>
      </c>
      <c r="B5" s="62" t="s">
        <v>76</v>
      </c>
      <c r="C5" s="42" t="s">
        <v>66</v>
      </c>
    </row>
    <row r="6" spans="1:3" ht="14.4" customHeight="1" x14ac:dyDescent="0.3">
      <c r="A6" s="111" t="str">
        <f t="shared" si="0"/>
        <v>Man Tab</v>
      </c>
      <c r="B6" s="63" t="s">
        <v>208</v>
      </c>
      <c r="C6" s="42" t="s">
        <v>67</v>
      </c>
    </row>
    <row r="7" spans="1:3" ht="14.4" customHeight="1" thickBot="1" x14ac:dyDescent="0.35">
      <c r="A7" s="112" t="str">
        <f t="shared" si="0"/>
        <v>HV</v>
      </c>
      <c r="B7" s="64" t="s">
        <v>45</v>
      </c>
      <c r="C7" s="42" t="s">
        <v>50</v>
      </c>
    </row>
    <row r="8" spans="1:3" ht="14.4" customHeight="1" thickBot="1" x14ac:dyDescent="0.35">
      <c r="A8" s="65"/>
      <c r="B8" s="65"/>
    </row>
    <row r="9" spans="1:3" ht="14.4" customHeight="1" thickBot="1" x14ac:dyDescent="0.35">
      <c r="A9" s="258" t="s">
        <v>64</v>
      </c>
      <c r="B9" s="257"/>
    </row>
    <row r="10" spans="1:3" ht="14.4" customHeight="1" x14ac:dyDescent="0.3">
      <c r="A10" s="113" t="str">
        <f t="shared" ref="A10" si="1">HYPERLINK("#'"&amp;C10&amp;"'!A1",C10)</f>
        <v>Léky Žádanky</v>
      </c>
      <c r="B10" s="62" t="s">
        <v>77</v>
      </c>
      <c r="C10" s="42" t="s">
        <v>68</v>
      </c>
    </row>
    <row r="11" spans="1:3" ht="14.4" customHeight="1" x14ac:dyDescent="0.3">
      <c r="A11" s="111" t="str">
        <f t="shared" ref="A11:A15" si="2">HYPERLINK("#'"&amp;C11&amp;"'!A1",C11)</f>
        <v>LŽ Detail</v>
      </c>
      <c r="B11" s="63" t="s">
        <v>94</v>
      </c>
      <c r="C11" s="42" t="s">
        <v>69</v>
      </c>
    </row>
    <row r="12" spans="1:3" ht="14.4" customHeight="1" x14ac:dyDescent="0.3">
      <c r="A12" s="111" t="str">
        <f t="shared" si="2"/>
        <v>LŽ Statim</v>
      </c>
      <c r="B12" s="248" t="s">
        <v>172</v>
      </c>
      <c r="C12" s="42" t="s">
        <v>182</v>
      </c>
    </row>
    <row r="13" spans="1:3" ht="14.4" customHeight="1" x14ac:dyDescent="0.3">
      <c r="A13" s="113" t="str">
        <f t="shared" ref="A13" si="3">HYPERLINK("#'"&amp;C13&amp;"'!A1",C13)</f>
        <v>Materiál Žádanky</v>
      </c>
      <c r="B13" s="63" t="s">
        <v>78</v>
      </c>
      <c r="C13" s="42" t="s">
        <v>70</v>
      </c>
    </row>
    <row r="14" spans="1:3" ht="14.4" customHeight="1" x14ac:dyDescent="0.3">
      <c r="A14" s="111" t="str">
        <f t="shared" si="2"/>
        <v>MŽ Detail</v>
      </c>
      <c r="B14" s="63" t="s">
        <v>366</v>
      </c>
      <c r="C14" s="42" t="s">
        <v>71</v>
      </c>
    </row>
    <row r="15" spans="1:3" ht="14.4" customHeight="1" thickBot="1" x14ac:dyDescent="0.35">
      <c r="A15" s="113" t="str">
        <f t="shared" si="2"/>
        <v>Osobní náklady</v>
      </c>
      <c r="B15" s="63" t="s">
        <v>61</v>
      </c>
      <c r="C15" s="42" t="s">
        <v>72</v>
      </c>
    </row>
    <row r="16" spans="1:3" ht="14.4" customHeight="1" thickBot="1" x14ac:dyDescent="0.35">
      <c r="A16" s="66"/>
      <c r="B16" s="66"/>
    </row>
    <row r="17" spans="1:2" ht="14.4" customHeight="1" thickBot="1" x14ac:dyDescent="0.35">
      <c r="A17" s="259" t="s">
        <v>65</v>
      </c>
      <c r="B17" s="257"/>
    </row>
  </sheetData>
  <mergeCells count="4">
    <mergeCell ref="A3:B3"/>
    <mergeCell ref="A9:B9"/>
    <mergeCell ref="A17:B17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15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96" hidden="1" customWidth="1" outlineLevel="1"/>
    <col min="2" max="2" width="28.33203125" style="96" hidden="1" customWidth="1" outlineLevel="1"/>
    <col min="3" max="3" width="5.33203125" style="164" bestFit="1" customWidth="1" collapsed="1"/>
    <col min="4" max="4" width="18.77734375" style="168" customWidth="1"/>
    <col min="5" max="5" width="9" style="164" bestFit="1" customWidth="1"/>
    <col min="6" max="6" width="18.77734375" style="168" customWidth="1"/>
    <col min="7" max="7" width="12.44140625" style="164" hidden="1" customWidth="1" outlineLevel="1"/>
    <col min="8" max="8" width="25.77734375" style="164" customWidth="1" collapsed="1"/>
    <col min="9" max="9" width="7.77734375" style="162" customWidth="1"/>
    <col min="10" max="10" width="10" style="162" customWidth="1"/>
    <col min="11" max="11" width="11.109375" style="162" customWidth="1"/>
    <col min="12" max="16384" width="8.88671875" style="96"/>
  </cols>
  <sheetData>
    <row r="1" spans="1:11" ht="18.600000000000001" customHeight="1" thickBot="1" x14ac:dyDescent="0.4">
      <c r="A1" s="296" t="s">
        <v>366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</row>
    <row r="2" spans="1:11" ht="14.4" customHeight="1" thickBot="1" x14ac:dyDescent="0.35">
      <c r="A2" s="174" t="s">
        <v>206</v>
      </c>
      <c r="B2" s="57"/>
      <c r="C2" s="166"/>
      <c r="D2" s="166"/>
      <c r="E2" s="166"/>
      <c r="F2" s="166"/>
      <c r="G2" s="166"/>
      <c r="H2" s="166"/>
      <c r="I2" s="167"/>
      <c r="J2" s="167"/>
      <c r="K2" s="167"/>
    </row>
    <row r="3" spans="1:11" ht="14.4" customHeight="1" thickBot="1" x14ac:dyDescent="0.35">
      <c r="A3" s="57"/>
      <c r="B3" s="57"/>
      <c r="C3" s="292"/>
      <c r="D3" s="293"/>
      <c r="E3" s="293"/>
      <c r="F3" s="293"/>
      <c r="G3" s="293"/>
      <c r="H3" s="108" t="s">
        <v>75</v>
      </c>
      <c r="I3" s="71">
        <f>IF(J3&lt;&gt;0,K3/J3,0)</f>
        <v>9.6647151360544221</v>
      </c>
      <c r="J3" s="71">
        <f>SUBTOTAL(9,J5:J1048576)</f>
        <v>4704</v>
      </c>
      <c r="K3" s="72">
        <f>SUBTOTAL(9,K5:K1048576)</f>
        <v>45462.82</v>
      </c>
    </row>
    <row r="4" spans="1:11" s="163" customFormat="1" ht="14.4" customHeight="1" thickBot="1" x14ac:dyDescent="0.35">
      <c r="A4" s="340" t="s">
        <v>3</v>
      </c>
      <c r="B4" s="341" t="s">
        <v>4</v>
      </c>
      <c r="C4" s="341" t="s">
        <v>0</v>
      </c>
      <c r="D4" s="341" t="s">
        <v>5</v>
      </c>
      <c r="E4" s="341" t="s">
        <v>6</v>
      </c>
      <c r="F4" s="341" t="s">
        <v>1</v>
      </c>
      <c r="G4" s="341" t="s">
        <v>54</v>
      </c>
      <c r="H4" s="342" t="s">
        <v>10</v>
      </c>
      <c r="I4" s="343" t="s">
        <v>81</v>
      </c>
      <c r="J4" s="343" t="s">
        <v>12</v>
      </c>
      <c r="K4" s="344" t="s">
        <v>89</v>
      </c>
    </row>
    <row r="5" spans="1:11" ht="14.4" customHeight="1" x14ac:dyDescent="0.3">
      <c r="A5" s="345" t="s">
        <v>321</v>
      </c>
      <c r="B5" s="346" t="s">
        <v>322</v>
      </c>
      <c r="C5" s="347" t="s">
        <v>326</v>
      </c>
      <c r="D5" s="348" t="s">
        <v>322</v>
      </c>
      <c r="E5" s="347" t="s">
        <v>360</v>
      </c>
      <c r="F5" s="348" t="s">
        <v>361</v>
      </c>
      <c r="G5" s="347" t="s">
        <v>338</v>
      </c>
      <c r="H5" s="347" t="s">
        <v>339</v>
      </c>
      <c r="I5" s="349">
        <v>1.3250000000000002</v>
      </c>
      <c r="J5" s="349">
        <v>2000</v>
      </c>
      <c r="K5" s="350">
        <v>2652.1</v>
      </c>
    </row>
    <row r="6" spans="1:11" ht="14.4" customHeight="1" x14ac:dyDescent="0.3">
      <c r="A6" s="375" t="s">
        <v>321</v>
      </c>
      <c r="B6" s="376" t="s">
        <v>322</v>
      </c>
      <c r="C6" s="377" t="s">
        <v>326</v>
      </c>
      <c r="D6" s="378" t="s">
        <v>322</v>
      </c>
      <c r="E6" s="377" t="s">
        <v>362</v>
      </c>
      <c r="F6" s="378" t="s">
        <v>363</v>
      </c>
      <c r="G6" s="377" t="s">
        <v>340</v>
      </c>
      <c r="H6" s="377" t="s">
        <v>341</v>
      </c>
      <c r="I6" s="379">
        <v>0.71</v>
      </c>
      <c r="J6" s="379">
        <v>200</v>
      </c>
      <c r="K6" s="380">
        <v>142</v>
      </c>
    </row>
    <row r="7" spans="1:11" ht="14.4" customHeight="1" x14ac:dyDescent="0.3">
      <c r="A7" s="375" t="s">
        <v>321</v>
      </c>
      <c r="B7" s="376" t="s">
        <v>322</v>
      </c>
      <c r="C7" s="377" t="s">
        <v>326</v>
      </c>
      <c r="D7" s="378" t="s">
        <v>322</v>
      </c>
      <c r="E7" s="377" t="s">
        <v>364</v>
      </c>
      <c r="F7" s="378" t="s">
        <v>365</v>
      </c>
      <c r="G7" s="377" t="s">
        <v>342</v>
      </c>
      <c r="H7" s="377" t="s">
        <v>343</v>
      </c>
      <c r="I7" s="379">
        <v>12.31</v>
      </c>
      <c r="J7" s="379">
        <v>420</v>
      </c>
      <c r="K7" s="380">
        <v>5168.3999999999996</v>
      </c>
    </row>
    <row r="8" spans="1:11" ht="14.4" customHeight="1" x14ac:dyDescent="0.3">
      <c r="A8" s="375" t="s">
        <v>321</v>
      </c>
      <c r="B8" s="376" t="s">
        <v>322</v>
      </c>
      <c r="C8" s="377" t="s">
        <v>326</v>
      </c>
      <c r="D8" s="378" t="s">
        <v>322</v>
      </c>
      <c r="E8" s="377" t="s">
        <v>364</v>
      </c>
      <c r="F8" s="378" t="s">
        <v>365</v>
      </c>
      <c r="G8" s="377" t="s">
        <v>344</v>
      </c>
      <c r="H8" s="377" t="s">
        <v>345</v>
      </c>
      <c r="I8" s="379">
        <v>17.539999999999996</v>
      </c>
      <c r="J8" s="379">
        <v>240</v>
      </c>
      <c r="K8" s="380">
        <v>4210.8</v>
      </c>
    </row>
    <row r="9" spans="1:11" ht="14.4" customHeight="1" x14ac:dyDescent="0.3">
      <c r="A9" s="375" t="s">
        <v>321</v>
      </c>
      <c r="B9" s="376" t="s">
        <v>322</v>
      </c>
      <c r="C9" s="377" t="s">
        <v>326</v>
      </c>
      <c r="D9" s="378" t="s">
        <v>322</v>
      </c>
      <c r="E9" s="377" t="s">
        <v>364</v>
      </c>
      <c r="F9" s="378" t="s">
        <v>365</v>
      </c>
      <c r="G9" s="377" t="s">
        <v>346</v>
      </c>
      <c r="H9" s="377" t="s">
        <v>347</v>
      </c>
      <c r="I9" s="379">
        <v>18.149999999999999</v>
      </c>
      <c r="J9" s="379">
        <v>160</v>
      </c>
      <c r="K9" s="380">
        <v>2904</v>
      </c>
    </row>
    <row r="10" spans="1:11" ht="14.4" customHeight="1" x14ac:dyDescent="0.3">
      <c r="A10" s="375" t="s">
        <v>321</v>
      </c>
      <c r="B10" s="376" t="s">
        <v>322</v>
      </c>
      <c r="C10" s="377" t="s">
        <v>326</v>
      </c>
      <c r="D10" s="378" t="s">
        <v>322</v>
      </c>
      <c r="E10" s="377" t="s">
        <v>364</v>
      </c>
      <c r="F10" s="378" t="s">
        <v>365</v>
      </c>
      <c r="G10" s="377" t="s">
        <v>348</v>
      </c>
      <c r="H10" s="377" t="s">
        <v>349</v>
      </c>
      <c r="I10" s="379">
        <v>15.81</v>
      </c>
      <c r="J10" s="379">
        <v>1500</v>
      </c>
      <c r="K10" s="380">
        <v>23722.05</v>
      </c>
    </row>
    <row r="11" spans="1:11" ht="14.4" customHeight="1" x14ac:dyDescent="0.3">
      <c r="A11" s="375" t="s">
        <v>321</v>
      </c>
      <c r="B11" s="376" t="s">
        <v>322</v>
      </c>
      <c r="C11" s="377" t="s">
        <v>326</v>
      </c>
      <c r="D11" s="378" t="s">
        <v>322</v>
      </c>
      <c r="E11" s="377" t="s">
        <v>364</v>
      </c>
      <c r="F11" s="378" t="s">
        <v>365</v>
      </c>
      <c r="G11" s="377" t="s">
        <v>350</v>
      </c>
      <c r="H11" s="377" t="s">
        <v>351</v>
      </c>
      <c r="I11" s="379">
        <v>482.79</v>
      </c>
      <c r="J11" s="379">
        <v>1</v>
      </c>
      <c r="K11" s="380">
        <v>482.79</v>
      </c>
    </row>
    <row r="12" spans="1:11" ht="14.4" customHeight="1" x14ac:dyDescent="0.3">
      <c r="A12" s="375" t="s">
        <v>321</v>
      </c>
      <c r="B12" s="376" t="s">
        <v>322</v>
      </c>
      <c r="C12" s="377" t="s">
        <v>326</v>
      </c>
      <c r="D12" s="378" t="s">
        <v>322</v>
      </c>
      <c r="E12" s="377" t="s">
        <v>364</v>
      </c>
      <c r="F12" s="378" t="s">
        <v>365</v>
      </c>
      <c r="G12" s="377" t="s">
        <v>352</v>
      </c>
      <c r="H12" s="377" t="s">
        <v>353</v>
      </c>
      <c r="I12" s="379">
        <v>15.549999999999999</v>
      </c>
      <c r="J12" s="379">
        <v>180</v>
      </c>
      <c r="K12" s="380">
        <v>2798.73</v>
      </c>
    </row>
    <row r="13" spans="1:11" ht="14.4" customHeight="1" x14ac:dyDescent="0.3">
      <c r="A13" s="375" t="s">
        <v>321</v>
      </c>
      <c r="B13" s="376" t="s">
        <v>322</v>
      </c>
      <c r="C13" s="377" t="s">
        <v>326</v>
      </c>
      <c r="D13" s="378" t="s">
        <v>322</v>
      </c>
      <c r="E13" s="377" t="s">
        <v>364</v>
      </c>
      <c r="F13" s="378" t="s">
        <v>365</v>
      </c>
      <c r="G13" s="377" t="s">
        <v>354</v>
      </c>
      <c r="H13" s="377" t="s">
        <v>355</v>
      </c>
      <c r="I13" s="379">
        <v>151.25</v>
      </c>
      <c r="J13" s="379">
        <v>1</v>
      </c>
      <c r="K13" s="380">
        <v>151.25</v>
      </c>
    </row>
    <row r="14" spans="1:11" ht="14.4" customHeight="1" x14ac:dyDescent="0.3">
      <c r="A14" s="375" t="s">
        <v>321</v>
      </c>
      <c r="B14" s="376" t="s">
        <v>322</v>
      </c>
      <c r="C14" s="377" t="s">
        <v>326</v>
      </c>
      <c r="D14" s="378" t="s">
        <v>322</v>
      </c>
      <c r="E14" s="377" t="s">
        <v>364</v>
      </c>
      <c r="F14" s="378" t="s">
        <v>365</v>
      </c>
      <c r="G14" s="377" t="s">
        <v>356</v>
      </c>
      <c r="H14" s="377" t="s">
        <v>357</v>
      </c>
      <c r="I14" s="379">
        <v>719.95</v>
      </c>
      <c r="J14" s="379">
        <v>1</v>
      </c>
      <c r="K14" s="380">
        <v>719.95</v>
      </c>
    </row>
    <row r="15" spans="1:11" ht="14.4" customHeight="1" thickBot="1" x14ac:dyDescent="0.35">
      <c r="A15" s="351" t="s">
        <v>321</v>
      </c>
      <c r="B15" s="352" t="s">
        <v>322</v>
      </c>
      <c r="C15" s="353" t="s">
        <v>326</v>
      </c>
      <c r="D15" s="354" t="s">
        <v>322</v>
      </c>
      <c r="E15" s="353" t="s">
        <v>364</v>
      </c>
      <c r="F15" s="354" t="s">
        <v>365</v>
      </c>
      <c r="G15" s="353" t="s">
        <v>358</v>
      </c>
      <c r="H15" s="353" t="s">
        <v>359</v>
      </c>
      <c r="I15" s="355">
        <v>2510.75</v>
      </c>
      <c r="J15" s="355">
        <v>1</v>
      </c>
      <c r="K15" s="356">
        <v>2510.75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I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H1"/>
    </sheetView>
  </sheetViews>
  <sheetFormatPr defaultRowHeight="14.4" outlineLevelRow="1" x14ac:dyDescent="0.3"/>
  <cols>
    <col min="1" max="1" width="37.21875" customWidth="1"/>
    <col min="2" max="4" width="13.109375" customWidth="1"/>
    <col min="5" max="9" width="13.109375" hidden="1" customWidth="1"/>
    <col min="10" max="10" width="13.109375" customWidth="1"/>
    <col min="11" max="23" width="13.109375" hidden="1" customWidth="1"/>
    <col min="24" max="24" width="13.109375" customWidth="1"/>
    <col min="25" max="32" width="13.109375" hidden="1" customWidth="1"/>
    <col min="33" max="33" width="13.109375" customWidth="1"/>
    <col min="34" max="34" width="13.109375" hidden="1" customWidth="1"/>
  </cols>
  <sheetData>
    <row r="1" spans="1:35" ht="18.600000000000001" thickBot="1" x14ac:dyDescent="0.4">
      <c r="A1" s="304" t="s">
        <v>61</v>
      </c>
      <c r="B1" s="291"/>
      <c r="C1" s="291"/>
      <c r="D1" s="291"/>
      <c r="E1" s="291"/>
      <c r="F1" s="291"/>
      <c r="G1" s="291"/>
      <c r="H1" s="291"/>
      <c r="I1" s="291"/>
      <c r="J1" s="291"/>
      <c r="K1" s="291"/>
      <c r="L1" s="291"/>
      <c r="M1" s="291"/>
      <c r="N1" s="291"/>
      <c r="O1" s="291"/>
      <c r="P1" s="291"/>
      <c r="Q1" s="291"/>
      <c r="R1" s="291"/>
      <c r="S1" s="291"/>
      <c r="T1" s="291"/>
      <c r="U1" s="291"/>
      <c r="V1" s="291"/>
      <c r="W1" s="291"/>
      <c r="X1" s="291"/>
      <c r="Y1" s="291"/>
      <c r="Z1" s="291"/>
      <c r="AA1" s="291"/>
      <c r="AB1" s="291"/>
      <c r="AC1" s="291"/>
      <c r="AD1" s="291"/>
      <c r="AE1" s="291"/>
      <c r="AF1" s="291"/>
      <c r="AG1" s="291"/>
      <c r="AH1" s="291"/>
    </row>
    <row r="2" spans="1:35" ht="15" thickBot="1" x14ac:dyDescent="0.35">
      <c r="A2" s="174" t="s">
        <v>206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75"/>
      <c r="V2" s="175"/>
      <c r="W2" s="175"/>
      <c r="X2" s="175"/>
      <c r="Y2" s="175"/>
      <c r="Z2" s="175"/>
      <c r="AA2" s="175"/>
      <c r="AB2" s="175"/>
      <c r="AC2" s="175"/>
      <c r="AD2" s="175"/>
      <c r="AE2" s="175"/>
      <c r="AF2" s="175"/>
      <c r="AG2" s="175"/>
      <c r="AH2" s="175"/>
    </row>
    <row r="3" spans="1:35" x14ac:dyDescent="0.3">
      <c r="A3" s="193" t="s">
        <v>132</v>
      </c>
      <c r="B3" s="305" t="s">
        <v>113</v>
      </c>
      <c r="C3" s="176">
        <v>0</v>
      </c>
      <c r="D3" s="177">
        <v>101</v>
      </c>
      <c r="E3" s="177">
        <v>102</v>
      </c>
      <c r="F3" s="196">
        <v>305</v>
      </c>
      <c r="G3" s="196">
        <v>306</v>
      </c>
      <c r="H3" s="196">
        <v>407</v>
      </c>
      <c r="I3" s="196">
        <v>408</v>
      </c>
      <c r="J3" s="196">
        <v>409</v>
      </c>
      <c r="K3" s="196">
        <v>410</v>
      </c>
      <c r="L3" s="196">
        <v>415</v>
      </c>
      <c r="M3" s="196">
        <v>416</v>
      </c>
      <c r="N3" s="196">
        <v>418</v>
      </c>
      <c r="O3" s="196">
        <v>419</v>
      </c>
      <c r="P3" s="196">
        <v>420</v>
      </c>
      <c r="Q3" s="196">
        <v>421</v>
      </c>
      <c r="R3" s="196">
        <v>522</v>
      </c>
      <c r="S3" s="196">
        <v>523</v>
      </c>
      <c r="T3" s="196">
        <v>524</v>
      </c>
      <c r="U3" s="196">
        <v>525</v>
      </c>
      <c r="V3" s="196">
        <v>526</v>
      </c>
      <c r="W3" s="196">
        <v>527</v>
      </c>
      <c r="X3" s="196">
        <v>528</v>
      </c>
      <c r="Y3" s="196">
        <v>629</v>
      </c>
      <c r="Z3" s="196">
        <v>630</v>
      </c>
      <c r="AA3" s="196">
        <v>636</v>
      </c>
      <c r="AB3" s="196">
        <v>637</v>
      </c>
      <c r="AC3" s="196">
        <v>640</v>
      </c>
      <c r="AD3" s="196">
        <v>642</v>
      </c>
      <c r="AE3" s="196">
        <v>743</v>
      </c>
      <c r="AF3" s="177">
        <v>745</v>
      </c>
      <c r="AG3" s="177">
        <v>746</v>
      </c>
      <c r="AH3" s="390">
        <v>930</v>
      </c>
      <c r="AI3" s="406"/>
    </row>
    <row r="4" spans="1:35" ht="36.6" outlineLevel="1" thickBot="1" x14ac:dyDescent="0.35">
      <c r="A4" s="194">
        <v>2015</v>
      </c>
      <c r="B4" s="306"/>
      <c r="C4" s="178" t="s">
        <v>114</v>
      </c>
      <c r="D4" s="179" t="s">
        <v>115</v>
      </c>
      <c r="E4" s="179" t="s">
        <v>116</v>
      </c>
      <c r="F4" s="197" t="s">
        <v>144</v>
      </c>
      <c r="G4" s="197" t="s">
        <v>145</v>
      </c>
      <c r="H4" s="197" t="s">
        <v>205</v>
      </c>
      <c r="I4" s="197" t="s">
        <v>146</v>
      </c>
      <c r="J4" s="197" t="s">
        <v>147</v>
      </c>
      <c r="K4" s="197" t="s">
        <v>148</v>
      </c>
      <c r="L4" s="197" t="s">
        <v>149</v>
      </c>
      <c r="M4" s="197" t="s">
        <v>150</v>
      </c>
      <c r="N4" s="197" t="s">
        <v>151</v>
      </c>
      <c r="O4" s="197" t="s">
        <v>152</v>
      </c>
      <c r="P4" s="197" t="s">
        <v>153</v>
      </c>
      <c r="Q4" s="197" t="s">
        <v>154</v>
      </c>
      <c r="R4" s="197" t="s">
        <v>155</v>
      </c>
      <c r="S4" s="197" t="s">
        <v>156</v>
      </c>
      <c r="T4" s="197" t="s">
        <v>157</v>
      </c>
      <c r="U4" s="197" t="s">
        <v>158</v>
      </c>
      <c r="V4" s="197" t="s">
        <v>159</v>
      </c>
      <c r="W4" s="197" t="s">
        <v>160</v>
      </c>
      <c r="X4" s="197" t="s">
        <v>169</v>
      </c>
      <c r="Y4" s="197" t="s">
        <v>161</v>
      </c>
      <c r="Z4" s="197" t="s">
        <v>170</v>
      </c>
      <c r="AA4" s="197" t="s">
        <v>162</v>
      </c>
      <c r="AB4" s="197" t="s">
        <v>163</v>
      </c>
      <c r="AC4" s="197" t="s">
        <v>164</v>
      </c>
      <c r="AD4" s="197" t="s">
        <v>165</v>
      </c>
      <c r="AE4" s="197" t="s">
        <v>166</v>
      </c>
      <c r="AF4" s="179" t="s">
        <v>167</v>
      </c>
      <c r="AG4" s="179" t="s">
        <v>168</v>
      </c>
      <c r="AH4" s="391" t="s">
        <v>134</v>
      </c>
      <c r="AI4" s="406"/>
    </row>
    <row r="5" spans="1:35" x14ac:dyDescent="0.3">
      <c r="A5" s="180" t="s">
        <v>117</v>
      </c>
      <c r="B5" s="216"/>
      <c r="C5" s="217"/>
      <c r="D5" s="218"/>
      <c r="E5" s="218"/>
      <c r="F5" s="218"/>
      <c r="G5" s="218"/>
      <c r="H5" s="218"/>
      <c r="I5" s="218"/>
      <c r="J5" s="218"/>
      <c r="K5" s="218"/>
      <c r="L5" s="218"/>
      <c r="M5" s="218"/>
      <c r="N5" s="218"/>
      <c r="O5" s="218"/>
      <c r="P5" s="218"/>
      <c r="Q5" s="218"/>
      <c r="R5" s="218"/>
      <c r="S5" s="218"/>
      <c r="T5" s="218"/>
      <c r="U5" s="218"/>
      <c r="V5" s="218"/>
      <c r="W5" s="218"/>
      <c r="X5" s="218"/>
      <c r="Y5" s="218"/>
      <c r="Z5" s="218"/>
      <c r="AA5" s="218"/>
      <c r="AB5" s="218"/>
      <c r="AC5" s="218"/>
      <c r="AD5" s="218"/>
      <c r="AE5" s="218"/>
      <c r="AF5" s="218"/>
      <c r="AG5" s="218"/>
      <c r="AH5" s="392"/>
      <c r="AI5" s="406"/>
    </row>
    <row r="6" spans="1:35" ht="15" collapsed="1" thickBot="1" x14ac:dyDescent="0.35">
      <c r="A6" s="181" t="s">
        <v>55</v>
      </c>
      <c r="B6" s="219">
        <f xml:space="preserve">
TRUNC(IF($A$4&lt;=12,SUMIFS('ON Data'!F:F,'ON Data'!$D:$D,$A$4,'ON Data'!$E:$E,1),SUMIFS('ON Data'!F:F,'ON Data'!$E:$E,1)/'ON Data'!$D$3),1)</f>
        <v>4</v>
      </c>
      <c r="C6" s="220">
        <f xml:space="preserve">
TRUNC(IF($A$4&lt;=12,SUMIFS('ON Data'!G:G,'ON Data'!$D:$D,$A$4,'ON Data'!$E:$E,1),SUMIFS('ON Data'!G:G,'ON Data'!$E:$E,1)/'ON Data'!$D$3),1)</f>
        <v>0</v>
      </c>
      <c r="D6" s="221">
        <f xml:space="preserve">
TRUNC(IF($A$4&lt;=12,SUMIFS('ON Data'!H:H,'ON Data'!$D:$D,$A$4,'ON Data'!$E:$E,1),SUMIFS('ON Data'!H:H,'ON Data'!$E:$E,1)/'ON Data'!$D$3),1)</f>
        <v>2</v>
      </c>
      <c r="E6" s="221">
        <f xml:space="preserve">
TRUNC(IF($A$4&lt;=12,SUMIFS('ON Data'!I:I,'ON Data'!$D:$D,$A$4,'ON Data'!$E:$E,1),SUMIFS('ON Data'!I:I,'ON Data'!$E:$E,1)/'ON Data'!$D$3),1)</f>
        <v>0</v>
      </c>
      <c r="F6" s="221">
        <f xml:space="preserve">
TRUNC(IF($A$4&lt;=12,SUMIFS('ON Data'!K:K,'ON Data'!$D:$D,$A$4,'ON Data'!$E:$E,1),SUMIFS('ON Data'!K:K,'ON Data'!$E:$E,1)/'ON Data'!$D$3),1)</f>
        <v>0</v>
      </c>
      <c r="G6" s="221">
        <f xml:space="preserve">
TRUNC(IF($A$4&lt;=12,SUMIFS('ON Data'!L:L,'ON Data'!$D:$D,$A$4,'ON Data'!$E:$E,1),SUMIFS('ON Data'!L:L,'ON Data'!$E:$E,1)/'ON Data'!$D$3),1)</f>
        <v>0</v>
      </c>
      <c r="H6" s="221">
        <f xml:space="preserve">
TRUNC(IF($A$4&lt;=12,SUMIFS('ON Data'!M:M,'ON Data'!$D:$D,$A$4,'ON Data'!$E:$E,1),SUMIFS('ON Data'!M:M,'ON Data'!$E:$E,1)/'ON Data'!$D$3),1)</f>
        <v>0</v>
      </c>
      <c r="I6" s="221">
        <f xml:space="preserve">
TRUNC(IF($A$4&lt;=12,SUMIFS('ON Data'!N:N,'ON Data'!$D:$D,$A$4,'ON Data'!$E:$E,1),SUMIFS('ON Data'!N:N,'ON Data'!$E:$E,1)/'ON Data'!$D$3),1)</f>
        <v>0</v>
      </c>
      <c r="J6" s="221">
        <f xml:space="preserve">
TRUNC(IF($A$4&lt;=12,SUMIFS('ON Data'!O:O,'ON Data'!$D:$D,$A$4,'ON Data'!$E:$E,1),SUMIFS('ON Data'!O:O,'ON Data'!$E:$E,1)/'ON Data'!$D$3),1)</f>
        <v>1</v>
      </c>
      <c r="K6" s="221">
        <f xml:space="preserve">
TRUNC(IF($A$4&lt;=12,SUMIFS('ON Data'!P:P,'ON Data'!$D:$D,$A$4,'ON Data'!$E:$E,1),SUMIFS('ON Data'!P:P,'ON Data'!$E:$E,1)/'ON Data'!$D$3),1)</f>
        <v>0</v>
      </c>
      <c r="L6" s="221">
        <f xml:space="preserve">
TRUNC(IF($A$4&lt;=12,SUMIFS('ON Data'!Q:Q,'ON Data'!$D:$D,$A$4,'ON Data'!$E:$E,1),SUMIFS('ON Data'!Q:Q,'ON Data'!$E:$E,1)/'ON Data'!$D$3),1)</f>
        <v>0</v>
      </c>
      <c r="M6" s="221">
        <f xml:space="preserve">
TRUNC(IF($A$4&lt;=12,SUMIFS('ON Data'!R:R,'ON Data'!$D:$D,$A$4,'ON Data'!$E:$E,1),SUMIFS('ON Data'!R:R,'ON Data'!$E:$E,1)/'ON Data'!$D$3),1)</f>
        <v>0</v>
      </c>
      <c r="N6" s="221">
        <f xml:space="preserve">
TRUNC(IF($A$4&lt;=12,SUMIFS('ON Data'!S:S,'ON Data'!$D:$D,$A$4,'ON Data'!$E:$E,1),SUMIFS('ON Data'!S:S,'ON Data'!$E:$E,1)/'ON Data'!$D$3),1)</f>
        <v>0</v>
      </c>
      <c r="O6" s="221">
        <f xml:space="preserve">
TRUNC(IF($A$4&lt;=12,SUMIFS('ON Data'!T:T,'ON Data'!$D:$D,$A$4,'ON Data'!$E:$E,1),SUMIFS('ON Data'!T:T,'ON Data'!$E:$E,1)/'ON Data'!$D$3),1)</f>
        <v>0</v>
      </c>
      <c r="P6" s="221">
        <f xml:space="preserve">
TRUNC(IF($A$4&lt;=12,SUMIFS('ON Data'!U:U,'ON Data'!$D:$D,$A$4,'ON Data'!$E:$E,1),SUMIFS('ON Data'!U:U,'ON Data'!$E:$E,1)/'ON Data'!$D$3),1)</f>
        <v>0</v>
      </c>
      <c r="Q6" s="221">
        <f xml:space="preserve">
TRUNC(IF($A$4&lt;=12,SUMIFS('ON Data'!V:V,'ON Data'!$D:$D,$A$4,'ON Data'!$E:$E,1),SUMIFS('ON Data'!V:V,'ON Data'!$E:$E,1)/'ON Data'!$D$3),1)</f>
        <v>0</v>
      </c>
      <c r="R6" s="221">
        <f xml:space="preserve">
TRUNC(IF($A$4&lt;=12,SUMIFS('ON Data'!W:W,'ON Data'!$D:$D,$A$4,'ON Data'!$E:$E,1),SUMIFS('ON Data'!W:W,'ON Data'!$E:$E,1)/'ON Data'!$D$3),1)</f>
        <v>0</v>
      </c>
      <c r="S6" s="221">
        <f xml:space="preserve">
TRUNC(IF($A$4&lt;=12,SUMIFS('ON Data'!X:X,'ON Data'!$D:$D,$A$4,'ON Data'!$E:$E,1),SUMIFS('ON Data'!X:X,'ON Data'!$E:$E,1)/'ON Data'!$D$3),1)</f>
        <v>0</v>
      </c>
      <c r="T6" s="221">
        <f xml:space="preserve">
TRUNC(IF($A$4&lt;=12,SUMIFS('ON Data'!Y:Y,'ON Data'!$D:$D,$A$4,'ON Data'!$E:$E,1),SUMIFS('ON Data'!Y:Y,'ON Data'!$E:$E,1)/'ON Data'!$D$3),1)</f>
        <v>0</v>
      </c>
      <c r="U6" s="221">
        <f xml:space="preserve">
TRUNC(IF($A$4&lt;=12,SUMIFS('ON Data'!Z:Z,'ON Data'!$D:$D,$A$4,'ON Data'!$E:$E,1),SUMIFS('ON Data'!Z:Z,'ON Data'!$E:$E,1)/'ON Data'!$D$3),1)</f>
        <v>0</v>
      </c>
      <c r="V6" s="221">
        <f xml:space="preserve">
TRUNC(IF($A$4&lt;=12,SUMIFS('ON Data'!AA:AA,'ON Data'!$D:$D,$A$4,'ON Data'!$E:$E,1),SUMIFS('ON Data'!AA:AA,'ON Data'!$E:$E,1)/'ON Data'!$D$3),1)</f>
        <v>0</v>
      </c>
      <c r="W6" s="221">
        <f xml:space="preserve">
TRUNC(IF($A$4&lt;=12,SUMIFS('ON Data'!AB:AB,'ON Data'!$D:$D,$A$4,'ON Data'!$E:$E,1),SUMIFS('ON Data'!AB:AB,'ON Data'!$E:$E,1)/'ON Data'!$D$3),1)</f>
        <v>0</v>
      </c>
      <c r="X6" s="221">
        <f xml:space="preserve">
TRUNC(IF($A$4&lt;=12,SUMIFS('ON Data'!AC:AC,'ON Data'!$D:$D,$A$4,'ON Data'!$E:$E,1),SUMIFS('ON Data'!AC:AC,'ON Data'!$E:$E,1)/'ON Data'!$D$3),1)</f>
        <v>1</v>
      </c>
      <c r="Y6" s="221">
        <f xml:space="preserve">
TRUNC(IF($A$4&lt;=12,SUMIFS('ON Data'!AD:AD,'ON Data'!$D:$D,$A$4,'ON Data'!$E:$E,1),SUMIFS('ON Data'!AD:AD,'ON Data'!$E:$E,1)/'ON Data'!$D$3),1)</f>
        <v>0</v>
      </c>
      <c r="Z6" s="221">
        <f xml:space="preserve">
TRUNC(IF($A$4&lt;=12,SUMIFS('ON Data'!AE:AE,'ON Data'!$D:$D,$A$4,'ON Data'!$E:$E,1),SUMIFS('ON Data'!AE:AE,'ON Data'!$E:$E,1)/'ON Data'!$D$3),1)</f>
        <v>0</v>
      </c>
      <c r="AA6" s="221">
        <f xml:space="preserve">
TRUNC(IF($A$4&lt;=12,SUMIFS('ON Data'!AF:AF,'ON Data'!$D:$D,$A$4,'ON Data'!$E:$E,1),SUMIFS('ON Data'!AF:AF,'ON Data'!$E:$E,1)/'ON Data'!$D$3),1)</f>
        <v>0</v>
      </c>
      <c r="AB6" s="221">
        <f xml:space="preserve">
TRUNC(IF($A$4&lt;=12,SUMIFS('ON Data'!AG:AG,'ON Data'!$D:$D,$A$4,'ON Data'!$E:$E,1),SUMIFS('ON Data'!AG:AG,'ON Data'!$E:$E,1)/'ON Data'!$D$3),1)</f>
        <v>0</v>
      </c>
      <c r="AC6" s="221">
        <f xml:space="preserve">
TRUNC(IF($A$4&lt;=12,SUMIFS('ON Data'!AH:AH,'ON Data'!$D:$D,$A$4,'ON Data'!$E:$E,1),SUMIFS('ON Data'!AH:AH,'ON Data'!$E:$E,1)/'ON Data'!$D$3),1)</f>
        <v>0</v>
      </c>
      <c r="AD6" s="221">
        <f xml:space="preserve">
TRUNC(IF($A$4&lt;=12,SUMIFS('ON Data'!AI:AI,'ON Data'!$D:$D,$A$4,'ON Data'!$E:$E,1),SUMIFS('ON Data'!AI:AI,'ON Data'!$E:$E,1)/'ON Data'!$D$3),1)</f>
        <v>0</v>
      </c>
      <c r="AE6" s="221">
        <f xml:space="preserve">
TRUNC(IF($A$4&lt;=12,SUMIFS('ON Data'!AJ:AJ,'ON Data'!$D:$D,$A$4,'ON Data'!$E:$E,1),SUMIFS('ON Data'!AJ:AJ,'ON Data'!$E:$E,1)/'ON Data'!$D$3),1)</f>
        <v>0</v>
      </c>
      <c r="AF6" s="221">
        <f xml:space="preserve">
TRUNC(IF($A$4&lt;=12,SUMIFS('ON Data'!AK:AK,'ON Data'!$D:$D,$A$4,'ON Data'!$E:$E,1),SUMIFS('ON Data'!AK:AK,'ON Data'!$E:$E,1)/'ON Data'!$D$3),1)</f>
        <v>0</v>
      </c>
      <c r="AG6" s="221">
        <f xml:space="preserve">
TRUNC(IF($A$4&lt;=12,SUMIFS('ON Data'!AL:AL,'ON Data'!$D:$D,$A$4,'ON Data'!$E:$E,1),SUMIFS('ON Data'!AL:AL,'ON Data'!$E:$E,1)/'ON Data'!$D$3),1)</f>
        <v>0</v>
      </c>
      <c r="AH6" s="393">
        <f xml:space="preserve">
TRUNC(IF($A$4&lt;=12,SUMIFS('ON Data'!AN:AN,'ON Data'!$D:$D,$A$4,'ON Data'!$E:$E,1),SUMIFS('ON Data'!AN:AN,'ON Data'!$E:$E,1)/'ON Data'!$D$3),1)</f>
        <v>0</v>
      </c>
      <c r="AI6" s="406"/>
    </row>
    <row r="7" spans="1:35" ht="15" hidden="1" outlineLevel="1" thickBot="1" x14ac:dyDescent="0.35">
      <c r="A7" s="181" t="s">
        <v>62</v>
      </c>
      <c r="B7" s="219"/>
      <c r="C7" s="222"/>
      <c r="D7" s="221"/>
      <c r="E7" s="221"/>
      <c r="F7" s="221"/>
      <c r="G7" s="221"/>
      <c r="H7" s="221"/>
      <c r="I7" s="221"/>
      <c r="J7" s="221"/>
      <c r="K7" s="221"/>
      <c r="L7" s="221"/>
      <c r="M7" s="221"/>
      <c r="N7" s="221"/>
      <c r="O7" s="221"/>
      <c r="P7" s="221"/>
      <c r="Q7" s="221"/>
      <c r="R7" s="221"/>
      <c r="S7" s="221"/>
      <c r="T7" s="221"/>
      <c r="U7" s="221"/>
      <c r="V7" s="221"/>
      <c r="W7" s="221"/>
      <c r="X7" s="221"/>
      <c r="Y7" s="221"/>
      <c r="Z7" s="221"/>
      <c r="AA7" s="221"/>
      <c r="AB7" s="221"/>
      <c r="AC7" s="221"/>
      <c r="AD7" s="221"/>
      <c r="AE7" s="221"/>
      <c r="AF7" s="221"/>
      <c r="AG7" s="221"/>
      <c r="AH7" s="393"/>
      <c r="AI7" s="406"/>
    </row>
    <row r="8" spans="1:35" ht="15" hidden="1" outlineLevel="1" thickBot="1" x14ac:dyDescent="0.35">
      <c r="A8" s="181" t="s">
        <v>57</v>
      </c>
      <c r="B8" s="219"/>
      <c r="C8" s="222"/>
      <c r="D8" s="221"/>
      <c r="E8" s="221"/>
      <c r="F8" s="221"/>
      <c r="G8" s="221"/>
      <c r="H8" s="221"/>
      <c r="I8" s="221"/>
      <c r="J8" s="221"/>
      <c r="K8" s="221"/>
      <c r="L8" s="221"/>
      <c r="M8" s="221"/>
      <c r="N8" s="221"/>
      <c r="O8" s="221"/>
      <c r="P8" s="221"/>
      <c r="Q8" s="221"/>
      <c r="R8" s="221"/>
      <c r="S8" s="221"/>
      <c r="T8" s="221"/>
      <c r="U8" s="221"/>
      <c r="V8" s="221"/>
      <c r="W8" s="221"/>
      <c r="X8" s="221"/>
      <c r="Y8" s="221"/>
      <c r="Z8" s="221"/>
      <c r="AA8" s="221"/>
      <c r="AB8" s="221"/>
      <c r="AC8" s="221"/>
      <c r="AD8" s="221"/>
      <c r="AE8" s="221"/>
      <c r="AF8" s="221"/>
      <c r="AG8" s="221"/>
      <c r="AH8" s="393"/>
      <c r="AI8" s="406"/>
    </row>
    <row r="9" spans="1:35" ht="15" hidden="1" outlineLevel="1" thickBot="1" x14ac:dyDescent="0.35">
      <c r="A9" s="182" t="s">
        <v>52</v>
      </c>
      <c r="B9" s="223"/>
      <c r="C9" s="224"/>
      <c r="D9" s="225"/>
      <c r="E9" s="225"/>
      <c r="F9" s="225"/>
      <c r="G9" s="225"/>
      <c r="H9" s="225"/>
      <c r="I9" s="225"/>
      <c r="J9" s="225"/>
      <c r="K9" s="225"/>
      <c r="L9" s="225"/>
      <c r="M9" s="225"/>
      <c r="N9" s="225"/>
      <c r="O9" s="225"/>
      <c r="P9" s="225"/>
      <c r="Q9" s="225"/>
      <c r="R9" s="225"/>
      <c r="S9" s="225"/>
      <c r="T9" s="225"/>
      <c r="U9" s="225"/>
      <c r="V9" s="225"/>
      <c r="W9" s="225"/>
      <c r="X9" s="225"/>
      <c r="Y9" s="225"/>
      <c r="Z9" s="225"/>
      <c r="AA9" s="225"/>
      <c r="AB9" s="225"/>
      <c r="AC9" s="225"/>
      <c r="AD9" s="225"/>
      <c r="AE9" s="225"/>
      <c r="AF9" s="225"/>
      <c r="AG9" s="225"/>
      <c r="AH9" s="394"/>
      <c r="AI9" s="406"/>
    </row>
    <row r="10" spans="1:35" x14ac:dyDescent="0.3">
      <c r="A10" s="183" t="s">
        <v>118</v>
      </c>
      <c r="B10" s="198"/>
      <c r="C10" s="199"/>
      <c r="D10" s="200"/>
      <c r="E10" s="200"/>
      <c r="F10" s="200"/>
      <c r="G10" s="200"/>
      <c r="H10" s="200"/>
      <c r="I10" s="200"/>
      <c r="J10" s="200"/>
      <c r="K10" s="200"/>
      <c r="L10" s="200"/>
      <c r="M10" s="200"/>
      <c r="N10" s="200"/>
      <c r="O10" s="200"/>
      <c r="P10" s="200"/>
      <c r="Q10" s="200"/>
      <c r="R10" s="200"/>
      <c r="S10" s="200"/>
      <c r="T10" s="200"/>
      <c r="U10" s="200"/>
      <c r="V10" s="200"/>
      <c r="W10" s="200"/>
      <c r="X10" s="200"/>
      <c r="Y10" s="200"/>
      <c r="Z10" s="200"/>
      <c r="AA10" s="200"/>
      <c r="AB10" s="200"/>
      <c r="AC10" s="200"/>
      <c r="AD10" s="200"/>
      <c r="AE10" s="200"/>
      <c r="AF10" s="200"/>
      <c r="AG10" s="200"/>
      <c r="AH10" s="395"/>
      <c r="AI10" s="406"/>
    </row>
    <row r="11" spans="1:35" x14ac:dyDescent="0.3">
      <c r="A11" s="184" t="s">
        <v>119</v>
      </c>
      <c r="B11" s="201">
        <f xml:space="preserve">
IF($A$4&lt;=12,SUMIFS('ON Data'!F:F,'ON Data'!$D:$D,$A$4,'ON Data'!$E:$E,2),SUMIFS('ON Data'!F:F,'ON Data'!$E:$E,2))</f>
        <v>5672</v>
      </c>
      <c r="C11" s="202">
        <f xml:space="preserve">
IF($A$4&lt;=12,SUMIFS('ON Data'!G:G,'ON Data'!$D:$D,$A$4,'ON Data'!$E:$E,2),SUMIFS('ON Data'!G:G,'ON Data'!$E:$E,2))</f>
        <v>0</v>
      </c>
      <c r="D11" s="203">
        <f xml:space="preserve">
IF($A$4&lt;=12,SUMIFS('ON Data'!H:H,'ON Data'!$D:$D,$A$4,'ON Data'!$E:$E,2),SUMIFS('ON Data'!H:H,'ON Data'!$E:$E,2))</f>
        <v>2816</v>
      </c>
      <c r="E11" s="203">
        <f xml:space="preserve">
IF($A$4&lt;=12,SUMIFS('ON Data'!I:I,'ON Data'!$D:$D,$A$4,'ON Data'!$E:$E,2),SUMIFS('ON Data'!I:I,'ON Data'!$E:$E,2))</f>
        <v>0</v>
      </c>
      <c r="F11" s="203">
        <f xml:space="preserve">
IF($A$4&lt;=12,SUMIFS('ON Data'!K:K,'ON Data'!$D:$D,$A$4,'ON Data'!$E:$E,2),SUMIFS('ON Data'!K:K,'ON Data'!$E:$E,2))</f>
        <v>0</v>
      </c>
      <c r="G11" s="203">
        <f xml:space="preserve">
IF($A$4&lt;=12,SUMIFS('ON Data'!L:L,'ON Data'!$D:$D,$A$4,'ON Data'!$E:$E,2),SUMIFS('ON Data'!L:L,'ON Data'!$E:$E,2))</f>
        <v>0</v>
      </c>
      <c r="H11" s="203">
        <f xml:space="preserve">
IF($A$4&lt;=12,SUMIFS('ON Data'!M:M,'ON Data'!$D:$D,$A$4,'ON Data'!$E:$E,2),SUMIFS('ON Data'!M:M,'ON Data'!$E:$E,2))</f>
        <v>0</v>
      </c>
      <c r="I11" s="203">
        <f xml:space="preserve">
IF($A$4&lt;=12,SUMIFS('ON Data'!N:N,'ON Data'!$D:$D,$A$4,'ON Data'!$E:$E,2),SUMIFS('ON Data'!N:N,'ON Data'!$E:$E,2))</f>
        <v>0</v>
      </c>
      <c r="J11" s="203">
        <f xml:space="preserve">
IF($A$4&lt;=12,SUMIFS('ON Data'!O:O,'ON Data'!$D:$D,$A$4,'ON Data'!$E:$E,2),SUMIFS('ON Data'!O:O,'ON Data'!$E:$E,2))</f>
        <v>1456</v>
      </c>
      <c r="K11" s="203">
        <f xml:space="preserve">
IF($A$4&lt;=12,SUMIFS('ON Data'!P:P,'ON Data'!$D:$D,$A$4,'ON Data'!$E:$E,2),SUMIFS('ON Data'!P:P,'ON Data'!$E:$E,2))</f>
        <v>0</v>
      </c>
      <c r="L11" s="203">
        <f xml:space="preserve">
IF($A$4&lt;=12,SUMIFS('ON Data'!Q:Q,'ON Data'!$D:$D,$A$4,'ON Data'!$E:$E,2),SUMIFS('ON Data'!Q:Q,'ON Data'!$E:$E,2))</f>
        <v>0</v>
      </c>
      <c r="M11" s="203">
        <f xml:space="preserve">
IF($A$4&lt;=12,SUMIFS('ON Data'!R:R,'ON Data'!$D:$D,$A$4,'ON Data'!$E:$E,2),SUMIFS('ON Data'!R:R,'ON Data'!$E:$E,2))</f>
        <v>0</v>
      </c>
      <c r="N11" s="203">
        <f xml:space="preserve">
IF($A$4&lt;=12,SUMIFS('ON Data'!S:S,'ON Data'!$D:$D,$A$4,'ON Data'!$E:$E,2),SUMIFS('ON Data'!S:S,'ON Data'!$E:$E,2))</f>
        <v>0</v>
      </c>
      <c r="O11" s="203">
        <f xml:space="preserve">
IF($A$4&lt;=12,SUMIFS('ON Data'!T:T,'ON Data'!$D:$D,$A$4,'ON Data'!$E:$E,2),SUMIFS('ON Data'!T:T,'ON Data'!$E:$E,2))</f>
        <v>0</v>
      </c>
      <c r="P11" s="203">
        <f xml:space="preserve">
IF($A$4&lt;=12,SUMIFS('ON Data'!U:U,'ON Data'!$D:$D,$A$4,'ON Data'!$E:$E,2),SUMIFS('ON Data'!U:U,'ON Data'!$E:$E,2))</f>
        <v>0</v>
      </c>
      <c r="Q11" s="203">
        <f xml:space="preserve">
IF($A$4&lt;=12,SUMIFS('ON Data'!V:V,'ON Data'!$D:$D,$A$4,'ON Data'!$E:$E,2),SUMIFS('ON Data'!V:V,'ON Data'!$E:$E,2))</f>
        <v>0</v>
      </c>
      <c r="R11" s="203">
        <f xml:space="preserve">
IF($A$4&lt;=12,SUMIFS('ON Data'!W:W,'ON Data'!$D:$D,$A$4,'ON Data'!$E:$E,2),SUMIFS('ON Data'!W:W,'ON Data'!$E:$E,2))</f>
        <v>0</v>
      </c>
      <c r="S11" s="203">
        <f xml:space="preserve">
IF($A$4&lt;=12,SUMIFS('ON Data'!X:X,'ON Data'!$D:$D,$A$4,'ON Data'!$E:$E,2),SUMIFS('ON Data'!X:X,'ON Data'!$E:$E,2))</f>
        <v>0</v>
      </c>
      <c r="T11" s="203">
        <f xml:space="preserve">
IF($A$4&lt;=12,SUMIFS('ON Data'!Y:Y,'ON Data'!$D:$D,$A$4,'ON Data'!$E:$E,2),SUMIFS('ON Data'!Y:Y,'ON Data'!$E:$E,2))</f>
        <v>0</v>
      </c>
      <c r="U11" s="203">
        <f xml:space="preserve">
IF($A$4&lt;=12,SUMIFS('ON Data'!Z:Z,'ON Data'!$D:$D,$A$4,'ON Data'!$E:$E,2),SUMIFS('ON Data'!Z:Z,'ON Data'!$E:$E,2))</f>
        <v>0</v>
      </c>
      <c r="V11" s="203">
        <f xml:space="preserve">
IF($A$4&lt;=12,SUMIFS('ON Data'!AA:AA,'ON Data'!$D:$D,$A$4,'ON Data'!$E:$E,2),SUMIFS('ON Data'!AA:AA,'ON Data'!$E:$E,2))</f>
        <v>0</v>
      </c>
      <c r="W11" s="203">
        <f xml:space="preserve">
IF($A$4&lt;=12,SUMIFS('ON Data'!AB:AB,'ON Data'!$D:$D,$A$4,'ON Data'!$E:$E,2),SUMIFS('ON Data'!AB:AB,'ON Data'!$E:$E,2))</f>
        <v>0</v>
      </c>
      <c r="X11" s="203">
        <f xml:space="preserve">
IF($A$4&lt;=12,SUMIFS('ON Data'!AC:AC,'ON Data'!$D:$D,$A$4,'ON Data'!$E:$E,2),SUMIFS('ON Data'!AC:AC,'ON Data'!$E:$E,2))</f>
        <v>1400</v>
      </c>
      <c r="Y11" s="203">
        <f xml:space="preserve">
IF($A$4&lt;=12,SUMIFS('ON Data'!AD:AD,'ON Data'!$D:$D,$A$4,'ON Data'!$E:$E,2),SUMIFS('ON Data'!AD:AD,'ON Data'!$E:$E,2))</f>
        <v>0</v>
      </c>
      <c r="Z11" s="203">
        <f xml:space="preserve">
IF($A$4&lt;=12,SUMIFS('ON Data'!AE:AE,'ON Data'!$D:$D,$A$4,'ON Data'!$E:$E,2),SUMIFS('ON Data'!AE:AE,'ON Data'!$E:$E,2))</f>
        <v>0</v>
      </c>
      <c r="AA11" s="203">
        <f xml:space="preserve">
IF($A$4&lt;=12,SUMIFS('ON Data'!AF:AF,'ON Data'!$D:$D,$A$4,'ON Data'!$E:$E,2),SUMIFS('ON Data'!AF:AF,'ON Data'!$E:$E,2))</f>
        <v>0</v>
      </c>
      <c r="AB11" s="203">
        <f xml:space="preserve">
IF($A$4&lt;=12,SUMIFS('ON Data'!AG:AG,'ON Data'!$D:$D,$A$4,'ON Data'!$E:$E,2),SUMIFS('ON Data'!AG:AG,'ON Data'!$E:$E,2))</f>
        <v>0</v>
      </c>
      <c r="AC11" s="203">
        <f xml:space="preserve">
IF($A$4&lt;=12,SUMIFS('ON Data'!AH:AH,'ON Data'!$D:$D,$A$4,'ON Data'!$E:$E,2),SUMIFS('ON Data'!AH:AH,'ON Data'!$E:$E,2))</f>
        <v>0</v>
      </c>
      <c r="AD11" s="203">
        <f xml:space="preserve">
IF($A$4&lt;=12,SUMIFS('ON Data'!AI:AI,'ON Data'!$D:$D,$A$4,'ON Data'!$E:$E,2),SUMIFS('ON Data'!AI:AI,'ON Data'!$E:$E,2))</f>
        <v>0</v>
      </c>
      <c r="AE11" s="203">
        <f xml:space="preserve">
IF($A$4&lt;=12,SUMIFS('ON Data'!AJ:AJ,'ON Data'!$D:$D,$A$4,'ON Data'!$E:$E,2),SUMIFS('ON Data'!AJ:AJ,'ON Data'!$E:$E,2))</f>
        <v>0</v>
      </c>
      <c r="AF11" s="203">
        <f xml:space="preserve">
IF($A$4&lt;=12,SUMIFS('ON Data'!AK:AK,'ON Data'!$D:$D,$A$4,'ON Data'!$E:$E,2),SUMIFS('ON Data'!AK:AK,'ON Data'!$E:$E,2))</f>
        <v>0</v>
      </c>
      <c r="AG11" s="203">
        <f xml:space="preserve">
IF($A$4&lt;=12,SUMIFS('ON Data'!AL:AL,'ON Data'!$D:$D,$A$4,'ON Data'!$E:$E,2),SUMIFS('ON Data'!AL:AL,'ON Data'!$E:$E,2))</f>
        <v>0</v>
      </c>
      <c r="AH11" s="396">
        <f xml:space="preserve">
IF($A$4&lt;=12,SUMIFS('ON Data'!AN:AN,'ON Data'!$D:$D,$A$4,'ON Data'!$E:$E,2),SUMIFS('ON Data'!AN:AN,'ON Data'!$E:$E,2))</f>
        <v>0</v>
      </c>
      <c r="AI11" s="406"/>
    </row>
    <row r="12" spans="1:35" x14ac:dyDescent="0.3">
      <c r="A12" s="184" t="s">
        <v>120</v>
      </c>
      <c r="B12" s="201">
        <f xml:space="preserve">
IF($A$4&lt;=12,SUMIFS('ON Data'!F:F,'ON Data'!$D:$D,$A$4,'ON Data'!$E:$E,3),SUMIFS('ON Data'!F:F,'ON Data'!$E:$E,3))</f>
        <v>0</v>
      </c>
      <c r="C12" s="202">
        <f xml:space="preserve">
IF($A$4&lt;=12,SUMIFS('ON Data'!G:G,'ON Data'!$D:$D,$A$4,'ON Data'!$E:$E,3),SUMIFS('ON Data'!G:G,'ON Data'!$E:$E,3))</f>
        <v>0</v>
      </c>
      <c r="D12" s="203">
        <f xml:space="preserve">
IF($A$4&lt;=12,SUMIFS('ON Data'!H:H,'ON Data'!$D:$D,$A$4,'ON Data'!$E:$E,3),SUMIFS('ON Data'!H:H,'ON Data'!$E:$E,3))</f>
        <v>0</v>
      </c>
      <c r="E12" s="203">
        <f xml:space="preserve">
IF($A$4&lt;=12,SUMIFS('ON Data'!I:I,'ON Data'!$D:$D,$A$4,'ON Data'!$E:$E,3),SUMIFS('ON Data'!I:I,'ON Data'!$E:$E,3))</f>
        <v>0</v>
      </c>
      <c r="F12" s="203">
        <f xml:space="preserve">
IF($A$4&lt;=12,SUMIFS('ON Data'!K:K,'ON Data'!$D:$D,$A$4,'ON Data'!$E:$E,3),SUMIFS('ON Data'!K:K,'ON Data'!$E:$E,3))</f>
        <v>0</v>
      </c>
      <c r="G12" s="203">
        <f xml:space="preserve">
IF($A$4&lt;=12,SUMIFS('ON Data'!L:L,'ON Data'!$D:$D,$A$4,'ON Data'!$E:$E,3),SUMIFS('ON Data'!L:L,'ON Data'!$E:$E,3))</f>
        <v>0</v>
      </c>
      <c r="H12" s="203">
        <f xml:space="preserve">
IF($A$4&lt;=12,SUMIFS('ON Data'!M:M,'ON Data'!$D:$D,$A$4,'ON Data'!$E:$E,3),SUMIFS('ON Data'!M:M,'ON Data'!$E:$E,3))</f>
        <v>0</v>
      </c>
      <c r="I12" s="203">
        <f xml:space="preserve">
IF($A$4&lt;=12,SUMIFS('ON Data'!N:N,'ON Data'!$D:$D,$A$4,'ON Data'!$E:$E,3),SUMIFS('ON Data'!N:N,'ON Data'!$E:$E,3))</f>
        <v>0</v>
      </c>
      <c r="J12" s="203">
        <f xml:space="preserve">
IF($A$4&lt;=12,SUMIFS('ON Data'!O:O,'ON Data'!$D:$D,$A$4,'ON Data'!$E:$E,3),SUMIFS('ON Data'!O:O,'ON Data'!$E:$E,3))</f>
        <v>0</v>
      </c>
      <c r="K12" s="203">
        <f xml:space="preserve">
IF($A$4&lt;=12,SUMIFS('ON Data'!P:P,'ON Data'!$D:$D,$A$4,'ON Data'!$E:$E,3),SUMIFS('ON Data'!P:P,'ON Data'!$E:$E,3))</f>
        <v>0</v>
      </c>
      <c r="L12" s="203">
        <f xml:space="preserve">
IF($A$4&lt;=12,SUMIFS('ON Data'!Q:Q,'ON Data'!$D:$D,$A$4,'ON Data'!$E:$E,3),SUMIFS('ON Data'!Q:Q,'ON Data'!$E:$E,3))</f>
        <v>0</v>
      </c>
      <c r="M12" s="203">
        <f xml:space="preserve">
IF($A$4&lt;=12,SUMIFS('ON Data'!R:R,'ON Data'!$D:$D,$A$4,'ON Data'!$E:$E,3),SUMIFS('ON Data'!R:R,'ON Data'!$E:$E,3))</f>
        <v>0</v>
      </c>
      <c r="N12" s="203">
        <f xml:space="preserve">
IF($A$4&lt;=12,SUMIFS('ON Data'!S:S,'ON Data'!$D:$D,$A$4,'ON Data'!$E:$E,3),SUMIFS('ON Data'!S:S,'ON Data'!$E:$E,3))</f>
        <v>0</v>
      </c>
      <c r="O12" s="203">
        <f xml:space="preserve">
IF($A$4&lt;=12,SUMIFS('ON Data'!T:T,'ON Data'!$D:$D,$A$4,'ON Data'!$E:$E,3),SUMIFS('ON Data'!T:T,'ON Data'!$E:$E,3))</f>
        <v>0</v>
      </c>
      <c r="P12" s="203">
        <f xml:space="preserve">
IF($A$4&lt;=12,SUMIFS('ON Data'!U:U,'ON Data'!$D:$D,$A$4,'ON Data'!$E:$E,3),SUMIFS('ON Data'!U:U,'ON Data'!$E:$E,3))</f>
        <v>0</v>
      </c>
      <c r="Q12" s="203">
        <f xml:space="preserve">
IF($A$4&lt;=12,SUMIFS('ON Data'!V:V,'ON Data'!$D:$D,$A$4,'ON Data'!$E:$E,3),SUMIFS('ON Data'!V:V,'ON Data'!$E:$E,3))</f>
        <v>0</v>
      </c>
      <c r="R12" s="203">
        <f xml:space="preserve">
IF($A$4&lt;=12,SUMIFS('ON Data'!W:W,'ON Data'!$D:$D,$A$4,'ON Data'!$E:$E,3),SUMIFS('ON Data'!W:W,'ON Data'!$E:$E,3))</f>
        <v>0</v>
      </c>
      <c r="S12" s="203">
        <f xml:space="preserve">
IF($A$4&lt;=12,SUMIFS('ON Data'!X:X,'ON Data'!$D:$D,$A$4,'ON Data'!$E:$E,3),SUMIFS('ON Data'!X:X,'ON Data'!$E:$E,3))</f>
        <v>0</v>
      </c>
      <c r="T12" s="203">
        <f xml:space="preserve">
IF($A$4&lt;=12,SUMIFS('ON Data'!Y:Y,'ON Data'!$D:$D,$A$4,'ON Data'!$E:$E,3),SUMIFS('ON Data'!Y:Y,'ON Data'!$E:$E,3))</f>
        <v>0</v>
      </c>
      <c r="U12" s="203">
        <f xml:space="preserve">
IF($A$4&lt;=12,SUMIFS('ON Data'!Z:Z,'ON Data'!$D:$D,$A$4,'ON Data'!$E:$E,3),SUMIFS('ON Data'!Z:Z,'ON Data'!$E:$E,3))</f>
        <v>0</v>
      </c>
      <c r="V12" s="203">
        <f xml:space="preserve">
IF($A$4&lt;=12,SUMIFS('ON Data'!AA:AA,'ON Data'!$D:$D,$A$4,'ON Data'!$E:$E,3),SUMIFS('ON Data'!AA:AA,'ON Data'!$E:$E,3))</f>
        <v>0</v>
      </c>
      <c r="W12" s="203">
        <f xml:space="preserve">
IF($A$4&lt;=12,SUMIFS('ON Data'!AB:AB,'ON Data'!$D:$D,$A$4,'ON Data'!$E:$E,3),SUMIFS('ON Data'!AB:AB,'ON Data'!$E:$E,3))</f>
        <v>0</v>
      </c>
      <c r="X12" s="203">
        <f xml:space="preserve">
IF($A$4&lt;=12,SUMIFS('ON Data'!AC:AC,'ON Data'!$D:$D,$A$4,'ON Data'!$E:$E,3),SUMIFS('ON Data'!AC:AC,'ON Data'!$E:$E,3))</f>
        <v>0</v>
      </c>
      <c r="Y12" s="203">
        <f xml:space="preserve">
IF($A$4&lt;=12,SUMIFS('ON Data'!AD:AD,'ON Data'!$D:$D,$A$4,'ON Data'!$E:$E,3),SUMIFS('ON Data'!AD:AD,'ON Data'!$E:$E,3))</f>
        <v>0</v>
      </c>
      <c r="Z12" s="203">
        <f xml:space="preserve">
IF($A$4&lt;=12,SUMIFS('ON Data'!AE:AE,'ON Data'!$D:$D,$A$4,'ON Data'!$E:$E,3),SUMIFS('ON Data'!AE:AE,'ON Data'!$E:$E,3))</f>
        <v>0</v>
      </c>
      <c r="AA12" s="203">
        <f xml:space="preserve">
IF($A$4&lt;=12,SUMIFS('ON Data'!AF:AF,'ON Data'!$D:$D,$A$4,'ON Data'!$E:$E,3),SUMIFS('ON Data'!AF:AF,'ON Data'!$E:$E,3))</f>
        <v>0</v>
      </c>
      <c r="AB12" s="203">
        <f xml:space="preserve">
IF($A$4&lt;=12,SUMIFS('ON Data'!AG:AG,'ON Data'!$D:$D,$A$4,'ON Data'!$E:$E,3),SUMIFS('ON Data'!AG:AG,'ON Data'!$E:$E,3))</f>
        <v>0</v>
      </c>
      <c r="AC12" s="203">
        <f xml:space="preserve">
IF($A$4&lt;=12,SUMIFS('ON Data'!AH:AH,'ON Data'!$D:$D,$A$4,'ON Data'!$E:$E,3),SUMIFS('ON Data'!AH:AH,'ON Data'!$E:$E,3))</f>
        <v>0</v>
      </c>
      <c r="AD12" s="203">
        <f xml:space="preserve">
IF($A$4&lt;=12,SUMIFS('ON Data'!AI:AI,'ON Data'!$D:$D,$A$4,'ON Data'!$E:$E,3),SUMIFS('ON Data'!AI:AI,'ON Data'!$E:$E,3))</f>
        <v>0</v>
      </c>
      <c r="AE12" s="203">
        <f xml:space="preserve">
IF($A$4&lt;=12,SUMIFS('ON Data'!AJ:AJ,'ON Data'!$D:$D,$A$4,'ON Data'!$E:$E,3),SUMIFS('ON Data'!AJ:AJ,'ON Data'!$E:$E,3))</f>
        <v>0</v>
      </c>
      <c r="AF12" s="203">
        <f xml:space="preserve">
IF($A$4&lt;=12,SUMIFS('ON Data'!AK:AK,'ON Data'!$D:$D,$A$4,'ON Data'!$E:$E,3),SUMIFS('ON Data'!AK:AK,'ON Data'!$E:$E,3))</f>
        <v>0</v>
      </c>
      <c r="AG12" s="203">
        <f xml:space="preserve">
IF($A$4&lt;=12,SUMIFS('ON Data'!AL:AL,'ON Data'!$D:$D,$A$4,'ON Data'!$E:$E,3),SUMIFS('ON Data'!AL:AL,'ON Data'!$E:$E,3))</f>
        <v>0</v>
      </c>
      <c r="AH12" s="396">
        <f xml:space="preserve">
IF($A$4&lt;=12,SUMIFS('ON Data'!AN:AN,'ON Data'!$D:$D,$A$4,'ON Data'!$E:$E,3),SUMIFS('ON Data'!AN:AN,'ON Data'!$E:$E,3))</f>
        <v>0</v>
      </c>
      <c r="AI12" s="406"/>
    </row>
    <row r="13" spans="1:35" x14ac:dyDescent="0.3">
      <c r="A13" s="184" t="s">
        <v>127</v>
      </c>
      <c r="B13" s="201">
        <f xml:space="preserve">
IF($A$4&lt;=12,SUMIFS('ON Data'!F:F,'ON Data'!$D:$D,$A$4,'ON Data'!$E:$E,4),SUMIFS('ON Data'!F:F,'ON Data'!$E:$E,4))</f>
        <v>0</v>
      </c>
      <c r="C13" s="202">
        <f xml:space="preserve">
IF($A$4&lt;=12,SUMIFS('ON Data'!G:G,'ON Data'!$D:$D,$A$4,'ON Data'!$E:$E,4),SUMIFS('ON Data'!G:G,'ON Data'!$E:$E,4))</f>
        <v>0</v>
      </c>
      <c r="D13" s="203">
        <f xml:space="preserve">
IF($A$4&lt;=12,SUMIFS('ON Data'!H:H,'ON Data'!$D:$D,$A$4,'ON Data'!$E:$E,4),SUMIFS('ON Data'!H:H,'ON Data'!$E:$E,4))</f>
        <v>0</v>
      </c>
      <c r="E13" s="203">
        <f xml:space="preserve">
IF($A$4&lt;=12,SUMIFS('ON Data'!I:I,'ON Data'!$D:$D,$A$4,'ON Data'!$E:$E,4),SUMIFS('ON Data'!I:I,'ON Data'!$E:$E,4))</f>
        <v>0</v>
      </c>
      <c r="F13" s="203">
        <f xml:space="preserve">
IF($A$4&lt;=12,SUMIFS('ON Data'!K:K,'ON Data'!$D:$D,$A$4,'ON Data'!$E:$E,4),SUMIFS('ON Data'!K:K,'ON Data'!$E:$E,4))</f>
        <v>0</v>
      </c>
      <c r="G13" s="203">
        <f xml:space="preserve">
IF($A$4&lt;=12,SUMIFS('ON Data'!L:L,'ON Data'!$D:$D,$A$4,'ON Data'!$E:$E,4),SUMIFS('ON Data'!L:L,'ON Data'!$E:$E,4))</f>
        <v>0</v>
      </c>
      <c r="H13" s="203">
        <f xml:space="preserve">
IF($A$4&lt;=12,SUMIFS('ON Data'!M:M,'ON Data'!$D:$D,$A$4,'ON Data'!$E:$E,4),SUMIFS('ON Data'!M:M,'ON Data'!$E:$E,4))</f>
        <v>0</v>
      </c>
      <c r="I13" s="203">
        <f xml:space="preserve">
IF($A$4&lt;=12,SUMIFS('ON Data'!N:N,'ON Data'!$D:$D,$A$4,'ON Data'!$E:$E,4),SUMIFS('ON Data'!N:N,'ON Data'!$E:$E,4))</f>
        <v>0</v>
      </c>
      <c r="J13" s="203">
        <f xml:space="preserve">
IF($A$4&lt;=12,SUMIFS('ON Data'!O:O,'ON Data'!$D:$D,$A$4,'ON Data'!$E:$E,4),SUMIFS('ON Data'!O:O,'ON Data'!$E:$E,4))</f>
        <v>0</v>
      </c>
      <c r="K13" s="203">
        <f xml:space="preserve">
IF($A$4&lt;=12,SUMIFS('ON Data'!P:P,'ON Data'!$D:$D,$A$4,'ON Data'!$E:$E,4),SUMIFS('ON Data'!P:P,'ON Data'!$E:$E,4))</f>
        <v>0</v>
      </c>
      <c r="L13" s="203">
        <f xml:space="preserve">
IF($A$4&lt;=12,SUMIFS('ON Data'!Q:Q,'ON Data'!$D:$D,$A$4,'ON Data'!$E:$E,4),SUMIFS('ON Data'!Q:Q,'ON Data'!$E:$E,4))</f>
        <v>0</v>
      </c>
      <c r="M13" s="203">
        <f xml:space="preserve">
IF($A$4&lt;=12,SUMIFS('ON Data'!R:R,'ON Data'!$D:$D,$A$4,'ON Data'!$E:$E,4),SUMIFS('ON Data'!R:R,'ON Data'!$E:$E,4))</f>
        <v>0</v>
      </c>
      <c r="N13" s="203">
        <f xml:space="preserve">
IF($A$4&lt;=12,SUMIFS('ON Data'!S:S,'ON Data'!$D:$D,$A$4,'ON Data'!$E:$E,4),SUMIFS('ON Data'!S:S,'ON Data'!$E:$E,4))</f>
        <v>0</v>
      </c>
      <c r="O13" s="203">
        <f xml:space="preserve">
IF($A$4&lt;=12,SUMIFS('ON Data'!T:T,'ON Data'!$D:$D,$A$4,'ON Data'!$E:$E,4),SUMIFS('ON Data'!T:T,'ON Data'!$E:$E,4))</f>
        <v>0</v>
      </c>
      <c r="P13" s="203">
        <f xml:space="preserve">
IF($A$4&lt;=12,SUMIFS('ON Data'!U:U,'ON Data'!$D:$D,$A$4,'ON Data'!$E:$E,4),SUMIFS('ON Data'!U:U,'ON Data'!$E:$E,4))</f>
        <v>0</v>
      </c>
      <c r="Q13" s="203">
        <f xml:space="preserve">
IF($A$4&lt;=12,SUMIFS('ON Data'!V:V,'ON Data'!$D:$D,$A$4,'ON Data'!$E:$E,4),SUMIFS('ON Data'!V:V,'ON Data'!$E:$E,4))</f>
        <v>0</v>
      </c>
      <c r="R13" s="203">
        <f xml:space="preserve">
IF($A$4&lt;=12,SUMIFS('ON Data'!W:W,'ON Data'!$D:$D,$A$4,'ON Data'!$E:$E,4),SUMIFS('ON Data'!W:W,'ON Data'!$E:$E,4))</f>
        <v>0</v>
      </c>
      <c r="S13" s="203">
        <f xml:space="preserve">
IF($A$4&lt;=12,SUMIFS('ON Data'!X:X,'ON Data'!$D:$D,$A$4,'ON Data'!$E:$E,4),SUMIFS('ON Data'!X:X,'ON Data'!$E:$E,4))</f>
        <v>0</v>
      </c>
      <c r="T13" s="203">
        <f xml:space="preserve">
IF($A$4&lt;=12,SUMIFS('ON Data'!Y:Y,'ON Data'!$D:$D,$A$4,'ON Data'!$E:$E,4),SUMIFS('ON Data'!Y:Y,'ON Data'!$E:$E,4))</f>
        <v>0</v>
      </c>
      <c r="U13" s="203">
        <f xml:space="preserve">
IF($A$4&lt;=12,SUMIFS('ON Data'!Z:Z,'ON Data'!$D:$D,$A$4,'ON Data'!$E:$E,4),SUMIFS('ON Data'!Z:Z,'ON Data'!$E:$E,4))</f>
        <v>0</v>
      </c>
      <c r="V13" s="203">
        <f xml:space="preserve">
IF($A$4&lt;=12,SUMIFS('ON Data'!AA:AA,'ON Data'!$D:$D,$A$4,'ON Data'!$E:$E,4),SUMIFS('ON Data'!AA:AA,'ON Data'!$E:$E,4))</f>
        <v>0</v>
      </c>
      <c r="W13" s="203">
        <f xml:space="preserve">
IF($A$4&lt;=12,SUMIFS('ON Data'!AB:AB,'ON Data'!$D:$D,$A$4,'ON Data'!$E:$E,4),SUMIFS('ON Data'!AB:AB,'ON Data'!$E:$E,4))</f>
        <v>0</v>
      </c>
      <c r="X13" s="203">
        <f xml:space="preserve">
IF($A$4&lt;=12,SUMIFS('ON Data'!AC:AC,'ON Data'!$D:$D,$A$4,'ON Data'!$E:$E,4),SUMIFS('ON Data'!AC:AC,'ON Data'!$E:$E,4))</f>
        <v>0</v>
      </c>
      <c r="Y13" s="203">
        <f xml:space="preserve">
IF($A$4&lt;=12,SUMIFS('ON Data'!AD:AD,'ON Data'!$D:$D,$A$4,'ON Data'!$E:$E,4),SUMIFS('ON Data'!AD:AD,'ON Data'!$E:$E,4))</f>
        <v>0</v>
      </c>
      <c r="Z13" s="203">
        <f xml:space="preserve">
IF($A$4&lt;=12,SUMIFS('ON Data'!AE:AE,'ON Data'!$D:$D,$A$4,'ON Data'!$E:$E,4),SUMIFS('ON Data'!AE:AE,'ON Data'!$E:$E,4))</f>
        <v>0</v>
      </c>
      <c r="AA13" s="203">
        <f xml:space="preserve">
IF($A$4&lt;=12,SUMIFS('ON Data'!AF:AF,'ON Data'!$D:$D,$A$4,'ON Data'!$E:$E,4),SUMIFS('ON Data'!AF:AF,'ON Data'!$E:$E,4))</f>
        <v>0</v>
      </c>
      <c r="AB13" s="203">
        <f xml:space="preserve">
IF($A$4&lt;=12,SUMIFS('ON Data'!AG:AG,'ON Data'!$D:$D,$A$4,'ON Data'!$E:$E,4),SUMIFS('ON Data'!AG:AG,'ON Data'!$E:$E,4))</f>
        <v>0</v>
      </c>
      <c r="AC13" s="203">
        <f xml:space="preserve">
IF($A$4&lt;=12,SUMIFS('ON Data'!AH:AH,'ON Data'!$D:$D,$A$4,'ON Data'!$E:$E,4),SUMIFS('ON Data'!AH:AH,'ON Data'!$E:$E,4))</f>
        <v>0</v>
      </c>
      <c r="AD13" s="203">
        <f xml:space="preserve">
IF($A$4&lt;=12,SUMIFS('ON Data'!AI:AI,'ON Data'!$D:$D,$A$4,'ON Data'!$E:$E,4),SUMIFS('ON Data'!AI:AI,'ON Data'!$E:$E,4))</f>
        <v>0</v>
      </c>
      <c r="AE13" s="203">
        <f xml:space="preserve">
IF($A$4&lt;=12,SUMIFS('ON Data'!AJ:AJ,'ON Data'!$D:$D,$A$4,'ON Data'!$E:$E,4),SUMIFS('ON Data'!AJ:AJ,'ON Data'!$E:$E,4))</f>
        <v>0</v>
      </c>
      <c r="AF13" s="203">
        <f xml:space="preserve">
IF($A$4&lt;=12,SUMIFS('ON Data'!AK:AK,'ON Data'!$D:$D,$A$4,'ON Data'!$E:$E,4),SUMIFS('ON Data'!AK:AK,'ON Data'!$E:$E,4))</f>
        <v>0</v>
      </c>
      <c r="AG13" s="203">
        <f xml:space="preserve">
IF($A$4&lt;=12,SUMIFS('ON Data'!AL:AL,'ON Data'!$D:$D,$A$4,'ON Data'!$E:$E,4),SUMIFS('ON Data'!AL:AL,'ON Data'!$E:$E,4))</f>
        <v>0</v>
      </c>
      <c r="AH13" s="396">
        <f xml:space="preserve">
IF($A$4&lt;=12,SUMIFS('ON Data'!AN:AN,'ON Data'!$D:$D,$A$4,'ON Data'!$E:$E,4),SUMIFS('ON Data'!AN:AN,'ON Data'!$E:$E,4))</f>
        <v>0</v>
      </c>
      <c r="AI13" s="406"/>
    </row>
    <row r="14" spans="1:35" ht="15" thickBot="1" x14ac:dyDescent="0.35">
      <c r="A14" s="185" t="s">
        <v>121</v>
      </c>
      <c r="B14" s="204">
        <f xml:space="preserve">
IF($A$4&lt;=12,SUMIFS('ON Data'!F:F,'ON Data'!$D:$D,$A$4,'ON Data'!$E:$E,5),SUMIFS('ON Data'!F:F,'ON Data'!$E:$E,5))</f>
        <v>180</v>
      </c>
      <c r="C14" s="205">
        <f xml:space="preserve">
IF($A$4&lt;=12,SUMIFS('ON Data'!G:G,'ON Data'!$D:$D,$A$4,'ON Data'!$E:$E,5),SUMIFS('ON Data'!G:G,'ON Data'!$E:$E,5))</f>
        <v>180</v>
      </c>
      <c r="D14" s="206">
        <f xml:space="preserve">
IF($A$4&lt;=12,SUMIFS('ON Data'!H:H,'ON Data'!$D:$D,$A$4,'ON Data'!$E:$E,5),SUMIFS('ON Data'!H:H,'ON Data'!$E:$E,5))</f>
        <v>0</v>
      </c>
      <c r="E14" s="206">
        <f xml:space="preserve">
IF($A$4&lt;=12,SUMIFS('ON Data'!I:I,'ON Data'!$D:$D,$A$4,'ON Data'!$E:$E,5),SUMIFS('ON Data'!I:I,'ON Data'!$E:$E,5))</f>
        <v>0</v>
      </c>
      <c r="F14" s="206">
        <f xml:space="preserve">
IF($A$4&lt;=12,SUMIFS('ON Data'!K:K,'ON Data'!$D:$D,$A$4,'ON Data'!$E:$E,5),SUMIFS('ON Data'!K:K,'ON Data'!$E:$E,5))</f>
        <v>0</v>
      </c>
      <c r="G14" s="206">
        <f xml:space="preserve">
IF($A$4&lt;=12,SUMIFS('ON Data'!L:L,'ON Data'!$D:$D,$A$4,'ON Data'!$E:$E,5),SUMIFS('ON Data'!L:L,'ON Data'!$E:$E,5))</f>
        <v>0</v>
      </c>
      <c r="H14" s="206">
        <f xml:space="preserve">
IF($A$4&lt;=12,SUMIFS('ON Data'!M:M,'ON Data'!$D:$D,$A$4,'ON Data'!$E:$E,5),SUMIFS('ON Data'!M:M,'ON Data'!$E:$E,5))</f>
        <v>0</v>
      </c>
      <c r="I14" s="206">
        <f xml:space="preserve">
IF($A$4&lt;=12,SUMIFS('ON Data'!N:N,'ON Data'!$D:$D,$A$4,'ON Data'!$E:$E,5),SUMIFS('ON Data'!N:N,'ON Data'!$E:$E,5))</f>
        <v>0</v>
      </c>
      <c r="J14" s="206">
        <f xml:space="preserve">
IF($A$4&lt;=12,SUMIFS('ON Data'!O:O,'ON Data'!$D:$D,$A$4,'ON Data'!$E:$E,5),SUMIFS('ON Data'!O:O,'ON Data'!$E:$E,5))</f>
        <v>0</v>
      </c>
      <c r="K14" s="206">
        <f xml:space="preserve">
IF($A$4&lt;=12,SUMIFS('ON Data'!P:P,'ON Data'!$D:$D,$A$4,'ON Data'!$E:$E,5),SUMIFS('ON Data'!P:P,'ON Data'!$E:$E,5))</f>
        <v>0</v>
      </c>
      <c r="L14" s="206">
        <f xml:space="preserve">
IF($A$4&lt;=12,SUMIFS('ON Data'!Q:Q,'ON Data'!$D:$D,$A$4,'ON Data'!$E:$E,5),SUMIFS('ON Data'!Q:Q,'ON Data'!$E:$E,5))</f>
        <v>0</v>
      </c>
      <c r="M14" s="206">
        <f xml:space="preserve">
IF($A$4&lt;=12,SUMIFS('ON Data'!R:R,'ON Data'!$D:$D,$A$4,'ON Data'!$E:$E,5),SUMIFS('ON Data'!R:R,'ON Data'!$E:$E,5))</f>
        <v>0</v>
      </c>
      <c r="N14" s="206">
        <f xml:space="preserve">
IF($A$4&lt;=12,SUMIFS('ON Data'!S:S,'ON Data'!$D:$D,$A$4,'ON Data'!$E:$E,5),SUMIFS('ON Data'!S:S,'ON Data'!$E:$E,5))</f>
        <v>0</v>
      </c>
      <c r="O14" s="206">
        <f xml:space="preserve">
IF($A$4&lt;=12,SUMIFS('ON Data'!T:T,'ON Data'!$D:$D,$A$4,'ON Data'!$E:$E,5),SUMIFS('ON Data'!T:T,'ON Data'!$E:$E,5))</f>
        <v>0</v>
      </c>
      <c r="P14" s="206">
        <f xml:space="preserve">
IF($A$4&lt;=12,SUMIFS('ON Data'!U:U,'ON Data'!$D:$D,$A$4,'ON Data'!$E:$E,5),SUMIFS('ON Data'!U:U,'ON Data'!$E:$E,5))</f>
        <v>0</v>
      </c>
      <c r="Q14" s="206">
        <f xml:space="preserve">
IF($A$4&lt;=12,SUMIFS('ON Data'!V:V,'ON Data'!$D:$D,$A$4,'ON Data'!$E:$E,5),SUMIFS('ON Data'!V:V,'ON Data'!$E:$E,5))</f>
        <v>0</v>
      </c>
      <c r="R14" s="206">
        <f xml:space="preserve">
IF($A$4&lt;=12,SUMIFS('ON Data'!W:W,'ON Data'!$D:$D,$A$4,'ON Data'!$E:$E,5),SUMIFS('ON Data'!W:W,'ON Data'!$E:$E,5))</f>
        <v>0</v>
      </c>
      <c r="S14" s="206">
        <f xml:space="preserve">
IF($A$4&lt;=12,SUMIFS('ON Data'!X:X,'ON Data'!$D:$D,$A$4,'ON Data'!$E:$E,5),SUMIFS('ON Data'!X:X,'ON Data'!$E:$E,5))</f>
        <v>0</v>
      </c>
      <c r="T14" s="206">
        <f xml:space="preserve">
IF($A$4&lt;=12,SUMIFS('ON Data'!Y:Y,'ON Data'!$D:$D,$A$4,'ON Data'!$E:$E,5),SUMIFS('ON Data'!Y:Y,'ON Data'!$E:$E,5))</f>
        <v>0</v>
      </c>
      <c r="U14" s="206">
        <f xml:space="preserve">
IF($A$4&lt;=12,SUMIFS('ON Data'!Z:Z,'ON Data'!$D:$D,$A$4,'ON Data'!$E:$E,5),SUMIFS('ON Data'!Z:Z,'ON Data'!$E:$E,5))</f>
        <v>0</v>
      </c>
      <c r="V14" s="206">
        <f xml:space="preserve">
IF($A$4&lt;=12,SUMIFS('ON Data'!AA:AA,'ON Data'!$D:$D,$A$4,'ON Data'!$E:$E,5),SUMIFS('ON Data'!AA:AA,'ON Data'!$E:$E,5))</f>
        <v>0</v>
      </c>
      <c r="W14" s="206">
        <f xml:space="preserve">
IF($A$4&lt;=12,SUMIFS('ON Data'!AB:AB,'ON Data'!$D:$D,$A$4,'ON Data'!$E:$E,5),SUMIFS('ON Data'!AB:AB,'ON Data'!$E:$E,5))</f>
        <v>0</v>
      </c>
      <c r="X14" s="206">
        <f xml:space="preserve">
IF($A$4&lt;=12,SUMIFS('ON Data'!AC:AC,'ON Data'!$D:$D,$A$4,'ON Data'!$E:$E,5),SUMIFS('ON Data'!AC:AC,'ON Data'!$E:$E,5))</f>
        <v>0</v>
      </c>
      <c r="Y14" s="206">
        <f xml:space="preserve">
IF($A$4&lt;=12,SUMIFS('ON Data'!AD:AD,'ON Data'!$D:$D,$A$4,'ON Data'!$E:$E,5),SUMIFS('ON Data'!AD:AD,'ON Data'!$E:$E,5))</f>
        <v>0</v>
      </c>
      <c r="Z14" s="206">
        <f xml:space="preserve">
IF($A$4&lt;=12,SUMIFS('ON Data'!AE:AE,'ON Data'!$D:$D,$A$4,'ON Data'!$E:$E,5),SUMIFS('ON Data'!AE:AE,'ON Data'!$E:$E,5))</f>
        <v>0</v>
      </c>
      <c r="AA14" s="206">
        <f xml:space="preserve">
IF($A$4&lt;=12,SUMIFS('ON Data'!AF:AF,'ON Data'!$D:$D,$A$4,'ON Data'!$E:$E,5),SUMIFS('ON Data'!AF:AF,'ON Data'!$E:$E,5))</f>
        <v>0</v>
      </c>
      <c r="AB14" s="206">
        <f xml:space="preserve">
IF($A$4&lt;=12,SUMIFS('ON Data'!AG:AG,'ON Data'!$D:$D,$A$4,'ON Data'!$E:$E,5),SUMIFS('ON Data'!AG:AG,'ON Data'!$E:$E,5))</f>
        <v>0</v>
      </c>
      <c r="AC14" s="206">
        <f xml:space="preserve">
IF($A$4&lt;=12,SUMIFS('ON Data'!AH:AH,'ON Data'!$D:$D,$A$4,'ON Data'!$E:$E,5),SUMIFS('ON Data'!AH:AH,'ON Data'!$E:$E,5))</f>
        <v>0</v>
      </c>
      <c r="AD14" s="206">
        <f xml:space="preserve">
IF($A$4&lt;=12,SUMIFS('ON Data'!AI:AI,'ON Data'!$D:$D,$A$4,'ON Data'!$E:$E,5),SUMIFS('ON Data'!AI:AI,'ON Data'!$E:$E,5))</f>
        <v>0</v>
      </c>
      <c r="AE14" s="206">
        <f xml:space="preserve">
IF($A$4&lt;=12,SUMIFS('ON Data'!AJ:AJ,'ON Data'!$D:$D,$A$4,'ON Data'!$E:$E,5),SUMIFS('ON Data'!AJ:AJ,'ON Data'!$E:$E,5))</f>
        <v>0</v>
      </c>
      <c r="AF14" s="206">
        <f xml:space="preserve">
IF($A$4&lt;=12,SUMIFS('ON Data'!AK:AK,'ON Data'!$D:$D,$A$4,'ON Data'!$E:$E,5),SUMIFS('ON Data'!AK:AK,'ON Data'!$E:$E,5))</f>
        <v>0</v>
      </c>
      <c r="AG14" s="206">
        <f xml:space="preserve">
IF($A$4&lt;=12,SUMIFS('ON Data'!AL:AL,'ON Data'!$D:$D,$A$4,'ON Data'!$E:$E,5),SUMIFS('ON Data'!AL:AL,'ON Data'!$E:$E,5))</f>
        <v>0</v>
      </c>
      <c r="AH14" s="397">
        <f xml:space="preserve">
IF($A$4&lt;=12,SUMIFS('ON Data'!AN:AN,'ON Data'!$D:$D,$A$4,'ON Data'!$E:$E,5),SUMIFS('ON Data'!AN:AN,'ON Data'!$E:$E,5))</f>
        <v>0</v>
      </c>
      <c r="AI14" s="406"/>
    </row>
    <row r="15" spans="1:35" x14ac:dyDescent="0.3">
      <c r="A15" s="126" t="s">
        <v>131</v>
      </c>
      <c r="B15" s="207"/>
      <c r="C15" s="208"/>
      <c r="D15" s="209"/>
      <c r="E15" s="209"/>
      <c r="F15" s="209"/>
      <c r="G15" s="209"/>
      <c r="H15" s="209"/>
      <c r="I15" s="209"/>
      <c r="J15" s="209"/>
      <c r="K15" s="209"/>
      <c r="L15" s="209"/>
      <c r="M15" s="209"/>
      <c r="N15" s="209"/>
      <c r="O15" s="209"/>
      <c r="P15" s="209"/>
      <c r="Q15" s="209"/>
      <c r="R15" s="209"/>
      <c r="S15" s="209"/>
      <c r="T15" s="209"/>
      <c r="U15" s="209"/>
      <c r="V15" s="209"/>
      <c r="W15" s="209"/>
      <c r="X15" s="209"/>
      <c r="Y15" s="209"/>
      <c r="Z15" s="209"/>
      <c r="AA15" s="209"/>
      <c r="AB15" s="209"/>
      <c r="AC15" s="209"/>
      <c r="AD15" s="209"/>
      <c r="AE15" s="209"/>
      <c r="AF15" s="209"/>
      <c r="AG15" s="209"/>
      <c r="AH15" s="398"/>
      <c r="AI15" s="406"/>
    </row>
    <row r="16" spans="1:35" x14ac:dyDescent="0.3">
      <c r="A16" s="186" t="s">
        <v>122</v>
      </c>
      <c r="B16" s="201">
        <f xml:space="preserve">
IF($A$4&lt;=12,SUMIFS('ON Data'!F:F,'ON Data'!$D:$D,$A$4,'ON Data'!$E:$E,7),SUMIFS('ON Data'!F:F,'ON Data'!$E:$E,7))</f>
        <v>0</v>
      </c>
      <c r="C16" s="202">
        <f xml:space="preserve">
IF($A$4&lt;=12,SUMIFS('ON Data'!G:G,'ON Data'!$D:$D,$A$4,'ON Data'!$E:$E,7),SUMIFS('ON Data'!G:G,'ON Data'!$E:$E,7))</f>
        <v>0</v>
      </c>
      <c r="D16" s="203">
        <f xml:space="preserve">
IF($A$4&lt;=12,SUMIFS('ON Data'!H:H,'ON Data'!$D:$D,$A$4,'ON Data'!$E:$E,7),SUMIFS('ON Data'!H:H,'ON Data'!$E:$E,7))</f>
        <v>0</v>
      </c>
      <c r="E16" s="203">
        <f xml:space="preserve">
IF($A$4&lt;=12,SUMIFS('ON Data'!I:I,'ON Data'!$D:$D,$A$4,'ON Data'!$E:$E,7),SUMIFS('ON Data'!I:I,'ON Data'!$E:$E,7))</f>
        <v>0</v>
      </c>
      <c r="F16" s="203">
        <f xml:space="preserve">
IF($A$4&lt;=12,SUMIFS('ON Data'!K:K,'ON Data'!$D:$D,$A$4,'ON Data'!$E:$E,7),SUMIFS('ON Data'!K:K,'ON Data'!$E:$E,7))</f>
        <v>0</v>
      </c>
      <c r="G16" s="203">
        <f xml:space="preserve">
IF($A$4&lt;=12,SUMIFS('ON Data'!L:L,'ON Data'!$D:$D,$A$4,'ON Data'!$E:$E,7),SUMIFS('ON Data'!L:L,'ON Data'!$E:$E,7))</f>
        <v>0</v>
      </c>
      <c r="H16" s="203">
        <f xml:space="preserve">
IF($A$4&lt;=12,SUMIFS('ON Data'!M:M,'ON Data'!$D:$D,$A$4,'ON Data'!$E:$E,7),SUMIFS('ON Data'!M:M,'ON Data'!$E:$E,7))</f>
        <v>0</v>
      </c>
      <c r="I16" s="203">
        <f xml:space="preserve">
IF($A$4&lt;=12,SUMIFS('ON Data'!N:N,'ON Data'!$D:$D,$A$4,'ON Data'!$E:$E,7),SUMIFS('ON Data'!N:N,'ON Data'!$E:$E,7))</f>
        <v>0</v>
      </c>
      <c r="J16" s="203">
        <f xml:space="preserve">
IF($A$4&lt;=12,SUMIFS('ON Data'!O:O,'ON Data'!$D:$D,$A$4,'ON Data'!$E:$E,7),SUMIFS('ON Data'!O:O,'ON Data'!$E:$E,7))</f>
        <v>0</v>
      </c>
      <c r="K16" s="203">
        <f xml:space="preserve">
IF($A$4&lt;=12,SUMIFS('ON Data'!P:P,'ON Data'!$D:$D,$A$4,'ON Data'!$E:$E,7),SUMIFS('ON Data'!P:P,'ON Data'!$E:$E,7))</f>
        <v>0</v>
      </c>
      <c r="L16" s="203">
        <f xml:space="preserve">
IF($A$4&lt;=12,SUMIFS('ON Data'!Q:Q,'ON Data'!$D:$D,$A$4,'ON Data'!$E:$E,7),SUMIFS('ON Data'!Q:Q,'ON Data'!$E:$E,7))</f>
        <v>0</v>
      </c>
      <c r="M16" s="203">
        <f xml:space="preserve">
IF($A$4&lt;=12,SUMIFS('ON Data'!R:R,'ON Data'!$D:$D,$A$4,'ON Data'!$E:$E,7),SUMIFS('ON Data'!R:R,'ON Data'!$E:$E,7))</f>
        <v>0</v>
      </c>
      <c r="N16" s="203">
        <f xml:space="preserve">
IF($A$4&lt;=12,SUMIFS('ON Data'!S:S,'ON Data'!$D:$D,$A$4,'ON Data'!$E:$E,7),SUMIFS('ON Data'!S:S,'ON Data'!$E:$E,7))</f>
        <v>0</v>
      </c>
      <c r="O16" s="203">
        <f xml:space="preserve">
IF($A$4&lt;=12,SUMIFS('ON Data'!T:T,'ON Data'!$D:$D,$A$4,'ON Data'!$E:$E,7),SUMIFS('ON Data'!T:T,'ON Data'!$E:$E,7))</f>
        <v>0</v>
      </c>
      <c r="P16" s="203">
        <f xml:space="preserve">
IF($A$4&lt;=12,SUMIFS('ON Data'!U:U,'ON Data'!$D:$D,$A$4,'ON Data'!$E:$E,7),SUMIFS('ON Data'!U:U,'ON Data'!$E:$E,7))</f>
        <v>0</v>
      </c>
      <c r="Q16" s="203">
        <f xml:space="preserve">
IF($A$4&lt;=12,SUMIFS('ON Data'!V:V,'ON Data'!$D:$D,$A$4,'ON Data'!$E:$E,7),SUMIFS('ON Data'!V:V,'ON Data'!$E:$E,7))</f>
        <v>0</v>
      </c>
      <c r="R16" s="203">
        <f xml:space="preserve">
IF($A$4&lt;=12,SUMIFS('ON Data'!W:W,'ON Data'!$D:$D,$A$4,'ON Data'!$E:$E,7),SUMIFS('ON Data'!W:W,'ON Data'!$E:$E,7))</f>
        <v>0</v>
      </c>
      <c r="S16" s="203">
        <f xml:space="preserve">
IF($A$4&lt;=12,SUMIFS('ON Data'!X:X,'ON Data'!$D:$D,$A$4,'ON Data'!$E:$E,7),SUMIFS('ON Data'!X:X,'ON Data'!$E:$E,7))</f>
        <v>0</v>
      </c>
      <c r="T16" s="203">
        <f xml:space="preserve">
IF($A$4&lt;=12,SUMIFS('ON Data'!Y:Y,'ON Data'!$D:$D,$A$4,'ON Data'!$E:$E,7),SUMIFS('ON Data'!Y:Y,'ON Data'!$E:$E,7))</f>
        <v>0</v>
      </c>
      <c r="U16" s="203">
        <f xml:space="preserve">
IF($A$4&lt;=12,SUMIFS('ON Data'!Z:Z,'ON Data'!$D:$D,$A$4,'ON Data'!$E:$E,7),SUMIFS('ON Data'!Z:Z,'ON Data'!$E:$E,7))</f>
        <v>0</v>
      </c>
      <c r="V16" s="203">
        <f xml:space="preserve">
IF($A$4&lt;=12,SUMIFS('ON Data'!AA:AA,'ON Data'!$D:$D,$A$4,'ON Data'!$E:$E,7),SUMIFS('ON Data'!AA:AA,'ON Data'!$E:$E,7))</f>
        <v>0</v>
      </c>
      <c r="W16" s="203">
        <f xml:space="preserve">
IF($A$4&lt;=12,SUMIFS('ON Data'!AB:AB,'ON Data'!$D:$D,$A$4,'ON Data'!$E:$E,7),SUMIFS('ON Data'!AB:AB,'ON Data'!$E:$E,7))</f>
        <v>0</v>
      </c>
      <c r="X16" s="203">
        <f xml:space="preserve">
IF($A$4&lt;=12,SUMIFS('ON Data'!AC:AC,'ON Data'!$D:$D,$A$4,'ON Data'!$E:$E,7),SUMIFS('ON Data'!AC:AC,'ON Data'!$E:$E,7))</f>
        <v>0</v>
      </c>
      <c r="Y16" s="203">
        <f xml:space="preserve">
IF($A$4&lt;=12,SUMIFS('ON Data'!AD:AD,'ON Data'!$D:$D,$A$4,'ON Data'!$E:$E,7),SUMIFS('ON Data'!AD:AD,'ON Data'!$E:$E,7))</f>
        <v>0</v>
      </c>
      <c r="Z16" s="203">
        <f xml:space="preserve">
IF($A$4&lt;=12,SUMIFS('ON Data'!AE:AE,'ON Data'!$D:$D,$A$4,'ON Data'!$E:$E,7),SUMIFS('ON Data'!AE:AE,'ON Data'!$E:$E,7))</f>
        <v>0</v>
      </c>
      <c r="AA16" s="203">
        <f xml:space="preserve">
IF($A$4&lt;=12,SUMIFS('ON Data'!AF:AF,'ON Data'!$D:$D,$A$4,'ON Data'!$E:$E,7),SUMIFS('ON Data'!AF:AF,'ON Data'!$E:$E,7))</f>
        <v>0</v>
      </c>
      <c r="AB16" s="203">
        <f xml:space="preserve">
IF($A$4&lt;=12,SUMIFS('ON Data'!AG:AG,'ON Data'!$D:$D,$A$4,'ON Data'!$E:$E,7),SUMIFS('ON Data'!AG:AG,'ON Data'!$E:$E,7))</f>
        <v>0</v>
      </c>
      <c r="AC16" s="203">
        <f xml:space="preserve">
IF($A$4&lt;=12,SUMIFS('ON Data'!AH:AH,'ON Data'!$D:$D,$A$4,'ON Data'!$E:$E,7),SUMIFS('ON Data'!AH:AH,'ON Data'!$E:$E,7))</f>
        <v>0</v>
      </c>
      <c r="AD16" s="203">
        <f xml:space="preserve">
IF($A$4&lt;=12,SUMIFS('ON Data'!AI:AI,'ON Data'!$D:$D,$A$4,'ON Data'!$E:$E,7),SUMIFS('ON Data'!AI:AI,'ON Data'!$E:$E,7))</f>
        <v>0</v>
      </c>
      <c r="AE16" s="203">
        <f xml:space="preserve">
IF($A$4&lt;=12,SUMIFS('ON Data'!AJ:AJ,'ON Data'!$D:$D,$A$4,'ON Data'!$E:$E,7),SUMIFS('ON Data'!AJ:AJ,'ON Data'!$E:$E,7))</f>
        <v>0</v>
      </c>
      <c r="AF16" s="203">
        <f xml:space="preserve">
IF($A$4&lt;=12,SUMIFS('ON Data'!AK:AK,'ON Data'!$D:$D,$A$4,'ON Data'!$E:$E,7),SUMIFS('ON Data'!AK:AK,'ON Data'!$E:$E,7))</f>
        <v>0</v>
      </c>
      <c r="AG16" s="203">
        <f xml:space="preserve">
IF($A$4&lt;=12,SUMIFS('ON Data'!AL:AL,'ON Data'!$D:$D,$A$4,'ON Data'!$E:$E,7),SUMIFS('ON Data'!AL:AL,'ON Data'!$E:$E,7))</f>
        <v>0</v>
      </c>
      <c r="AH16" s="396">
        <f xml:space="preserve">
IF($A$4&lt;=12,SUMIFS('ON Data'!AN:AN,'ON Data'!$D:$D,$A$4,'ON Data'!$E:$E,7),SUMIFS('ON Data'!AN:AN,'ON Data'!$E:$E,7))</f>
        <v>0</v>
      </c>
      <c r="AI16" s="406"/>
    </row>
    <row r="17" spans="1:35" x14ac:dyDescent="0.3">
      <c r="A17" s="186" t="s">
        <v>123</v>
      </c>
      <c r="B17" s="201">
        <f xml:space="preserve">
IF($A$4&lt;=12,SUMIFS('ON Data'!F:F,'ON Data'!$D:$D,$A$4,'ON Data'!$E:$E,8),SUMIFS('ON Data'!F:F,'ON Data'!$E:$E,8))</f>
        <v>0</v>
      </c>
      <c r="C17" s="202">
        <f xml:space="preserve">
IF($A$4&lt;=12,SUMIFS('ON Data'!G:G,'ON Data'!$D:$D,$A$4,'ON Data'!$E:$E,8),SUMIFS('ON Data'!G:G,'ON Data'!$E:$E,8))</f>
        <v>0</v>
      </c>
      <c r="D17" s="203">
        <f xml:space="preserve">
IF($A$4&lt;=12,SUMIFS('ON Data'!H:H,'ON Data'!$D:$D,$A$4,'ON Data'!$E:$E,8),SUMIFS('ON Data'!H:H,'ON Data'!$E:$E,8))</f>
        <v>0</v>
      </c>
      <c r="E17" s="203">
        <f xml:space="preserve">
IF($A$4&lt;=12,SUMIFS('ON Data'!I:I,'ON Data'!$D:$D,$A$4,'ON Data'!$E:$E,8),SUMIFS('ON Data'!I:I,'ON Data'!$E:$E,8))</f>
        <v>0</v>
      </c>
      <c r="F17" s="203">
        <f xml:space="preserve">
IF($A$4&lt;=12,SUMIFS('ON Data'!K:K,'ON Data'!$D:$D,$A$4,'ON Data'!$E:$E,8),SUMIFS('ON Data'!K:K,'ON Data'!$E:$E,8))</f>
        <v>0</v>
      </c>
      <c r="G17" s="203">
        <f xml:space="preserve">
IF($A$4&lt;=12,SUMIFS('ON Data'!L:L,'ON Data'!$D:$D,$A$4,'ON Data'!$E:$E,8),SUMIFS('ON Data'!L:L,'ON Data'!$E:$E,8))</f>
        <v>0</v>
      </c>
      <c r="H17" s="203">
        <f xml:space="preserve">
IF($A$4&lt;=12,SUMIFS('ON Data'!M:M,'ON Data'!$D:$D,$A$4,'ON Data'!$E:$E,8),SUMIFS('ON Data'!M:M,'ON Data'!$E:$E,8))</f>
        <v>0</v>
      </c>
      <c r="I17" s="203">
        <f xml:space="preserve">
IF($A$4&lt;=12,SUMIFS('ON Data'!N:N,'ON Data'!$D:$D,$A$4,'ON Data'!$E:$E,8),SUMIFS('ON Data'!N:N,'ON Data'!$E:$E,8))</f>
        <v>0</v>
      </c>
      <c r="J17" s="203">
        <f xml:space="preserve">
IF($A$4&lt;=12,SUMIFS('ON Data'!O:O,'ON Data'!$D:$D,$A$4,'ON Data'!$E:$E,8),SUMIFS('ON Data'!O:O,'ON Data'!$E:$E,8))</f>
        <v>0</v>
      </c>
      <c r="K17" s="203">
        <f xml:space="preserve">
IF($A$4&lt;=12,SUMIFS('ON Data'!P:P,'ON Data'!$D:$D,$A$4,'ON Data'!$E:$E,8),SUMIFS('ON Data'!P:P,'ON Data'!$E:$E,8))</f>
        <v>0</v>
      </c>
      <c r="L17" s="203">
        <f xml:space="preserve">
IF($A$4&lt;=12,SUMIFS('ON Data'!Q:Q,'ON Data'!$D:$D,$A$4,'ON Data'!$E:$E,8),SUMIFS('ON Data'!Q:Q,'ON Data'!$E:$E,8))</f>
        <v>0</v>
      </c>
      <c r="M17" s="203">
        <f xml:space="preserve">
IF($A$4&lt;=12,SUMIFS('ON Data'!R:R,'ON Data'!$D:$D,$A$4,'ON Data'!$E:$E,8),SUMIFS('ON Data'!R:R,'ON Data'!$E:$E,8))</f>
        <v>0</v>
      </c>
      <c r="N17" s="203">
        <f xml:space="preserve">
IF($A$4&lt;=12,SUMIFS('ON Data'!S:S,'ON Data'!$D:$D,$A$4,'ON Data'!$E:$E,8),SUMIFS('ON Data'!S:S,'ON Data'!$E:$E,8))</f>
        <v>0</v>
      </c>
      <c r="O17" s="203">
        <f xml:space="preserve">
IF($A$4&lt;=12,SUMIFS('ON Data'!T:T,'ON Data'!$D:$D,$A$4,'ON Data'!$E:$E,8),SUMIFS('ON Data'!T:T,'ON Data'!$E:$E,8))</f>
        <v>0</v>
      </c>
      <c r="P17" s="203">
        <f xml:space="preserve">
IF($A$4&lt;=12,SUMIFS('ON Data'!U:U,'ON Data'!$D:$D,$A$4,'ON Data'!$E:$E,8),SUMIFS('ON Data'!U:U,'ON Data'!$E:$E,8))</f>
        <v>0</v>
      </c>
      <c r="Q17" s="203">
        <f xml:space="preserve">
IF($A$4&lt;=12,SUMIFS('ON Data'!V:V,'ON Data'!$D:$D,$A$4,'ON Data'!$E:$E,8),SUMIFS('ON Data'!V:V,'ON Data'!$E:$E,8))</f>
        <v>0</v>
      </c>
      <c r="R17" s="203">
        <f xml:space="preserve">
IF($A$4&lt;=12,SUMIFS('ON Data'!W:W,'ON Data'!$D:$D,$A$4,'ON Data'!$E:$E,8),SUMIFS('ON Data'!W:W,'ON Data'!$E:$E,8))</f>
        <v>0</v>
      </c>
      <c r="S17" s="203">
        <f xml:space="preserve">
IF($A$4&lt;=12,SUMIFS('ON Data'!X:X,'ON Data'!$D:$D,$A$4,'ON Data'!$E:$E,8),SUMIFS('ON Data'!X:X,'ON Data'!$E:$E,8))</f>
        <v>0</v>
      </c>
      <c r="T17" s="203">
        <f xml:space="preserve">
IF($A$4&lt;=12,SUMIFS('ON Data'!Y:Y,'ON Data'!$D:$D,$A$4,'ON Data'!$E:$E,8),SUMIFS('ON Data'!Y:Y,'ON Data'!$E:$E,8))</f>
        <v>0</v>
      </c>
      <c r="U17" s="203">
        <f xml:space="preserve">
IF($A$4&lt;=12,SUMIFS('ON Data'!Z:Z,'ON Data'!$D:$D,$A$4,'ON Data'!$E:$E,8),SUMIFS('ON Data'!Z:Z,'ON Data'!$E:$E,8))</f>
        <v>0</v>
      </c>
      <c r="V17" s="203">
        <f xml:space="preserve">
IF($A$4&lt;=12,SUMIFS('ON Data'!AA:AA,'ON Data'!$D:$D,$A$4,'ON Data'!$E:$E,8),SUMIFS('ON Data'!AA:AA,'ON Data'!$E:$E,8))</f>
        <v>0</v>
      </c>
      <c r="W17" s="203">
        <f xml:space="preserve">
IF($A$4&lt;=12,SUMIFS('ON Data'!AB:AB,'ON Data'!$D:$D,$A$4,'ON Data'!$E:$E,8),SUMIFS('ON Data'!AB:AB,'ON Data'!$E:$E,8))</f>
        <v>0</v>
      </c>
      <c r="X17" s="203">
        <f xml:space="preserve">
IF($A$4&lt;=12,SUMIFS('ON Data'!AC:AC,'ON Data'!$D:$D,$A$4,'ON Data'!$E:$E,8),SUMIFS('ON Data'!AC:AC,'ON Data'!$E:$E,8))</f>
        <v>0</v>
      </c>
      <c r="Y17" s="203">
        <f xml:space="preserve">
IF($A$4&lt;=12,SUMIFS('ON Data'!AD:AD,'ON Data'!$D:$D,$A$4,'ON Data'!$E:$E,8),SUMIFS('ON Data'!AD:AD,'ON Data'!$E:$E,8))</f>
        <v>0</v>
      </c>
      <c r="Z17" s="203">
        <f xml:space="preserve">
IF($A$4&lt;=12,SUMIFS('ON Data'!AE:AE,'ON Data'!$D:$D,$A$4,'ON Data'!$E:$E,8),SUMIFS('ON Data'!AE:AE,'ON Data'!$E:$E,8))</f>
        <v>0</v>
      </c>
      <c r="AA17" s="203">
        <f xml:space="preserve">
IF($A$4&lt;=12,SUMIFS('ON Data'!AF:AF,'ON Data'!$D:$D,$A$4,'ON Data'!$E:$E,8),SUMIFS('ON Data'!AF:AF,'ON Data'!$E:$E,8))</f>
        <v>0</v>
      </c>
      <c r="AB17" s="203">
        <f xml:space="preserve">
IF($A$4&lt;=12,SUMIFS('ON Data'!AG:AG,'ON Data'!$D:$D,$A$4,'ON Data'!$E:$E,8),SUMIFS('ON Data'!AG:AG,'ON Data'!$E:$E,8))</f>
        <v>0</v>
      </c>
      <c r="AC17" s="203">
        <f xml:space="preserve">
IF($A$4&lt;=12,SUMIFS('ON Data'!AH:AH,'ON Data'!$D:$D,$A$4,'ON Data'!$E:$E,8),SUMIFS('ON Data'!AH:AH,'ON Data'!$E:$E,8))</f>
        <v>0</v>
      </c>
      <c r="AD17" s="203">
        <f xml:space="preserve">
IF($A$4&lt;=12,SUMIFS('ON Data'!AI:AI,'ON Data'!$D:$D,$A$4,'ON Data'!$E:$E,8),SUMIFS('ON Data'!AI:AI,'ON Data'!$E:$E,8))</f>
        <v>0</v>
      </c>
      <c r="AE17" s="203">
        <f xml:space="preserve">
IF($A$4&lt;=12,SUMIFS('ON Data'!AJ:AJ,'ON Data'!$D:$D,$A$4,'ON Data'!$E:$E,8),SUMIFS('ON Data'!AJ:AJ,'ON Data'!$E:$E,8))</f>
        <v>0</v>
      </c>
      <c r="AF17" s="203">
        <f xml:space="preserve">
IF($A$4&lt;=12,SUMIFS('ON Data'!AK:AK,'ON Data'!$D:$D,$A$4,'ON Data'!$E:$E,8),SUMIFS('ON Data'!AK:AK,'ON Data'!$E:$E,8))</f>
        <v>0</v>
      </c>
      <c r="AG17" s="203">
        <f xml:space="preserve">
IF($A$4&lt;=12,SUMIFS('ON Data'!AL:AL,'ON Data'!$D:$D,$A$4,'ON Data'!$E:$E,8),SUMIFS('ON Data'!AL:AL,'ON Data'!$E:$E,8))</f>
        <v>0</v>
      </c>
      <c r="AH17" s="396">
        <f xml:space="preserve">
IF($A$4&lt;=12,SUMIFS('ON Data'!AN:AN,'ON Data'!$D:$D,$A$4,'ON Data'!$E:$E,8),SUMIFS('ON Data'!AN:AN,'ON Data'!$E:$E,8))</f>
        <v>0</v>
      </c>
      <c r="AI17" s="406"/>
    </row>
    <row r="18" spans="1:35" x14ac:dyDescent="0.3">
      <c r="A18" s="186" t="s">
        <v>124</v>
      </c>
      <c r="B18" s="201">
        <f xml:space="preserve">
B19-B16-B17</f>
        <v>105301</v>
      </c>
      <c r="C18" s="202">
        <f t="shared" ref="C18:G18" si="0" xml:space="preserve">
C19-C16-C17</f>
        <v>0</v>
      </c>
      <c r="D18" s="203">
        <f t="shared" si="0"/>
        <v>79006</v>
      </c>
      <c r="E18" s="203">
        <f t="shared" si="0"/>
        <v>0</v>
      </c>
      <c r="F18" s="203">
        <f t="shared" si="0"/>
        <v>0</v>
      </c>
      <c r="G18" s="203">
        <f t="shared" si="0"/>
        <v>0</v>
      </c>
      <c r="H18" s="203">
        <f t="shared" ref="H18:AH18" si="1" xml:space="preserve">
H19-H16-H17</f>
        <v>0</v>
      </c>
      <c r="I18" s="203">
        <f t="shared" si="1"/>
        <v>0</v>
      </c>
      <c r="J18" s="203">
        <f t="shared" si="1"/>
        <v>10082</v>
      </c>
      <c r="K18" s="203">
        <f t="shared" si="1"/>
        <v>0</v>
      </c>
      <c r="L18" s="203">
        <f t="shared" si="1"/>
        <v>0</v>
      </c>
      <c r="M18" s="203">
        <f t="shared" si="1"/>
        <v>0</v>
      </c>
      <c r="N18" s="203">
        <f t="shared" si="1"/>
        <v>0</v>
      </c>
      <c r="O18" s="203">
        <f t="shared" si="1"/>
        <v>0</v>
      </c>
      <c r="P18" s="203">
        <f t="shared" si="1"/>
        <v>0</v>
      </c>
      <c r="Q18" s="203">
        <f t="shared" si="1"/>
        <v>0</v>
      </c>
      <c r="R18" s="203">
        <f t="shared" si="1"/>
        <v>0</v>
      </c>
      <c r="S18" s="203">
        <f t="shared" si="1"/>
        <v>0</v>
      </c>
      <c r="T18" s="203">
        <f t="shared" si="1"/>
        <v>0</v>
      </c>
      <c r="U18" s="203">
        <f t="shared" si="1"/>
        <v>0</v>
      </c>
      <c r="V18" s="203">
        <f t="shared" si="1"/>
        <v>0</v>
      </c>
      <c r="W18" s="203">
        <f t="shared" si="1"/>
        <v>0</v>
      </c>
      <c r="X18" s="203">
        <f t="shared" si="1"/>
        <v>16213</v>
      </c>
      <c r="Y18" s="203">
        <f t="shared" si="1"/>
        <v>0</v>
      </c>
      <c r="Z18" s="203">
        <f t="shared" si="1"/>
        <v>0</v>
      </c>
      <c r="AA18" s="203">
        <f t="shared" si="1"/>
        <v>0</v>
      </c>
      <c r="AB18" s="203">
        <f t="shared" si="1"/>
        <v>0</v>
      </c>
      <c r="AC18" s="203">
        <f t="shared" si="1"/>
        <v>0</v>
      </c>
      <c r="AD18" s="203">
        <f t="shared" si="1"/>
        <v>0</v>
      </c>
      <c r="AE18" s="203">
        <f t="shared" si="1"/>
        <v>0</v>
      </c>
      <c r="AF18" s="203">
        <f t="shared" si="1"/>
        <v>0</v>
      </c>
      <c r="AG18" s="203">
        <f t="shared" si="1"/>
        <v>0</v>
      </c>
      <c r="AH18" s="396">
        <f t="shared" si="1"/>
        <v>0</v>
      </c>
      <c r="AI18" s="406"/>
    </row>
    <row r="19" spans="1:35" ht="15" thickBot="1" x14ac:dyDescent="0.35">
      <c r="A19" s="187" t="s">
        <v>125</v>
      </c>
      <c r="B19" s="210">
        <f xml:space="preserve">
IF($A$4&lt;=12,SUMIFS('ON Data'!F:F,'ON Data'!$D:$D,$A$4,'ON Data'!$E:$E,9),SUMIFS('ON Data'!F:F,'ON Data'!$E:$E,9))</f>
        <v>105301</v>
      </c>
      <c r="C19" s="211">
        <f xml:space="preserve">
IF($A$4&lt;=12,SUMIFS('ON Data'!G:G,'ON Data'!$D:$D,$A$4,'ON Data'!$E:$E,9),SUMIFS('ON Data'!G:G,'ON Data'!$E:$E,9))</f>
        <v>0</v>
      </c>
      <c r="D19" s="212">
        <f xml:space="preserve">
IF($A$4&lt;=12,SUMIFS('ON Data'!H:H,'ON Data'!$D:$D,$A$4,'ON Data'!$E:$E,9),SUMIFS('ON Data'!H:H,'ON Data'!$E:$E,9))</f>
        <v>79006</v>
      </c>
      <c r="E19" s="212">
        <f xml:space="preserve">
IF($A$4&lt;=12,SUMIFS('ON Data'!I:I,'ON Data'!$D:$D,$A$4,'ON Data'!$E:$E,9),SUMIFS('ON Data'!I:I,'ON Data'!$E:$E,9))</f>
        <v>0</v>
      </c>
      <c r="F19" s="212">
        <f xml:space="preserve">
IF($A$4&lt;=12,SUMIFS('ON Data'!K:K,'ON Data'!$D:$D,$A$4,'ON Data'!$E:$E,9),SUMIFS('ON Data'!K:K,'ON Data'!$E:$E,9))</f>
        <v>0</v>
      </c>
      <c r="G19" s="212">
        <f xml:space="preserve">
IF($A$4&lt;=12,SUMIFS('ON Data'!L:L,'ON Data'!$D:$D,$A$4,'ON Data'!$E:$E,9),SUMIFS('ON Data'!L:L,'ON Data'!$E:$E,9))</f>
        <v>0</v>
      </c>
      <c r="H19" s="212">
        <f xml:space="preserve">
IF($A$4&lt;=12,SUMIFS('ON Data'!M:M,'ON Data'!$D:$D,$A$4,'ON Data'!$E:$E,9),SUMIFS('ON Data'!M:M,'ON Data'!$E:$E,9))</f>
        <v>0</v>
      </c>
      <c r="I19" s="212">
        <f xml:space="preserve">
IF($A$4&lt;=12,SUMIFS('ON Data'!N:N,'ON Data'!$D:$D,$A$4,'ON Data'!$E:$E,9),SUMIFS('ON Data'!N:N,'ON Data'!$E:$E,9))</f>
        <v>0</v>
      </c>
      <c r="J19" s="212">
        <f xml:space="preserve">
IF($A$4&lt;=12,SUMIFS('ON Data'!O:O,'ON Data'!$D:$D,$A$4,'ON Data'!$E:$E,9),SUMIFS('ON Data'!O:O,'ON Data'!$E:$E,9))</f>
        <v>10082</v>
      </c>
      <c r="K19" s="212">
        <f xml:space="preserve">
IF($A$4&lt;=12,SUMIFS('ON Data'!P:P,'ON Data'!$D:$D,$A$4,'ON Data'!$E:$E,9),SUMIFS('ON Data'!P:P,'ON Data'!$E:$E,9))</f>
        <v>0</v>
      </c>
      <c r="L19" s="212">
        <f xml:space="preserve">
IF($A$4&lt;=12,SUMIFS('ON Data'!Q:Q,'ON Data'!$D:$D,$A$4,'ON Data'!$E:$E,9),SUMIFS('ON Data'!Q:Q,'ON Data'!$E:$E,9))</f>
        <v>0</v>
      </c>
      <c r="M19" s="212">
        <f xml:space="preserve">
IF($A$4&lt;=12,SUMIFS('ON Data'!R:R,'ON Data'!$D:$D,$A$4,'ON Data'!$E:$E,9),SUMIFS('ON Data'!R:R,'ON Data'!$E:$E,9))</f>
        <v>0</v>
      </c>
      <c r="N19" s="212">
        <f xml:space="preserve">
IF($A$4&lt;=12,SUMIFS('ON Data'!S:S,'ON Data'!$D:$D,$A$4,'ON Data'!$E:$E,9),SUMIFS('ON Data'!S:S,'ON Data'!$E:$E,9))</f>
        <v>0</v>
      </c>
      <c r="O19" s="212">
        <f xml:space="preserve">
IF($A$4&lt;=12,SUMIFS('ON Data'!T:T,'ON Data'!$D:$D,$A$4,'ON Data'!$E:$E,9),SUMIFS('ON Data'!T:T,'ON Data'!$E:$E,9))</f>
        <v>0</v>
      </c>
      <c r="P19" s="212">
        <f xml:space="preserve">
IF($A$4&lt;=12,SUMIFS('ON Data'!U:U,'ON Data'!$D:$D,$A$4,'ON Data'!$E:$E,9),SUMIFS('ON Data'!U:U,'ON Data'!$E:$E,9))</f>
        <v>0</v>
      </c>
      <c r="Q19" s="212">
        <f xml:space="preserve">
IF($A$4&lt;=12,SUMIFS('ON Data'!V:V,'ON Data'!$D:$D,$A$4,'ON Data'!$E:$E,9),SUMIFS('ON Data'!V:V,'ON Data'!$E:$E,9))</f>
        <v>0</v>
      </c>
      <c r="R19" s="212">
        <f xml:space="preserve">
IF($A$4&lt;=12,SUMIFS('ON Data'!W:W,'ON Data'!$D:$D,$A$4,'ON Data'!$E:$E,9),SUMIFS('ON Data'!W:W,'ON Data'!$E:$E,9))</f>
        <v>0</v>
      </c>
      <c r="S19" s="212">
        <f xml:space="preserve">
IF($A$4&lt;=12,SUMIFS('ON Data'!X:X,'ON Data'!$D:$D,$A$4,'ON Data'!$E:$E,9),SUMIFS('ON Data'!X:X,'ON Data'!$E:$E,9))</f>
        <v>0</v>
      </c>
      <c r="T19" s="212">
        <f xml:space="preserve">
IF($A$4&lt;=12,SUMIFS('ON Data'!Y:Y,'ON Data'!$D:$D,$A$4,'ON Data'!$E:$E,9),SUMIFS('ON Data'!Y:Y,'ON Data'!$E:$E,9))</f>
        <v>0</v>
      </c>
      <c r="U19" s="212">
        <f xml:space="preserve">
IF($A$4&lt;=12,SUMIFS('ON Data'!Z:Z,'ON Data'!$D:$D,$A$4,'ON Data'!$E:$E,9),SUMIFS('ON Data'!Z:Z,'ON Data'!$E:$E,9))</f>
        <v>0</v>
      </c>
      <c r="V19" s="212">
        <f xml:space="preserve">
IF($A$4&lt;=12,SUMIFS('ON Data'!AA:AA,'ON Data'!$D:$D,$A$4,'ON Data'!$E:$E,9),SUMIFS('ON Data'!AA:AA,'ON Data'!$E:$E,9))</f>
        <v>0</v>
      </c>
      <c r="W19" s="212">
        <f xml:space="preserve">
IF($A$4&lt;=12,SUMIFS('ON Data'!AB:AB,'ON Data'!$D:$D,$A$4,'ON Data'!$E:$E,9),SUMIFS('ON Data'!AB:AB,'ON Data'!$E:$E,9))</f>
        <v>0</v>
      </c>
      <c r="X19" s="212">
        <f xml:space="preserve">
IF($A$4&lt;=12,SUMIFS('ON Data'!AC:AC,'ON Data'!$D:$D,$A$4,'ON Data'!$E:$E,9),SUMIFS('ON Data'!AC:AC,'ON Data'!$E:$E,9))</f>
        <v>16213</v>
      </c>
      <c r="Y19" s="212">
        <f xml:space="preserve">
IF($A$4&lt;=12,SUMIFS('ON Data'!AD:AD,'ON Data'!$D:$D,$A$4,'ON Data'!$E:$E,9),SUMIFS('ON Data'!AD:AD,'ON Data'!$E:$E,9))</f>
        <v>0</v>
      </c>
      <c r="Z19" s="212">
        <f xml:space="preserve">
IF($A$4&lt;=12,SUMIFS('ON Data'!AE:AE,'ON Data'!$D:$D,$A$4,'ON Data'!$E:$E,9),SUMIFS('ON Data'!AE:AE,'ON Data'!$E:$E,9))</f>
        <v>0</v>
      </c>
      <c r="AA19" s="212">
        <f xml:space="preserve">
IF($A$4&lt;=12,SUMIFS('ON Data'!AF:AF,'ON Data'!$D:$D,$A$4,'ON Data'!$E:$E,9),SUMIFS('ON Data'!AF:AF,'ON Data'!$E:$E,9))</f>
        <v>0</v>
      </c>
      <c r="AB19" s="212">
        <f xml:space="preserve">
IF($A$4&lt;=12,SUMIFS('ON Data'!AG:AG,'ON Data'!$D:$D,$A$4,'ON Data'!$E:$E,9),SUMIFS('ON Data'!AG:AG,'ON Data'!$E:$E,9))</f>
        <v>0</v>
      </c>
      <c r="AC19" s="212">
        <f xml:space="preserve">
IF($A$4&lt;=12,SUMIFS('ON Data'!AH:AH,'ON Data'!$D:$D,$A$4,'ON Data'!$E:$E,9),SUMIFS('ON Data'!AH:AH,'ON Data'!$E:$E,9))</f>
        <v>0</v>
      </c>
      <c r="AD19" s="212">
        <f xml:space="preserve">
IF($A$4&lt;=12,SUMIFS('ON Data'!AI:AI,'ON Data'!$D:$D,$A$4,'ON Data'!$E:$E,9),SUMIFS('ON Data'!AI:AI,'ON Data'!$E:$E,9))</f>
        <v>0</v>
      </c>
      <c r="AE19" s="212">
        <f xml:space="preserve">
IF($A$4&lt;=12,SUMIFS('ON Data'!AJ:AJ,'ON Data'!$D:$D,$A$4,'ON Data'!$E:$E,9),SUMIFS('ON Data'!AJ:AJ,'ON Data'!$E:$E,9))</f>
        <v>0</v>
      </c>
      <c r="AF19" s="212">
        <f xml:space="preserve">
IF($A$4&lt;=12,SUMIFS('ON Data'!AK:AK,'ON Data'!$D:$D,$A$4,'ON Data'!$E:$E,9),SUMIFS('ON Data'!AK:AK,'ON Data'!$E:$E,9))</f>
        <v>0</v>
      </c>
      <c r="AG19" s="212">
        <f xml:space="preserve">
IF($A$4&lt;=12,SUMIFS('ON Data'!AL:AL,'ON Data'!$D:$D,$A$4,'ON Data'!$E:$E,9),SUMIFS('ON Data'!AL:AL,'ON Data'!$E:$E,9))</f>
        <v>0</v>
      </c>
      <c r="AH19" s="399">
        <f xml:space="preserve">
IF($A$4&lt;=12,SUMIFS('ON Data'!AN:AN,'ON Data'!$D:$D,$A$4,'ON Data'!$E:$E,9),SUMIFS('ON Data'!AN:AN,'ON Data'!$E:$E,9))</f>
        <v>0</v>
      </c>
      <c r="AI19" s="406"/>
    </row>
    <row r="20" spans="1:35" ht="15" collapsed="1" thickBot="1" x14ac:dyDescent="0.35">
      <c r="A20" s="188" t="s">
        <v>55</v>
      </c>
      <c r="B20" s="213">
        <f xml:space="preserve">
IF($A$4&lt;=12,SUMIFS('ON Data'!F:F,'ON Data'!$D:$D,$A$4,'ON Data'!$E:$E,6),SUMIFS('ON Data'!F:F,'ON Data'!$E:$E,6))</f>
        <v>1545350</v>
      </c>
      <c r="C20" s="214">
        <f xml:space="preserve">
IF($A$4&lt;=12,SUMIFS('ON Data'!G:G,'ON Data'!$D:$D,$A$4,'ON Data'!$E:$E,6),SUMIFS('ON Data'!G:G,'ON Data'!$E:$E,6))</f>
        <v>45000</v>
      </c>
      <c r="D20" s="215">
        <f xml:space="preserve">
IF($A$4&lt;=12,SUMIFS('ON Data'!H:H,'ON Data'!$D:$D,$A$4,'ON Data'!$E:$E,6),SUMIFS('ON Data'!H:H,'ON Data'!$E:$E,6))</f>
        <v>1035915</v>
      </c>
      <c r="E20" s="215">
        <f xml:space="preserve">
IF($A$4&lt;=12,SUMIFS('ON Data'!I:I,'ON Data'!$D:$D,$A$4,'ON Data'!$E:$E,6),SUMIFS('ON Data'!I:I,'ON Data'!$E:$E,6))</f>
        <v>0</v>
      </c>
      <c r="F20" s="215">
        <f xml:space="preserve">
IF($A$4&lt;=12,SUMIFS('ON Data'!K:K,'ON Data'!$D:$D,$A$4,'ON Data'!$E:$E,6),SUMIFS('ON Data'!K:K,'ON Data'!$E:$E,6))</f>
        <v>0</v>
      </c>
      <c r="G20" s="215">
        <f xml:space="preserve">
IF($A$4&lt;=12,SUMIFS('ON Data'!L:L,'ON Data'!$D:$D,$A$4,'ON Data'!$E:$E,6),SUMIFS('ON Data'!L:L,'ON Data'!$E:$E,6))</f>
        <v>0</v>
      </c>
      <c r="H20" s="215">
        <f xml:space="preserve">
IF($A$4&lt;=12,SUMIFS('ON Data'!M:M,'ON Data'!$D:$D,$A$4,'ON Data'!$E:$E,6),SUMIFS('ON Data'!M:M,'ON Data'!$E:$E,6))</f>
        <v>0</v>
      </c>
      <c r="I20" s="215">
        <f xml:space="preserve">
IF($A$4&lt;=12,SUMIFS('ON Data'!N:N,'ON Data'!$D:$D,$A$4,'ON Data'!$E:$E,6),SUMIFS('ON Data'!N:N,'ON Data'!$E:$E,6))</f>
        <v>0</v>
      </c>
      <c r="J20" s="215">
        <f xml:space="preserve">
IF($A$4&lt;=12,SUMIFS('ON Data'!O:O,'ON Data'!$D:$D,$A$4,'ON Data'!$E:$E,6),SUMIFS('ON Data'!O:O,'ON Data'!$E:$E,6))</f>
        <v>238970</v>
      </c>
      <c r="K20" s="215">
        <f xml:space="preserve">
IF($A$4&lt;=12,SUMIFS('ON Data'!P:P,'ON Data'!$D:$D,$A$4,'ON Data'!$E:$E,6),SUMIFS('ON Data'!P:P,'ON Data'!$E:$E,6))</f>
        <v>0</v>
      </c>
      <c r="L20" s="215">
        <f xml:space="preserve">
IF($A$4&lt;=12,SUMIFS('ON Data'!Q:Q,'ON Data'!$D:$D,$A$4,'ON Data'!$E:$E,6),SUMIFS('ON Data'!Q:Q,'ON Data'!$E:$E,6))</f>
        <v>0</v>
      </c>
      <c r="M20" s="215">
        <f xml:space="preserve">
IF($A$4&lt;=12,SUMIFS('ON Data'!R:R,'ON Data'!$D:$D,$A$4,'ON Data'!$E:$E,6),SUMIFS('ON Data'!R:R,'ON Data'!$E:$E,6))</f>
        <v>0</v>
      </c>
      <c r="N20" s="215">
        <f xml:space="preserve">
IF($A$4&lt;=12,SUMIFS('ON Data'!S:S,'ON Data'!$D:$D,$A$4,'ON Data'!$E:$E,6),SUMIFS('ON Data'!S:S,'ON Data'!$E:$E,6))</f>
        <v>0</v>
      </c>
      <c r="O20" s="215">
        <f xml:space="preserve">
IF($A$4&lt;=12,SUMIFS('ON Data'!T:T,'ON Data'!$D:$D,$A$4,'ON Data'!$E:$E,6),SUMIFS('ON Data'!T:T,'ON Data'!$E:$E,6))</f>
        <v>0</v>
      </c>
      <c r="P20" s="215">
        <f xml:space="preserve">
IF($A$4&lt;=12,SUMIFS('ON Data'!U:U,'ON Data'!$D:$D,$A$4,'ON Data'!$E:$E,6),SUMIFS('ON Data'!U:U,'ON Data'!$E:$E,6))</f>
        <v>0</v>
      </c>
      <c r="Q20" s="215">
        <f xml:space="preserve">
IF($A$4&lt;=12,SUMIFS('ON Data'!V:V,'ON Data'!$D:$D,$A$4,'ON Data'!$E:$E,6),SUMIFS('ON Data'!V:V,'ON Data'!$E:$E,6))</f>
        <v>0</v>
      </c>
      <c r="R20" s="215">
        <f xml:space="preserve">
IF($A$4&lt;=12,SUMIFS('ON Data'!W:W,'ON Data'!$D:$D,$A$4,'ON Data'!$E:$E,6),SUMIFS('ON Data'!W:W,'ON Data'!$E:$E,6))</f>
        <v>0</v>
      </c>
      <c r="S20" s="215">
        <f xml:space="preserve">
IF($A$4&lt;=12,SUMIFS('ON Data'!X:X,'ON Data'!$D:$D,$A$4,'ON Data'!$E:$E,6),SUMIFS('ON Data'!X:X,'ON Data'!$E:$E,6))</f>
        <v>0</v>
      </c>
      <c r="T20" s="215">
        <f xml:space="preserve">
IF($A$4&lt;=12,SUMIFS('ON Data'!Y:Y,'ON Data'!$D:$D,$A$4,'ON Data'!$E:$E,6),SUMIFS('ON Data'!Y:Y,'ON Data'!$E:$E,6))</f>
        <v>0</v>
      </c>
      <c r="U20" s="215">
        <f xml:space="preserve">
IF($A$4&lt;=12,SUMIFS('ON Data'!Z:Z,'ON Data'!$D:$D,$A$4,'ON Data'!$E:$E,6),SUMIFS('ON Data'!Z:Z,'ON Data'!$E:$E,6))</f>
        <v>0</v>
      </c>
      <c r="V20" s="215">
        <f xml:space="preserve">
IF($A$4&lt;=12,SUMIFS('ON Data'!AA:AA,'ON Data'!$D:$D,$A$4,'ON Data'!$E:$E,6),SUMIFS('ON Data'!AA:AA,'ON Data'!$E:$E,6))</f>
        <v>0</v>
      </c>
      <c r="W20" s="215">
        <f xml:space="preserve">
IF($A$4&lt;=12,SUMIFS('ON Data'!AB:AB,'ON Data'!$D:$D,$A$4,'ON Data'!$E:$E,6),SUMIFS('ON Data'!AB:AB,'ON Data'!$E:$E,6))</f>
        <v>0</v>
      </c>
      <c r="X20" s="215">
        <f xml:space="preserve">
IF($A$4&lt;=12,SUMIFS('ON Data'!AC:AC,'ON Data'!$D:$D,$A$4,'ON Data'!$E:$E,6),SUMIFS('ON Data'!AC:AC,'ON Data'!$E:$E,6))</f>
        <v>220758</v>
      </c>
      <c r="Y20" s="215">
        <f xml:space="preserve">
IF($A$4&lt;=12,SUMIFS('ON Data'!AD:AD,'ON Data'!$D:$D,$A$4,'ON Data'!$E:$E,6),SUMIFS('ON Data'!AD:AD,'ON Data'!$E:$E,6))</f>
        <v>0</v>
      </c>
      <c r="Z20" s="215">
        <f xml:space="preserve">
IF($A$4&lt;=12,SUMIFS('ON Data'!AE:AE,'ON Data'!$D:$D,$A$4,'ON Data'!$E:$E,6),SUMIFS('ON Data'!AE:AE,'ON Data'!$E:$E,6))</f>
        <v>0</v>
      </c>
      <c r="AA20" s="215">
        <f xml:space="preserve">
IF($A$4&lt;=12,SUMIFS('ON Data'!AF:AF,'ON Data'!$D:$D,$A$4,'ON Data'!$E:$E,6),SUMIFS('ON Data'!AF:AF,'ON Data'!$E:$E,6))</f>
        <v>0</v>
      </c>
      <c r="AB20" s="215">
        <f xml:space="preserve">
IF($A$4&lt;=12,SUMIFS('ON Data'!AG:AG,'ON Data'!$D:$D,$A$4,'ON Data'!$E:$E,6),SUMIFS('ON Data'!AG:AG,'ON Data'!$E:$E,6))</f>
        <v>0</v>
      </c>
      <c r="AC20" s="215">
        <f xml:space="preserve">
IF($A$4&lt;=12,SUMIFS('ON Data'!AH:AH,'ON Data'!$D:$D,$A$4,'ON Data'!$E:$E,6),SUMIFS('ON Data'!AH:AH,'ON Data'!$E:$E,6))</f>
        <v>0</v>
      </c>
      <c r="AD20" s="215">
        <f xml:space="preserve">
IF($A$4&lt;=12,SUMIFS('ON Data'!AI:AI,'ON Data'!$D:$D,$A$4,'ON Data'!$E:$E,6),SUMIFS('ON Data'!AI:AI,'ON Data'!$E:$E,6))</f>
        <v>0</v>
      </c>
      <c r="AE20" s="215">
        <f xml:space="preserve">
IF($A$4&lt;=12,SUMIFS('ON Data'!AJ:AJ,'ON Data'!$D:$D,$A$4,'ON Data'!$E:$E,6),SUMIFS('ON Data'!AJ:AJ,'ON Data'!$E:$E,6))</f>
        <v>0</v>
      </c>
      <c r="AF20" s="215">
        <f xml:space="preserve">
IF($A$4&lt;=12,SUMIFS('ON Data'!AK:AK,'ON Data'!$D:$D,$A$4,'ON Data'!$E:$E,6),SUMIFS('ON Data'!AK:AK,'ON Data'!$E:$E,6))</f>
        <v>0</v>
      </c>
      <c r="AG20" s="215">
        <f xml:space="preserve">
IF($A$4&lt;=12,SUMIFS('ON Data'!AL:AL,'ON Data'!$D:$D,$A$4,'ON Data'!$E:$E,6),SUMIFS('ON Data'!AL:AL,'ON Data'!$E:$E,6))</f>
        <v>4707</v>
      </c>
      <c r="AH20" s="400">
        <f xml:space="preserve">
IF($A$4&lt;=12,SUMIFS('ON Data'!AN:AN,'ON Data'!$D:$D,$A$4,'ON Data'!$E:$E,6),SUMIFS('ON Data'!AN:AN,'ON Data'!$E:$E,6))</f>
        <v>0</v>
      </c>
      <c r="AI20" s="406"/>
    </row>
    <row r="21" spans="1:35" ht="15" hidden="1" outlineLevel="1" thickBot="1" x14ac:dyDescent="0.35">
      <c r="A21" s="181" t="s">
        <v>62</v>
      </c>
      <c r="B21" s="201">
        <f xml:space="preserve">
IF($A$4&lt;=12,SUMIFS('ON Data'!F:F,'ON Data'!$D:$D,$A$4,'ON Data'!$E:$E,12),SUMIFS('ON Data'!F:F,'ON Data'!$E:$E,12))</f>
        <v>0</v>
      </c>
      <c r="C21" s="202">
        <f xml:space="preserve">
IF($A$4&lt;=12,SUMIFS('ON Data'!G:G,'ON Data'!$D:$D,$A$4,'ON Data'!$E:$E,12),SUMIFS('ON Data'!G:G,'ON Data'!$E:$E,12))</f>
        <v>0</v>
      </c>
      <c r="D21" s="203">
        <f xml:space="preserve">
IF($A$4&lt;=12,SUMIFS('ON Data'!H:H,'ON Data'!$D:$D,$A$4,'ON Data'!$E:$E,12),SUMIFS('ON Data'!H:H,'ON Data'!$E:$E,12))</f>
        <v>0</v>
      </c>
      <c r="E21" s="203">
        <f xml:space="preserve">
IF($A$4&lt;=12,SUMIFS('ON Data'!I:I,'ON Data'!$D:$D,$A$4,'ON Data'!$E:$E,12),SUMIFS('ON Data'!I:I,'ON Data'!$E:$E,12))</f>
        <v>0</v>
      </c>
      <c r="F21" s="203">
        <f xml:space="preserve">
IF($A$4&lt;=12,SUMIFS('ON Data'!K:K,'ON Data'!$D:$D,$A$4,'ON Data'!$E:$E,12),SUMIFS('ON Data'!K:K,'ON Data'!$E:$E,12))</f>
        <v>0</v>
      </c>
      <c r="G21" s="203">
        <f xml:space="preserve">
IF($A$4&lt;=12,SUMIFS('ON Data'!L:L,'ON Data'!$D:$D,$A$4,'ON Data'!$E:$E,12),SUMIFS('ON Data'!L:L,'ON Data'!$E:$E,12))</f>
        <v>0</v>
      </c>
      <c r="H21" s="203">
        <f xml:space="preserve">
IF($A$4&lt;=12,SUMIFS('ON Data'!M:M,'ON Data'!$D:$D,$A$4,'ON Data'!$E:$E,12),SUMIFS('ON Data'!M:M,'ON Data'!$E:$E,12))</f>
        <v>0</v>
      </c>
      <c r="I21" s="203">
        <f xml:space="preserve">
IF($A$4&lt;=12,SUMIFS('ON Data'!N:N,'ON Data'!$D:$D,$A$4,'ON Data'!$E:$E,12),SUMIFS('ON Data'!N:N,'ON Data'!$E:$E,12))</f>
        <v>0</v>
      </c>
      <c r="J21" s="203">
        <f xml:space="preserve">
IF($A$4&lt;=12,SUMIFS('ON Data'!O:O,'ON Data'!$D:$D,$A$4,'ON Data'!$E:$E,12),SUMIFS('ON Data'!O:O,'ON Data'!$E:$E,12))</f>
        <v>0</v>
      </c>
      <c r="K21" s="203">
        <f xml:space="preserve">
IF($A$4&lt;=12,SUMIFS('ON Data'!P:P,'ON Data'!$D:$D,$A$4,'ON Data'!$E:$E,12),SUMIFS('ON Data'!P:P,'ON Data'!$E:$E,12))</f>
        <v>0</v>
      </c>
      <c r="L21" s="203">
        <f xml:space="preserve">
IF($A$4&lt;=12,SUMIFS('ON Data'!Q:Q,'ON Data'!$D:$D,$A$4,'ON Data'!$E:$E,12),SUMIFS('ON Data'!Q:Q,'ON Data'!$E:$E,12))</f>
        <v>0</v>
      </c>
      <c r="M21" s="203">
        <f xml:space="preserve">
IF($A$4&lt;=12,SUMIFS('ON Data'!R:R,'ON Data'!$D:$D,$A$4,'ON Data'!$E:$E,12),SUMIFS('ON Data'!R:R,'ON Data'!$E:$E,12))</f>
        <v>0</v>
      </c>
      <c r="N21" s="203">
        <f xml:space="preserve">
IF($A$4&lt;=12,SUMIFS('ON Data'!S:S,'ON Data'!$D:$D,$A$4,'ON Data'!$E:$E,12),SUMIFS('ON Data'!S:S,'ON Data'!$E:$E,12))</f>
        <v>0</v>
      </c>
      <c r="O21" s="203">
        <f xml:space="preserve">
IF($A$4&lt;=12,SUMIFS('ON Data'!T:T,'ON Data'!$D:$D,$A$4,'ON Data'!$E:$E,12),SUMIFS('ON Data'!T:T,'ON Data'!$E:$E,12))</f>
        <v>0</v>
      </c>
      <c r="P21" s="203">
        <f xml:space="preserve">
IF($A$4&lt;=12,SUMIFS('ON Data'!U:U,'ON Data'!$D:$D,$A$4,'ON Data'!$E:$E,12),SUMIFS('ON Data'!U:U,'ON Data'!$E:$E,12))</f>
        <v>0</v>
      </c>
      <c r="Q21" s="203">
        <f xml:space="preserve">
IF($A$4&lt;=12,SUMIFS('ON Data'!V:V,'ON Data'!$D:$D,$A$4,'ON Data'!$E:$E,12),SUMIFS('ON Data'!V:V,'ON Data'!$E:$E,12))</f>
        <v>0</v>
      </c>
      <c r="R21" s="203">
        <f xml:space="preserve">
IF($A$4&lt;=12,SUMIFS('ON Data'!W:W,'ON Data'!$D:$D,$A$4,'ON Data'!$E:$E,12),SUMIFS('ON Data'!W:W,'ON Data'!$E:$E,12))</f>
        <v>0</v>
      </c>
      <c r="S21" s="203">
        <f xml:space="preserve">
IF($A$4&lt;=12,SUMIFS('ON Data'!X:X,'ON Data'!$D:$D,$A$4,'ON Data'!$E:$E,12),SUMIFS('ON Data'!X:X,'ON Data'!$E:$E,12))</f>
        <v>0</v>
      </c>
      <c r="T21" s="203">
        <f xml:space="preserve">
IF($A$4&lt;=12,SUMIFS('ON Data'!Y:Y,'ON Data'!$D:$D,$A$4,'ON Data'!$E:$E,12),SUMIFS('ON Data'!Y:Y,'ON Data'!$E:$E,12))</f>
        <v>0</v>
      </c>
      <c r="U21" s="203">
        <f xml:space="preserve">
IF($A$4&lt;=12,SUMIFS('ON Data'!Z:Z,'ON Data'!$D:$D,$A$4,'ON Data'!$E:$E,12),SUMIFS('ON Data'!Z:Z,'ON Data'!$E:$E,12))</f>
        <v>0</v>
      </c>
      <c r="V21" s="203">
        <f xml:space="preserve">
IF($A$4&lt;=12,SUMIFS('ON Data'!AA:AA,'ON Data'!$D:$D,$A$4,'ON Data'!$E:$E,12),SUMIFS('ON Data'!AA:AA,'ON Data'!$E:$E,12))</f>
        <v>0</v>
      </c>
      <c r="W21" s="203">
        <f xml:space="preserve">
IF($A$4&lt;=12,SUMIFS('ON Data'!AB:AB,'ON Data'!$D:$D,$A$4,'ON Data'!$E:$E,12),SUMIFS('ON Data'!AB:AB,'ON Data'!$E:$E,12))</f>
        <v>0</v>
      </c>
      <c r="X21" s="203">
        <f xml:space="preserve">
IF($A$4&lt;=12,SUMIFS('ON Data'!AC:AC,'ON Data'!$D:$D,$A$4,'ON Data'!$E:$E,12),SUMIFS('ON Data'!AC:AC,'ON Data'!$E:$E,12))</f>
        <v>0</v>
      </c>
      <c r="Y21" s="203">
        <f xml:space="preserve">
IF($A$4&lt;=12,SUMIFS('ON Data'!AD:AD,'ON Data'!$D:$D,$A$4,'ON Data'!$E:$E,12),SUMIFS('ON Data'!AD:AD,'ON Data'!$E:$E,12))</f>
        <v>0</v>
      </c>
      <c r="Z21" s="203">
        <f xml:space="preserve">
IF($A$4&lt;=12,SUMIFS('ON Data'!AE:AE,'ON Data'!$D:$D,$A$4,'ON Data'!$E:$E,12),SUMIFS('ON Data'!AE:AE,'ON Data'!$E:$E,12))</f>
        <v>0</v>
      </c>
      <c r="AA21" s="203">
        <f xml:space="preserve">
IF($A$4&lt;=12,SUMIFS('ON Data'!AF:AF,'ON Data'!$D:$D,$A$4,'ON Data'!$E:$E,12),SUMIFS('ON Data'!AF:AF,'ON Data'!$E:$E,12))</f>
        <v>0</v>
      </c>
      <c r="AB21" s="203">
        <f xml:space="preserve">
IF($A$4&lt;=12,SUMIFS('ON Data'!AG:AG,'ON Data'!$D:$D,$A$4,'ON Data'!$E:$E,12),SUMIFS('ON Data'!AG:AG,'ON Data'!$E:$E,12))</f>
        <v>0</v>
      </c>
      <c r="AC21" s="203">
        <f xml:space="preserve">
IF($A$4&lt;=12,SUMIFS('ON Data'!AH:AH,'ON Data'!$D:$D,$A$4,'ON Data'!$E:$E,12),SUMIFS('ON Data'!AH:AH,'ON Data'!$E:$E,12))</f>
        <v>0</v>
      </c>
      <c r="AD21" s="203">
        <f xml:space="preserve">
IF($A$4&lt;=12,SUMIFS('ON Data'!AI:AI,'ON Data'!$D:$D,$A$4,'ON Data'!$E:$E,12),SUMIFS('ON Data'!AI:AI,'ON Data'!$E:$E,12))</f>
        <v>0</v>
      </c>
      <c r="AE21" s="203">
        <f xml:space="preserve">
IF($A$4&lt;=12,SUMIFS('ON Data'!AJ:AJ,'ON Data'!$D:$D,$A$4,'ON Data'!$E:$E,12),SUMIFS('ON Data'!AJ:AJ,'ON Data'!$E:$E,12))</f>
        <v>0</v>
      </c>
      <c r="AF21" s="203">
        <f xml:space="preserve">
IF($A$4&lt;=12,SUMIFS('ON Data'!AK:AK,'ON Data'!$D:$D,$A$4,'ON Data'!$E:$E,12),SUMIFS('ON Data'!AK:AK,'ON Data'!$E:$E,12))</f>
        <v>0</v>
      </c>
      <c r="AG21" s="203">
        <f xml:space="preserve">
IF($A$4&lt;=12,SUMIFS('ON Data'!AL:AL,'ON Data'!$D:$D,$A$4,'ON Data'!$E:$E,12),SUMIFS('ON Data'!AL:AL,'ON Data'!$E:$E,12))</f>
        <v>0</v>
      </c>
      <c r="AH21" s="396">
        <f xml:space="preserve">
IF($A$4&lt;=12,SUMIFS('ON Data'!AN:AN,'ON Data'!$D:$D,$A$4,'ON Data'!$E:$E,12),SUMIFS('ON Data'!AN:AN,'ON Data'!$E:$E,12))</f>
        <v>0</v>
      </c>
      <c r="AI21" s="406"/>
    </row>
    <row r="22" spans="1:35" ht="15" hidden="1" outlineLevel="1" thickBot="1" x14ac:dyDescent="0.35">
      <c r="A22" s="181" t="s">
        <v>57</v>
      </c>
      <c r="B22" s="253" t="str">
        <f xml:space="preserve">
IF(OR(B21="",B21=0),"",B20/B21)</f>
        <v/>
      </c>
      <c r="C22" s="254" t="str">
        <f t="shared" ref="C22:G22" si="2" xml:space="preserve">
IF(OR(C21="",C21=0),"",C20/C21)</f>
        <v/>
      </c>
      <c r="D22" s="255" t="str">
        <f t="shared" si="2"/>
        <v/>
      </c>
      <c r="E22" s="255" t="str">
        <f t="shared" si="2"/>
        <v/>
      </c>
      <c r="F22" s="255" t="str">
        <f t="shared" si="2"/>
        <v/>
      </c>
      <c r="G22" s="255" t="str">
        <f t="shared" si="2"/>
        <v/>
      </c>
      <c r="H22" s="255" t="str">
        <f t="shared" ref="H22:AH22" si="3" xml:space="preserve">
IF(OR(H21="",H21=0),"",H20/H21)</f>
        <v/>
      </c>
      <c r="I22" s="255" t="str">
        <f t="shared" si="3"/>
        <v/>
      </c>
      <c r="J22" s="255" t="str">
        <f t="shared" si="3"/>
        <v/>
      </c>
      <c r="K22" s="255" t="str">
        <f t="shared" si="3"/>
        <v/>
      </c>
      <c r="L22" s="255" t="str">
        <f t="shared" si="3"/>
        <v/>
      </c>
      <c r="M22" s="255" t="str">
        <f t="shared" si="3"/>
        <v/>
      </c>
      <c r="N22" s="255" t="str">
        <f t="shared" si="3"/>
        <v/>
      </c>
      <c r="O22" s="255" t="str">
        <f t="shared" si="3"/>
        <v/>
      </c>
      <c r="P22" s="255" t="str">
        <f t="shared" si="3"/>
        <v/>
      </c>
      <c r="Q22" s="255" t="str">
        <f t="shared" si="3"/>
        <v/>
      </c>
      <c r="R22" s="255" t="str">
        <f t="shared" si="3"/>
        <v/>
      </c>
      <c r="S22" s="255" t="str">
        <f t="shared" si="3"/>
        <v/>
      </c>
      <c r="T22" s="255" t="str">
        <f t="shared" si="3"/>
        <v/>
      </c>
      <c r="U22" s="255" t="str">
        <f t="shared" si="3"/>
        <v/>
      </c>
      <c r="V22" s="255" t="str">
        <f t="shared" si="3"/>
        <v/>
      </c>
      <c r="W22" s="255" t="str">
        <f t="shared" si="3"/>
        <v/>
      </c>
      <c r="X22" s="255" t="str">
        <f t="shared" si="3"/>
        <v/>
      </c>
      <c r="Y22" s="255" t="str">
        <f t="shared" si="3"/>
        <v/>
      </c>
      <c r="Z22" s="255" t="str">
        <f t="shared" si="3"/>
        <v/>
      </c>
      <c r="AA22" s="255" t="str">
        <f t="shared" si="3"/>
        <v/>
      </c>
      <c r="AB22" s="255" t="str">
        <f t="shared" si="3"/>
        <v/>
      </c>
      <c r="AC22" s="255" t="str">
        <f t="shared" si="3"/>
        <v/>
      </c>
      <c r="AD22" s="255" t="str">
        <f t="shared" si="3"/>
        <v/>
      </c>
      <c r="AE22" s="255" t="str">
        <f t="shared" si="3"/>
        <v/>
      </c>
      <c r="AF22" s="255" t="str">
        <f t="shared" si="3"/>
        <v/>
      </c>
      <c r="AG22" s="255" t="str">
        <f t="shared" si="3"/>
        <v/>
      </c>
      <c r="AH22" s="401" t="str">
        <f t="shared" si="3"/>
        <v/>
      </c>
      <c r="AI22" s="406"/>
    </row>
    <row r="23" spans="1:35" ht="15" hidden="1" outlineLevel="1" thickBot="1" x14ac:dyDescent="0.35">
      <c r="A23" s="189" t="s">
        <v>52</v>
      </c>
      <c r="B23" s="204">
        <f xml:space="preserve">
IF(B21="","",B20-B21)</f>
        <v>1545350</v>
      </c>
      <c r="C23" s="205">
        <f t="shared" ref="C23:G23" si="4" xml:space="preserve">
IF(C21="","",C20-C21)</f>
        <v>45000</v>
      </c>
      <c r="D23" s="206">
        <f t="shared" si="4"/>
        <v>1035915</v>
      </c>
      <c r="E23" s="206">
        <f t="shared" si="4"/>
        <v>0</v>
      </c>
      <c r="F23" s="206">
        <f t="shared" si="4"/>
        <v>0</v>
      </c>
      <c r="G23" s="206">
        <f t="shared" si="4"/>
        <v>0</v>
      </c>
      <c r="H23" s="206">
        <f t="shared" ref="H23:AH23" si="5" xml:space="preserve">
IF(H21="","",H20-H21)</f>
        <v>0</v>
      </c>
      <c r="I23" s="206">
        <f t="shared" si="5"/>
        <v>0</v>
      </c>
      <c r="J23" s="206">
        <f t="shared" si="5"/>
        <v>238970</v>
      </c>
      <c r="K23" s="206">
        <f t="shared" si="5"/>
        <v>0</v>
      </c>
      <c r="L23" s="206">
        <f t="shared" si="5"/>
        <v>0</v>
      </c>
      <c r="M23" s="206">
        <f t="shared" si="5"/>
        <v>0</v>
      </c>
      <c r="N23" s="206">
        <f t="shared" si="5"/>
        <v>0</v>
      </c>
      <c r="O23" s="206">
        <f t="shared" si="5"/>
        <v>0</v>
      </c>
      <c r="P23" s="206">
        <f t="shared" si="5"/>
        <v>0</v>
      </c>
      <c r="Q23" s="206">
        <f t="shared" si="5"/>
        <v>0</v>
      </c>
      <c r="R23" s="206">
        <f t="shared" si="5"/>
        <v>0</v>
      </c>
      <c r="S23" s="206">
        <f t="shared" si="5"/>
        <v>0</v>
      </c>
      <c r="T23" s="206">
        <f t="shared" si="5"/>
        <v>0</v>
      </c>
      <c r="U23" s="206">
        <f t="shared" si="5"/>
        <v>0</v>
      </c>
      <c r="V23" s="206">
        <f t="shared" si="5"/>
        <v>0</v>
      </c>
      <c r="W23" s="206">
        <f t="shared" si="5"/>
        <v>0</v>
      </c>
      <c r="X23" s="206">
        <f t="shared" si="5"/>
        <v>220758</v>
      </c>
      <c r="Y23" s="206">
        <f t="shared" si="5"/>
        <v>0</v>
      </c>
      <c r="Z23" s="206">
        <f t="shared" si="5"/>
        <v>0</v>
      </c>
      <c r="AA23" s="206">
        <f t="shared" si="5"/>
        <v>0</v>
      </c>
      <c r="AB23" s="206">
        <f t="shared" si="5"/>
        <v>0</v>
      </c>
      <c r="AC23" s="206">
        <f t="shared" si="5"/>
        <v>0</v>
      </c>
      <c r="AD23" s="206">
        <f t="shared" si="5"/>
        <v>0</v>
      </c>
      <c r="AE23" s="206">
        <f t="shared" si="5"/>
        <v>0</v>
      </c>
      <c r="AF23" s="206">
        <f t="shared" si="5"/>
        <v>0</v>
      </c>
      <c r="AG23" s="206">
        <f t="shared" si="5"/>
        <v>4707</v>
      </c>
      <c r="AH23" s="397">
        <f t="shared" si="5"/>
        <v>0</v>
      </c>
      <c r="AI23" s="406"/>
    </row>
    <row r="24" spans="1:35" x14ac:dyDescent="0.3">
      <c r="A24" s="183" t="s">
        <v>126</v>
      </c>
      <c r="B24" s="230" t="s">
        <v>2</v>
      </c>
      <c r="C24" s="407" t="s">
        <v>137</v>
      </c>
      <c r="D24" s="381"/>
      <c r="E24" s="382"/>
      <c r="F24" s="382" t="s">
        <v>138</v>
      </c>
      <c r="G24" s="382"/>
      <c r="H24" s="382"/>
      <c r="I24" s="382"/>
      <c r="J24" s="382"/>
      <c r="K24" s="382"/>
      <c r="L24" s="382"/>
      <c r="M24" s="382"/>
      <c r="N24" s="382"/>
      <c r="O24" s="382"/>
      <c r="P24" s="382"/>
      <c r="Q24" s="382"/>
      <c r="R24" s="382"/>
      <c r="S24" s="382"/>
      <c r="T24" s="382"/>
      <c r="U24" s="382"/>
      <c r="V24" s="382"/>
      <c r="W24" s="382"/>
      <c r="X24" s="382"/>
      <c r="Y24" s="382"/>
      <c r="Z24" s="382"/>
      <c r="AA24" s="382"/>
      <c r="AB24" s="382"/>
      <c r="AC24" s="382"/>
      <c r="AD24" s="382"/>
      <c r="AE24" s="382"/>
      <c r="AF24" s="382"/>
      <c r="AG24" s="382"/>
      <c r="AH24" s="402" t="s">
        <v>139</v>
      </c>
      <c r="AI24" s="406"/>
    </row>
    <row r="25" spans="1:35" x14ac:dyDescent="0.3">
      <c r="A25" s="184" t="s">
        <v>55</v>
      </c>
      <c r="B25" s="201">
        <f xml:space="preserve">
SUM(C25:AH25)</f>
        <v>3200</v>
      </c>
      <c r="C25" s="408">
        <f xml:space="preserve">
IF($A$4&lt;=12,SUMIFS('ON Data'!H:H,'ON Data'!$D:$D,$A$4,'ON Data'!$E:$E,10),SUMIFS('ON Data'!H:H,'ON Data'!$E:$E,10))</f>
        <v>2000</v>
      </c>
      <c r="D25" s="383"/>
      <c r="E25" s="384"/>
      <c r="F25" s="384">
        <f xml:space="preserve">
IF($A$4&lt;=12,SUMIFS('ON Data'!K:K,'ON Data'!$D:$D,$A$4,'ON Data'!$E:$E,10),SUMIFS('ON Data'!K:K,'ON Data'!$E:$E,10))</f>
        <v>1200</v>
      </c>
      <c r="G25" s="384"/>
      <c r="H25" s="384"/>
      <c r="I25" s="384"/>
      <c r="J25" s="384"/>
      <c r="K25" s="384"/>
      <c r="L25" s="384"/>
      <c r="M25" s="384"/>
      <c r="N25" s="384"/>
      <c r="O25" s="384"/>
      <c r="P25" s="384"/>
      <c r="Q25" s="384"/>
      <c r="R25" s="384"/>
      <c r="S25" s="384"/>
      <c r="T25" s="384"/>
      <c r="U25" s="384"/>
      <c r="V25" s="384"/>
      <c r="W25" s="384"/>
      <c r="X25" s="384"/>
      <c r="Y25" s="384"/>
      <c r="Z25" s="384"/>
      <c r="AA25" s="384"/>
      <c r="AB25" s="384"/>
      <c r="AC25" s="384"/>
      <c r="AD25" s="384"/>
      <c r="AE25" s="384"/>
      <c r="AF25" s="384"/>
      <c r="AG25" s="384"/>
      <c r="AH25" s="403">
        <f xml:space="preserve">
IF($A$4&lt;=12,SUMIFS('ON Data'!AN:AN,'ON Data'!$D:$D,$A$4,'ON Data'!$E:$E,10),SUMIFS('ON Data'!AN:AN,'ON Data'!$E:$E,10))</f>
        <v>0</v>
      </c>
      <c r="AI25" s="406"/>
    </row>
    <row r="26" spans="1:35" x14ac:dyDescent="0.3">
      <c r="A26" s="190" t="s">
        <v>136</v>
      </c>
      <c r="B26" s="210">
        <f xml:space="preserve">
SUM(C26:AH26)</f>
        <v>6590.393040044426</v>
      </c>
      <c r="C26" s="408">
        <f xml:space="preserve">
IF($A$4&lt;=12,SUMIFS('ON Data'!H:H,'ON Data'!$D:$D,$A$4,'ON Data'!$E:$E,11),SUMIFS('ON Data'!H:H,'ON Data'!$E:$E,11))</f>
        <v>5090.393040044426</v>
      </c>
      <c r="D26" s="383"/>
      <c r="E26" s="384"/>
      <c r="F26" s="385">
        <f xml:space="preserve">
IF($A$4&lt;=12,SUMIFS('ON Data'!K:K,'ON Data'!$D:$D,$A$4,'ON Data'!$E:$E,11),SUMIFS('ON Data'!K:K,'ON Data'!$E:$E,11))</f>
        <v>1500</v>
      </c>
      <c r="G26" s="385"/>
      <c r="H26" s="385"/>
      <c r="I26" s="385"/>
      <c r="J26" s="385"/>
      <c r="K26" s="385"/>
      <c r="L26" s="385"/>
      <c r="M26" s="385"/>
      <c r="N26" s="385"/>
      <c r="O26" s="385"/>
      <c r="P26" s="385"/>
      <c r="Q26" s="385"/>
      <c r="R26" s="385"/>
      <c r="S26" s="385"/>
      <c r="T26" s="385"/>
      <c r="U26" s="385"/>
      <c r="V26" s="385"/>
      <c r="W26" s="385"/>
      <c r="X26" s="385"/>
      <c r="Y26" s="385"/>
      <c r="Z26" s="385"/>
      <c r="AA26" s="385"/>
      <c r="AB26" s="385"/>
      <c r="AC26" s="385"/>
      <c r="AD26" s="385"/>
      <c r="AE26" s="385"/>
      <c r="AF26" s="385"/>
      <c r="AG26" s="385"/>
      <c r="AH26" s="403">
        <f xml:space="preserve">
IF($A$4&lt;=12,SUMIFS('ON Data'!AN:AN,'ON Data'!$D:$D,$A$4,'ON Data'!$E:$E,11),SUMIFS('ON Data'!AN:AN,'ON Data'!$E:$E,11))</f>
        <v>0</v>
      </c>
      <c r="AI26" s="406"/>
    </row>
    <row r="27" spans="1:35" x14ac:dyDescent="0.3">
      <c r="A27" s="190" t="s">
        <v>57</v>
      </c>
      <c r="B27" s="231">
        <f xml:space="preserve">
IF(B26=0,0,B25/B26)</f>
        <v>0.48555525908033381</v>
      </c>
      <c r="C27" s="409">
        <f xml:space="preserve">
IF(C26=0,0,C25/C26)</f>
        <v>0.39289696969696963</v>
      </c>
      <c r="D27" s="386"/>
      <c r="E27" s="387"/>
      <c r="F27" s="387">
        <f xml:space="preserve">
IF(F26=0,0,F25/F26)</f>
        <v>0.8</v>
      </c>
      <c r="G27" s="387"/>
      <c r="H27" s="387"/>
      <c r="I27" s="387"/>
      <c r="J27" s="387"/>
      <c r="K27" s="387"/>
      <c r="L27" s="387"/>
      <c r="M27" s="387"/>
      <c r="N27" s="387"/>
      <c r="O27" s="387"/>
      <c r="P27" s="387"/>
      <c r="Q27" s="387"/>
      <c r="R27" s="387"/>
      <c r="S27" s="387"/>
      <c r="T27" s="387"/>
      <c r="U27" s="387"/>
      <c r="V27" s="387"/>
      <c r="W27" s="387"/>
      <c r="X27" s="387"/>
      <c r="Y27" s="387"/>
      <c r="Z27" s="387"/>
      <c r="AA27" s="387"/>
      <c r="AB27" s="387"/>
      <c r="AC27" s="387"/>
      <c r="AD27" s="387"/>
      <c r="AE27" s="387"/>
      <c r="AF27" s="387"/>
      <c r="AG27" s="387"/>
      <c r="AH27" s="404">
        <f xml:space="preserve">
IF(AH26=0,0,AH25/AH26)</f>
        <v>0</v>
      </c>
      <c r="AI27" s="406"/>
    </row>
    <row r="28" spans="1:35" ht="15" thickBot="1" x14ac:dyDescent="0.35">
      <c r="A28" s="190" t="s">
        <v>135</v>
      </c>
      <c r="B28" s="210">
        <f xml:space="preserve">
SUM(C28:AH28)</f>
        <v>3390.393040044426</v>
      </c>
      <c r="C28" s="410">
        <f xml:space="preserve">
C26-C25</f>
        <v>3090.393040044426</v>
      </c>
      <c r="D28" s="388"/>
      <c r="E28" s="389"/>
      <c r="F28" s="389">
        <f xml:space="preserve">
F26-F25</f>
        <v>300</v>
      </c>
      <c r="G28" s="389"/>
      <c r="H28" s="389"/>
      <c r="I28" s="389"/>
      <c r="J28" s="389"/>
      <c r="K28" s="389"/>
      <c r="L28" s="389"/>
      <c r="M28" s="389"/>
      <c r="N28" s="389"/>
      <c r="O28" s="389"/>
      <c r="P28" s="389"/>
      <c r="Q28" s="389"/>
      <c r="R28" s="389"/>
      <c r="S28" s="389"/>
      <c r="T28" s="389"/>
      <c r="U28" s="389"/>
      <c r="V28" s="389"/>
      <c r="W28" s="389"/>
      <c r="X28" s="389"/>
      <c r="Y28" s="389"/>
      <c r="Z28" s="389"/>
      <c r="AA28" s="389"/>
      <c r="AB28" s="389"/>
      <c r="AC28" s="389"/>
      <c r="AD28" s="389"/>
      <c r="AE28" s="389"/>
      <c r="AF28" s="389"/>
      <c r="AG28" s="389"/>
      <c r="AH28" s="405">
        <f xml:space="preserve">
AH26-AH25</f>
        <v>0</v>
      </c>
      <c r="AI28" s="406"/>
    </row>
    <row r="29" spans="1:35" x14ac:dyDescent="0.3">
      <c r="A29" s="191"/>
      <c r="B29" s="191"/>
      <c r="C29" s="192"/>
      <c r="D29" s="191"/>
      <c r="E29" s="191"/>
      <c r="F29" s="192"/>
      <c r="G29" s="192"/>
      <c r="H29" s="192"/>
      <c r="I29" s="192"/>
      <c r="J29" s="192"/>
      <c r="K29" s="192"/>
      <c r="L29" s="192"/>
      <c r="M29" s="192"/>
      <c r="N29" s="192"/>
      <c r="O29" s="192"/>
      <c r="P29" s="192"/>
      <c r="Q29" s="192"/>
      <c r="R29" s="192"/>
      <c r="S29" s="192"/>
      <c r="T29" s="192"/>
      <c r="U29" s="192"/>
      <c r="V29" s="192"/>
      <c r="W29" s="192"/>
      <c r="X29" s="192"/>
      <c r="Y29" s="192"/>
      <c r="Z29" s="192"/>
      <c r="AA29" s="192"/>
      <c r="AB29" s="192"/>
      <c r="AC29" s="192"/>
      <c r="AD29" s="192"/>
      <c r="AE29" s="192"/>
      <c r="AF29" s="191"/>
      <c r="AG29" s="191"/>
      <c r="AH29" s="191"/>
    </row>
    <row r="30" spans="1:35" x14ac:dyDescent="0.3">
      <c r="A30" s="79" t="s">
        <v>90</v>
      </c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6"/>
      <c r="AG30" s="96"/>
      <c r="AH30" s="114"/>
    </row>
    <row r="31" spans="1:35" x14ac:dyDescent="0.3">
      <c r="A31" s="80" t="s">
        <v>133</v>
      </c>
      <c r="B31" s="96"/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96"/>
      <c r="W31" s="96"/>
      <c r="X31" s="96"/>
      <c r="Y31" s="96"/>
      <c r="Z31" s="96"/>
      <c r="AA31" s="96"/>
      <c r="AB31" s="96"/>
      <c r="AC31" s="96"/>
      <c r="AD31" s="96"/>
      <c r="AE31" s="96"/>
      <c r="AF31" s="96"/>
      <c r="AG31" s="96"/>
      <c r="AH31" s="114"/>
    </row>
    <row r="32" spans="1:35" ht="14.4" customHeight="1" x14ac:dyDescent="0.3">
      <c r="A32" s="227" t="s">
        <v>130</v>
      </c>
      <c r="B32" s="228"/>
      <c r="C32" s="228"/>
      <c r="D32" s="228"/>
      <c r="E32" s="228"/>
      <c r="F32" s="228"/>
      <c r="G32" s="228"/>
      <c r="H32" s="228"/>
      <c r="I32" s="228"/>
      <c r="J32" s="228"/>
      <c r="K32" s="228"/>
      <c r="L32" s="228"/>
      <c r="M32" s="228"/>
      <c r="N32" s="228"/>
      <c r="O32" s="228"/>
      <c r="P32" s="228"/>
      <c r="Q32" s="228"/>
      <c r="R32" s="228"/>
      <c r="S32" s="228"/>
      <c r="T32" s="228"/>
      <c r="U32" s="228"/>
      <c r="V32" s="228"/>
      <c r="W32" s="228"/>
      <c r="X32" s="228"/>
      <c r="Y32" s="228"/>
      <c r="Z32" s="228"/>
      <c r="AA32" s="228"/>
      <c r="AB32" s="228"/>
      <c r="AC32" s="228"/>
      <c r="AD32" s="228"/>
      <c r="AE32" s="228"/>
      <c r="AF32" s="228"/>
      <c r="AG32" s="228"/>
    </row>
    <row r="33" spans="1:1" x14ac:dyDescent="0.3">
      <c r="A33" s="229" t="s">
        <v>140</v>
      </c>
    </row>
    <row r="34" spans="1:1" x14ac:dyDescent="0.3">
      <c r="A34" s="229" t="s">
        <v>141</v>
      </c>
    </row>
    <row r="35" spans="1:1" x14ac:dyDescent="0.3">
      <c r="A35" s="229" t="s">
        <v>142</v>
      </c>
    </row>
    <row r="36" spans="1:1" x14ac:dyDescent="0.3">
      <c r="A36" s="229" t="s">
        <v>143</v>
      </c>
    </row>
  </sheetData>
  <mergeCells count="12">
    <mergeCell ref="C28:E28"/>
    <mergeCell ref="C27:E27"/>
    <mergeCell ref="F27:AG27"/>
    <mergeCell ref="F28:AG28"/>
    <mergeCell ref="C25:E25"/>
    <mergeCell ref="C26:E26"/>
    <mergeCell ref="F24:AG24"/>
    <mergeCell ref="F25:AG25"/>
    <mergeCell ref="F26:AG26"/>
    <mergeCell ref="A1:AH1"/>
    <mergeCell ref="B3:B4"/>
    <mergeCell ref="C24:E24"/>
  </mergeCells>
  <conditionalFormatting sqref="C27 AH27 F27">
    <cfRule type="cellIs" dxfId="3" priority="4" operator="greaterThan">
      <formula>1</formula>
    </cfRule>
  </conditionalFormatting>
  <conditionalFormatting sqref="C28 AH28 F28">
    <cfRule type="cellIs" dxfId="2" priority="3" operator="lessThan">
      <formula>0</formula>
    </cfRule>
  </conditionalFormatting>
  <conditionalFormatting sqref="B22:AH22">
    <cfRule type="cellIs" dxfId="1" priority="2" operator="greaterThan">
      <formula>1</formula>
    </cfRule>
  </conditionalFormatting>
  <conditionalFormatting sqref="B23:AH23">
    <cfRule type="cellIs" dxfId="0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O55"/>
  <sheetViews>
    <sheetView showGridLines="0" showRowColHeaders="0" workbookViewId="0"/>
  </sheetViews>
  <sheetFormatPr defaultRowHeight="14.4" x14ac:dyDescent="0.3"/>
  <cols>
    <col min="1" max="16384" width="8.88671875" style="170"/>
  </cols>
  <sheetData>
    <row r="1" spans="1:41" x14ac:dyDescent="0.3">
      <c r="A1" s="170" t="s">
        <v>367</v>
      </c>
    </row>
    <row r="2" spans="1:41" x14ac:dyDescent="0.3">
      <c r="A2" s="174" t="s">
        <v>206</v>
      </c>
    </row>
    <row r="3" spans="1:41" x14ac:dyDescent="0.3">
      <c r="A3" s="170" t="s">
        <v>100</v>
      </c>
      <c r="B3" s="195">
        <v>2015</v>
      </c>
      <c r="D3" s="171">
        <f>MAX(D5:D1048576)</f>
        <v>9</v>
      </c>
      <c r="F3" s="171">
        <f>SUMIF($E5:$E1048576,"&lt;10",F5:F1048576)</f>
        <v>1656539</v>
      </c>
      <c r="G3" s="171">
        <f t="shared" ref="G3:AO3" si="0">SUMIF($E5:$E1048576,"&lt;10",G5:G1048576)</f>
        <v>45180</v>
      </c>
      <c r="H3" s="171">
        <f t="shared" si="0"/>
        <v>1117755</v>
      </c>
      <c r="I3" s="171">
        <f t="shared" si="0"/>
        <v>0</v>
      </c>
      <c r="J3" s="171">
        <f t="shared" si="0"/>
        <v>0</v>
      </c>
      <c r="K3" s="171">
        <f t="shared" si="0"/>
        <v>0</v>
      </c>
      <c r="L3" s="171">
        <f t="shared" si="0"/>
        <v>0</v>
      </c>
      <c r="M3" s="171">
        <f t="shared" si="0"/>
        <v>0</v>
      </c>
      <c r="N3" s="171">
        <f t="shared" si="0"/>
        <v>0</v>
      </c>
      <c r="O3" s="171">
        <f t="shared" si="0"/>
        <v>250517</v>
      </c>
      <c r="P3" s="171">
        <f t="shared" si="0"/>
        <v>0</v>
      </c>
      <c r="Q3" s="171">
        <f t="shared" si="0"/>
        <v>0</v>
      </c>
      <c r="R3" s="171">
        <f t="shared" si="0"/>
        <v>0</v>
      </c>
      <c r="S3" s="171">
        <f t="shared" si="0"/>
        <v>0</v>
      </c>
      <c r="T3" s="171">
        <f t="shared" si="0"/>
        <v>0</v>
      </c>
      <c r="U3" s="171">
        <f t="shared" si="0"/>
        <v>0</v>
      </c>
      <c r="V3" s="171">
        <f t="shared" si="0"/>
        <v>0</v>
      </c>
      <c r="W3" s="171">
        <f t="shared" si="0"/>
        <v>0</v>
      </c>
      <c r="X3" s="171">
        <f t="shared" si="0"/>
        <v>0</v>
      </c>
      <c r="Y3" s="171">
        <f t="shared" si="0"/>
        <v>0</v>
      </c>
      <c r="Z3" s="171">
        <f t="shared" si="0"/>
        <v>0</v>
      </c>
      <c r="AA3" s="171">
        <f t="shared" si="0"/>
        <v>0</v>
      </c>
      <c r="AB3" s="171">
        <f t="shared" si="0"/>
        <v>0</v>
      </c>
      <c r="AC3" s="171">
        <f t="shared" si="0"/>
        <v>238380</v>
      </c>
      <c r="AD3" s="171">
        <f t="shared" si="0"/>
        <v>0</v>
      </c>
      <c r="AE3" s="171">
        <f t="shared" si="0"/>
        <v>0</v>
      </c>
      <c r="AF3" s="171">
        <f t="shared" si="0"/>
        <v>0</v>
      </c>
      <c r="AG3" s="171">
        <f t="shared" si="0"/>
        <v>0</v>
      </c>
      <c r="AH3" s="171">
        <f t="shared" si="0"/>
        <v>0</v>
      </c>
      <c r="AI3" s="171">
        <f t="shared" si="0"/>
        <v>0</v>
      </c>
      <c r="AJ3" s="171">
        <f t="shared" si="0"/>
        <v>0</v>
      </c>
      <c r="AK3" s="171">
        <f t="shared" si="0"/>
        <v>0</v>
      </c>
      <c r="AL3" s="171">
        <f t="shared" si="0"/>
        <v>4707</v>
      </c>
      <c r="AM3" s="171">
        <f t="shared" si="0"/>
        <v>0</v>
      </c>
      <c r="AN3" s="171">
        <f t="shared" si="0"/>
        <v>0</v>
      </c>
      <c r="AO3" s="171">
        <f t="shared" si="0"/>
        <v>0</v>
      </c>
    </row>
    <row r="4" spans="1:41" x14ac:dyDescent="0.3">
      <c r="A4" s="170" t="s">
        <v>101</v>
      </c>
      <c r="B4" s="195">
        <v>1</v>
      </c>
      <c r="C4" s="172" t="s">
        <v>4</v>
      </c>
      <c r="D4" s="173" t="s">
        <v>51</v>
      </c>
      <c r="E4" s="173" t="s">
        <v>95</v>
      </c>
      <c r="F4" s="173" t="s">
        <v>2</v>
      </c>
      <c r="G4" s="173" t="s">
        <v>96</v>
      </c>
      <c r="H4" s="173" t="s">
        <v>97</v>
      </c>
      <c r="I4" s="173" t="s">
        <v>98</v>
      </c>
      <c r="J4" s="173" t="s">
        <v>99</v>
      </c>
      <c r="K4" s="173">
        <v>305</v>
      </c>
      <c r="L4" s="173">
        <v>306</v>
      </c>
      <c r="M4" s="173">
        <v>407</v>
      </c>
      <c r="N4" s="173">
        <v>408</v>
      </c>
      <c r="O4" s="173">
        <v>409</v>
      </c>
      <c r="P4" s="173">
        <v>410</v>
      </c>
      <c r="Q4" s="173">
        <v>415</v>
      </c>
      <c r="R4" s="173">
        <v>416</v>
      </c>
      <c r="S4" s="173">
        <v>418</v>
      </c>
      <c r="T4" s="173">
        <v>419</v>
      </c>
      <c r="U4" s="173">
        <v>420</v>
      </c>
      <c r="V4" s="173">
        <v>421</v>
      </c>
      <c r="W4" s="173">
        <v>522</v>
      </c>
      <c r="X4" s="173">
        <v>523</v>
      </c>
      <c r="Y4" s="173">
        <v>524</v>
      </c>
      <c r="Z4" s="173">
        <v>525</v>
      </c>
      <c r="AA4" s="173">
        <v>526</v>
      </c>
      <c r="AB4" s="173">
        <v>527</v>
      </c>
      <c r="AC4" s="173">
        <v>528</v>
      </c>
      <c r="AD4" s="173">
        <v>629</v>
      </c>
      <c r="AE4" s="173">
        <v>630</v>
      </c>
      <c r="AF4" s="173">
        <v>636</v>
      </c>
      <c r="AG4" s="173">
        <v>637</v>
      </c>
      <c r="AH4" s="173">
        <v>640</v>
      </c>
      <c r="AI4" s="173">
        <v>642</v>
      </c>
      <c r="AJ4" s="173">
        <v>743</v>
      </c>
      <c r="AK4" s="173">
        <v>745</v>
      </c>
      <c r="AL4" s="173">
        <v>746</v>
      </c>
      <c r="AM4" s="173">
        <v>747</v>
      </c>
      <c r="AN4" s="173">
        <v>930</v>
      </c>
      <c r="AO4" s="173">
        <v>940</v>
      </c>
    </row>
    <row r="5" spans="1:41" x14ac:dyDescent="0.3">
      <c r="A5" s="170" t="s">
        <v>102</v>
      </c>
      <c r="B5" s="195">
        <v>2</v>
      </c>
      <c r="C5" s="170">
        <v>54</v>
      </c>
      <c r="D5" s="170">
        <v>1</v>
      </c>
      <c r="E5" s="170">
        <v>1</v>
      </c>
      <c r="F5" s="170">
        <v>4</v>
      </c>
      <c r="G5" s="170">
        <v>0</v>
      </c>
      <c r="H5" s="170">
        <v>2</v>
      </c>
      <c r="I5" s="170">
        <v>0</v>
      </c>
      <c r="J5" s="170">
        <v>0</v>
      </c>
      <c r="K5" s="170">
        <v>0</v>
      </c>
      <c r="L5" s="170">
        <v>0</v>
      </c>
      <c r="M5" s="170">
        <v>0</v>
      </c>
      <c r="N5" s="170">
        <v>0</v>
      </c>
      <c r="O5" s="170">
        <v>1</v>
      </c>
      <c r="P5" s="170">
        <v>0</v>
      </c>
      <c r="Q5" s="170">
        <v>0</v>
      </c>
      <c r="R5" s="170">
        <v>0</v>
      </c>
      <c r="S5" s="170">
        <v>0</v>
      </c>
      <c r="T5" s="170">
        <v>0</v>
      </c>
      <c r="U5" s="170">
        <v>0</v>
      </c>
      <c r="V5" s="170">
        <v>0</v>
      </c>
      <c r="W5" s="170">
        <v>0</v>
      </c>
      <c r="X5" s="170">
        <v>0</v>
      </c>
      <c r="Y5" s="170">
        <v>0</v>
      </c>
      <c r="Z5" s="170">
        <v>0</v>
      </c>
      <c r="AA5" s="170">
        <v>0</v>
      </c>
      <c r="AB5" s="170">
        <v>0</v>
      </c>
      <c r="AC5" s="170">
        <v>1</v>
      </c>
      <c r="AD5" s="170">
        <v>0</v>
      </c>
      <c r="AE5" s="170">
        <v>0</v>
      </c>
      <c r="AF5" s="170">
        <v>0</v>
      </c>
      <c r="AG5" s="170">
        <v>0</v>
      </c>
      <c r="AH5" s="170">
        <v>0</v>
      </c>
      <c r="AI5" s="170">
        <v>0</v>
      </c>
      <c r="AJ5" s="170">
        <v>0</v>
      </c>
      <c r="AK5" s="170">
        <v>0</v>
      </c>
      <c r="AL5" s="170">
        <v>0</v>
      </c>
      <c r="AM5" s="170">
        <v>0</v>
      </c>
      <c r="AN5" s="170">
        <v>0</v>
      </c>
      <c r="AO5" s="170">
        <v>0</v>
      </c>
    </row>
    <row r="6" spans="1:41" x14ac:dyDescent="0.3">
      <c r="A6" s="170" t="s">
        <v>103</v>
      </c>
      <c r="B6" s="195">
        <v>3</v>
      </c>
      <c r="C6" s="170">
        <v>54</v>
      </c>
      <c r="D6" s="170">
        <v>1</v>
      </c>
      <c r="E6" s="170">
        <v>2</v>
      </c>
      <c r="F6" s="170">
        <v>664</v>
      </c>
      <c r="G6" s="170">
        <v>0</v>
      </c>
      <c r="H6" s="170">
        <v>344</v>
      </c>
      <c r="I6" s="170">
        <v>0</v>
      </c>
      <c r="J6" s="170">
        <v>0</v>
      </c>
      <c r="K6" s="170">
        <v>0</v>
      </c>
      <c r="L6" s="170">
        <v>0</v>
      </c>
      <c r="M6" s="170">
        <v>0</v>
      </c>
      <c r="N6" s="170">
        <v>0</v>
      </c>
      <c r="O6" s="170">
        <v>160</v>
      </c>
      <c r="P6" s="170">
        <v>0</v>
      </c>
      <c r="Q6" s="170">
        <v>0</v>
      </c>
      <c r="R6" s="170">
        <v>0</v>
      </c>
      <c r="S6" s="170">
        <v>0</v>
      </c>
      <c r="T6" s="170">
        <v>0</v>
      </c>
      <c r="U6" s="170">
        <v>0</v>
      </c>
      <c r="V6" s="170">
        <v>0</v>
      </c>
      <c r="W6" s="170">
        <v>0</v>
      </c>
      <c r="X6" s="170">
        <v>0</v>
      </c>
      <c r="Y6" s="170">
        <v>0</v>
      </c>
      <c r="Z6" s="170">
        <v>0</v>
      </c>
      <c r="AA6" s="170">
        <v>0</v>
      </c>
      <c r="AB6" s="170">
        <v>0</v>
      </c>
      <c r="AC6" s="170">
        <v>160</v>
      </c>
      <c r="AD6" s="170">
        <v>0</v>
      </c>
      <c r="AE6" s="170">
        <v>0</v>
      </c>
      <c r="AF6" s="170">
        <v>0</v>
      </c>
      <c r="AG6" s="170">
        <v>0</v>
      </c>
      <c r="AH6" s="170">
        <v>0</v>
      </c>
      <c r="AI6" s="170">
        <v>0</v>
      </c>
      <c r="AJ6" s="170">
        <v>0</v>
      </c>
      <c r="AK6" s="170">
        <v>0</v>
      </c>
      <c r="AL6" s="170">
        <v>0</v>
      </c>
      <c r="AM6" s="170">
        <v>0</v>
      </c>
      <c r="AN6" s="170">
        <v>0</v>
      </c>
      <c r="AO6" s="170">
        <v>0</v>
      </c>
    </row>
    <row r="7" spans="1:41" x14ac:dyDescent="0.3">
      <c r="A7" s="170" t="s">
        <v>104</v>
      </c>
      <c r="B7" s="195">
        <v>4</v>
      </c>
      <c r="C7" s="170">
        <v>54</v>
      </c>
      <c r="D7" s="170">
        <v>1</v>
      </c>
      <c r="E7" s="170">
        <v>5</v>
      </c>
      <c r="F7" s="170">
        <v>20</v>
      </c>
      <c r="G7" s="170">
        <v>20</v>
      </c>
      <c r="H7" s="170">
        <v>0</v>
      </c>
      <c r="I7" s="170">
        <v>0</v>
      </c>
      <c r="J7" s="170">
        <v>0</v>
      </c>
      <c r="K7" s="170">
        <v>0</v>
      </c>
      <c r="L7" s="170">
        <v>0</v>
      </c>
      <c r="M7" s="170">
        <v>0</v>
      </c>
      <c r="N7" s="170">
        <v>0</v>
      </c>
      <c r="O7" s="170">
        <v>0</v>
      </c>
      <c r="P7" s="170">
        <v>0</v>
      </c>
      <c r="Q7" s="170">
        <v>0</v>
      </c>
      <c r="R7" s="170">
        <v>0</v>
      </c>
      <c r="S7" s="170">
        <v>0</v>
      </c>
      <c r="T7" s="170">
        <v>0</v>
      </c>
      <c r="U7" s="170">
        <v>0</v>
      </c>
      <c r="V7" s="170">
        <v>0</v>
      </c>
      <c r="W7" s="170">
        <v>0</v>
      </c>
      <c r="X7" s="170">
        <v>0</v>
      </c>
      <c r="Y7" s="170">
        <v>0</v>
      </c>
      <c r="Z7" s="170">
        <v>0</v>
      </c>
      <c r="AA7" s="170">
        <v>0</v>
      </c>
      <c r="AB7" s="170">
        <v>0</v>
      </c>
      <c r="AC7" s="170">
        <v>0</v>
      </c>
      <c r="AD7" s="170">
        <v>0</v>
      </c>
      <c r="AE7" s="170">
        <v>0</v>
      </c>
      <c r="AF7" s="170">
        <v>0</v>
      </c>
      <c r="AG7" s="170">
        <v>0</v>
      </c>
      <c r="AH7" s="170">
        <v>0</v>
      </c>
      <c r="AI7" s="170">
        <v>0</v>
      </c>
      <c r="AJ7" s="170">
        <v>0</v>
      </c>
      <c r="AK7" s="170">
        <v>0</v>
      </c>
      <c r="AL7" s="170">
        <v>0</v>
      </c>
      <c r="AM7" s="170">
        <v>0</v>
      </c>
      <c r="AN7" s="170">
        <v>0</v>
      </c>
      <c r="AO7" s="170">
        <v>0</v>
      </c>
    </row>
    <row r="8" spans="1:41" x14ac:dyDescent="0.3">
      <c r="A8" s="170" t="s">
        <v>105</v>
      </c>
      <c r="B8" s="195">
        <v>5</v>
      </c>
      <c r="C8" s="170">
        <v>54</v>
      </c>
      <c r="D8" s="170">
        <v>1</v>
      </c>
      <c r="E8" s="170">
        <v>6</v>
      </c>
      <c r="F8" s="170">
        <v>159512</v>
      </c>
      <c r="G8" s="170">
        <v>5000</v>
      </c>
      <c r="H8" s="170">
        <v>106054</v>
      </c>
      <c r="I8" s="170">
        <v>0</v>
      </c>
      <c r="J8" s="170">
        <v>0</v>
      </c>
      <c r="K8" s="170">
        <v>0</v>
      </c>
      <c r="L8" s="170">
        <v>0</v>
      </c>
      <c r="M8" s="170">
        <v>0</v>
      </c>
      <c r="N8" s="170">
        <v>0</v>
      </c>
      <c r="O8" s="170">
        <v>25122</v>
      </c>
      <c r="P8" s="170">
        <v>0</v>
      </c>
      <c r="Q8" s="170">
        <v>0</v>
      </c>
      <c r="R8" s="170">
        <v>0</v>
      </c>
      <c r="S8" s="170">
        <v>0</v>
      </c>
      <c r="T8" s="170">
        <v>0</v>
      </c>
      <c r="U8" s="170">
        <v>0</v>
      </c>
      <c r="V8" s="170">
        <v>0</v>
      </c>
      <c r="W8" s="170">
        <v>0</v>
      </c>
      <c r="X8" s="170">
        <v>0</v>
      </c>
      <c r="Y8" s="170">
        <v>0</v>
      </c>
      <c r="Z8" s="170">
        <v>0</v>
      </c>
      <c r="AA8" s="170">
        <v>0</v>
      </c>
      <c r="AB8" s="170">
        <v>0</v>
      </c>
      <c r="AC8" s="170">
        <v>22736</v>
      </c>
      <c r="AD8" s="170">
        <v>0</v>
      </c>
      <c r="AE8" s="170">
        <v>0</v>
      </c>
      <c r="AF8" s="170">
        <v>0</v>
      </c>
      <c r="AG8" s="170">
        <v>0</v>
      </c>
      <c r="AH8" s="170">
        <v>0</v>
      </c>
      <c r="AI8" s="170">
        <v>0</v>
      </c>
      <c r="AJ8" s="170">
        <v>0</v>
      </c>
      <c r="AK8" s="170">
        <v>0</v>
      </c>
      <c r="AL8" s="170">
        <v>600</v>
      </c>
      <c r="AM8" s="170">
        <v>0</v>
      </c>
      <c r="AN8" s="170">
        <v>0</v>
      </c>
      <c r="AO8" s="170">
        <v>0</v>
      </c>
    </row>
    <row r="9" spans="1:41" x14ac:dyDescent="0.3">
      <c r="A9" s="170" t="s">
        <v>106</v>
      </c>
      <c r="B9" s="195">
        <v>6</v>
      </c>
      <c r="C9" s="170">
        <v>54</v>
      </c>
      <c r="D9" s="170">
        <v>1</v>
      </c>
      <c r="E9" s="170">
        <v>11</v>
      </c>
      <c r="F9" s="170">
        <v>732.26589333826939</v>
      </c>
      <c r="G9" s="170">
        <v>0</v>
      </c>
      <c r="H9" s="170">
        <v>565.59922667160276</v>
      </c>
      <c r="I9" s="170">
        <v>0</v>
      </c>
      <c r="J9" s="170">
        <v>0</v>
      </c>
      <c r="K9" s="170">
        <v>166.66666666666666</v>
      </c>
      <c r="L9" s="170">
        <v>0</v>
      </c>
      <c r="M9" s="170">
        <v>0</v>
      </c>
      <c r="N9" s="170">
        <v>0</v>
      </c>
      <c r="O9" s="170">
        <v>0</v>
      </c>
      <c r="P9" s="170">
        <v>0</v>
      </c>
      <c r="Q9" s="170">
        <v>0</v>
      </c>
      <c r="R9" s="170">
        <v>0</v>
      </c>
      <c r="S9" s="170">
        <v>0</v>
      </c>
      <c r="T9" s="170">
        <v>0</v>
      </c>
      <c r="U9" s="170">
        <v>0</v>
      </c>
      <c r="V9" s="170">
        <v>0</v>
      </c>
      <c r="W9" s="170">
        <v>0</v>
      </c>
      <c r="X9" s="170">
        <v>0</v>
      </c>
      <c r="Y9" s="170">
        <v>0</v>
      </c>
      <c r="Z9" s="170">
        <v>0</v>
      </c>
      <c r="AA9" s="170">
        <v>0</v>
      </c>
      <c r="AB9" s="170">
        <v>0</v>
      </c>
      <c r="AC9" s="170">
        <v>0</v>
      </c>
      <c r="AD9" s="170">
        <v>0</v>
      </c>
      <c r="AE9" s="170">
        <v>0</v>
      </c>
      <c r="AF9" s="170">
        <v>0</v>
      </c>
      <c r="AG9" s="170">
        <v>0</v>
      </c>
      <c r="AH9" s="170">
        <v>0</v>
      </c>
      <c r="AI9" s="170">
        <v>0</v>
      </c>
      <c r="AJ9" s="170">
        <v>0</v>
      </c>
      <c r="AK9" s="170">
        <v>0</v>
      </c>
      <c r="AL9" s="170">
        <v>0</v>
      </c>
      <c r="AM9" s="170">
        <v>0</v>
      </c>
      <c r="AN9" s="170">
        <v>0</v>
      </c>
      <c r="AO9" s="170">
        <v>0</v>
      </c>
    </row>
    <row r="10" spans="1:41" x14ac:dyDescent="0.3">
      <c r="A10" s="170" t="s">
        <v>107</v>
      </c>
      <c r="B10" s="195">
        <v>7</v>
      </c>
      <c r="C10" s="170">
        <v>54</v>
      </c>
      <c r="D10" s="170">
        <v>2</v>
      </c>
      <c r="E10" s="170">
        <v>1</v>
      </c>
      <c r="F10" s="170">
        <v>4</v>
      </c>
      <c r="G10" s="170">
        <v>0</v>
      </c>
      <c r="H10" s="170">
        <v>2</v>
      </c>
      <c r="I10" s="170">
        <v>0</v>
      </c>
      <c r="J10" s="170">
        <v>0</v>
      </c>
      <c r="K10" s="170">
        <v>0</v>
      </c>
      <c r="L10" s="170">
        <v>0</v>
      </c>
      <c r="M10" s="170">
        <v>0</v>
      </c>
      <c r="N10" s="170">
        <v>0</v>
      </c>
      <c r="O10" s="170">
        <v>1</v>
      </c>
      <c r="P10" s="170">
        <v>0</v>
      </c>
      <c r="Q10" s="170">
        <v>0</v>
      </c>
      <c r="R10" s="170">
        <v>0</v>
      </c>
      <c r="S10" s="170">
        <v>0</v>
      </c>
      <c r="T10" s="170">
        <v>0</v>
      </c>
      <c r="U10" s="170">
        <v>0</v>
      </c>
      <c r="V10" s="170">
        <v>0</v>
      </c>
      <c r="W10" s="170">
        <v>0</v>
      </c>
      <c r="X10" s="170">
        <v>0</v>
      </c>
      <c r="Y10" s="170">
        <v>0</v>
      </c>
      <c r="Z10" s="170">
        <v>0</v>
      </c>
      <c r="AA10" s="170">
        <v>0</v>
      </c>
      <c r="AB10" s="170">
        <v>0</v>
      </c>
      <c r="AC10" s="170">
        <v>1</v>
      </c>
      <c r="AD10" s="170">
        <v>0</v>
      </c>
      <c r="AE10" s="170">
        <v>0</v>
      </c>
      <c r="AF10" s="170">
        <v>0</v>
      </c>
      <c r="AG10" s="170">
        <v>0</v>
      </c>
      <c r="AH10" s="170">
        <v>0</v>
      </c>
      <c r="AI10" s="170">
        <v>0</v>
      </c>
      <c r="AJ10" s="170">
        <v>0</v>
      </c>
      <c r="AK10" s="170">
        <v>0</v>
      </c>
      <c r="AL10" s="170">
        <v>0</v>
      </c>
      <c r="AM10" s="170">
        <v>0</v>
      </c>
      <c r="AN10" s="170">
        <v>0</v>
      </c>
      <c r="AO10" s="170">
        <v>0</v>
      </c>
    </row>
    <row r="11" spans="1:41" x14ac:dyDescent="0.3">
      <c r="A11" s="170" t="s">
        <v>108</v>
      </c>
      <c r="B11" s="195">
        <v>8</v>
      </c>
      <c r="C11" s="170">
        <v>54</v>
      </c>
      <c r="D11" s="170">
        <v>2</v>
      </c>
      <c r="E11" s="170">
        <v>2</v>
      </c>
      <c r="F11" s="170">
        <v>616</v>
      </c>
      <c r="G11" s="170">
        <v>0</v>
      </c>
      <c r="H11" s="170">
        <v>304</v>
      </c>
      <c r="I11" s="170">
        <v>0</v>
      </c>
      <c r="J11" s="170">
        <v>0</v>
      </c>
      <c r="K11" s="170">
        <v>0</v>
      </c>
      <c r="L11" s="170">
        <v>0</v>
      </c>
      <c r="M11" s="170">
        <v>0</v>
      </c>
      <c r="N11" s="170">
        <v>0</v>
      </c>
      <c r="O11" s="170">
        <v>152</v>
      </c>
      <c r="P11" s="170">
        <v>0</v>
      </c>
      <c r="Q11" s="170">
        <v>0</v>
      </c>
      <c r="R11" s="170">
        <v>0</v>
      </c>
      <c r="S11" s="170">
        <v>0</v>
      </c>
      <c r="T11" s="170">
        <v>0</v>
      </c>
      <c r="U11" s="170">
        <v>0</v>
      </c>
      <c r="V11" s="170">
        <v>0</v>
      </c>
      <c r="W11" s="170">
        <v>0</v>
      </c>
      <c r="X11" s="170">
        <v>0</v>
      </c>
      <c r="Y11" s="170">
        <v>0</v>
      </c>
      <c r="Z11" s="170">
        <v>0</v>
      </c>
      <c r="AA11" s="170">
        <v>0</v>
      </c>
      <c r="AB11" s="170">
        <v>0</v>
      </c>
      <c r="AC11" s="170">
        <v>160</v>
      </c>
      <c r="AD11" s="170">
        <v>0</v>
      </c>
      <c r="AE11" s="170">
        <v>0</v>
      </c>
      <c r="AF11" s="170">
        <v>0</v>
      </c>
      <c r="AG11" s="170">
        <v>0</v>
      </c>
      <c r="AH11" s="170">
        <v>0</v>
      </c>
      <c r="AI11" s="170">
        <v>0</v>
      </c>
      <c r="AJ11" s="170">
        <v>0</v>
      </c>
      <c r="AK11" s="170">
        <v>0</v>
      </c>
      <c r="AL11" s="170">
        <v>0</v>
      </c>
      <c r="AM11" s="170">
        <v>0</v>
      </c>
      <c r="AN11" s="170">
        <v>0</v>
      </c>
      <c r="AO11" s="170">
        <v>0</v>
      </c>
    </row>
    <row r="12" spans="1:41" x14ac:dyDescent="0.3">
      <c r="A12" s="170" t="s">
        <v>109</v>
      </c>
      <c r="B12" s="195">
        <v>9</v>
      </c>
      <c r="C12" s="170">
        <v>54</v>
      </c>
      <c r="D12" s="170">
        <v>2</v>
      </c>
      <c r="E12" s="170">
        <v>5</v>
      </c>
      <c r="F12" s="170">
        <v>20</v>
      </c>
      <c r="G12" s="170">
        <v>20</v>
      </c>
      <c r="H12" s="170">
        <v>0</v>
      </c>
      <c r="I12" s="170">
        <v>0</v>
      </c>
      <c r="J12" s="170">
        <v>0</v>
      </c>
      <c r="K12" s="170">
        <v>0</v>
      </c>
      <c r="L12" s="170">
        <v>0</v>
      </c>
      <c r="M12" s="170">
        <v>0</v>
      </c>
      <c r="N12" s="170">
        <v>0</v>
      </c>
      <c r="O12" s="170">
        <v>0</v>
      </c>
      <c r="P12" s="170">
        <v>0</v>
      </c>
      <c r="Q12" s="170">
        <v>0</v>
      </c>
      <c r="R12" s="170">
        <v>0</v>
      </c>
      <c r="S12" s="170">
        <v>0</v>
      </c>
      <c r="T12" s="170">
        <v>0</v>
      </c>
      <c r="U12" s="170">
        <v>0</v>
      </c>
      <c r="V12" s="170">
        <v>0</v>
      </c>
      <c r="W12" s="170">
        <v>0</v>
      </c>
      <c r="X12" s="170">
        <v>0</v>
      </c>
      <c r="Y12" s="170">
        <v>0</v>
      </c>
      <c r="Z12" s="170">
        <v>0</v>
      </c>
      <c r="AA12" s="170">
        <v>0</v>
      </c>
      <c r="AB12" s="170">
        <v>0</v>
      </c>
      <c r="AC12" s="170">
        <v>0</v>
      </c>
      <c r="AD12" s="170">
        <v>0</v>
      </c>
      <c r="AE12" s="170">
        <v>0</v>
      </c>
      <c r="AF12" s="170">
        <v>0</v>
      </c>
      <c r="AG12" s="170">
        <v>0</v>
      </c>
      <c r="AH12" s="170">
        <v>0</v>
      </c>
      <c r="AI12" s="170">
        <v>0</v>
      </c>
      <c r="AJ12" s="170">
        <v>0</v>
      </c>
      <c r="AK12" s="170">
        <v>0</v>
      </c>
      <c r="AL12" s="170">
        <v>0</v>
      </c>
      <c r="AM12" s="170">
        <v>0</v>
      </c>
      <c r="AN12" s="170">
        <v>0</v>
      </c>
      <c r="AO12" s="170">
        <v>0</v>
      </c>
    </row>
    <row r="13" spans="1:41" x14ac:dyDescent="0.3">
      <c r="A13" s="170" t="s">
        <v>110</v>
      </c>
      <c r="B13" s="195">
        <v>10</v>
      </c>
      <c r="C13" s="170">
        <v>54</v>
      </c>
      <c r="D13" s="170">
        <v>2</v>
      </c>
      <c r="E13" s="170">
        <v>6</v>
      </c>
      <c r="F13" s="170">
        <v>159044</v>
      </c>
      <c r="G13" s="170">
        <v>5000</v>
      </c>
      <c r="H13" s="170">
        <v>106111</v>
      </c>
      <c r="I13" s="170">
        <v>0</v>
      </c>
      <c r="J13" s="170">
        <v>0</v>
      </c>
      <c r="K13" s="170">
        <v>0</v>
      </c>
      <c r="L13" s="170">
        <v>0</v>
      </c>
      <c r="M13" s="170">
        <v>0</v>
      </c>
      <c r="N13" s="170">
        <v>0</v>
      </c>
      <c r="O13" s="170">
        <v>24893</v>
      </c>
      <c r="P13" s="170">
        <v>0</v>
      </c>
      <c r="Q13" s="170">
        <v>0</v>
      </c>
      <c r="R13" s="170">
        <v>0</v>
      </c>
      <c r="S13" s="170">
        <v>0</v>
      </c>
      <c r="T13" s="170">
        <v>0</v>
      </c>
      <c r="U13" s="170">
        <v>0</v>
      </c>
      <c r="V13" s="170">
        <v>0</v>
      </c>
      <c r="W13" s="170">
        <v>0</v>
      </c>
      <c r="X13" s="170">
        <v>0</v>
      </c>
      <c r="Y13" s="170">
        <v>0</v>
      </c>
      <c r="Z13" s="170">
        <v>0</v>
      </c>
      <c r="AA13" s="170">
        <v>0</v>
      </c>
      <c r="AB13" s="170">
        <v>0</v>
      </c>
      <c r="AC13" s="170">
        <v>22470</v>
      </c>
      <c r="AD13" s="170">
        <v>0</v>
      </c>
      <c r="AE13" s="170">
        <v>0</v>
      </c>
      <c r="AF13" s="170">
        <v>0</v>
      </c>
      <c r="AG13" s="170">
        <v>0</v>
      </c>
      <c r="AH13" s="170">
        <v>0</v>
      </c>
      <c r="AI13" s="170">
        <v>0</v>
      </c>
      <c r="AJ13" s="170">
        <v>0</v>
      </c>
      <c r="AK13" s="170">
        <v>0</v>
      </c>
      <c r="AL13" s="170">
        <v>570</v>
      </c>
      <c r="AM13" s="170">
        <v>0</v>
      </c>
      <c r="AN13" s="170">
        <v>0</v>
      </c>
      <c r="AO13" s="170">
        <v>0</v>
      </c>
    </row>
    <row r="14" spans="1:41" x14ac:dyDescent="0.3">
      <c r="A14" s="170" t="s">
        <v>111</v>
      </c>
      <c r="B14" s="195">
        <v>11</v>
      </c>
      <c r="C14" s="170">
        <v>54</v>
      </c>
      <c r="D14" s="170">
        <v>2</v>
      </c>
      <c r="E14" s="170">
        <v>11</v>
      </c>
      <c r="F14" s="170">
        <v>732.26589333826939</v>
      </c>
      <c r="G14" s="170">
        <v>0</v>
      </c>
      <c r="H14" s="170">
        <v>565.59922667160276</v>
      </c>
      <c r="I14" s="170">
        <v>0</v>
      </c>
      <c r="J14" s="170">
        <v>0</v>
      </c>
      <c r="K14" s="170">
        <v>166.66666666666666</v>
      </c>
      <c r="L14" s="170">
        <v>0</v>
      </c>
      <c r="M14" s="170">
        <v>0</v>
      </c>
      <c r="N14" s="170">
        <v>0</v>
      </c>
      <c r="O14" s="170">
        <v>0</v>
      </c>
      <c r="P14" s="170">
        <v>0</v>
      </c>
      <c r="Q14" s="170">
        <v>0</v>
      </c>
      <c r="R14" s="170">
        <v>0</v>
      </c>
      <c r="S14" s="170">
        <v>0</v>
      </c>
      <c r="T14" s="170">
        <v>0</v>
      </c>
      <c r="U14" s="170">
        <v>0</v>
      </c>
      <c r="V14" s="170">
        <v>0</v>
      </c>
      <c r="W14" s="170">
        <v>0</v>
      </c>
      <c r="X14" s="170">
        <v>0</v>
      </c>
      <c r="Y14" s="170">
        <v>0</v>
      </c>
      <c r="Z14" s="170">
        <v>0</v>
      </c>
      <c r="AA14" s="170">
        <v>0</v>
      </c>
      <c r="AB14" s="170">
        <v>0</v>
      </c>
      <c r="AC14" s="170">
        <v>0</v>
      </c>
      <c r="AD14" s="170">
        <v>0</v>
      </c>
      <c r="AE14" s="170">
        <v>0</v>
      </c>
      <c r="AF14" s="170">
        <v>0</v>
      </c>
      <c r="AG14" s="170">
        <v>0</v>
      </c>
      <c r="AH14" s="170">
        <v>0</v>
      </c>
      <c r="AI14" s="170">
        <v>0</v>
      </c>
      <c r="AJ14" s="170">
        <v>0</v>
      </c>
      <c r="AK14" s="170">
        <v>0</v>
      </c>
      <c r="AL14" s="170">
        <v>0</v>
      </c>
      <c r="AM14" s="170">
        <v>0</v>
      </c>
      <c r="AN14" s="170">
        <v>0</v>
      </c>
      <c r="AO14" s="170">
        <v>0</v>
      </c>
    </row>
    <row r="15" spans="1:41" x14ac:dyDescent="0.3">
      <c r="A15" s="170" t="s">
        <v>112</v>
      </c>
      <c r="B15" s="195">
        <v>12</v>
      </c>
      <c r="C15" s="170">
        <v>54</v>
      </c>
      <c r="D15" s="170">
        <v>3</v>
      </c>
      <c r="E15" s="170">
        <v>1</v>
      </c>
      <c r="F15" s="170">
        <v>4</v>
      </c>
      <c r="G15" s="170">
        <v>0</v>
      </c>
      <c r="H15" s="170">
        <v>2</v>
      </c>
      <c r="I15" s="170">
        <v>0</v>
      </c>
      <c r="J15" s="170">
        <v>0</v>
      </c>
      <c r="K15" s="170">
        <v>0</v>
      </c>
      <c r="L15" s="170">
        <v>0</v>
      </c>
      <c r="M15" s="170">
        <v>0</v>
      </c>
      <c r="N15" s="170">
        <v>0</v>
      </c>
      <c r="O15" s="170">
        <v>1</v>
      </c>
      <c r="P15" s="170">
        <v>0</v>
      </c>
      <c r="Q15" s="170">
        <v>0</v>
      </c>
      <c r="R15" s="170">
        <v>0</v>
      </c>
      <c r="S15" s="170">
        <v>0</v>
      </c>
      <c r="T15" s="170">
        <v>0</v>
      </c>
      <c r="U15" s="170">
        <v>0</v>
      </c>
      <c r="V15" s="170">
        <v>0</v>
      </c>
      <c r="W15" s="170">
        <v>0</v>
      </c>
      <c r="X15" s="170">
        <v>0</v>
      </c>
      <c r="Y15" s="170">
        <v>0</v>
      </c>
      <c r="Z15" s="170">
        <v>0</v>
      </c>
      <c r="AA15" s="170">
        <v>0</v>
      </c>
      <c r="AB15" s="170">
        <v>0</v>
      </c>
      <c r="AC15" s="170">
        <v>1</v>
      </c>
      <c r="AD15" s="170">
        <v>0</v>
      </c>
      <c r="AE15" s="170">
        <v>0</v>
      </c>
      <c r="AF15" s="170">
        <v>0</v>
      </c>
      <c r="AG15" s="170">
        <v>0</v>
      </c>
      <c r="AH15" s="170">
        <v>0</v>
      </c>
      <c r="AI15" s="170">
        <v>0</v>
      </c>
      <c r="AJ15" s="170">
        <v>0</v>
      </c>
      <c r="AK15" s="170">
        <v>0</v>
      </c>
      <c r="AL15" s="170">
        <v>0</v>
      </c>
      <c r="AM15" s="170">
        <v>0</v>
      </c>
      <c r="AN15" s="170">
        <v>0</v>
      </c>
      <c r="AO15" s="170">
        <v>0</v>
      </c>
    </row>
    <row r="16" spans="1:41" x14ac:dyDescent="0.3">
      <c r="A16" s="170" t="s">
        <v>100</v>
      </c>
      <c r="B16" s="195">
        <v>2015</v>
      </c>
      <c r="C16" s="170">
        <v>54</v>
      </c>
      <c r="D16" s="170">
        <v>3</v>
      </c>
      <c r="E16" s="170">
        <v>2</v>
      </c>
      <c r="F16" s="170">
        <v>656</v>
      </c>
      <c r="G16" s="170">
        <v>0</v>
      </c>
      <c r="H16" s="170">
        <v>336</v>
      </c>
      <c r="I16" s="170">
        <v>0</v>
      </c>
      <c r="J16" s="170">
        <v>0</v>
      </c>
      <c r="K16" s="170">
        <v>0</v>
      </c>
      <c r="L16" s="170">
        <v>0</v>
      </c>
      <c r="M16" s="170">
        <v>0</v>
      </c>
      <c r="N16" s="170">
        <v>0</v>
      </c>
      <c r="O16" s="170">
        <v>160</v>
      </c>
      <c r="P16" s="170">
        <v>0</v>
      </c>
      <c r="Q16" s="170">
        <v>0</v>
      </c>
      <c r="R16" s="170">
        <v>0</v>
      </c>
      <c r="S16" s="170">
        <v>0</v>
      </c>
      <c r="T16" s="170">
        <v>0</v>
      </c>
      <c r="U16" s="170">
        <v>0</v>
      </c>
      <c r="V16" s="170">
        <v>0</v>
      </c>
      <c r="W16" s="170">
        <v>0</v>
      </c>
      <c r="X16" s="170">
        <v>0</v>
      </c>
      <c r="Y16" s="170">
        <v>0</v>
      </c>
      <c r="Z16" s="170">
        <v>0</v>
      </c>
      <c r="AA16" s="170">
        <v>0</v>
      </c>
      <c r="AB16" s="170">
        <v>0</v>
      </c>
      <c r="AC16" s="170">
        <v>160</v>
      </c>
      <c r="AD16" s="170">
        <v>0</v>
      </c>
      <c r="AE16" s="170">
        <v>0</v>
      </c>
      <c r="AF16" s="170">
        <v>0</v>
      </c>
      <c r="AG16" s="170">
        <v>0</v>
      </c>
      <c r="AH16" s="170">
        <v>0</v>
      </c>
      <c r="AI16" s="170">
        <v>0</v>
      </c>
      <c r="AJ16" s="170">
        <v>0</v>
      </c>
      <c r="AK16" s="170">
        <v>0</v>
      </c>
      <c r="AL16" s="170">
        <v>0</v>
      </c>
      <c r="AM16" s="170">
        <v>0</v>
      </c>
      <c r="AN16" s="170">
        <v>0</v>
      </c>
      <c r="AO16" s="170">
        <v>0</v>
      </c>
    </row>
    <row r="17" spans="3:41" x14ac:dyDescent="0.3">
      <c r="C17" s="170">
        <v>54</v>
      </c>
      <c r="D17" s="170">
        <v>3</v>
      </c>
      <c r="E17" s="170">
        <v>5</v>
      </c>
      <c r="F17" s="170">
        <v>20</v>
      </c>
      <c r="G17" s="170">
        <v>20</v>
      </c>
      <c r="H17" s="170">
        <v>0</v>
      </c>
      <c r="I17" s="170">
        <v>0</v>
      </c>
      <c r="J17" s="170">
        <v>0</v>
      </c>
      <c r="K17" s="170">
        <v>0</v>
      </c>
      <c r="L17" s="170">
        <v>0</v>
      </c>
      <c r="M17" s="170">
        <v>0</v>
      </c>
      <c r="N17" s="170">
        <v>0</v>
      </c>
      <c r="O17" s="170">
        <v>0</v>
      </c>
      <c r="P17" s="170">
        <v>0</v>
      </c>
      <c r="Q17" s="170">
        <v>0</v>
      </c>
      <c r="R17" s="170">
        <v>0</v>
      </c>
      <c r="S17" s="170">
        <v>0</v>
      </c>
      <c r="T17" s="170">
        <v>0</v>
      </c>
      <c r="U17" s="170">
        <v>0</v>
      </c>
      <c r="V17" s="170">
        <v>0</v>
      </c>
      <c r="W17" s="170">
        <v>0</v>
      </c>
      <c r="X17" s="170">
        <v>0</v>
      </c>
      <c r="Y17" s="170">
        <v>0</v>
      </c>
      <c r="Z17" s="170">
        <v>0</v>
      </c>
      <c r="AA17" s="170">
        <v>0</v>
      </c>
      <c r="AB17" s="170">
        <v>0</v>
      </c>
      <c r="AC17" s="170">
        <v>0</v>
      </c>
      <c r="AD17" s="170">
        <v>0</v>
      </c>
      <c r="AE17" s="170">
        <v>0</v>
      </c>
      <c r="AF17" s="170">
        <v>0</v>
      </c>
      <c r="AG17" s="170">
        <v>0</v>
      </c>
      <c r="AH17" s="170">
        <v>0</v>
      </c>
      <c r="AI17" s="170">
        <v>0</v>
      </c>
      <c r="AJ17" s="170">
        <v>0</v>
      </c>
      <c r="AK17" s="170">
        <v>0</v>
      </c>
      <c r="AL17" s="170">
        <v>0</v>
      </c>
      <c r="AM17" s="170">
        <v>0</v>
      </c>
      <c r="AN17" s="170">
        <v>0</v>
      </c>
      <c r="AO17" s="170">
        <v>0</v>
      </c>
    </row>
    <row r="18" spans="3:41" x14ac:dyDescent="0.3">
      <c r="C18" s="170">
        <v>54</v>
      </c>
      <c r="D18" s="170">
        <v>3</v>
      </c>
      <c r="E18" s="170">
        <v>6</v>
      </c>
      <c r="F18" s="170">
        <v>160196</v>
      </c>
      <c r="G18" s="170">
        <v>5000</v>
      </c>
      <c r="H18" s="170">
        <v>106738</v>
      </c>
      <c r="I18" s="170">
        <v>0</v>
      </c>
      <c r="J18" s="170">
        <v>0</v>
      </c>
      <c r="K18" s="170">
        <v>0</v>
      </c>
      <c r="L18" s="170">
        <v>0</v>
      </c>
      <c r="M18" s="170">
        <v>0</v>
      </c>
      <c r="N18" s="170">
        <v>0</v>
      </c>
      <c r="O18" s="170">
        <v>25122</v>
      </c>
      <c r="P18" s="170">
        <v>0</v>
      </c>
      <c r="Q18" s="170">
        <v>0</v>
      </c>
      <c r="R18" s="170">
        <v>0</v>
      </c>
      <c r="S18" s="170">
        <v>0</v>
      </c>
      <c r="T18" s="170">
        <v>0</v>
      </c>
      <c r="U18" s="170">
        <v>0</v>
      </c>
      <c r="V18" s="170">
        <v>0</v>
      </c>
      <c r="W18" s="170">
        <v>0</v>
      </c>
      <c r="X18" s="170">
        <v>0</v>
      </c>
      <c r="Y18" s="170">
        <v>0</v>
      </c>
      <c r="Z18" s="170">
        <v>0</v>
      </c>
      <c r="AA18" s="170">
        <v>0</v>
      </c>
      <c r="AB18" s="170">
        <v>0</v>
      </c>
      <c r="AC18" s="170">
        <v>22736</v>
      </c>
      <c r="AD18" s="170">
        <v>0</v>
      </c>
      <c r="AE18" s="170">
        <v>0</v>
      </c>
      <c r="AF18" s="170">
        <v>0</v>
      </c>
      <c r="AG18" s="170">
        <v>0</v>
      </c>
      <c r="AH18" s="170">
        <v>0</v>
      </c>
      <c r="AI18" s="170">
        <v>0</v>
      </c>
      <c r="AJ18" s="170">
        <v>0</v>
      </c>
      <c r="AK18" s="170">
        <v>0</v>
      </c>
      <c r="AL18" s="170">
        <v>600</v>
      </c>
      <c r="AM18" s="170">
        <v>0</v>
      </c>
      <c r="AN18" s="170">
        <v>0</v>
      </c>
      <c r="AO18" s="170">
        <v>0</v>
      </c>
    </row>
    <row r="19" spans="3:41" x14ac:dyDescent="0.3">
      <c r="C19" s="170">
        <v>54</v>
      </c>
      <c r="D19" s="170">
        <v>3</v>
      </c>
      <c r="E19" s="170">
        <v>10</v>
      </c>
      <c r="F19" s="170">
        <v>800</v>
      </c>
      <c r="G19" s="170">
        <v>0</v>
      </c>
      <c r="H19" s="170">
        <v>800</v>
      </c>
      <c r="I19" s="170">
        <v>0</v>
      </c>
      <c r="J19" s="170">
        <v>0</v>
      </c>
      <c r="K19" s="170">
        <v>0</v>
      </c>
      <c r="L19" s="170">
        <v>0</v>
      </c>
      <c r="M19" s="170">
        <v>0</v>
      </c>
      <c r="N19" s="170">
        <v>0</v>
      </c>
      <c r="O19" s="170">
        <v>0</v>
      </c>
      <c r="P19" s="170">
        <v>0</v>
      </c>
      <c r="Q19" s="170">
        <v>0</v>
      </c>
      <c r="R19" s="170">
        <v>0</v>
      </c>
      <c r="S19" s="170">
        <v>0</v>
      </c>
      <c r="T19" s="170">
        <v>0</v>
      </c>
      <c r="U19" s="170">
        <v>0</v>
      </c>
      <c r="V19" s="170">
        <v>0</v>
      </c>
      <c r="W19" s="170">
        <v>0</v>
      </c>
      <c r="X19" s="170">
        <v>0</v>
      </c>
      <c r="Y19" s="170">
        <v>0</v>
      </c>
      <c r="Z19" s="170">
        <v>0</v>
      </c>
      <c r="AA19" s="170">
        <v>0</v>
      </c>
      <c r="AB19" s="170">
        <v>0</v>
      </c>
      <c r="AC19" s="170">
        <v>0</v>
      </c>
      <c r="AD19" s="170">
        <v>0</v>
      </c>
      <c r="AE19" s="170">
        <v>0</v>
      </c>
      <c r="AF19" s="170">
        <v>0</v>
      </c>
      <c r="AG19" s="170">
        <v>0</v>
      </c>
      <c r="AH19" s="170">
        <v>0</v>
      </c>
      <c r="AI19" s="170">
        <v>0</v>
      </c>
      <c r="AJ19" s="170">
        <v>0</v>
      </c>
      <c r="AK19" s="170">
        <v>0</v>
      </c>
      <c r="AL19" s="170">
        <v>0</v>
      </c>
      <c r="AM19" s="170">
        <v>0</v>
      </c>
      <c r="AN19" s="170">
        <v>0</v>
      </c>
      <c r="AO19" s="170">
        <v>0</v>
      </c>
    </row>
    <row r="20" spans="3:41" x14ac:dyDescent="0.3">
      <c r="C20" s="170">
        <v>54</v>
      </c>
      <c r="D20" s="170">
        <v>3</v>
      </c>
      <c r="E20" s="170">
        <v>11</v>
      </c>
      <c r="F20" s="170">
        <v>732.26589333826939</v>
      </c>
      <c r="G20" s="170">
        <v>0</v>
      </c>
      <c r="H20" s="170">
        <v>565.59922667160276</v>
      </c>
      <c r="I20" s="170">
        <v>0</v>
      </c>
      <c r="J20" s="170">
        <v>0</v>
      </c>
      <c r="K20" s="170">
        <v>166.66666666666666</v>
      </c>
      <c r="L20" s="170">
        <v>0</v>
      </c>
      <c r="M20" s="170">
        <v>0</v>
      </c>
      <c r="N20" s="170">
        <v>0</v>
      </c>
      <c r="O20" s="170">
        <v>0</v>
      </c>
      <c r="P20" s="170">
        <v>0</v>
      </c>
      <c r="Q20" s="170">
        <v>0</v>
      </c>
      <c r="R20" s="170">
        <v>0</v>
      </c>
      <c r="S20" s="170">
        <v>0</v>
      </c>
      <c r="T20" s="170">
        <v>0</v>
      </c>
      <c r="U20" s="170">
        <v>0</v>
      </c>
      <c r="V20" s="170">
        <v>0</v>
      </c>
      <c r="W20" s="170">
        <v>0</v>
      </c>
      <c r="X20" s="170">
        <v>0</v>
      </c>
      <c r="Y20" s="170">
        <v>0</v>
      </c>
      <c r="Z20" s="170">
        <v>0</v>
      </c>
      <c r="AA20" s="170">
        <v>0</v>
      </c>
      <c r="AB20" s="170">
        <v>0</v>
      </c>
      <c r="AC20" s="170">
        <v>0</v>
      </c>
      <c r="AD20" s="170">
        <v>0</v>
      </c>
      <c r="AE20" s="170">
        <v>0</v>
      </c>
      <c r="AF20" s="170">
        <v>0</v>
      </c>
      <c r="AG20" s="170">
        <v>0</v>
      </c>
      <c r="AH20" s="170">
        <v>0</v>
      </c>
      <c r="AI20" s="170">
        <v>0</v>
      </c>
      <c r="AJ20" s="170">
        <v>0</v>
      </c>
      <c r="AK20" s="170">
        <v>0</v>
      </c>
      <c r="AL20" s="170">
        <v>0</v>
      </c>
      <c r="AM20" s="170">
        <v>0</v>
      </c>
      <c r="AN20" s="170">
        <v>0</v>
      </c>
      <c r="AO20" s="170">
        <v>0</v>
      </c>
    </row>
    <row r="21" spans="3:41" x14ac:dyDescent="0.3">
      <c r="C21" s="170">
        <v>54</v>
      </c>
      <c r="D21" s="170">
        <v>4</v>
      </c>
      <c r="E21" s="170">
        <v>1</v>
      </c>
      <c r="F21" s="170">
        <v>4</v>
      </c>
      <c r="G21" s="170">
        <v>0</v>
      </c>
      <c r="H21" s="170">
        <v>2</v>
      </c>
      <c r="I21" s="170">
        <v>0</v>
      </c>
      <c r="J21" s="170">
        <v>0</v>
      </c>
      <c r="K21" s="170">
        <v>0</v>
      </c>
      <c r="L21" s="170">
        <v>0</v>
      </c>
      <c r="M21" s="170">
        <v>0</v>
      </c>
      <c r="N21" s="170">
        <v>0</v>
      </c>
      <c r="O21" s="170">
        <v>1</v>
      </c>
      <c r="P21" s="170">
        <v>0</v>
      </c>
      <c r="Q21" s="170">
        <v>0</v>
      </c>
      <c r="R21" s="170">
        <v>0</v>
      </c>
      <c r="S21" s="170">
        <v>0</v>
      </c>
      <c r="T21" s="170">
        <v>0</v>
      </c>
      <c r="U21" s="170">
        <v>0</v>
      </c>
      <c r="V21" s="170">
        <v>0</v>
      </c>
      <c r="W21" s="170">
        <v>0</v>
      </c>
      <c r="X21" s="170">
        <v>0</v>
      </c>
      <c r="Y21" s="170">
        <v>0</v>
      </c>
      <c r="Z21" s="170">
        <v>0</v>
      </c>
      <c r="AA21" s="170">
        <v>0</v>
      </c>
      <c r="AB21" s="170">
        <v>0</v>
      </c>
      <c r="AC21" s="170">
        <v>1</v>
      </c>
      <c r="AD21" s="170">
        <v>0</v>
      </c>
      <c r="AE21" s="170">
        <v>0</v>
      </c>
      <c r="AF21" s="170">
        <v>0</v>
      </c>
      <c r="AG21" s="170">
        <v>0</v>
      </c>
      <c r="AH21" s="170">
        <v>0</v>
      </c>
      <c r="AI21" s="170">
        <v>0</v>
      </c>
      <c r="AJ21" s="170">
        <v>0</v>
      </c>
      <c r="AK21" s="170">
        <v>0</v>
      </c>
      <c r="AL21" s="170">
        <v>0</v>
      </c>
      <c r="AM21" s="170">
        <v>0</v>
      </c>
      <c r="AN21" s="170">
        <v>0</v>
      </c>
      <c r="AO21" s="170">
        <v>0</v>
      </c>
    </row>
    <row r="22" spans="3:41" x14ac:dyDescent="0.3">
      <c r="C22" s="170">
        <v>54</v>
      </c>
      <c r="D22" s="170">
        <v>4</v>
      </c>
      <c r="E22" s="170">
        <v>2</v>
      </c>
      <c r="F22" s="170">
        <v>648</v>
      </c>
      <c r="G22" s="170">
        <v>0</v>
      </c>
      <c r="H22" s="170">
        <v>320</v>
      </c>
      <c r="I22" s="170">
        <v>0</v>
      </c>
      <c r="J22" s="170">
        <v>0</v>
      </c>
      <c r="K22" s="170">
        <v>0</v>
      </c>
      <c r="L22" s="170">
        <v>0</v>
      </c>
      <c r="M22" s="170">
        <v>0</v>
      </c>
      <c r="N22" s="170">
        <v>0</v>
      </c>
      <c r="O22" s="170">
        <v>160</v>
      </c>
      <c r="P22" s="170">
        <v>0</v>
      </c>
      <c r="Q22" s="170">
        <v>0</v>
      </c>
      <c r="R22" s="170">
        <v>0</v>
      </c>
      <c r="S22" s="170">
        <v>0</v>
      </c>
      <c r="T22" s="170">
        <v>0</v>
      </c>
      <c r="U22" s="170">
        <v>0</v>
      </c>
      <c r="V22" s="170">
        <v>0</v>
      </c>
      <c r="W22" s="170">
        <v>0</v>
      </c>
      <c r="X22" s="170">
        <v>0</v>
      </c>
      <c r="Y22" s="170">
        <v>0</v>
      </c>
      <c r="Z22" s="170">
        <v>0</v>
      </c>
      <c r="AA22" s="170">
        <v>0</v>
      </c>
      <c r="AB22" s="170">
        <v>0</v>
      </c>
      <c r="AC22" s="170">
        <v>168</v>
      </c>
      <c r="AD22" s="170">
        <v>0</v>
      </c>
      <c r="AE22" s="170">
        <v>0</v>
      </c>
      <c r="AF22" s="170">
        <v>0</v>
      </c>
      <c r="AG22" s="170">
        <v>0</v>
      </c>
      <c r="AH22" s="170">
        <v>0</v>
      </c>
      <c r="AI22" s="170">
        <v>0</v>
      </c>
      <c r="AJ22" s="170">
        <v>0</v>
      </c>
      <c r="AK22" s="170">
        <v>0</v>
      </c>
      <c r="AL22" s="170">
        <v>0</v>
      </c>
      <c r="AM22" s="170">
        <v>0</v>
      </c>
      <c r="AN22" s="170">
        <v>0</v>
      </c>
      <c r="AO22" s="170">
        <v>0</v>
      </c>
    </row>
    <row r="23" spans="3:41" x14ac:dyDescent="0.3">
      <c r="C23" s="170">
        <v>54</v>
      </c>
      <c r="D23" s="170">
        <v>4</v>
      </c>
      <c r="E23" s="170">
        <v>5</v>
      </c>
      <c r="F23" s="170">
        <v>20</v>
      </c>
      <c r="G23" s="170">
        <v>20</v>
      </c>
      <c r="H23" s="170">
        <v>0</v>
      </c>
      <c r="I23" s="170">
        <v>0</v>
      </c>
      <c r="J23" s="170">
        <v>0</v>
      </c>
      <c r="K23" s="170">
        <v>0</v>
      </c>
      <c r="L23" s="170">
        <v>0</v>
      </c>
      <c r="M23" s="170">
        <v>0</v>
      </c>
      <c r="N23" s="170">
        <v>0</v>
      </c>
      <c r="O23" s="170">
        <v>0</v>
      </c>
      <c r="P23" s="170">
        <v>0</v>
      </c>
      <c r="Q23" s="170">
        <v>0</v>
      </c>
      <c r="R23" s="170">
        <v>0</v>
      </c>
      <c r="S23" s="170">
        <v>0</v>
      </c>
      <c r="T23" s="170">
        <v>0</v>
      </c>
      <c r="U23" s="170">
        <v>0</v>
      </c>
      <c r="V23" s="170">
        <v>0</v>
      </c>
      <c r="W23" s="170">
        <v>0</v>
      </c>
      <c r="X23" s="170">
        <v>0</v>
      </c>
      <c r="Y23" s="170">
        <v>0</v>
      </c>
      <c r="Z23" s="170">
        <v>0</v>
      </c>
      <c r="AA23" s="170">
        <v>0</v>
      </c>
      <c r="AB23" s="170">
        <v>0</v>
      </c>
      <c r="AC23" s="170">
        <v>0</v>
      </c>
      <c r="AD23" s="170">
        <v>0</v>
      </c>
      <c r="AE23" s="170">
        <v>0</v>
      </c>
      <c r="AF23" s="170">
        <v>0</v>
      </c>
      <c r="AG23" s="170">
        <v>0</v>
      </c>
      <c r="AH23" s="170">
        <v>0</v>
      </c>
      <c r="AI23" s="170">
        <v>0</v>
      </c>
      <c r="AJ23" s="170">
        <v>0</v>
      </c>
      <c r="AK23" s="170">
        <v>0</v>
      </c>
      <c r="AL23" s="170">
        <v>0</v>
      </c>
      <c r="AM23" s="170">
        <v>0</v>
      </c>
      <c r="AN23" s="170">
        <v>0</v>
      </c>
      <c r="AO23" s="170">
        <v>0</v>
      </c>
    </row>
    <row r="24" spans="3:41" x14ac:dyDescent="0.3">
      <c r="C24" s="170">
        <v>54</v>
      </c>
      <c r="D24" s="170">
        <v>4</v>
      </c>
      <c r="E24" s="170">
        <v>6</v>
      </c>
      <c r="F24" s="170">
        <v>160052</v>
      </c>
      <c r="G24" s="170">
        <v>5000</v>
      </c>
      <c r="H24" s="170">
        <v>106762</v>
      </c>
      <c r="I24" s="170">
        <v>0</v>
      </c>
      <c r="J24" s="170">
        <v>0</v>
      </c>
      <c r="K24" s="170">
        <v>0</v>
      </c>
      <c r="L24" s="170">
        <v>0</v>
      </c>
      <c r="M24" s="170">
        <v>0</v>
      </c>
      <c r="N24" s="170">
        <v>0</v>
      </c>
      <c r="O24" s="170">
        <v>25098</v>
      </c>
      <c r="P24" s="170">
        <v>0</v>
      </c>
      <c r="Q24" s="170">
        <v>0</v>
      </c>
      <c r="R24" s="170">
        <v>0</v>
      </c>
      <c r="S24" s="170">
        <v>0</v>
      </c>
      <c r="T24" s="170">
        <v>0</v>
      </c>
      <c r="U24" s="170">
        <v>0</v>
      </c>
      <c r="V24" s="170">
        <v>0</v>
      </c>
      <c r="W24" s="170">
        <v>0</v>
      </c>
      <c r="X24" s="170">
        <v>0</v>
      </c>
      <c r="Y24" s="170">
        <v>0</v>
      </c>
      <c r="Z24" s="170">
        <v>0</v>
      </c>
      <c r="AA24" s="170">
        <v>0</v>
      </c>
      <c r="AB24" s="170">
        <v>0</v>
      </c>
      <c r="AC24" s="170">
        <v>22592</v>
      </c>
      <c r="AD24" s="170">
        <v>0</v>
      </c>
      <c r="AE24" s="170">
        <v>0</v>
      </c>
      <c r="AF24" s="170">
        <v>0</v>
      </c>
      <c r="AG24" s="170">
        <v>0</v>
      </c>
      <c r="AH24" s="170">
        <v>0</v>
      </c>
      <c r="AI24" s="170">
        <v>0</v>
      </c>
      <c r="AJ24" s="170">
        <v>0</v>
      </c>
      <c r="AK24" s="170">
        <v>0</v>
      </c>
      <c r="AL24" s="170">
        <v>600</v>
      </c>
      <c r="AM24" s="170">
        <v>0</v>
      </c>
      <c r="AN24" s="170">
        <v>0</v>
      </c>
      <c r="AO24" s="170">
        <v>0</v>
      </c>
    </row>
    <row r="25" spans="3:41" x14ac:dyDescent="0.3">
      <c r="C25" s="170">
        <v>54</v>
      </c>
      <c r="D25" s="170">
        <v>4</v>
      </c>
      <c r="E25" s="170">
        <v>10</v>
      </c>
      <c r="F25" s="170">
        <v>1200</v>
      </c>
      <c r="G25" s="170">
        <v>0</v>
      </c>
      <c r="H25" s="170">
        <v>600</v>
      </c>
      <c r="I25" s="170">
        <v>0</v>
      </c>
      <c r="J25" s="170">
        <v>0</v>
      </c>
      <c r="K25" s="170">
        <v>600</v>
      </c>
      <c r="L25" s="170">
        <v>0</v>
      </c>
      <c r="M25" s="170">
        <v>0</v>
      </c>
      <c r="N25" s="170">
        <v>0</v>
      </c>
      <c r="O25" s="170">
        <v>0</v>
      </c>
      <c r="P25" s="170">
        <v>0</v>
      </c>
      <c r="Q25" s="170">
        <v>0</v>
      </c>
      <c r="R25" s="170">
        <v>0</v>
      </c>
      <c r="S25" s="170">
        <v>0</v>
      </c>
      <c r="T25" s="170">
        <v>0</v>
      </c>
      <c r="U25" s="170">
        <v>0</v>
      </c>
      <c r="V25" s="170">
        <v>0</v>
      </c>
      <c r="W25" s="170">
        <v>0</v>
      </c>
      <c r="X25" s="170">
        <v>0</v>
      </c>
      <c r="Y25" s="170">
        <v>0</v>
      </c>
      <c r="Z25" s="170">
        <v>0</v>
      </c>
      <c r="AA25" s="170">
        <v>0</v>
      </c>
      <c r="AB25" s="170">
        <v>0</v>
      </c>
      <c r="AC25" s="170">
        <v>0</v>
      </c>
      <c r="AD25" s="170">
        <v>0</v>
      </c>
      <c r="AE25" s="170">
        <v>0</v>
      </c>
      <c r="AF25" s="170">
        <v>0</v>
      </c>
      <c r="AG25" s="170">
        <v>0</v>
      </c>
      <c r="AH25" s="170">
        <v>0</v>
      </c>
      <c r="AI25" s="170">
        <v>0</v>
      </c>
      <c r="AJ25" s="170">
        <v>0</v>
      </c>
      <c r="AK25" s="170">
        <v>0</v>
      </c>
      <c r="AL25" s="170">
        <v>0</v>
      </c>
      <c r="AM25" s="170">
        <v>0</v>
      </c>
      <c r="AN25" s="170">
        <v>0</v>
      </c>
      <c r="AO25" s="170">
        <v>0</v>
      </c>
    </row>
    <row r="26" spans="3:41" x14ac:dyDescent="0.3">
      <c r="C26" s="170">
        <v>54</v>
      </c>
      <c r="D26" s="170">
        <v>4</v>
      </c>
      <c r="E26" s="170">
        <v>11</v>
      </c>
      <c r="F26" s="170">
        <v>732.26589333826939</v>
      </c>
      <c r="G26" s="170">
        <v>0</v>
      </c>
      <c r="H26" s="170">
        <v>565.59922667160276</v>
      </c>
      <c r="I26" s="170">
        <v>0</v>
      </c>
      <c r="J26" s="170">
        <v>0</v>
      </c>
      <c r="K26" s="170">
        <v>166.66666666666666</v>
      </c>
      <c r="L26" s="170">
        <v>0</v>
      </c>
      <c r="M26" s="170">
        <v>0</v>
      </c>
      <c r="N26" s="170">
        <v>0</v>
      </c>
      <c r="O26" s="170">
        <v>0</v>
      </c>
      <c r="P26" s="170">
        <v>0</v>
      </c>
      <c r="Q26" s="170">
        <v>0</v>
      </c>
      <c r="R26" s="170">
        <v>0</v>
      </c>
      <c r="S26" s="170">
        <v>0</v>
      </c>
      <c r="T26" s="170">
        <v>0</v>
      </c>
      <c r="U26" s="170">
        <v>0</v>
      </c>
      <c r="V26" s="170">
        <v>0</v>
      </c>
      <c r="W26" s="170">
        <v>0</v>
      </c>
      <c r="X26" s="170">
        <v>0</v>
      </c>
      <c r="Y26" s="170">
        <v>0</v>
      </c>
      <c r="Z26" s="170">
        <v>0</v>
      </c>
      <c r="AA26" s="170">
        <v>0</v>
      </c>
      <c r="AB26" s="170">
        <v>0</v>
      </c>
      <c r="AC26" s="170">
        <v>0</v>
      </c>
      <c r="AD26" s="170">
        <v>0</v>
      </c>
      <c r="AE26" s="170">
        <v>0</v>
      </c>
      <c r="AF26" s="170">
        <v>0</v>
      </c>
      <c r="AG26" s="170">
        <v>0</v>
      </c>
      <c r="AH26" s="170">
        <v>0</v>
      </c>
      <c r="AI26" s="170">
        <v>0</v>
      </c>
      <c r="AJ26" s="170">
        <v>0</v>
      </c>
      <c r="AK26" s="170">
        <v>0</v>
      </c>
      <c r="AL26" s="170">
        <v>0</v>
      </c>
      <c r="AM26" s="170">
        <v>0</v>
      </c>
      <c r="AN26" s="170">
        <v>0</v>
      </c>
      <c r="AO26" s="170">
        <v>0</v>
      </c>
    </row>
    <row r="27" spans="3:41" x14ac:dyDescent="0.3">
      <c r="C27" s="170">
        <v>54</v>
      </c>
      <c r="D27" s="170">
        <v>5</v>
      </c>
      <c r="E27" s="170">
        <v>1</v>
      </c>
      <c r="F27" s="170">
        <v>4</v>
      </c>
      <c r="G27" s="170">
        <v>0</v>
      </c>
      <c r="H27" s="170">
        <v>2</v>
      </c>
      <c r="I27" s="170">
        <v>0</v>
      </c>
      <c r="J27" s="170">
        <v>0</v>
      </c>
      <c r="K27" s="170">
        <v>0</v>
      </c>
      <c r="L27" s="170">
        <v>0</v>
      </c>
      <c r="M27" s="170">
        <v>0</v>
      </c>
      <c r="N27" s="170">
        <v>0</v>
      </c>
      <c r="O27" s="170">
        <v>1</v>
      </c>
      <c r="P27" s="170">
        <v>0</v>
      </c>
      <c r="Q27" s="170">
        <v>0</v>
      </c>
      <c r="R27" s="170">
        <v>0</v>
      </c>
      <c r="S27" s="170">
        <v>0</v>
      </c>
      <c r="T27" s="170">
        <v>0</v>
      </c>
      <c r="U27" s="170">
        <v>0</v>
      </c>
      <c r="V27" s="170">
        <v>0</v>
      </c>
      <c r="W27" s="170">
        <v>0</v>
      </c>
      <c r="X27" s="170">
        <v>0</v>
      </c>
      <c r="Y27" s="170">
        <v>0</v>
      </c>
      <c r="Z27" s="170">
        <v>0</v>
      </c>
      <c r="AA27" s="170">
        <v>0</v>
      </c>
      <c r="AB27" s="170">
        <v>0</v>
      </c>
      <c r="AC27" s="170">
        <v>1</v>
      </c>
      <c r="AD27" s="170">
        <v>0</v>
      </c>
      <c r="AE27" s="170">
        <v>0</v>
      </c>
      <c r="AF27" s="170">
        <v>0</v>
      </c>
      <c r="AG27" s="170">
        <v>0</v>
      </c>
      <c r="AH27" s="170">
        <v>0</v>
      </c>
      <c r="AI27" s="170">
        <v>0</v>
      </c>
      <c r="AJ27" s="170">
        <v>0</v>
      </c>
      <c r="AK27" s="170">
        <v>0</v>
      </c>
      <c r="AL27" s="170">
        <v>0</v>
      </c>
      <c r="AM27" s="170">
        <v>0</v>
      </c>
      <c r="AN27" s="170">
        <v>0</v>
      </c>
      <c r="AO27" s="170">
        <v>0</v>
      </c>
    </row>
    <row r="28" spans="3:41" x14ac:dyDescent="0.3">
      <c r="C28" s="170">
        <v>54</v>
      </c>
      <c r="D28" s="170">
        <v>5</v>
      </c>
      <c r="E28" s="170">
        <v>2</v>
      </c>
      <c r="F28" s="170">
        <v>592</v>
      </c>
      <c r="G28" s="170">
        <v>0</v>
      </c>
      <c r="H28" s="170">
        <v>336</v>
      </c>
      <c r="I28" s="170">
        <v>0</v>
      </c>
      <c r="J28" s="170">
        <v>0</v>
      </c>
      <c r="K28" s="170">
        <v>0</v>
      </c>
      <c r="L28" s="170">
        <v>0</v>
      </c>
      <c r="M28" s="170">
        <v>0</v>
      </c>
      <c r="N28" s="170">
        <v>0</v>
      </c>
      <c r="O28" s="170">
        <v>168</v>
      </c>
      <c r="P28" s="170">
        <v>0</v>
      </c>
      <c r="Q28" s="170">
        <v>0</v>
      </c>
      <c r="R28" s="170">
        <v>0</v>
      </c>
      <c r="S28" s="170">
        <v>0</v>
      </c>
      <c r="T28" s="170">
        <v>0</v>
      </c>
      <c r="U28" s="170">
        <v>0</v>
      </c>
      <c r="V28" s="170">
        <v>0</v>
      </c>
      <c r="W28" s="170">
        <v>0</v>
      </c>
      <c r="X28" s="170">
        <v>0</v>
      </c>
      <c r="Y28" s="170">
        <v>0</v>
      </c>
      <c r="Z28" s="170">
        <v>0</v>
      </c>
      <c r="AA28" s="170">
        <v>0</v>
      </c>
      <c r="AB28" s="170">
        <v>0</v>
      </c>
      <c r="AC28" s="170">
        <v>88</v>
      </c>
      <c r="AD28" s="170">
        <v>0</v>
      </c>
      <c r="AE28" s="170">
        <v>0</v>
      </c>
      <c r="AF28" s="170">
        <v>0</v>
      </c>
      <c r="AG28" s="170">
        <v>0</v>
      </c>
      <c r="AH28" s="170">
        <v>0</v>
      </c>
      <c r="AI28" s="170">
        <v>0</v>
      </c>
      <c r="AJ28" s="170">
        <v>0</v>
      </c>
      <c r="AK28" s="170">
        <v>0</v>
      </c>
      <c r="AL28" s="170">
        <v>0</v>
      </c>
      <c r="AM28" s="170">
        <v>0</v>
      </c>
      <c r="AN28" s="170">
        <v>0</v>
      </c>
      <c r="AO28" s="170">
        <v>0</v>
      </c>
    </row>
    <row r="29" spans="3:41" x14ac:dyDescent="0.3">
      <c r="C29" s="170">
        <v>54</v>
      </c>
      <c r="D29" s="170">
        <v>5</v>
      </c>
      <c r="E29" s="170">
        <v>5</v>
      </c>
      <c r="F29" s="170">
        <v>20</v>
      </c>
      <c r="G29" s="170">
        <v>20</v>
      </c>
      <c r="H29" s="170">
        <v>0</v>
      </c>
      <c r="I29" s="170">
        <v>0</v>
      </c>
      <c r="J29" s="170">
        <v>0</v>
      </c>
      <c r="K29" s="170">
        <v>0</v>
      </c>
      <c r="L29" s="170">
        <v>0</v>
      </c>
      <c r="M29" s="170">
        <v>0</v>
      </c>
      <c r="N29" s="170">
        <v>0</v>
      </c>
      <c r="O29" s="170">
        <v>0</v>
      </c>
      <c r="P29" s="170">
        <v>0</v>
      </c>
      <c r="Q29" s="170">
        <v>0</v>
      </c>
      <c r="R29" s="170">
        <v>0</v>
      </c>
      <c r="S29" s="170">
        <v>0</v>
      </c>
      <c r="T29" s="170">
        <v>0</v>
      </c>
      <c r="U29" s="170">
        <v>0</v>
      </c>
      <c r="V29" s="170">
        <v>0</v>
      </c>
      <c r="W29" s="170">
        <v>0</v>
      </c>
      <c r="X29" s="170">
        <v>0</v>
      </c>
      <c r="Y29" s="170">
        <v>0</v>
      </c>
      <c r="Z29" s="170">
        <v>0</v>
      </c>
      <c r="AA29" s="170">
        <v>0</v>
      </c>
      <c r="AB29" s="170">
        <v>0</v>
      </c>
      <c r="AC29" s="170">
        <v>0</v>
      </c>
      <c r="AD29" s="170">
        <v>0</v>
      </c>
      <c r="AE29" s="170">
        <v>0</v>
      </c>
      <c r="AF29" s="170">
        <v>0</v>
      </c>
      <c r="AG29" s="170">
        <v>0</v>
      </c>
      <c r="AH29" s="170">
        <v>0</v>
      </c>
      <c r="AI29" s="170">
        <v>0</v>
      </c>
      <c r="AJ29" s="170">
        <v>0</v>
      </c>
      <c r="AK29" s="170">
        <v>0</v>
      </c>
      <c r="AL29" s="170">
        <v>0</v>
      </c>
      <c r="AM29" s="170">
        <v>0</v>
      </c>
      <c r="AN29" s="170">
        <v>0</v>
      </c>
      <c r="AO29" s="170">
        <v>0</v>
      </c>
    </row>
    <row r="30" spans="3:41" x14ac:dyDescent="0.3">
      <c r="C30" s="170">
        <v>54</v>
      </c>
      <c r="D30" s="170">
        <v>5</v>
      </c>
      <c r="E30" s="170">
        <v>6</v>
      </c>
      <c r="F30" s="170">
        <v>159888</v>
      </c>
      <c r="G30" s="170">
        <v>5000</v>
      </c>
      <c r="H30" s="170">
        <v>105686</v>
      </c>
      <c r="I30" s="170">
        <v>0</v>
      </c>
      <c r="J30" s="170">
        <v>0</v>
      </c>
      <c r="K30" s="170">
        <v>0</v>
      </c>
      <c r="L30" s="170">
        <v>0</v>
      </c>
      <c r="M30" s="170">
        <v>0</v>
      </c>
      <c r="N30" s="170">
        <v>0</v>
      </c>
      <c r="O30" s="170">
        <v>25690</v>
      </c>
      <c r="P30" s="170">
        <v>0</v>
      </c>
      <c r="Q30" s="170">
        <v>0</v>
      </c>
      <c r="R30" s="170">
        <v>0</v>
      </c>
      <c r="S30" s="170">
        <v>0</v>
      </c>
      <c r="T30" s="170">
        <v>0</v>
      </c>
      <c r="U30" s="170">
        <v>0</v>
      </c>
      <c r="V30" s="170">
        <v>0</v>
      </c>
      <c r="W30" s="170">
        <v>0</v>
      </c>
      <c r="X30" s="170">
        <v>0</v>
      </c>
      <c r="Y30" s="170">
        <v>0</v>
      </c>
      <c r="Z30" s="170">
        <v>0</v>
      </c>
      <c r="AA30" s="170">
        <v>0</v>
      </c>
      <c r="AB30" s="170">
        <v>0</v>
      </c>
      <c r="AC30" s="170">
        <v>23198</v>
      </c>
      <c r="AD30" s="170">
        <v>0</v>
      </c>
      <c r="AE30" s="170">
        <v>0</v>
      </c>
      <c r="AF30" s="170">
        <v>0</v>
      </c>
      <c r="AG30" s="170">
        <v>0</v>
      </c>
      <c r="AH30" s="170">
        <v>0</v>
      </c>
      <c r="AI30" s="170">
        <v>0</v>
      </c>
      <c r="AJ30" s="170">
        <v>0</v>
      </c>
      <c r="AK30" s="170">
        <v>0</v>
      </c>
      <c r="AL30" s="170">
        <v>314</v>
      </c>
      <c r="AM30" s="170">
        <v>0</v>
      </c>
      <c r="AN30" s="170">
        <v>0</v>
      </c>
      <c r="AO30" s="170">
        <v>0</v>
      </c>
    </row>
    <row r="31" spans="3:41" x14ac:dyDescent="0.3">
      <c r="C31" s="170">
        <v>54</v>
      </c>
      <c r="D31" s="170">
        <v>5</v>
      </c>
      <c r="E31" s="170">
        <v>11</v>
      </c>
      <c r="F31" s="170">
        <v>732.26589333826939</v>
      </c>
      <c r="G31" s="170">
        <v>0</v>
      </c>
      <c r="H31" s="170">
        <v>565.59922667160276</v>
      </c>
      <c r="I31" s="170">
        <v>0</v>
      </c>
      <c r="J31" s="170">
        <v>0</v>
      </c>
      <c r="K31" s="170">
        <v>166.66666666666666</v>
      </c>
      <c r="L31" s="170">
        <v>0</v>
      </c>
      <c r="M31" s="170">
        <v>0</v>
      </c>
      <c r="N31" s="170">
        <v>0</v>
      </c>
      <c r="O31" s="170">
        <v>0</v>
      </c>
      <c r="P31" s="170">
        <v>0</v>
      </c>
      <c r="Q31" s="170">
        <v>0</v>
      </c>
      <c r="R31" s="170">
        <v>0</v>
      </c>
      <c r="S31" s="170">
        <v>0</v>
      </c>
      <c r="T31" s="170">
        <v>0</v>
      </c>
      <c r="U31" s="170">
        <v>0</v>
      </c>
      <c r="V31" s="170">
        <v>0</v>
      </c>
      <c r="W31" s="170">
        <v>0</v>
      </c>
      <c r="X31" s="170">
        <v>0</v>
      </c>
      <c r="Y31" s="170">
        <v>0</v>
      </c>
      <c r="Z31" s="170">
        <v>0</v>
      </c>
      <c r="AA31" s="170">
        <v>0</v>
      </c>
      <c r="AB31" s="170">
        <v>0</v>
      </c>
      <c r="AC31" s="170">
        <v>0</v>
      </c>
      <c r="AD31" s="170">
        <v>0</v>
      </c>
      <c r="AE31" s="170">
        <v>0</v>
      </c>
      <c r="AF31" s="170">
        <v>0</v>
      </c>
      <c r="AG31" s="170">
        <v>0</v>
      </c>
      <c r="AH31" s="170">
        <v>0</v>
      </c>
      <c r="AI31" s="170">
        <v>0</v>
      </c>
      <c r="AJ31" s="170">
        <v>0</v>
      </c>
      <c r="AK31" s="170">
        <v>0</v>
      </c>
      <c r="AL31" s="170">
        <v>0</v>
      </c>
      <c r="AM31" s="170">
        <v>0</v>
      </c>
      <c r="AN31" s="170">
        <v>0</v>
      </c>
      <c r="AO31" s="170">
        <v>0</v>
      </c>
    </row>
    <row r="32" spans="3:41" x14ac:dyDescent="0.3">
      <c r="C32" s="170">
        <v>54</v>
      </c>
      <c r="D32" s="170">
        <v>6</v>
      </c>
      <c r="E32" s="170">
        <v>1</v>
      </c>
      <c r="F32" s="170">
        <v>4</v>
      </c>
      <c r="G32" s="170">
        <v>0</v>
      </c>
      <c r="H32" s="170">
        <v>2</v>
      </c>
      <c r="I32" s="170">
        <v>0</v>
      </c>
      <c r="J32" s="170">
        <v>0</v>
      </c>
      <c r="K32" s="170">
        <v>0</v>
      </c>
      <c r="L32" s="170">
        <v>0</v>
      </c>
      <c r="M32" s="170">
        <v>0</v>
      </c>
      <c r="N32" s="170">
        <v>0</v>
      </c>
      <c r="O32" s="170">
        <v>1</v>
      </c>
      <c r="P32" s="170">
        <v>0</v>
      </c>
      <c r="Q32" s="170">
        <v>0</v>
      </c>
      <c r="R32" s="170">
        <v>0</v>
      </c>
      <c r="S32" s="170">
        <v>0</v>
      </c>
      <c r="T32" s="170">
        <v>0</v>
      </c>
      <c r="U32" s="170">
        <v>0</v>
      </c>
      <c r="V32" s="170">
        <v>0</v>
      </c>
      <c r="W32" s="170">
        <v>0</v>
      </c>
      <c r="X32" s="170">
        <v>0</v>
      </c>
      <c r="Y32" s="170">
        <v>0</v>
      </c>
      <c r="Z32" s="170">
        <v>0</v>
      </c>
      <c r="AA32" s="170">
        <v>0</v>
      </c>
      <c r="AB32" s="170">
        <v>0</v>
      </c>
      <c r="AC32" s="170">
        <v>1</v>
      </c>
      <c r="AD32" s="170">
        <v>0</v>
      </c>
      <c r="AE32" s="170">
        <v>0</v>
      </c>
      <c r="AF32" s="170">
        <v>0</v>
      </c>
      <c r="AG32" s="170">
        <v>0</v>
      </c>
      <c r="AH32" s="170">
        <v>0</v>
      </c>
      <c r="AI32" s="170">
        <v>0</v>
      </c>
      <c r="AJ32" s="170">
        <v>0</v>
      </c>
      <c r="AK32" s="170">
        <v>0</v>
      </c>
      <c r="AL32" s="170">
        <v>0</v>
      </c>
      <c r="AM32" s="170">
        <v>0</v>
      </c>
      <c r="AN32" s="170">
        <v>0</v>
      </c>
      <c r="AO32" s="170">
        <v>0</v>
      </c>
    </row>
    <row r="33" spans="3:41" x14ac:dyDescent="0.3">
      <c r="C33" s="170">
        <v>54</v>
      </c>
      <c r="D33" s="170">
        <v>6</v>
      </c>
      <c r="E33" s="170">
        <v>2</v>
      </c>
      <c r="F33" s="170">
        <v>640</v>
      </c>
      <c r="G33" s="170">
        <v>0</v>
      </c>
      <c r="H33" s="170">
        <v>312</v>
      </c>
      <c r="I33" s="170">
        <v>0</v>
      </c>
      <c r="J33" s="170">
        <v>0</v>
      </c>
      <c r="K33" s="170">
        <v>0</v>
      </c>
      <c r="L33" s="170">
        <v>0</v>
      </c>
      <c r="M33" s="170">
        <v>0</v>
      </c>
      <c r="N33" s="170">
        <v>0</v>
      </c>
      <c r="O33" s="170">
        <v>168</v>
      </c>
      <c r="P33" s="170">
        <v>0</v>
      </c>
      <c r="Q33" s="170">
        <v>0</v>
      </c>
      <c r="R33" s="170">
        <v>0</v>
      </c>
      <c r="S33" s="170">
        <v>0</v>
      </c>
      <c r="T33" s="170">
        <v>0</v>
      </c>
      <c r="U33" s="170">
        <v>0</v>
      </c>
      <c r="V33" s="170">
        <v>0</v>
      </c>
      <c r="W33" s="170">
        <v>0</v>
      </c>
      <c r="X33" s="170">
        <v>0</v>
      </c>
      <c r="Y33" s="170">
        <v>0</v>
      </c>
      <c r="Z33" s="170">
        <v>0</v>
      </c>
      <c r="AA33" s="170">
        <v>0</v>
      </c>
      <c r="AB33" s="170">
        <v>0</v>
      </c>
      <c r="AC33" s="170">
        <v>160</v>
      </c>
      <c r="AD33" s="170">
        <v>0</v>
      </c>
      <c r="AE33" s="170">
        <v>0</v>
      </c>
      <c r="AF33" s="170">
        <v>0</v>
      </c>
      <c r="AG33" s="170">
        <v>0</v>
      </c>
      <c r="AH33" s="170">
        <v>0</v>
      </c>
      <c r="AI33" s="170">
        <v>0</v>
      </c>
      <c r="AJ33" s="170">
        <v>0</v>
      </c>
      <c r="AK33" s="170">
        <v>0</v>
      </c>
      <c r="AL33" s="170">
        <v>0</v>
      </c>
      <c r="AM33" s="170">
        <v>0</v>
      </c>
      <c r="AN33" s="170">
        <v>0</v>
      </c>
      <c r="AO33" s="170">
        <v>0</v>
      </c>
    </row>
    <row r="34" spans="3:41" x14ac:dyDescent="0.3">
      <c r="C34" s="170">
        <v>54</v>
      </c>
      <c r="D34" s="170">
        <v>6</v>
      </c>
      <c r="E34" s="170">
        <v>5</v>
      </c>
      <c r="F34" s="170">
        <v>20</v>
      </c>
      <c r="G34" s="170">
        <v>20</v>
      </c>
      <c r="H34" s="170">
        <v>0</v>
      </c>
      <c r="I34" s="170">
        <v>0</v>
      </c>
      <c r="J34" s="170">
        <v>0</v>
      </c>
      <c r="K34" s="170">
        <v>0</v>
      </c>
      <c r="L34" s="170">
        <v>0</v>
      </c>
      <c r="M34" s="170">
        <v>0</v>
      </c>
      <c r="N34" s="170">
        <v>0</v>
      </c>
      <c r="O34" s="170">
        <v>0</v>
      </c>
      <c r="P34" s="170">
        <v>0</v>
      </c>
      <c r="Q34" s="170">
        <v>0</v>
      </c>
      <c r="R34" s="170">
        <v>0</v>
      </c>
      <c r="S34" s="170">
        <v>0</v>
      </c>
      <c r="T34" s="170">
        <v>0</v>
      </c>
      <c r="U34" s="170">
        <v>0</v>
      </c>
      <c r="V34" s="170">
        <v>0</v>
      </c>
      <c r="W34" s="170">
        <v>0</v>
      </c>
      <c r="X34" s="170">
        <v>0</v>
      </c>
      <c r="Y34" s="170">
        <v>0</v>
      </c>
      <c r="Z34" s="170">
        <v>0</v>
      </c>
      <c r="AA34" s="170">
        <v>0</v>
      </c>
      <c r="AB34" s="170">
        <v>0</v>
      </c>
      <c r="AC34" s="170">
        <v>0</v>
      </c>
      <c r="AD34" s="170">
        <v>0</v>
      </c>
      <c r="AE34" s="170">
        <v>0</v>
      </c>
      <c r="AF34" s="170">
        <v>0</v>
      </c>
      <c r="AG34" s="170">
        <v>0</v>
      </c>
      <c r="AH34" s="170">
        <v>0</v>
      </c>
      <c r="AI34" s="170">
        <v>0</v>
      </c>
      <c r="AJ34" s="170">
        <v>0</v>
      </c>
      <c r="AK34" s="170">
        <v>0</v>
      </c>
      <c r="AL34" s="170">
        <v>0</v>
      </c>
      <c r="AM34" s="170">
        <v>0</v>
      </c>
      <c r="AN34" s="170">
        <v>0</v>
      </c>
      <c r="AO34" s="170">
        <v>0</v>
      </c>
    </row>
    <row r="35" spans="3:41" x14ac:dyDescent="0.3">
      <c r="C35" s="170">
        <v>54</v>
      </c>
      <c r="D35" s="170">
        <v>6</v>
      </c>
      <c r="E35" s="170">
        <v>6</v>
      </c>
      <c r="F35" s="170">
        <v>163410</v>
      </c>
      <c r="G35" s="170">
        <v>5000</v>
      </c>
      <c r="H35" s="170">
        <v>109338</v>
      </c>
      <c r="I35" s="170">
        <v>0</v>
      </c>
      <c r="J35" s="170">
        <v>0</v>
      </c>
      <c r="K35" s="170">
        <v>0</v>
      </c>
      <c r="L35" s="170">
        <v>0</v>
      </c>
      <c r="M35" s="170">
        <v>0</v>
      </c>
      <c r="N35" s="170">
        <v>0</v>
      </c>
      <c r="O35" s="170">
        <v>25758</v>
      </c>
      <c r="P35" s="170">
        <v>0</v>
      </c>
      <c r="Q35" s="170">
        <v>0</v>
      </c>
      <c r="R35" s="170">
        <v>0</v>
      </c>
      <c r="S35" s="170">
        <v>0</v>
      </c>
      <c r="T35" s="170">
        <v>0</v>
      </c>
      <c r="U35" s="170">
        <v>0</v>
      </c>
      <c r="V35" s="170">
        <v>0</v>
      </c>
      <c r="W35" s="170">
        <v>0</v>
      </c>
      <c r="X35" s="170">
        <v>0</v>
      </c>
      <c r="Y35" s="170">
        <v>0</v>
      </c>
      <c r="Z35" s="170">
        <v>0</v>
      </c>
      <c r="AA35" s="170">
        <v>0</v>
      </c>
      <c r="AB35" s="170">
        <v>0</v>
      </c>
      <c r="AC35" s="170">
        <v>22714</v>
      </c>
      <c r="AD35" s="170">
        <v>0</v>
      </c>
      <c r="AE35" s="170">
        <v>0</v>
      </c>
      <c r="AF35" s="170">
        <v>0</v>
      </c>
      <c r="AG35" s="170">
        <v>0</v>
      </c>
      <c r="AH35" s="170">
        <v>0</v>
      </c>
      <c r="AI35" s="170">
        <v>0</v>
      </c>
      <c r="AJ35" s="170">
        <v>0</v>
      </c>
      <c r="AK35" s="170">
        <v>0</v>
      </c>
      <c r="AL35" s="170">
        <v>600</v>
      </c>
      <c r="AM35" s="170">
        <v>0</v>
      </c>
      <c r="AN35" s="170">
        <v>0</v>
      </c>
      <c r="AO35" s="170">
        <v>0</v>
      </c>
    </row>
    <row r="36" spans="3:41" x14ac:dyDescent="0.3">
      <c r="C36" s="170">
        <v>54</v>
      </c>
      <c r="D36" s="170">
        <v>6</v>
      </c>
      <c r="E36" s="170">
        <v>9</v>
      </c>
      <c r="F36" s="170">
        <v>2500</v>
      </c>
      <c r="G36" s="170">
        <v>0</v>
      </c>
      <c r="H36" s="170">
        <v>2500</v>
      </c>
      <c r="I36" s="170">
        <v>0</v>
      </c>
      <c r="J36" s="170">
        <v>0</v>
      </c>
      <c r="K36" s="170">
        <v>0</v>
      </c>
      <c r="L36" s="170">
        <v>0</v>
      </c>
      <c r="M36" s="170">
        <v>0</v>
      </c>
      <c r="N36" s="170">
        <v>0</v>
      </c>
      <c r="O36" s="170">
        <v>0</v>
      </c>
      <c r="P36" s="170">
        <v>0</v>
      </c>
      <c r="Q36" s="170">
        <v>0</v>
      </c>
      <c r="R36" s="170">
        <v>0</v>
      </c>
      <c r="S36" s="170">
        <v>0</v>
      </c>
      <c r="T36" s="170">
        <v>0</v>
      </c>
      <c r="U36" s="170">
        <v>0</v>
      </c>
      <c r="V36" s="170">
        <v>0</v>
      </c>
      <c r="W36" s="170">
        <v>0</v>
      </c>
      <c r="X36" s="170">
        <v>0</v>
      </c>
      <c r="Y36" s="170">
        <v>0</v>
      </c>
      <c r="Z36" s="170">
        <v>0</v>
      </c>
      <c r="AA36" s="170">
        <v>0</v>
      </c>
      <c r="AB36" s="170">
        <v>0</v>
      </c>
      <c r="AC36" s="170">
        <v>0</v>
      </c>
      <c r="AD36" s="170">
        <v>0</v>
      </c>
      <c r="AE36" s="170">
        <v>0</v>
      </c>
      <c r="AF36" s="170">
        <v>0</v>
      </c>
      <c r="AG36" s="170">
        <v>0</v>
      </c>
      <c r="AH36" s="170">
        <v>0</v>
      </c>
      <c r="AI36" s="170">
        <v>0</v>
      </c>
      <c r="AJ36" s="170">
        <v>0</v>
      </c>
      <c r="AK36" s="170">
        <v>0</v>
      </c>
      <c r="AL36" s="170">
        <v>0</v>
      </c>
      <c r="AM36" s="170">
        <v>0</v>
      </c>
      <c r="AN36" s="170">
        <v>0</v>
      </c>
      <c r="AO36" s="170">
        <v>0</v>
      </c>
    </row>
    <row r="37" spans="3:41" x14ac:dyDescent="0.3">
      <c r="C37" s="170">
        <v>54</v>
      </c>
      <c r="D37" s="170">
        <v>6</v>
      </c>
      <c r="E37" s="170">
        <v>11</v>
      </c>
      <c r="F37" s="170">
        <v>732.26589333826939</v>
      </c>
      <c r="G37" s="170">
        <v>0</v>
      </c>
      <c r="H37" s="170">
        <v>565.59922667160276</v>
      </c>
      <c r="I37" s="170">
        <v>0</v>
      </c>
      <c r="J37" s="170">
        <v>0</v>
      </c>
      <c r="K37" s="170">
        <v>166.66666666666666</v>
      </c>
      <c r="L37" s="170">
        <v>0</v>
      </c>
      <c r="M37" s="170">
        <v>0</v>
      </c>
      <c r="N37" s="170">
        <v>0</v>
      </c>
      <c r="O37" s="170">
        <v>0</v>
      </c>
      <c r="P37" s="170">
        <v>0</v>
      </c>
      <c r="Q37" s="170">
        <v>0</v>
      </c>
      <c r="R37" s="170">
        <v>0</v>
      </c>
      <c r="S37" s="170">
        <v>0</v>
      </c>
      <c r="T37" s="170">
        <v>0</v>
      </c>
      <c r="U37" s="170">
        <v>0</v>
      </c>
      <c r="V37" s="170">
        <v>0</v>
      </c>
      <c r="W37" s="170">
        <v>0</v>
      </c>
      <c r="X37" s="170">
        <v>0</v>
      </c>
      <c r="Y37" s="170">
        <v>0</v>
      </c>
      <c r="Z37" s="170">
        <v>0</v>
      </c>
      <c r="AA37" s="170">
        <v>0</v>
      </c>
      <c r="AB37" s="170">
        <v>0</v>
      </c>
      <c r="AC37" s="170">
        <v>0</v>
      </c>
      <c r="AD37" s="170">
        <v>0</v>
      </c>
      <c r="AE37" s="170">
        <v>0</v>
      </c>
      <c r="AF37" s="170">
        <v>0</v>
      </c>
      <c r="AG37" s="170">
        <v>0</v>
      </c>
      <c r="AH37" s="170">
        <v>0</v>
      </c>
      <c r="AI37" s="170">
        <v>0</v>
      </c>
      <c r="AJ37" s="170">
        <v>0</v>
      </c>
      <c r="AK37" s="170">
        <v>0</v>
      </c>
      <c r="AL37" s="170">
        <v>0</v>
      </c>
      <c r="AM37" s="170">
        <v>0</v>
      </c>
      <c r="AN37" s="170">
        <v>0</v>
      </c>
      <c r="AO37" s="170">
        <v>0</v>
      </c>
    </row>
    <row r="38" spans="3:41" x14ac:dyDescent="0.3">
      <c r="C38" s="170">
        <v>54</v>
      </c>
      <c r="D38" s="170">
        <v>7</v>
      </c>
      <c r="E38" s="170">
        <v>1</v>
      </c>
      <c r="F38" s="170">
        <v>4</v>
      </c>
      <c r="G38" s="170">
        <v>0</v>
      </c>
      <c r="H38" s="170">
        <v>2</v>
      </c>
      <c r="I38" s="170">
        <v>0</v>
      </c>
      <c r="J38" s="170">
        <v>0</v>
      </c>
      <c r="K38" s="170">
        <v>0</v>
      </c>
      <c r="L38" s="170">
        <v>0</v>
      </c>
      <c r="M38" s="170">
        <v>0</v>
      </c>
      <c r="N38" s="170">
        <v>0</v>
      </c>
      <c r="O38" s="170">
        <v>1</v>
      </c>
      <c r="P38" s="170">
        <v>0</v>
      </c>
      <c r="Q38" s="170">
        <v>0</v>
      </c>
      <c r="R38" s="170">
        <v>0</v>
      </c>
      <c r="S38" s="170">
        <v>0</v>
      </c>
      <c r="T38" s="170">
        <v>0</v>
      </c>
      <c r="U38" s="170">
        <v>0</v>
      </c>
      <c r="V38" s="170">
        <v>0</v>
      </c>
      <c r="W38" s="170">
        <v>0</v>
      </c>
      <c r="X38" s="170">
        <v>0</v>
      </c>
      <c r="Y38" s="170">
        <v>0</v>
      </c>
      <c r="Z38" s="170">
        <v>0</v>
      </c>
      <c r="AA38" s="170">
        <v>0</v>
      </c>
      <c r="AB38" s="170">
        <v>0</v>
      </c>
      <c r="AC38" s="170">
        <v>1</v>
      </c>
      <c r="AD38" s="170">
        <v>0</v>
      </c>
      <c r="AE38" s="170">
        <v>0</v>
      </c>
      <c r="AF38" s="170">
        <v>0</v>
      </c>
      <c r="AG38" s="170">
        <v>0</v>
      </c>
      <c r="AH38" s="170">
        <v>0</v>
      </c>
      <c r="AI38" s="170">
        <v>0</v>
      </c>
      <c r="AJ38" s="170">
        <v>0</v>
      </c>
      <c r="AK38" s="170">
        <v>0</v>
      </c>
      <c r="AL38" s="170">
        <v>0</v>
      </c>
      <c r="AM38" s="170">
        <v>0</v>
      </c>
      <c r="AN38" s="170">
        <v>0</v>
      </c>
      <c r="AO38" s="170">
        <v>0</v>
      </c>
    </row>
    <row r="39" spans="3:41" x14ac:dyDescent="0.3">
      <c r="C39" s="170">
        <v>54</v>
      </c>
      <c r="D39" s="170">
        <v>7</v>
      </c>
      <c r="E39" s="170">
        <v>2</v>
      </c>
      <c r="F39" s="170">
        <v>632</v>
      </c>
      <c r="G39" s="170">
        <v>0</v>
      </c>
      <c r="H39" s="170">
        <v>288</v>
      </c>
      <c r="I39" s="170">
        <v>0</v>
      </c>
      <c r="J39" s="170">
        <v>0</v>
      </c>
      <c r="K39" s="170">
        <v>0</v>
      </c>
      <c r="L39" s="170">
        <v>0</v>
      </c>
      <c r="M39" s="170">
        <v>0</v>
      </c>
      <c r="N39" s="170">
        <v>0</v>
      </c>
      <c r="O39" s="170">
        <v>160</v>
      </c>
      <c r="P39" s="170">
        <v>0</v>
      </c>
      <c r="Q39" s="170">
        <v>0</v>
      </c>
      <c r="R39" s="170">
        <v>0</v>
      </c>
      <c r="S39" s="170">
        <v>0</v>
      </c>
      <c r="T39" s="170">
        <v>0</v>
      </c>
      <c r="U39" s="170">
        <v>0</v>
      </c>
      <c r="V39" s="170">
        <v>0</v>
      </c>
      <c r="W39" s="170">
        <v>0</v>
      </c>
      <c r="X39" s="170">
        <v>0</v>
      </c>
      <c r="Y39" s="170">
        <v>0</v>
      </c>
      <c r="Z39" s="170">
        <v>0</v>
      </c>
      <c r="AA39" s="170">
        <v>0</v>
      </c>
      <c r="AB39" s="170">
        <v>0</v>
      </c>
      <c r="AC39" s="170">
        <v>184</v>
      </c>
      <c r="AD39" s="170">
        <v>0</v>
      </c>
      <c r="AE39" s="170">
        <v>0</v>
      </c>
      <c r="AF39" s="170">
        <v>0</v>
      </c>
      <c r="AG39" s="170">
        <v>0</v>
      </c>
      <c r="AH39" s="170">
        <v>0</v>
      </c>
      <c r="AI39" s="170">
        <v>0</v>
      </c>
      <c r="AJ39" s="170">
        <v>0</v>
      </c>
      <c r="AK39" s="170">
        <v>0</v>
      </c>
      <c r="AL39" s="170">
        <v>0</v>
      </c>
      <c r="AM39" s="170">
        <v>0</v>
      </c>
      <c r="AN39" s="170">
        <v>0</v>
      </c>
      <c r="AO39" s="170">
        <v>0</v>
      </c>
    </row>
    <row r="40" spans="3:41" x14ac:dyDescent="0.3">
      <c r="C40" s="170">
        <v>54</v>
      </c>
      <c r="D40" s="170">
        <v>7</v>
      </c>
      <c r="E40" s="170">
        <v>5</v>
      </c>
      <c r="F40" s="170">
        <v>20</v>
      </c>
      <c r="G40" s="170">
        <v>20</v>
      </c>
      <c r="H40" s="170">
        <v>0</v>
      </c>
      <c r="I40" s="170">
        <v>0</v>
      </c>
      <c r="J40" s="170">
        <v>0</v>
      </c>
      <c r="K40" s="170">
        <v>0</v>
      </c>
      <c r="L40" s="170">
        <v>0</v>
      </c>
      <c r="M40" s="170">
        <v>0</v>
      </c>
      <c r="N40" s="170">
        <v>0</v>
      </c>
      <c r="O40" s="170">
        <v>0</v>
      </c>
      <c r="P40" s="170">
        <v>0</v>
      </c>
      <c r="Q40" s="170">
        <v>0</v>
      </c>
      <c r="R40" s="170">
        <v>0</v>
      </c>
      <c r="S40" s="170">
        <v>0</v>
      </c>
      <c r="T40" s="170">
        <v>0</v>
      </c>
      <c r="U40" s="170">
        <v>0</v>
      </c>
      <c r="V40" s="170">
        <v>0</v>
      </c>
      <c r="W40" s="170">
        <v>0</v>
      </c>
      <c r="X40" s="170">
        <v>0</v>
      </c>
      <c r="Y40" s="170">
        <v>0</v>
      </c>
      <c r="Z40" s="170">
        <v>0</v>
      </c>
      <c r="AA40" s="170">
        <v>0</v>
      </c>
      <c r="AB40" s="170">
        <v>0</v>
      </c>
      <c r="AC40" s="170">
        <v>0</v>
      </c>
      <c r="AD40" s="170">
        <v>0</v>
      </c>
      <c r="AE40" s="170">
        <v>0</v>
      </c>
      <c r="AF40" s="170">
        <v>0</v>
      </c>
      <c r="AG40" s="170">
        <v>0</v>
      </c>
      <c r="AH40" s="170">
        <v>0</v>
      </c>
      <c r="AI40" s="170">
        <v>0</v>
      </c>
      <c r="AJ40" s="170">
        <v>0</v>
      </c>
      <c r="AK40" s="170">
        <v>0</v>
      </c>
      <c r="AL40" s="170">
        <v>0</v>
      </c>
      <c r="AM40" s="170">
        <v>0</v>
      </c>
      <c r="AN40" s="170">
        <v>0</v>
      </c>
      <c r="AO40" s="170">
        <v>0</v>
      </c>
    </row>
    <row r="41" spans="3:41" x14ac:dyDescent="0.3">
      <c r="C41" s="170">
        <v>54</v>
      </c>
      <c r="D41" s="170">
        <v>7</v>
      </c>
      <c r="E41" s="170">
        <v>6</v>
      </c>
      <c r="F41" s="170">
        <v>258607</v>
      </c>
      <c r="G41" s="170">
        <v>5000</v>
      </c>
      <c r="H41" s="170">
        <v>183611</v>
      </c>
      <c r="I41" s="170">
        <v>0</v>
      </c>
      <c r="J41" s="170">
        <v>0</v>
      </c>
      <c r="K41" s="170">
        <v>0</v>
      </c>
      <c r="L41" s="170">
        <v>0</v>
      </c>
      <c r="M41" s="170">
        <v>0</v>
      </c>
      <c r="N41" s="170">
        <v>0</v>
      </c>
      <c r="O41" s="170">
        <v>35947</v>
      </c>
      <c r="P41" s="170">
        <v>0</v>
      </c>
      <c r="Q41" s="170">
        <v>0</v>
      </c>
      <c r="R41" s="170">
        <v>0</v>
      </c>
      <c r="S41" s="170">
        <v>0</v>
      </c>
      <c r="T41" s="170">
        <v>0</v>
      </c>
      <c r="U41" s="170">
        <v>0</v>
      </c>
      <c r="V41" s="170">
        <v>0</v>
      </c>
      <c r="W41" s="170">
        <v>0</v>
      </c>
      <c r="X41" s="170">
        <v>0</v>
      </c>
      <c r="Y41" s="170">
        <v>0</v>
      </c>
      <c r="Z41" s="170">
        <v>0</v>
      </c>
      <c r="AA41" s="170">
        <v>0</v>
      </c>
      <c r="AB41" s="170">
        <v>0</v>
      </c>
      <c r="AC41" s="170">
        <v>33683</v>
      </c>
      <c r="AD41" s="170">
        <v>0</v>
      </c>
      <c r="AE41" s="170">
        <v>0</v>
      </c>
      <c r="AF41" s="170">
        <v>0</v>
      </c>
      <c r="AG41" s="170">
        <v>0</v>
      </c>
      <c r="AH41" s="170">
        <v>0</v>
      </c>
      <c r="AI41" s="170">
        <v>0</v>
      </c>
      <c r="AJ41" s="170">
        <v>0</v>
      </c>
      <c r="AK41" s="170">
        <v>0</v>
      </c>
      <c r="AL41" s="170">
        <v>366</v>
      </c>
      <c r="AM41" s="170">
        <v>0</v>
      </c>
      <c r="AN41" s="170">
        <v>0</v>
      </c>
      <c r="AO41" s="170">
        <v>0</v>
      </c>
    </row>
    <row r="42" spans="3:41" x14ac:dyDescent="0.3">
      <c r="C42" s="170">
        <v>54</v>
      </c>
      <c r="D42" s="170">
        <v>7</v>
      </c>
      <c r="E42" s="170">
        <v>9</v>
      </c>
      <c r="F42" s="170">
        <v>97801</v>
      </c>
      <c r="G42" s="170">
        <v>0</v>
      </c>
      <c r="H42" s="170">
        <v>76506</v>
      </c>
      <c r="I42" s="170">
        <v>0</v>
      </c>
      <c r="J42" s="170">
        <v>0</v>
      </c>
      <c r="K42" s="170">
        <v>0</v>
      </c>
      <c r="L42" s="170">
        <v>0</v>
      </c>
      <c r="M42" s="170">
        <v>0</v>
      </c>
      <c r="N42" s="170">
        <v>0</v>
      </c>
      <c r="O42" s="170">
        <v>10082</v>
      </c>
      <c r="P42" s="170">
        <v>0</v>
      </c>
      <c r="Q42" s="170">
        <v>0</v>
      </c>
      <c r="R42" s="170">
        <v>0</v>
      </c>
      <c r="S42" s="170">
        <v>0</v>
      </c>
      <c r="T42" s="170">
        <v>0</v>
      </c>
      <c r="U42" s="170">
        <v>0</v>
      </c>
      <c r="V42" s="170">
        <v>0</v>
      </c>
      <c r="W42" s="170">
        <v>0</v>
      </c>
      <c r="X42" s="170">
        <v>0</v>
      </c>
      <c r="Y42" s="170">
        <v>0</v>
      </c>
      <c r="Z42" s="170">
        <v>0</v>
      </c>
      <c r="AA42" s="170">
        <v>0</v>
      </c>
      <c r="AB42" s="170">
        <v>0</v>
      </c>
      <c r="AC42" s="170">
        <v>11213</v>
      </c>
      <c r="AD42" s="170">
        <v>0</v>
      </c>
      <c r="AE42" s="170">
        <v>0</v>
      </c>
      <c r="AF42" s="170">
        <v>0</v>
      </c>
      <c r="AG42" s="170">
        <v>0</v>
      </c>
      <c r="AH42" s="170">
        <v>0</v>
      </c>
      <c r="AI42" s="170">
        <v>0</v>
      </c>
      <c r="AJ42" s="170">
        <v>0</v>
      </c>
      <c r="AK42" s="170">
        <v>0</v>
      </c>
      <c r="AL42" s="170">
        <v>0</v>
      </c>
      <c r="AM42" s="170">
        <v>0</v>
      </c>
      <c r="AN42" s="170">
        <v>0</v>
      </c>
      <c r="AO42" s="170">
        <v>0</v>
      </c>
    </row>
    <row r="43" spans="3:41" x14ac:dyDescent="0.3">
      <c r="C43" s="170">
        <v>54</v>
      </c>
      <c r="D43" s="170">
        <v>7</v>
      </c>
      <c r="E43" s="170">
        <v>11</v>
      </c>
      <c r="F43" s="170">
        <v>732.26589333826939</v>
      </c>
      <c r="G43" s="170">
        <v>0</v>
      </c>
      <c r="H43" s="170">
        <v>565.59922667160276</v>
      </c>
      <c r="I43" s="170">
        <v>0</v>
      </c>
      <c r="J43" s="170">
        <v>0</v>
      </c>
      <c r="K43" s="170">
        <v>166.66666666666666</v>
      </c>
      <c r="L43" s="170">
        <v>0</v>
      </c>
      <c r="M43" s="170">
        <v>0</v>
      </c>
      <c r="N43" s="170">
        <v>0</v>
      </c>
      <c r="O43" s="170">
        <v>0</v>
      </c>
      <c r="P43" s="170">
        <v>0</v>
      </c>
      <c r="Q43" s="170">
        <v>0</v>
      </c>
      <c r="R43" s="170">
        <v>0</v>
      </c>
      <c r="S43" s="170">
        <v>0</v>
      </c>
      <c r="T43" s="170">
        <v>0</v>
      </c>
      <c r="U43" s="170">
        <v>0</v>
      </c>
      <c r="V43" s="170">
        <v>0</v>
      </c>
      <c r="W43" s="170">
        <v>0</v>
      </c>
      <c r="X43" s="170">
        <v>0</v>
      </c>
      <c r="Y43" s="170">
        <v>0</v>
      </c>
      <c r="Z43" s="170">
        <v>0</v>
      </c>
      <c r="AA43" s="170">
        <v>0</v>
      </c>
      <c r="AB43" s="170">
        <v>0</v>
      </c>
      <c r="AC43" s="170">
        <v>0</v>
      </c>
      <c r="AD43" s="170">
        <v>0</v>
      </c>
      <c r="AE43" s="170">
        <v>0</v>
      </c>
      <c r="AF43" s="170">
        <v>0</v>
      </c>
      <c r="AG43" s="170">
        <v>0</v>
      </c>
      <c r="AH43" s="170">
        <v>0</v>
      </c>
      <c r="AI43" s="170">
        <v>0</v>
      </c>
      <c r="AJ43" s="170">
        <v>0</v>
      </c>
      <c r="AK43" s="170">
        <v>0</v>
      </c>
      <c r="AL43" s="170">
        <v>0</v>
      </c>
      <c r="AM43" s="170">
        <v>0</v>
      </c>
      <c r="AN43" s="170">
        <v>0</v>
      </c>
      <c r="AO43" s="170">
        <v>0</v>
      </c>
    </row>
    <row r="44" spans="3:41" x14ac:dyDescent="0.3">
      <c r="C44" s="170">
        <v>54</v>
      </c>
      <c r="D44" s="170">
        <v>8</v>
      </c>
      <c r="E44" s="170">
        <v>1</v>
      </c>
      <c r="F44" s="170">
        <v>4</v>
      </c>
      <c r="G44" s="170">
        <v>0</v>
      </c>
      <c r="H44" s="170">
        <v>2</v>
      </c>
      <c r="I44" s="170">
        <v>0</v>
      </c>
      <c r="J44" s="170">
        <v>0</v>
      </c>
      <c r="K44" s="170">
        <v>0</v>
      </c>
      <c r="L44" s="170">
        <v>0</v>
      </c>
      <c r="M44" s="170">
        <v>0</v>
      </c>
      <c r="N44" s="170">
        <v>0</v>
      </c>
      <c r="O44" s="170">
        <v>1</v>
      </c>
      <c r="P44" s="170">
        <v>0</v>
      </c>
      <c r="Q44" s="170">
        <v>0</v>
      </c>
      <c r="R44" s="170">
        <v>0</v>
      </c>
      <c r="S44" s="170">
        <v>0</v>
      </c>
      <c r="T44" s="170">
        <v>0</v>
      </c>
      <c r="U44" s="170">
        <v>0</v>
      </c>
      <c r="V44" s="170">
        <v>0</v>
      </c>
      <c r="W44" s="170">
        <v>0</v>
      </c>
      <c r="X44" s="170">
        <v>0</v>
      </c>
      <c r="Y44" s="170">
        <v>0</v>
      </c>
      <c r="Z44" s="170">
        <v>0</v>
      </c>
      <c r="AA44" s="170">
        <v>0</v>
      </c>
      <c r="AB44" s="170">
        <v>0</v>
      </c>
      <c r="AC44" s="170">
        <v>1</v>
      </c>
      <c r="AD44" s="170">
        <v>0</v>
      </c>
      <c r="AE44" s="170">
        <v>0</v>
      </c>
      <c r="AF44" s="170">
        <v>0</v>
      </c>
      <c r="AG44" s="170">
        <v>0</v>
      </c>
      <c r="AH44" s="170">
        <v>0</v>
      </c>
      <c r="AI44" s="170">
        <v>0</v>
      </c>
      <c r="AJ44" s="170">
        <v>0</v>
      </c>
      <c r="AK44" s="170">
        <v>0</v>
      </c>
      <c r="AL44" s="170">
        <v>0</v>
      </c>
      <c r="AM44" s="170">
        <v>0</v>
      </c>
      <c r="AN44" s="170">
        <v>0</v>
      </c>
      <c r="AO44" s="170">
        <v>0</v>
      </c>
    </row>
    <row r="45" spans="3:41" x14ac:dyDescent="0.3">
      <c r="C45" s="170">
        <v>54</v>
      </c>
      <c r="D45" s="170">
        <v>8</v>
      </c>
      <c r="E45" s="170">
        <v>2</v>
      </c>
      <c r="F45" s="170">
        <v>600</v>
      </c>
      <c r="G45" s="170">
        <v>0</v>
      </c>
      <c r="H45" s="170">
        <v>288</v>
      </c>
      <c r="I45" s="170">
        <v>0</v>
      </c>
      <c r="J45" s="170">
        <v>0</v>
      </c>
      <c r="K45" s="170">
        <v>0</v>
      </c>
      <c r="L45" s="170">
        <v>0</v>
      </c>
      <c r="M45" s="170">
        <v>0</v>
      </c>
      <c r="N45" s="170">
        <v>0</v>
      </c>
      <c r="O45" s="170">
        <v>160</v>
      </c>
      <c r="P45" s="170">
        <v>0</v>
      </c>
      <c r="Q45" s="170">
        <v>0</v>
      </c>
      <c r="R45" s="170">
        <v>0</v>
      </c>
      <c r="S45" s="170">
        <v>0</v>
      </c>
      <c r="T45" s="170">
        <v>0</v>
      </c>
      <c r="U45" s="170">
        <v>0</v>
      </c>
      <c r="V45" s="170">
        <v>0</v>
      </c>
      <c r="W45" s="170">
        <v>0</v>
      </c>
      <c r="X45" s="170">
        <v>0</v>
      </c>
      <c r="Y45" s="170">
        <v>0</v>
      </c>
      <c r="Z45" s="170">
        <v>0</v>
      </c>
      <c r="AA45" s="170">
        <v>0</v>
      </c>
      <c r="AB45" s="170">
        <v>0</v>
      </c>
      <c r="AC45" s="170">
        <v>152</v>
      </c>
      <c r="AD45" s="170">
        <v>0</v>
      </c>
      <c r="AE45" s="170">
        <v>0</v>
      </c>
      <c r="AF45" s="170">
        <v>0</v>
      </c>
      <c r="AG45" s="170">
        <v>0</v>
      </c>
      <c r="AH45" s="170">
        <v>0</v>
      </c>
      <c r="AI45" s="170">
        <v>0</v>
      </c>
      <c r="AJ45" s="170">
        <v>0</v>
      </c>
      <c r="AK45" s="170">
        <v>0</v>
      </c>
      <c r="AL45" s="170">
        <v>0</v>
      </c>
      <c r="AM45" s="170">
        <v>0</v>
      </c>
      <c r="AN45" s="170">
        <v>0</v>
      </c>
      <c r="AO45" s="170">
        <v>0</v>
      </c>
    </row>
    <row r="46" spans="3:41" x14ac:dyDescent="0.3">
      <c r="C46" s="170">
        <v>54</v>
      </c>
      <c r="D46" s="170">
        <v>8</v>
      </c>
      <c r="E46" s="170">
        <v>5</v>
      </c>
      <c r="F46" s="170">
        <v>20</v>
      </c>
      <c r="G46" s="170">
        <v>20</v>
      </c>
      <c r="H46" s="170">
        <v>0</v>
      </c>
      <c r="I46" s="170">
        <v>0</v>
      </c>
      <c r="J46" s="170">
        <v>0</v>
      </c>
      <c r="K46" s="170">
        <v>0</v>
      </c>
      <c r="L46" s="170">
        <v>0</v>
      </c>
      <c r="M46" s="170">
        <v>0</v>
      </c>
      <c r="N46" s="170">
        <v>0</v>
      </c>
      <c r="O46" s="170">
        <v>0</v>
      </c>
      <c r="P46" s="170">
        <v>0</v>
      </c>
      <c r="Q46" s="170">
        <v>0</v>
      </c>
      <c r="R46" s="170">
        <v>0</v>
      </c>
      <c r="S46" s="170">
        <v>0</v>
      </c>
      <c r="T46" s="170">
        <v>0</v>
      </c>
      <c r="U46" s="170">
        <v>0</v>
      </c>
      <c r="V46" s="170">
        <v>0</v>
      </c>
      <c r="W46" s="170">
        <v>0</v>
      </c>
      <c r="X46" s="170">
        <v>0</v>
      </c>
      <c r="Y46" s="170">
        <v>0</v>
      </c>
      <c r="Z46" s="170">
        <v>0</v>
      </c>
      <c r="AA46" s="170">
        <v>0</v>
      </c>
      <c r="AB46" s="170">
        <v>0</v>
      </c>
      <c r="AC46" s="170">
        <v>0</v>
      </c>
      <c r="AD46" s="170">
        <v>0</v>
      </c>
      <c r="AE46" s="170">
        <v>0</v>
      </c>
      <c r="AF46" s="170">
        <v>0</v>
      </c>
      <c r="AG46" s="170">
        <v>0</v>
      </c>
      <c r="AH46" s="170">
        <v>0</v>
      </c>
      <c r="AI46" s="170">
        <v>0</v>
      </c>
      <c r="AJ46" s="170">
        <v>0</v>
      </c>
      <c r="AK46" s="170">
        <v>0</v>
      </c>
      <c r="AL46" s="170">
        <v>0</v>
      </c>
      <c r="AM46" s="170">
        <v>0</v>
      </c>
      <c r="AN46" s="170">
        <v>0</v>
      </c>
      <c r="AO46" s="170">
        <v>0</v>
      </c>
    </row>
    <row r="47" spans="3:41" x14ac:dyDescent="0.3">
      <c r="C47" s="170">
        <v>54</v>
      </c>
      <c r="D47" s="170">
        <v>8</v>
      </c>
      <c r="E47" s="170">
        <v>6</v>
      </c>
      <c r="F47" s="170">
        <v>158864</v>
      </c>
      <c r="G47" s="170">
        <v>5000</v>
      </c>
      <c r="H47" s="170">
        <v>105371</v>
      </c>
      <c r="I47" s="170">
        <v>0</v>
      </c>
      <c r="J47" s="170">
        <v>0</v>
      </c>
      <c r="K47" s="170">
        <v>0</v>
      </c>
      <c r="L47" s="170">
        <v>0</v>
      </c>
      <c r="M47" s="170">
        <v>0</v>
      </c>
      <c r="N47" s="170">
        <v>0</v>
      </c>
      <c r="O47" s="170">
        <v>25642</v>
      </c>
      <c r="P47" s="170">
        <v>0</v>
      </c>
      <c r="Q47" s="170">
        <v>0</v>
      </c>
      <c r="R47" s="170">
        <v>0</v>
      </c>
      <c r="S47" s="170">
        <v>0</v>
      </c>
      <c r="T47" s="170">
        <v>0</v>
      </c>
      <c r="U47" s="170">
        <v>0</v>
      </c>
      <c r="V47" s="170">
        <v>0</v>
      </c>
      <c r="W47" s="170">
        <v>0</v>
      </c>
      <c r="X47" s="170">
        <v>0</v>
      </c>
      <c r="Y47" s="170">
        <v>0</v>
      </c>
      <c r="Z47" s="170">
        <v>0</v>
      </c>
      <c r="AA47" s="170">
        <v>0</v>
      </c>
      <c r="AB47" s="170">
        <v>0</v>
      </c>
      <c r="AC47" s="170">
        <v>22394</v>
      </c>
      <c r="AD47" s="170">
        <v>0</v>
      </c>
      <c r="AE47" s="170">
        <v>0</v>
      </c>
      <c r="AF47" s="170">
        <v>0</v>
      </c>
      <c r="AG47" s="170">
        <v>0</v>
      </c>
      <c r="AH47" s="170">
        <v>0</v>
      </c>
      <c r="AI47" s="170">
        <v>0</v>
      </c>
      <c r="AJ47" s="170">
        <v>0</v>
      </c>
      <c r="AK47" s="170">
        <v>0</v>
      </c>
      <c r="AL47" s="170">
        <v>457</v>
      </c>
      <c r="AM47" s="170">
        <v>0</v>
      </c>
      <c r="AN47" s="170">
        <v>0</v>
      </c>
      <c r="AO47" s="170">
        <v>0</v>
      </c>
    </row>
    <row r="48" spans="3:41" x14ac:dyDescent="0.3">
      <c r="C48" s="170">
        <v>54</v>
      </c>
      <c r="D48" s="170">
        <v>8</v>
      </c>
      <c r="E48" s="170">
        <v>10</v>
      </c>
      <c r="F48" s="170">
        <v>1200</v>
      </c>
      <c r="G48" s="170">
        <v>0</v>
      </c>
      <c r="H48" s="170">
        <v>600</v>
      </c>
      <c r="I48" s="170">
        <v>0</v>
      </c>
      <c r="J48" s="170">
        <v>0</v>
      </c>
      <c r="K48" s="170">
        <v>600</v>
      </c>
      <c r="L48" s="170">
        <v>0</v>
      </c>
      <c r="M48" s="170">
        <v>0</v>
      </c>
      <c r="N48" s="170">
        <v>0</v>
      </c>
      <c r="O48" s="170">
        <v>0</v>
      </c>
      <c r="P48" s="170">
        <v>0</v>
      </c>
      <c r="Q48" s="170">
        <v>0</v>
      </c>
      <c r="R48" s="170">
        <v>0</v>
      </c>
      <c r="S48" s="170">
        <v>0</v>
      </c>
      <c r="T48" s="170">
        <v>0</v>
      </c>
      <c r="U48" s="170">
        <v>0</v>
      </c>
      <c r="V48" s="170">
        <v>0</v>
      </c>
      <c r="W48" s="170">
        <v>0</v>
      </c>
      <c r="X48" s="170">
        <v>0</v>
      </c>
      <c r="Y48" s="170">
        <v>0</v>
      </c>
      <c r="Z48" s="170">
        <v>0</v>
      </c>
      <c r="AA48" s="170">
        <v>0</v>
      </c>
      <c r="AB48" s="170">
        <v>0</v>
      </c>
      <c r="AC48" s="170">
        <v>0</v>
      </c>
      <c r="AD48" s="170">
        <v>0</v>
      </c>
      <c r="AE48" s="170">
        <v>0</v>
      </c>
      <c r="AF48" s="170">
        <v>0</v>
      </c>
      <c r="AG48" s="170">
        <v>0</v>
      </c>
      <c r="AH48" s="170">
        <v>0</v>
      </c>
      <c r="AI48" s="170">
        <v>0</v>
      </c>
      <c r="AJ48" s="170">
        <v>0</v>
      </c>
      <c r="AK48" s="170">
        <v>0</v>
      </c>
      <c r="AL48" s="170">
        <v>0</v>
      </c>
      <c r="AM48" s="170">
        <v>0</v>
      </c>
      <c r="AN48" s="170">
        <v>0</v>
      </c>
      <c r="AO48" s="170">
        <v>0</v>
      </c>
    </row>
    <row r="49" spans="3:41" x14ac:dyDescent="0.3">
      <c r="C49" s="170">
        <v>54</v>
      </c>
      <c r="D49" s="170">
        <v>8</v>
      </c>
      <c r="E49" s="170">
        <v>11</v>
      </c>
      <c r="F49" s="170">
        <v>732.26589333826939</v>
      </c>
      <c r="G49" s="170">
        <v>0</v>
      </c>
      <c r="H49" s="170">
        <v>565.59922667160276</v>
      </c>
      <c r="I49" s="170">
        <v>0</v>
      </c>
      <c r="J49" s="170">
        <v>0</v>
      </c>
      <c r="K49" s="170">
        <v>166.66666666666666</v>
      </c>
      <c r="L49" s="170">
        <v>0</v>
      </c>
      <c r="M49" s="170">
        <v>0</v>
      </c>
      <c r="N49" s="170">
        <v>0</v>
      </c>
      <c r="O49" s="170">
        <v>0</v>
      </c>
      <c r="P49" s="170">
        <v>0</v>
      </c>
      <c r="Q49" s="170">
        <v>0</v>
      </c>
      <c r="R49" s="170">
        <v>0</v>
      </c>
      <c r="S49" s="170">
        <v>0</v>
      </c>
      <c r="T49" s="170">
        <v>0</v>
      </c>
      <c r="U49" s="170">
        <v>0</v>
      </c>
      <c r="V49" s="170">
        <v>0</v>
      </c>
      <c r="W49" s="170">
        <v>0</v>
      </c>
      <c r="X49" s="170">
        <v>0</v>
      </c>
      <c r="Y49" s="170">
        <v>0</v>
      </c>
      <c r="Z49" s="170">
        <v>0</v>
      </c>
      <c r="AA49" s="170">
        <v>0</v>
      </c>
      <c r="AB49" s="170">
        <v>0</v>
      </c>
      <c r="AC49" s="170">
        <v>0</v>
      </c>
      <c r="AD49" s="170">
        <v>0</v>
      </c>
      <c r="AE49" s="170">
        <v>0</v>
      </c>
      <c r="AF49" s="170">
        <v>0</v>
      </c>
      <c r="AG49" s="170">
        <v>0</v>
      </c>
      <c r="AH49" s="170">
        <v>0</v>
      </c>
      <c r="AI49" s="170">
        <v>0</v>
      </c>
      <c r="AJ49" s="170">
        <v>0</v>
      </c>
      <c r="AK49" s="170">
        <v>0</v>
      </c>
      <c r="AL49" s="170">
        <v>0</v>
      </c>
      <c r="AM49" s="170">
        <v>0</v>
      </c>
      <c r="AN49" s="170">
        <v>0</v>
      </c>
      <c r="AO49" s="170">
        <v>0</v>
      </c>
    </row>
    <row r="50" spans="3:41" x14ac:dyDescent="0.3">
      <c r="C50" s="170">
        <v>54</v>
      </c>
      <c r="D50" s="170">
        <v>9</v>
      </c>
      <c r="E50" s="170">
        <v>1</v>
      </c>
      <c r="F50" s="170">
        <v>4</v>
      </c>
      <c r="G50" s="170">
        <v>0</v>
      </c>
      <c r="H50" s="170">
        <v>2</v>
      </c>
      <c r="I50" s="170">
        <v>0</v>
      </c>
      <c r="J50" s="170">
        <v>0</v>
      </c>
      <c r="K50" s="170">
        <v>0</v>
      </c>
      <c r="L50" s="170">
        <v>0</v>
      </c>
      <c r="M50" s="170">
        <v>0</v>
      </c>
      <c r="N50" s="170">
        <v>0</v>
      </c>
      <c r="O50" s="170">
        <v>1</v>
      </c>
      <c r="P50" s="170">
        <v>0</v>
      </c>
      <c r="Q50" s="170">
        <v>0</v>
      </c>
      <c r="R50" s="170">
        <v>0</v>
      </c>
      <c r="S50" s="170">
        <v>0</v>
      </c>
      <c r="T50" s="170">
        <v>0</v>
      </c>
      <c r="U50" s="170">
        <v>0</v>
      </c>
      <c r="V50" s="170">
        <v>0</v>
      </c>
      <c r="W50" s="170">
        <v>0</v>
      </c>
      <c r="X50" s="170">
        <v>0</v>
      </c>
      <c r="Y50" s="170">
        <v>0</v>
      </c>
      <c r="Z50" s="170">
        <v>0</v>
      </c>
      <c r="AA50" s="170">
        <v>0</v>
      </c>
      <c r="AB50" s="170">
        <v>0</v>
      </c>
      <c r="AC50" s="170">
        <v>1</v>
      </c>
      <c r="AD50" s="170">
        <v>0</v>
      </c>
      <c r="AE50" s="170">
        <v>0</v>
      </c>
      <c r="AF50" s="170">
        <v>0</v>
      </c>
      <c r="AG50" s="170">
        <v>0</v>
      </c>
      <c r="AH50" s="170">
        <v>0</v>
      </c>
      <c r="AI50" s="170">
        <v>0</v>
      </c>
      <c r="AJ50" s="170">
        <v>0</v>
      </c>
      <c r="AK50" s="170">
        <v>0</v>
      </c>
      <c r="AL50" s="170">
        <v>0</v>
      </c>
      <c r="AM50" s="170">
        <v>0</v>
      </c>
      <c r="AN50" s="170">
        <v>0</v>
      </c>
      <c r="AO50" s="170">
        <v>0</v>
      </c>
    </row>
    <row r="51" spans="3:41" x14ac:dyDescent="0.3">
      <c r="C51" s="170">
        <v>54</v>
      </c>
      <c r="D51" s="170">
        <v>9</v>
      </c>
      <c r="E51" s="170">
        <v>2</v>
      </c>
      <c r="F51" s="170">
        <v>624</v>
      </c>
      <c r="G51" s="170">
        <v>0</v>
      </c>
      <c r="H51" s="170">
        <v>288</v>
      </c>
      <c r="I51" s="170">
        <v>0</v>
      </c>
      <c r="J51" s="170">
        <v>0</v>
      </c>
      <c r="K51" s="170">
        <v>0</v>
      </c>
      <c r="L51" s="170">
        <v>0</v>
      </c>
      <c r="M51" s="170">
        <v>0</v>
      </c>
      <c r="N51" s="170">
        <v>0</v>
      </c>
      <c r="O51" s="170">
        <v>168</v>
      </c>
      <c r="P51" s="170">
        <v>0</v>
      </c>
      <c r="Q51" s="170">
        <v>0</v>
      </c>
      <c r="R51" s="170">
        <v>0</v>
      </c>
      <c r="S51" s="170">
        <v>0</v>
      </c>
      <c r="T51" s="170">
        <v>0</v>
      </c>
      <c r="U51" s="170">
        <v>0</v>
      </c>
      <c r="V51" s="170">
        <v>0</v>
      </c>
      <c r="W51" s="170">
        <v>0</v>
      </c>
      <c r="X51" s="170">
        <v>0</v>
      </c>
      <c r="Y51" s="170">
        <v>0</v>
      </c>
      <c r="Z51" s="170">
        <v>0</v>
      </c>
      <c r="AA51" s="170">
        <v>0</v>
      </c>
      <c r="AB51" s="170">
        <v>0</v>
      </c>
      <c r="AC51" s="170">
        <v>168</v>
      </c>
      <c r="AD51" s="170">
        <v>0</v>
      </c>
      <c r="AE51" s="170">
        <v>0</v>
      </c>
      <c r="AF51" s="170">
        <v>0</v>
      </c>
      <c r="AG51" s="170">
        <v>0</v>
      </c>
      <c r="AH51" s="170">
        <v>0</v>
      </c>
      <c r="AI51" s="170">
        <v>0</v>
      </c>
      <c r="AJ51" s="170">
        <v>0</v>
      </c>
      <c r="AK51" s="170">
        <v>0</v>
      </c>
      <c r="AL51" s="170">
        <v>0</v>
      </c>
      <c r="AM51" s="170">
        <v>0</v>
      </c>
      <c r="AN51" s="170">
        <v>0</v>
      </c>
      <c r="AO51" s="170">
        <v>0</v>
      </c>
    </row>
    <row r="52" spans="3:41" x14ac:dyDescent="0.3">
      <c r="C52" s="170">
        <v>54</v>
      </c>
      <c r="D52" s="170">
        <v>9</v>
      </c>
      <c r="E52" s="170">
        <v>5</v>
      </c>
      <c r="F52" s="170">
        <v>20</v>
      </c>
      <c r="G52" s="170">
        <v>20</v>
      </c>
      <c r="H52" s="170">
        <v>0</v>
      </c>
      <c r="I52" s="170">
        <v>0</v>
      </c>
      <c r="J52" s="170">
        <v>0</v>
      </c>
      <c r="K52" s="170">
        <v>0</v>
      </c>
      <c r="L52" s="170">
        <v>0</v>
      </c>
      <c r="M52" s="170">
        <v>0</v>
      </c>
      <c r="N52" s="170">
        <v>0</v>
      </c>
      <c r="O52" s="170">
        <v>0</v>
      </c>
      <c r="P52" s="170">
        <v>0</v>
      </c>
      <c r="Q52" s="170">
        <v>0</v>
      </c>
      <c r="R52" s="170">
        <v>0</v>
      </c>
      <c r="S52" s="170">
        <v>0</v>
      </c>
      <c r="T52" s="170">
        <v>0</v>
      </c>
      <c r="U52" s="170">
        <v>0</v>
      </c>
      <c r="V52" s="170">
        <v>0</v>
      </c>
      <c r="W52" s="170">
        <v>0</v>
      </c>
      <c r="X52" s="170">
        <v>0</v>
      </c>
      <c r="Y52" s="170">
        <v>0</v>
      </c>
      <c r="Z52" s="170">
        <v>0</v>
      </c>
      <c r="AA52" s="170">
        <v>0</v>
      </c>
      <c r="AB52" s="170">
        <v>0</v>
      </c>
      <c r="AC52" s="170">
        <v>0</v>
      </c>
      <c r="AD52" s="170">
        <v>0</v>
      </c>
      <c r="AE52" s="170">
        <v>0</v>
      </c>
      <c r="AF52" s="170">
        <v>0</v>
      </c>
      <c r="AG52" s="170">
        <v>0</v>
      </c>
      <c r="AH52" s="170">
        <v>0</v>
      </c>
      <c r="AI52" s="170">
        <v>0</v>
      </c>
      <c r="AJ52" s="170">
        <v>0</v>
      </c>
      <c r="AK52" s="170">
        <v>0</v>
      </c>
      <c r="AL52" s="170">
        <v>0</v>
      </c>
      <c r="AM52" s="170">
        <v>0</v>
      </c>
      <c r="AN52" s="170">
        <v>0</v>
      </c>
      <c r="AO52" s="170">
        <v>0</v>
      </c>
    </row>
    <row r="53" spans="3:41" x14ac:dyDescent="0.3">
      <c r="C53" s="170">
        <v>54</v>
      </c>
      <c r="D53" s="170">
        <v>9</v>
      </c>
      <c r="E53" s="170">
        <v>6</v>
      </c>
      <c r="F53" s="170">
        <v>165777</v>
      </c>
      <c r="G53" s="170">
        <v>5000</v>
      </c>
      <c r="H53" s="170">
        <v>106244</v>
      </c>
      <c r="I53" s="170">
        <v>0</v>
      </c>
      <c r="J53" s="170">
        <v>0</v>
      </c>
      <c r="K53" s="170">
        <v>0</v>
      </c>
      <c r="L53" s="170">
        <v>0</v>
      </c>
      <c r="M53" s="170">
        <v>0</v>
      </c>
      <c r="N53" s="170">
        <v>0</v>
      </c>
      <c r="O53" s="170">
        <v>25698</v>
      </c>
      <c r="P53" s="170">
        <v>0</v>
      </c>
      <c r="Q53" s="170">
        <v>0</v>
      </c>
      <c r="R53" s="170">
        <v>0</v>
      </c>
      <c r="S53" s="170">
        <v>0</v>
      </c>
      <c r="T53" s="170">
        <v>0</v>
      </c>
      <c r="U53" s="170">
        <v>0</v>
      </c>
      <c r="V53" s="170">
        <v>0</v>
      </c>
      <c r="W53" s="170">
        <v>0</v>
      </c>
      <c r="X53" s="170">
        <v>0</v>
      </c>
      <c r="Y53" s="170">
        <v>0</v>
      </c>
      <c r="Z53" s="170">
        <v>0</v>
      </c>
      <c r="AA53" s="170">
        <v>0</v>
      </c>
      <c r="AB53" s="170">
        <v>0</v>
      </c>
      <c r="AC53" s="170">
        <v>28235</v>
      </c>
      <c r="AD53" s="170">
        <v>0</v>
      </c>
      <c r="AE53" s="170">
        <v>0</v>
      </c>
      <c r="AF53" s="170">
        <v>0</v>
      </c>
      <c r="AG53" s="170">
        <v>0</v>
      </c>
      <c r="AH53" s="170">
        <v>0</v>
      </c>
      <c r="AI53" s="170">
        <v>0</v>
      </c>
      <c r="AJ53" s="170">
        <v>0</v>
      </c>
      <c r="AK53" s="170">
        <v>0</v>
      </c>
      <c r="AL53" s="170">
        <v>600</v>
      </c>
      <c r="AM53" s="170">
        <v>0</v>
      </c>
      <c r="AN53" s="170">
        <v>0</v>
      </c>
      <c r="AO53" s="170">
        <v>0</v>
      </c>
    </row>
    <row r="54" spans="3:41" x14ac:dyDescent="0.3">
      <c r="C54" s="170">
        <v>54</v>
      </c>
      <c r="D54" s="170">
        <v>9</v>
      </c>
      <c r="E54" s="170">
        <v>9</v>
      </c>
      <c r="F54" s="170">
        <v>5000</v>
      </c>
      <c r="G54" s="170">
        <v>0</v>
      </c>
      <c r="H54" s="170">
        <v>0</v>
      </c>
      <c r="I54" s="170">
        <v>0</v>
      </c>
      <c r="J54" s="170">
        <v>0</v>
      </c>
      <c r="K54" s="170">
        <v>0</v>
      </c>
      <c r="L54" s="170">
        <v>0</v>
      </c>
      <c r="M54" s="170">
        <v>0</v>
      </c>
      <c r="N54" s="170">
        <v>0</v>
      </c>
      <c r="O54" s="170">
        <v>0</v>
      </c>
      <c r="P54" s="170">
        <v>0</v>
      </c>
      <c r="Q54" s="170">
        <v>0</v>
      </c>
      <c r="R54" s="170">
        <v>0</v>
      </c>
      <c r="S54" s="170">
        <v>0</v>
      </c>
      <c r="T54" s="170">
        <v>0</v>
      </c>
      <c r="U54" s="170">
        <v>0</v>
      </c>
      <c r="V54" s="170">
        <v>0</v>
      </c>
      <c r="W54" s="170">
        <v>0</v>
      </c>
      <c r="X54" s="170">
        <v>0</v>
      </c>
      <c r="Y54" s="170">
        <v>0</v>
      </c>
      <c r="Z54" s="170">
        <v>0</v>
      </c>
      <c r="AA54" s="170">
        <v>0</v>
      </c>
      <c r="AB54" s="170">
        <v>0</v>
      </c>
      <c r="AC54" s="170">
        <v>5000</v>
      </c>
      <c r="AD54" s="170">
        <v>0</v>
      </c>
      <c r="AE54" s="170">
        <v>0</v>
      </c>
      <c r="AF54" s="170">
        <v>0</v>
      </c>
      <c r="AG54" s="170">
        <v>0</v>
      </c>
      <c r="AH54" s="170">
        <v>0</v>
      </c>
      <c r="AI54" s="170">
        <v>0</v>
      </c>
      <c r="AJ54" s="170">
        <v>0</v>
      </c>
      <c r="AK54" s="170">
        <v>0</v>
      </c>
      <c r="AL54" s="170">
        <v>0</v>
      </c>
      <c r="AM54" s="170">
        <v>0</v>
      </c>
      <c r="AN54" s="170">
        <v>0</v>
      </c>
      <c r="AO54" s="170">
        <v>0</v>
      </c>
    </row>
    <row r="55" spans="3:41" x14ac:dyDescent="0.3">
      <c r="C55" s="170">
        <v>54</v>
      </c>
      <c r="D55" s="170">
        <v>9</v>
      </c>
      <c r="E55" s="170">
        <v>11</v>
      </c>
      <c r="F55" s="170">
        <v>732.26589333826939</v>
      </c>
      <c r="G55" s="170">
        <v>0</v>
      </c>
      <c r="H55" s="170">
        <v>565.59922667160276</v>
      </c>
      <c r="I55" s="170">
        <v>0</v>
      </c>
      <c r="J55" s="170">
        <v>0</v>
      </c>
      <c r="K55" s="170">
        <v>166.66666666666666</v>
      </c>
      <c r="L55" s="170">
        <v>0</v>
      </c>
      <c r="M55" s="170">
        <v>0</v>
      </c>
      <c r="N55" s="170">
        <v>0</v>
      </c>
      <c r="O55" s="170">
        <v>0</v>
      </c>
      <c r="P55" s="170">
        <v>0</v>
      </c>
      <c r="Q55" s="170">
        <v>0</v>
      </c>
      <c r="R55" s="170">
        <v>0</v>
      </c>
      <c r="S55" s="170">
        <v>0</v>
      </c>
      <c r="T55" s="170">
        <v>0</v>
      </c>
      <c r="U55" s="170">
        <v>0</v>
      </c>
      <c r="V55" s="170">
        <v>0</v>
      </c>
      <c r="W55" s="170">
        <v>0</v>
      </c>
      <c r="X55" s="170">
        <v>0</v>
      </c>
      <c r="Y55" s="170">
        <v>0</v>
      </c>
      <c r="Z55" s="170">
        <v>0</v>
      </c>
      <c r="AA55" s="170">
        <v>0</v>
      </c>
      <c r="AB55" s="170">
        <v>0</v>
      </c>
      <c r="AC55" s="170">
        <v>0</v>
      </c>
      <c r="AD55" s="170">
        <v>0</v>
      </c>
      <c r="AE55" s="170">
        <v>0</v>
      </c>
      <c r="AF55" s="170">
        <v>0</v>
      </c>
      <c r="AG55" s="170">
        <v>0</v>
      </c>
      <c r="AH55" s="170">
        <v>0</v>
      </c>
      <c r="AI55" s="170">
        <v>0</v>
      </c>
      <c r="AJ55" s="170">
        <v>0</v>
      </c>
      <c r="AK55" s="170">
        <v>0</v>
      </c>
      <c r="AL55" s="170">
        <v>0</v>
      </c>
      <c r="AM55" s="170">
        <v>0</v>
      </c>
      <c r="AN55" s="170">
        <v>0</v>
      </c>
      <c r="AO55" s="170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0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14" bestFit="1" customWidth="1"/>
    <col min="2" max="2" width="11.6640625" style="114" hidden="1" customWidth="1"/>
    <col min="3" max="4" width="11" style="116" customWidth="1"/>
    <col min="5" max="5" width="11" style="117" customWidth="1"/>
    <col min="6" max="16384" width="8.88671875" style="114"/>
  </cols>
  <sheetData>
    <row r="1" spans="1:5" ht="18.600000000000001" thickBot="1" x14ac:dyDescent="0.4">
      <c r="A1" s="260" t="s">
        <v>73</v>
      </c>
      <c r="B1" s="260"/>
      <c r="C1" s="261"/>
      <c r="D1" s="261"/>
      <c r="E1" s="261"/>
    </row>
    <row r="2" spans="1:5" ht="14.4" customHeight="1" thickBot="1" x14ac:dyDescent="0.35">
      <c r="A2" s="174" t="s">
        <v>206</v>
      </c>
      <c r="B2" s="115"/>
    </row>
    <row r="3" spans="1:5" ht="14.4" customHeight="1" thickBot="1" x14ac:dyDescent="0.35">
      <c r="A3" s="118"/>
      <c r="C3" s="119" t="s">
        <v>62</v>
      </c>
      <c r="D3" s="120" t="s">
        <v>55</v>
      </c>
      <c r="E3" s="121" t="s">
        <v>57</v>
      </c>
    </row>
    <row r="4" spans="1:5" ht="14.4" customHeight="1" thickBot="1" x14ac:dyDescent="0.35">
      <c r="A4" s="122" t="str">
        <f>HYPERLINK("#HI!A1","NÁKLADY CELKEM (v tisících Kč)")</f>
        <v>NÁKLADY CELKEM (v tisících Kč)</v>
      </c>
      <c r="B4" s="123"/>
      <c r="C4" s="124">
        <f ca="1">IF(ISERROR(VLOOKUP("Náklady celkem",INDIRECT("HI!$A:$G"),6,0)),0,VLOOKUP("Náklady celkem",INDIRECT("HI!$A:$G"),6,0))</f>
        <v>2401.8884453290648</v>
      </c>
      <c r="D4" s="124">
        <f ca="1">IF(ISERROR(VLOOKUP("Náklady celkem",INDIRECT("HI!$A:$G"),5,0)),0,VLOOKUP("Náklady celkem",INDIRECT("HI!$A:$G"),5,0))</f>
        <v>2544.8797400000008</v>
      </c>
      <c r="E4" s="125">
        <f ca="1">IF(C4=0,0,D4/C4)</f>
        <v>1.0595328625478049</v>
      </c>
    </row>
    <row r="5" spans="1:5" ht="14.4" customHeight="1" x14ac:dyDescent="0.3">
      <c r="A5" s="126" t="s">
        <v>82</v>
      </c>
      <c r="B5" s="127"/>
      <c r="C5" s="128"/>
      <c r="D5" s="128"/>
      <c r="E5" s="129"/>
    </row>
    <row r="6" spans="1:5" ht="14.4" customHeight="1" x14ac:dyDescent="0.3">
      <c r="A6" s="130" t="s">
        <v>87</v>
      </c>
      <c r="B6" s="131"/>
      <c r="C6" s="132"/>
      <c r="D6" s="132"/>
      <c r="E6" s="129"/>
    </row>
    <row r="7" spans="1:5" ht="14.4" customHeight="1" x14ac:dyDescent="0.3">
      <c r="A7" s="251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31" t="s">
        <v>66</v>
      </c>
      <c r="C7" s="132">
        <f>IF(ISERROR(HI!F5),"",HI!F5)</f>
        <v>0</v>
      </c>
      <c r="D7" s="132">
        <f>IF(ISERROR(HI!E5),"",HI!E5)</f>
        <v>0.40909000000000001</v>
      </c>
      <c r="E7" s="129">
        <f t="shared" ref="E7:E12" si="0">IF(C7=0,0,D7/C7)</f>
        <v>0</v>
      </c>
    </row>
    <row r="8" spans="1:5" ht="14.4" customHeight="1" x14ac:dyDescent="0.3">
      <c r="A8" s="251" t="str">
        <f>HYPERLINK("#'LŽ Statim'!A1","Podíl statimových žádanek (max. 30%)")</f>
        <v>Podíl statimových žádanek (max. 30%)</v>
      </c>
      <c r="B8" s="249" t="s">
        <v>182</v>
      </c>
      <c r="C8" s="250">
        <v>0.3</v>
      </c>
      <c r="D8" s="250">
        <f>IF('LŽ Statim'!G3="",0,'LŽ Statim'!G3)</f>
        <v>0</v>
      </c>
      <c r="E8" s="129">
        <f>IF(C8=0,0,D8/C8)</f>
        <v>0</v>
      </c>
    </row>
    <row r="9" spans="1:5" ht="14.4" customHeight="1" x14ac:dyDescent="0.3">
      <c r="A9" s="133" t="s">
        <v>83</v>
      </c>
      <c r="B9" s="131"/>
      <c r="C9" s="132"/>
      <c r="D9" s="132"/>
      <c r="E9" s="129"/>
    </row>
    <row r="10" spans="1:5" ht="14.4" customHeight="1" x14ac:dyDescent="0.3">
      <c r="A10" s="133" t="s">
        <v>84</v>
      </c>
      <c r="B10" s="131"/>
      <c r="C10" s="132"/>
      <c r="D10" s="132"/>
      <c r="E10" s="129"/>
    </row>
    <row r="11" spans="1:5" ht="14.4" customHeight="1" x14ac:dyDescent="0.3">
      <c r="A11" s="134" t="s">
        <v>88</v>
      </c>
      <c r="B11" s="131"/>
      <c r="C11" s="128"/>
      <c r="D11" s="128"/>
      <c r="E11" s="129"/>
    </row>
    <row r="12" spans="1:5" ht="14.4" customHeight="1" x14ac:dyDescent="0.3">
      <c r="A12" s="135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2" s="131" t="s">
        <v>66</v>
      </c>
      <c r="C12" s="132">
        <f>IF(ISERROR(HI!F6),"",HI!F6)</f>
        <v>50.105998445405248</v>
      </c>
      <c r="D12" s="132">
        <f>IF(ISERROR(HI!E6),"",HI!E6)</f>
        <v>45.462820000000001</v>
      </c>
      <c r="E12" s="129">
        <f t="shared" si="0"/>
        <v>0.90733288249979915</v>
      </c>
    </row>
    <row r="13" spans="1:5" ht="14.4" customHeight="1" thickBot="1" x14ac:dyDescent="0.35">
      <c r="A13" s="136" t="str">
        <f>HYPERLINK("#HI!A1","Osobní náklady")</f>
        <v>Osobní náklady</v>
      </c>
      <c r="B13" s="131"/>
      <c r="C13" s="128">
        <f ca="1">IF(ISERROR(VLOOKUP("Osobní náklady (Kč) *",INDIRECT("HI!$A:$G"),6,0)),0,VLOOKUP("Osobní náklady (Kč) *",INDIRECT("HI!$A:$G"),6,0))</f>
        <v>1923.7499394065399</v>
      </c>
      <c r="D13" s="128">
        <f ca="1">IF(ISERROR(VLOOKUP("Osobní náklady (Kč) *",INDIRECT("HI!$A:$G"),5,0)),0,VLOOKUP("Osobní náklady (Kč) *",INDIRECT("HI!$A:$G"),5,0))</f>
        <v>2085.7697400000011</v>
      </c>
      <c r="E13" s="129">
        <f ca="1">IF(C13=0,0,D13/C13)</f>
        <v>1.0842208216746938</v>
      </c>
    </row>
    <row r="14" spans="1:5" ht="14.4" customHeight="1" thickBot="1" x14ac:dyDescent="0.35">
      <c r="A14" s="140"/>
      <c r="B14" s="141"/>
      <c r="C14" s="142"/>
      <c r="D14" s="142"/>
      <c r="E14" s="143"/>
    </row>
    <row r="15" spans="1:5" ht="14.4" customHeight="1" thickBot="1" x14ac:dyDescent="0.35">
      <c r="A15" s="144" t="str">
        <f>HYPERLINK("#HI!A1","VÝNOSY CELKEM (v tisících)")</f>
        <v>VÝNOSY CELKEM (v tisících)</v>
      </c>
      <c r="B15" s="145"/>
      <c r="C15" s="146">
        <f ca="1">IF(ISERROR(VLOOKUP("Výnosy celkem",INDIRECT("HI!$A:$G"),6,0)),0,VLOOKUP("Výnosy celkem",INDIRECT("HI!$A:$G"),6,0))</f>
        <v>0</v>
      </c>
      <c r="D15" s="146">
        <f ca="1">IF(ISERROR(VLOOKUP("Výnosy celkem",INDIRECT("HI!$A:$G"),5,0)),0,VLOOKUP("Výnosy celkem",INDIRECT("HI!$A:$G"),5,0))</f>
        <v>0</v>
      </c>
      <c r="E15" s="147">
        <f t="shared" ref="E15:E16" ca="1" si="1">IF(C15=0,0,D15/C15)</f>
        <v>0</v>
      </c>
    </row>
    <row r="16" spans="1:5" ht="14.4" customHeight="1" x14ac:dyDescent="0.3">
      <c r="A16" s="148" t="str">
        <f>HYPERLINK("#HI!A1","Ambulance (body za výkony + Kč za ZUM a ZULP)")</f>
        <v>Ambulance (body za výkony + Kč za ZUM a ZULP)</v>
      </c>
      <c r="B16" s="127"/>
      <c r="C16" s="128">
        <f ca="1">IF(ISERROR(VLOOKUP("Ambulance *",INDIRECT("HI!$A:$G"),6,0)),0,VLOOKUP("Ambulance *",INDIRECT("HI!$A:$G"),6,0))</f>
        <v>0</v>
      </c>
      <c r="D16" s="128">
        <f ca="1">IF(ISERROR(VLOOKUP("Ambulance *",INDIRECT("HI!$A:$G"),5,0)),0,VLOOKUP("Ambulance *",INDIRECT("HI!$A:$G"),5,0))</f>
        <v>0</v>
      </c>
      <c r="E16" s="129">
        <f t="shared" ca="1" si="1"/>
        <v>0</v>
      </c>
    </row>
    <row r="17" spans="1:5" ht="14.4" customHeight="1" x14ac:dyDescent="0.3">
      <c r="A17" s="149" t="str">
        <f>HYPERLINK("#HI!A1","Hospitalizace (casemix * 30000)")</f>
        <v>Hospitalizace (casemix * 30000)</v>
      </c>
      <c r="B17" s="131"/>
      <c r="C17" s="128">
        <f ca="1">IF(ISERROR(VLOOKUP("Hospitalizace *",INDIRECT("HI!$A:$G"),6,0)),0,VLOOKUP("Hospitalizace *",INDIRECT("HI!$A:$G"),6,0))</f>
        <v>0</v>
      </c>
      <c r="D17" s="128">
        <f ca="1">IF(ISERROR(VLOOKUP("Hospitalizace *",INDIRECT("HI!$A:$G"),5,0)),0,VLOOKUP("Hospitalizace *",INDIRECT("HI!$A:$G"),5,0))</f>
        <v>0</v>
      </c>
      <c r="E17" s="129">
        <f ca="1">IF(C17=0,0,D17/C17)</f>
        <v>0</v>
      </c>
    </row>
    <row r="18" spans="1:5" ht="14.4" customHeight="1" thickBot="1" x14ac:dyDescent="0.35">
      <c r="A18" s="150" t="s">
        <v>85</v>
      </c>
      <c r="B18" s="137"/>
      <c r="C18" s="138"/>
      <c r="D18" s="138"/>
      <c r="E18" s="139"/>
    </row>
    <row r="19" spans="1:5" ht="14.4" customHeight="1" thickBot="1" x14ac:dyDescent="0.35">
      <c r="A19" s="151"/>
      <c r="B19" s="152"/>
      <c r="C19" s="153"/>
      <c r="D19" s="153"/>
      <c r="E19" s="154"/>
    </row>
    <row r="20" spans="1:5" ht="14.4" customHeight="1" thickBot="1" x14ac:dyDescent="0.35">
      <c r="A20" s="155" t="s">
        <v>86</v>
      </c>
      <c r="B20" s="156"/>
      <c r="C20" s="157"/>
      <c r="D20" s="157"/>
      <c r="E20" s="158"/>
    </row>
  </sheetData>
  <mergeCells count="1">
    <mergeCell ref="A1:E1"/>
  </mergeCells>
  <conditionalFormatting sqref="E5">
    <cfRule type="cellIs" dxfId="49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1">
    <cfRule type="cellIs" dxfId="48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47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46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17">
    <cfRule type="cellIs" dxfId="45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44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43" priority="20" operator="lessThan">
      <formula>1</formula>
    </cfRule>
  </conditionalFormatting>
  <conditionalFormatting sqref="E8">
    <cfRule type="cellIs" dxfId="42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15">
    <cfRule type="iconSet" priority="52">
      <iconSet iconSet="3Symbols2">
        <cfvo type="percent" val="0"/>
        <cfvo type="num" val="1"/>
        <cfvo type="num" val="1"/>
      </iconSet>
    </cfRule>
  </conditionalFormatting>
  <conditionalFormatting sqref="E4 E7 E12">
    <cfRule type="cellIs" dxfId="41" priority="57" operator="greaterThan">
      <formula>1</formula>
    </cfRule>
    <cfRule type="iconSet" priority="58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96" bestFit="1" customWidth="1"/>
    <col min="2" max="3" width="9.5546875" style="96" customWidth="1"/>
    <col min="4" max="4" width="2.21875" style="96" customWidth="1"/>
    <col min="5" max="8" width="9.5546875" style="96" customWidth="1"/>
    <col min="9" max="16384" width="8.88671875" style="96"/>
  </cols>
  <sheetData>
    <row r="1" spans="1:8" ht="18.600000000000001" customHeight="1" thickBot="1" x14ac:dyDescent="0.4">
      <c r="A1" s="260" t="s">
        <v>76</v>
      </c>
      <c r="B1" s="260"/>
      <c r="C1" s="260"/>
      <c r="D1" s="260"/>
      <c r="E1" s="260"/>
      <c r="F1" s="260"/>
      <c r="G1" s="261"/>
      <c r="H1" s="261"/>
    </row>
    <row r="2" spans="1:8" ht="14.4" customHeight="1" thickBot="1" x14ac:dyDescent="0.35">
      <c r="A2" s="174" t="s">
        <v>206</v>
      </c>
      <c r="B2" s="77"/>
      <c r="C2" s="77"/>
      <c r="D2" s="77"/>
      <c r="E2" s="77"/>
      <c r="F2" s="77"/>
    </row>
    <row r="3" spans="1:8" ht="14.4" customHeight="1" x14ac:dyDescent="0.3">
      <c r="A3" s="262"/>
      <c r="B3" s="73">
        <v>2013</v>
      </c>
      <c r="C3" s="40">
        <v>2014</v>
      </c>
      <c r="D3" s="7"/>
      <c r="E3" s="266">
        <v>2015</v>
      </c>
      <c r="F3" s="267"/>
      <c r="G3" s="267"/>
      <c r="H3" s="268"/>
    </row>
    <row r="4" spans="1:8" ht="14.4" customHeight="1" thickBot="1" x14ac:dyDescent="0.35">
      <c r="A4" s="263"/>
      <c r="B4" s="264" t="s">
        <v>55</v>
      </c>
      <c r="C4" s="265"/>
      <c r="D4" s="7"/>
      <c r="E4" s="94" t="s">
        <v>55</v>
      </c>
      <c r="F4" s="75" t="s">
        <v>56</v>
      </c>
      <c r="G4" s="75" t="s">
        <v>52</v>
      </c>
      <c r="H4" s="76" t="s">
        <v>57</v>
      </c>
    </row>
    <row r="5" spans="1:8" ht="14.4" customHeight="1" x14ac:dyDescent="0.3">
      <c r="A5" s="78" t="str">
        <f>HYPERLINK("#'Léky Žádanky'!A1","Léky (Kč)")</f>
        <v>Léky (Kč)</v>
      </c>
      <c r="B5" s="27">
        <v>0.57743</v>
      </c>
      <c r="C5" s="29">
        <v>0</v>
      </c>
      <c r="D5" s="8"/>
      <c r="E5" s="83">
        <v>0.40909000000000001</v>
      </c>
      <c r="F5" s="28">
        <v>0</v>
      </c>
      <c r="G5" s="82">
        <f>E5-F5</f>
        <v>0.40909000000000001</v>
      </c>
      <c r="H5" s="88" t="str">
        <f>IF(F5&lt;0.00000001,"",E5/F5)</f>
        <v/>
      </c>
    </row>
    <row r="6" spans="1:8" ht="14.4" customHeight="1" x14ac:dyDescent="0.3">
      <c r="A6" s="78" t="str">
        <f>HYPERLINK("#'Materiál Žádanky'!A1","Materiál - SZM (Kč)")</f>
        <v>Materiál - SZM (Kč)</v>
      </c>
      <c r="B6" s="10">
        <v>31.324869999999997</v>
      </c>
      <c r="C6" s="31">
        <v>52.630359999999996</v>
      </c>
      <c r="D6" s="8"/>
      <c r="E6" s="84">
        <v>45.462820000000001</v>
      </c>
      <c r="F6" s="30">
        <v>50.105998445405248</v>
      </c>
      <c r="G6" s="85">
        <f>E6-F6</f>
        <v>-4.6431784454052476</v>
      </c>
      <c r="H6" s="89">
        <f>IF(F6&lt;0.00000001,"",E6/F6)</f>
        <v>0.90733288249979915</v>
      </c>
    </row>
    <row r="7" spans="1:8" ht="14.4" customHeight="1" x14ac:dyDescent="0.3">
      <c r="A7" s="78" t="str">
        <f>HYPERLINK("#'Osobní náklady'!A1","Osobní náklady (Kč) *")</f>
        <v>Osobní náklady (Kč) *</v>
      </c>
      <c r="B7" s="10">
        <v>1046.2809099999999</v>
      </c>
      <c r="C7" s="31">
        <v>1838.1068300000009</v>
      </c>
      <c r="D7" s="8"/>
      <c r="E7" s="84">
        <v>2085.7697400000011</v>
      </c>
      <c r="F7" s="30">
        <v>1923.7499394065399</v>
      </c>
      <c r="G7" s="85">
        <f>E7-F7</f>
        <v>162.01980059346124</v>
      </c>
      <c r="H7" s="89">
        <f>IF(F7&lt;0.00000001,"",E7/F7)</f>
        <v>1.0842208216746938</v>
      </c>
    </row>
    <row r="8" spans="1:8" ht="14.4" customHeight="1" thickBot="1" x14ac:dyDescent="0.35">
      <c r="A8" s="1" t="s">
        <v>58</v>
      </c>
      <c r="B8" s="11">
        <v>228.94542000000021</v>
      </c>
      <c r="C8" s="33">
        <v>456.75386000000015</v>
      </c>
      <c r="D8" s="8"/>
      <c r="E8" s="86">
        <v>413.23808999999966</v>
      </c>
      <c r="F8" s="32">
        <v>428.03250747711968</v>
      </c>
      <c r="G8" s="87">
        <f>E8-F8</f>
        <v>-14.794417477120021</v>
      </c>
      <c r="H8" s="90">
        <f>IF(F8&lt;0.00000001,"",E8/F8)</f>
        <v>0.96543622921464478</v>
      </c>
    </row>
    <row r="9" spans="1:8" ht="14.4" customHeight="1" thickBot="1" x14ac:dyDescent="0.35">
      <c r="A9" s="2" t="s">
        <v>59</v>
      </c>
      <c r="B9" s="3">
        <v>1307.1286300000002</v>
      </c>
      <c r="C9" s="35">
        <v>2347.491050000001</v>
      </c>
      <c r="D9" s="8"/>
      <c r="E9" s="3">
        <v>2544.8797400000008</v>
      </c>
      <c r="F9" s="34">
        <v>2401.8884453290648</v>
      </c>
      <c r="G9" s="34">
        <f>E9-F9</f>
        <v>142.99129467093599</v>
      </c>
      <c r="H9" s="91">
        <f>IF(F9&lt;0.00000001,"",E9/F9)</f>
        <v>1.0595328625478049</v>
      </c>
    </row>
    <row r="10" spans="1:8" ht="14.4" customHeight="1" thickBot="1" x14ac:dyDescent="0.35">
      <c r="A10" s="12"/>
      <c r="B10" s="12"/>
      <c r="C10" s="74"/>
      <c r="D10" s="8"/>
      <c r="E10" s="12"/>
      <c r="F10" s="13"/>
    </row>
    <row r="11" spans="1:8" ht="14.4" customHeight="1" x14ac:dyDescent="0.3">
      <c r="A11" s="99" t="str">
        <f>HYPERLINK("#'ZV Vykáz.-A'!A1","Ambulance *")</f>
        <v>Ambulance *</v>
      </c>
      <c r="B11" s="9">
        <f>IF(ISERROR(VLOOKUP("Celkem:",#REF!,2,0)),0,VLOOKUP("Celkem:",#REF!,2,0)/1000)</f>
        <v>0</v>
      </c>
      <c r="C11" s="29">
        <f>IF(ISERROR(VLOOKUP("Celkem:",#REF!,4,0)),0,VLOOKUP("Celkem:",#REF!,4,0)/1000)</f>
        <v>0</v>
      </c>
      <c r="D11" s="8"/>
      <c r="E11" s="83">
        <f>IF(ISERROR(VLOOKUP("Celkem:",#REF!,6,0)),0,VLOOKUP("Celkem:",#REF!,6,0)/1000)</f>
        <v>0</v>
      </c>
      <c r="F11" s="28">
        <f>B11</f>
        <v>0</v>
      </c>
      <c r="G11" s="82">
        <f>E11-F11</f>
        <v>0</v>
      </c>
      <c r="H11" s="88" t="str">
        <f>IF(F11&lt;0.00000001,"",E11/F11)</f>
        <v/>
      </c>
    </row>
    <row r="12" spans="1:8" ht="14.4" customHeight="1" thickBot="1" x14ac:dyDescent="0.35">
      <c r="A12" s="100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86">
        <f>IF(ISERROR(VLOOKUP("Celkem",#REF!,4,0)),0,VLOOKUP("Celkem",#REF!,4,0)*30)</f>
        <v>0</v>
      </c>
      <c r="F12" s="32">
        <f>B12</f>
        <v>0</v>
      </c>
      <c r="G12" s="87">
        <f>E12-F12</f>
        <v>0</v>
      </c>
      <c r="H12" s="90" t="str">
        <f>IF(F12&lt;0.00000001,"",E12/F12)</f>
        <v/>
      </c>
    </row>
    <row r="13" spans="1:8" ht="14.4" customHeight="1" thickBot="1" x14ac:dyDescent="0.35">
      <c r="A13" s="4" t="s">
        <v>60</v>
      </c>
      <c r="B13" s="5">
        <f>SUM(B11:B12)</f>
        <v>0</v>
      </c>
      <c r="C13" s="37">
        <f>SUM(C11:C12)</f>
        <v>0</v>
      </c>
      <c r="D13" s="8"/>
      <c r="E13" s="5">
        <f>SUM(E11:E12)</f>
        <v>0</v>
      </c>
      <c r="F13" s="36">
        <f>SUM(F11:F12)</f>
        <v>0</v>
      </c>
      <c r="G13" s="36">
        <f>E13-F13</f>
        <v>0</v>
      </c>
      <c r="H13" s="92" t="str">
        <f>IF(F13&lt;0.00000001,"",E13/F13)</f>
        <v/>
      </c>
    </row>
    <row r="14" spans="1:8" ht="14.4" customHeight="1" thickBot="1" x14ac:dyDescent="0.35">
      <c r="A14" s="12"/>
      <c r="B14" s="12"/>
      <c r="C14" s="74"/>
      <c r="D14" s="8"/>
      <c r="E14" s="12"/>
      <c r="F14" s="13"/>
    </row>
    <row r="15" spans="1:8" ht="14.4" customHeight="1" thickBot="1" x14ac:dyDescent="0.35">
      <c r="A15" s="101" t="str">
        <f>HYPERLINK("#'HI Graf'!A1","Hospodářský index (Výnosy / Náklady) *")</f>
        <v>Hospodářský index (Výnosy / Náklady) *</v>
      </c>
      <c r="B15" s="6">
        <f>IF(B9=0,"",B13/B9)</f>
        <v>0</v>
      </c>
      <c r="C15" s="39">
        <f>IF(C9=0,"",C13/C9)</f>
        <v>0</v>
      </c>
      <c r="D15" s="8"/>
      <c r="E15" s="6">
        <f>IF(E9=0,"",E13/E9)</f>
        <v>0</v>
      </c>
      <c r="F15" s="38">
        <f>IF(F9=0,"",F13/F9)</f>
        <v>0</v>
      </c>
      <c r="G15" s="38">
        <f>IF(ISERROR(F15-E15),"",E15-F15)</f>
        <v>0</v>
      </c>
      <c r="H15" s="93" t="str">
        <f>IF(ISERROR(F15-E15),"",IF(F15&lt;0.00000001,"",E15/F15))</f>
        <v/>
      </c>
    </row>
    <row r="17" spans="1:8" ht="14.4" customHeight="1" x14ac:dyDescent="0.3">
      <c r="A17" s="79" t="s">
        <v>90</v>
      </c>
    </row>
    <row r="18" spans="1:8" ht="14.4" customHeight="1" x14ac:dyDescent="0.3">
      <c r="A18" s="227" t="s">
        <v>129</v>
      </c>
      <c r="B18" s="228"/>
      <c r="C18" s="228"/>
      <c r="D18" s="228"/>
      <c r="E18" s="228"/>
      <c r="F18" s="228"/>
      <c r="G18" s="228"/>
      <c r="H18" s="228"/>
    </row>
    <row r="19" spans="1:8" x14ac:dyDescent="0.3">
      <c r="A19" s="226" t="s">
        <v>128</v>
      </c>
      <c r="B19" s="228"/>
      <c r="C19" s="228"/>
      <c r="D19" s="228"/>
      <c r="E19" s="228"/>
      <c r="F19" s="228"/>
      <c r="G19" s="228"/>
      <c r="H19" s="228"/>
    </row>
    <row r="20" spans="1:8" ht="14.4" customHeight="1" x14ac:dyDescent="0.3">
      <c r="A20" s="80" t="s">
        <v>183</v>
      </c>
    </row>
    <row r="21" spans="1:8" ht="14.4" customHeight="1" x14ac:dyDescent="0.3">
      <c r="A21" s="80" t="s">
        <v>91</v>
      </c>
    </row>
    <row r="22" spans="1:8" ht="14.4" customHeight="1" x14ac:dyDescent="0.3">
      <c r="A22" s="81" t="s">
        <v>92</v>
      </c>
    </row>
    <row r="23" spans="1:8" ht="14.4" customHeight="1" x14ac:dyDescent="0.3">
      <c r="A23" s="81" t="s">
        <v>93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0" priority="4" operator="greaterThan">
      <formula>0</formula>
    </cfRule>
  </conditionalFormatting>
  <conditionalFormatting sqref="G11:G13 G15">
    <cfRule type="cellIs" dxfId="39" priority="3" operator="lessThan">
      <formula>0</formula>
    </cfRule>
  </conditionalFormatting>
  <conditionalFormatting sqref="H5:H9">
    <cfRule type="cellIs" dxfId="38" priority="2" operator="greaterThan">
      <formula>1</formula>
    </cfRule>
  </conditionalFormatting>
  <conditionalFormatting sqref="H11:H13 H15">
    <cfRule type="cellIs" dxfId="37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96" bestFit="1" customWidth="1"/>
    <col min="2" max="2" width="12.77734375" style="96" bestFit="1" customWidth="1"/>
    <col min="3" max="3" width="13.6640625" style="96" bestFit="1" customWidth="1"/>
    <col min="4" max="15" width="7.77734375" style="96" bestFit="1" customWidth="1"/>
    <col min="16" max="16" width="8.88671875" style="96" customWidth="1"/>
    <col min="17" max="17" width="6.6640625" style="96" bestFit="1" customWidth="1"/>
    <col min="18" max="16384" width="8.88671875" style="96"/>
  </cols>
  <sheetData>
    <row r="1" spans="1:17" s="159" customFormat="1" ht="18.600000000000001" customHeight="1" thickBot="1" x14ac:dyDescent="0.4">
      <c r="A1" s="269" t="s">
        <v>208</v>
      </c>
      <c r="B1" s="269"/>
      <c r="C1" s="269"/>
      <c r="D1" s="269"/>
      <c r="E1" s="269"/>
      <c r="F1" s="269"/>
      <c r="G1" s="269"/>
      <c r="H1" s="260"/>
      <c r="I1" s="260"/>
      <c r="J1" s="260"/>
      <c r="K1" s="260"/>
      <c r="L1" s="260"/>
      <c r="M1" s="260"/>
      <c r="N1" s="260"/>
      <c r="O1" s="260"/>
      <c r="P1" s="260"/>
      <c r="Q1" s="260"/>
    </row>
    <row r="2" spans="1:17" s="159" customFormat="1" ht="14.4" customHeight="1" thickBot="1" x14ac:dyDescent="0.3">
      <c r="A2" s="174" t="s">
        <v>206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</row>
    <row r="3" spans="1:17" ht="14.4" customHeight="1" x14ac:dyDescent="0.3">
      <c r="A3" s="58"/>
      <c r="B3" s="270" t="s">
        <v>13</v>
      </c>
      <c r="C3" s="271"/>
      <c r="D3" s="271"/>
      <c r="E3" s="271"/>
      <c r="F3" s="271"/>
      <c r="G3" s="271"/>
      <c r="H3" s="271"/>
      <c r="I3" s="271"/>
      <c r="J3" s="271"/>
      <c r="K3" s="271"/>
      <c r="L3" s="271"/>
      <c r="M3" s="271"/>
      <c r="N3" s="271"/>
      <c r="O3" s="271"/>
      <c r="P3" s="104"/>
      <c r="Q3" s="106"/>
    </row>
    <row r="4" spans="1:17" ht="14.4" customHeight="1" x14ac:dyDescent="0.3">
      <c r="A4" s="59"/>
      <c r="B4" s="20">
        <v>2015</v>
      </c>
      <c r="C4" s="105" t="s">
        <v>14</v>
      </c>
      <c r="D4" s="95" t="s">
        <v>184</v>
      </c>
      <c r="E4" s="95" t="s">
        <v>185</v>
      </c>
      <c r="F4" s="95" t="s">
        <v>186</v>
      </c>
      <c r="G4" s="95" t="s">
        <v>187</v>
      </c>
      <c r="H4" s="95" t="s">
        <v>188</v>
      </c>
      <c r="I4" s="95" t="s">
        <v>189</v>
      </c>
      <c r="J4" s="95" t="s">
        <v>190</v>
      </c>
      <c r="K4" s="95" t="s">
        <v>191</v>
      </c>
      <c r="L4" s="95" t="s">
        <v>192</v>
      </c>
      <c r="M4" s="95" t="s">
        <v>193</v>
      </c>
      <c r="N4" s="95" t="s">
        <v>194</v>
      </c>
      <c r="O4" s="95" t="s">
        <v>195</v>
      </c>
      <c r="P4" s="272" t="s">
        <v>2</v>
      </c>
      <c r="Q4" s="273"/>
    </row>
    <row r="5" spans="1:17" ht="14.4" customHeight="1" thickBot="1" x14ac:dyDescent="0.35">
      <c r="A5" s="60"/>
      <c r="B5" s="21" t="s">
        <v>15</v>
      </c>
      <c r="C5" s="22" t="s">
        <v>15</v>
      </c>
      <c r="D5" s="22" t="s">
        <v>16</v>
      </c>
      <c r="E5" s="22" t="s">
        <v>16</v>
      </c>
      <c r="F5" s="22" t="s">
        <v>16</v>
      </c>
      <c r="G5" s="22" t="s">
        <v>16</v>
      </c>
      <c r="H5" s="22" t="s">
        <v>16</v>
      </c>
      <c r="I5" s="22" t="s">
        <v>16</v>
      </c>
      <c r="J5" s="22" t="s">
        <v>16</v>
      </c>
      <c r="K5" s="22" t="s">
        <v>16</v>
      </c>
      <c r="L5" s="22" t="s">
        <v>16</v>
      </c>
      <c r="M5" s="22" t="s">
        <v>16</v>
      </c>
      <c r="N5" s="22" t="s">
        <v>16</v>
      </c>
      <c r="O5" s="22" t="s">
        <v>16</v>
      </c>
      <c r="P5" s="22" t="s">
        <v>16</v>
      </c>
      <c r="Q5" s="23" t="s">
        <v>17</v>
      </c>
    </row>
    <row r="6" spans="1:17" ht="14.4" customHeight="1" x14ac:dyDescent="0.3">
      <c r="A6" s="14" t="s">
        <v>18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67" t="s">
        <v>207</v>
      </c>
    </row>
    <row r="7" spans="1:17" ht="14.4" customHeight="1" x14ac:dyDescent="0.3">
      <c r="A7" s="15" t="s">
        <v>19</v>
      </c>
      <c r="B7" s="46">
        <v>0</v>
      </c>
      <c r="C7" s="47">
        <v>0</v>
      </c>
      <c r="D7" s="47">
        <v>0.40909000000000001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8">
        <v>0.40909000000000001</v>
      </c>
      <c r="Q7" s="68" t="s">
        <v>207</v>
      </c>
    </row>
    <row r="8" spans="1:17" ht="14.4" customHeight="1" x14ac:dyDescent="0.3">
      <c r="A8" s="15" t="s">
        <v>20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68" t="s">
        <v>207</v>
      </c>
    </row>
    <row r="9" spans="1:17" ht="14.4" customHeight="1" x14ac:dyDescent="0.3">
      <c r="A9" s="15" t="s">
        <v>21</v>
      </c>
      <c r="B9" s="46">
        <v>66.807997927206998</v>
      </c>
      <c r="C9" s="47">
        <v>5.5673331605999996</v>
      </c>
      <c r="D9" s="47">
        <v>5.9142400000000004</v>
      </c>
      <c r="E9" s="47">
        <v>4.5658099999999999</v>
      </c>
      <c r="F9" s="47">
        <v>5.8341399999999997</v>
      </c>
      <c r="G9" s="47">
        <v>4.3569699999999996</v>
      </c>
      <c r="H9" s="47">
        <v>0</v>
      </c>
      <c r="I9" s="47">
        <v>8.3576599999999992</v>
      </c>
      <c r="J9" s="47">
        <v>5.2828799999999996</v>
      </c>
      <c r="K9" s="47">
        <v>5.2250199999999998</v>
      </c>
      <c r="L9" s="47">
        <v>5.9260999999999999</v>
      </c>
      <c r="M9" s="47">
        <v>0</v>
      </c>
      <c r="N9" s="47">
        <v>0</v>
      </c>
      <c r="O9" s="47">
        <v>0</v>
      </c>
      <c r="P9" s="48">
        <v>45.462820000000001</v>
      </c>
      <c r="Q9" s="68">
        <v>0.90733288249900002</v>
      </c>
    </row>
    <row r="10" spans="1:17" ht="14.4" customHeight="1" x14ac:dyDescent="0.3">
      <c r="A10" s="15" t="s">
        <v>22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68" t="s">
        <v>207</v>
      </c>
    </row>
    <row r="11" spans="1:17" ht="14.4" customHeight="1" x14ac:dyDescent="0.3">
      <c r="A11" s="15" t="s">
        <v>23</v>
      </c>
      <c r="B11" s="46">
        <v>196.60429118634801</v>
      </c>
      <c r="C11" s="47">
        <v>16.383690932195002</v>
      </c>
      <c r="D11" s="47">
        <v>1.3887100000000001</v>
      </c>
      <c r="E11" s="47">
        <v>8.2648200000000003</v>
      </c>
      <c r="F11" s="47">
        <v>45.229379999999999</v>
      </c>
      <c r="G11" s="47">
        <v>1.8834500000000001</v>
      </c>
      <c r="H11" s="47">
        <v>3.0912000000000002</v>
      </c>
      <c r="I11" s="47">
        <v>25.397790000000001</v>
      </c>
      <c r="J11" s="47">
        <v>0.38141999999999998</v>
      </c>
      <c r="K11" s="47">
        <v>1.23573</v>
      </c>
      <c r="L11" s="47">
        <v>32.387320000000003</v>
      </c>
      <c r="M11" s="47">
        <v>0</v>
      </c>
      <c r="N11" s="47">
        <v>0</v>
      </c>
      <c r="O11" s="47">
        <v>0</v>
      </c>
      <c r="P11" s="48">
        <v>119.25982</v>
      </c>
      <c r="Q11" s="68">
        <v>0.80879767360999999</v>
      </c>
    </row>
    <row r="12" spans="1:17" ht="14.4" customHeight="1" x14ac:dyDescent="0.3">
      <c r="A12" s="15" t="s">
        <v>24</v>
      </c>
      <c r="B12" s="46">
        <v>0</v>
      </c>
      <c r="C12" s="47">
        <v>0</v>
      </c>
      <c r="D12" s="47">
        <v>0</v>
      </c>
      <c r="E12" s="47">
        <v>0</v>
      </c>
      <c r="F12" s="47">
        <v>1.6129999999999999E-2</v>
      </c>
      <c r="G12" s="47">
        <v>0</v>
      </c>
      <c r="H12" s="47">
        <v>0</v>
      </c>
      <c r="I12" s="47">
        <v>0.17849999999999999</v>
      </c>
      <c r="J12" s="47">
        <v>0</v>
      </c>
      <c r="K12" s="47">
        <v>5.9499999999999997E-2</v>
      </c>
      <c r="L12" s="47">
        <v>0</v>
      </c>
      <c r="M12" s="47">
        <v>0</v>
      </c>
      <c r="N12" s="47">
        <v>0</v>
      </c>
      <c r="O12" s="47">
        <v>0</v>
      </c>
      <c r="P12" s="48">
        <v>0.25413000000000002</v>
      </c>
      <c r="Q12" s="68" t="s">
        <v>207</v>
      </c>
    </row>
    <row r="13" spans="1:17" ht="14.4" customHeight="1" x14ac:dyDescent="0.3">
      <c r="A13" s="15" t="s">
        <v>25</v>
      </c>
      <c r="B13" s="46">
        <v>0</v>
      </c>
      <c r="C13" s="47">
        <v>0</v>
      </c>
      <c r="D13" s="47">
        <v>0</v>
      </c>
      <c r="E13" s="47">
        <v>0</v>
      </c>
      <c r="F13" s="47">
        <v>0</v>
      </c>
      <c r="G13" s="47">
        <v>0.31218000000000001</v>
      </c>
      <c r="H13" s="47">
        <v>0</v>
      </c>
      <c r="I13" s="47">
        <v>0</v>
      </c>
      <c r="J13" s="47">
        <v>0.94016999999999995</v>
      </c>
      <c r="K13" s="47">
        <v>0</v>
      </c>
      <c r="L13" s="47">
        <v>0.51887000000000005</v>
      </c>
      <c r="M13" s="47">
        <v>0</v>
      </c>
      <c r="N13" s="47">
        <v>0</v>
      </c>
      <c r="O13" s="47">
        <v>0</v>
      </c>
      <c r="P13" s="48">
        <v>1.77122</v>
      </c>
      <c r="Q13" s="68" t="s">
        <v>207</v>
      </c>
    </row>
    <row r="14" spans="1:17" ht="14.4" customHeight="1" x14ac:dyDescent="0.3">
      <c r="A14" s="15" t="s">
        <v>26</v>
      </c>
      <c r="B14" s="46">
        <v>109.68402555148199</v>
      </c>
      <c r="C14" s="47">
        <v>9.1403354626229998</v>
      </c>
      <c r="D14" s="47">
        <v>11.771000000000001</v>
      </c>
      <c r="E14" s="47">
        <v>10.164999999999999</v>
      </c>
      <c r="F14" s="47">
        <v>9.7850000000000001</v>
      </c>
      <c r="G14" s="47">
        <v>8.202</v>
      </c>
      <c r="H14" s="47">
        <v>6.5369999999999999</v>
      </c>
      <c r="I14" s="47">
        <v>5.7190000000000003</v>
      </c>
      <c r="J14" s="47">
        <v>5.8040000000000003</v>
      </c>
      <c r="K14" s="47">
        <v>4.6079999999999997</v>
      </c>
      <c r="L14" s="47">
        <v>5.9669999999999996</v>
      </c>
      <c r="M14" s="47">
        <v>0</v>
      </c>
      <c r="N14" s="47">
        <v>0</v>
      </c>
      <c r="O14" s="47">
        <v>0</v>
      </c>
      <c r="P14" s="48">
        <v>68.558000000000007</v>
      </c>
      <c r="Q14" s="68">
        <v>0.83339999792099995</v>
      </c>
    </row>
    <row r="15" spans="1:17" ht="14.4" customHeight="1" x14ac:dyDescent="0.3">
      <c r="A15" s="15" t="s">
        <v>27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68" t="s">
        <v>207</v>
      </c>
    </row>
    <row r="16" spans="1:17" ht="14.4" customHeight="1" x14ac:dyDescent="0.3">
      <c r="A16" s="15" t="s">
        <v>28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68" t="s">
        <v>207</v>
      </c>
    </row>
    <row r="17" spans="1:17" ht="14.4" customHeight="1" x14ac:dyDescent="0.3">
      <c r="A17" s="15" t="s">
        <v>29</v>
      </c>
      <c r="B17" s="46">
        <v>13.562344242715</v>
      </c>
      <c r="C17" s="47">
        <v>1.1301953535589999</v>
      </c>
      <c r="D17" s="47">
        <v>0</v>
      </c>
      <c r="E17" s="47">
        <v>1.45068</v>
      </c>
      <c r="F17" s="47">
        <v>27.225000000000001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8">
        <v>28.67568</v>
      </c>
      <c r="Q17" s="68">
        <v>2.8191468462780001</v>
      </c>
    </row>
    <row r="18" spans="1:17" ht="14.4" customHeight="1" x14ac:dyDescent="0.3">
      <c r="A18" s="15" t="s">
        <v>30</v>
      </c>
      <c r="B18" s="46">
        <v>0</v>
      </c>
      <c r="C18" s="47">
        <v>0</v>
      </c>
      <c r="D18" s="47">
        <v>0.104</v>
      </c>
      <c r="E18" s="47">
        <v>6.9000000000000006E-2</v>
      </c>
      <c r="F18" s="47">
        <v>1.5760000000000001</v>
      </c>
      <c r="G18" s="47">
        <v>1.2130000000000001</v>
      </c>
      <c r="H18" s="47">
        <v>0</v>
      </c>
      <c r="I18" s="47">
        <v>3.4209999999999998</v>
      </c>
      <c r="J18" s="47">
        <v>0</v>
      </c>
      <c r="K18" s="47">
        <v>0</v>
      </c>
      <c r="L18" s="47">
        <v>2.847</v>
      </c>
      <c r="M18" s="47">
        <v>0</v>
      </c>
      <c r="N18" s="47">
        <v>0</v>
      </c>
      <c r="O18" s="47">
        <v>0</v>
      </c>
      <c r="P18" s="48">
        <v>9.23</v>
      </c>
      <c r="Q18" s="68" t="s">
        <v>207</v>
      </c>
    </row>
    <row r="19" spans="1:17" ht="14.4" customHeight="1" x14ac:dyDescent="0.3">
      <c r="A19" s="15" t="s">
        <v>31</v>
      </c>
      <c r="B19" s="46">
        <v>175.85935135126701</v>
      </c>
      <c r="C19" s="47">
        <v>14.654945945938</v>
      </c>
      <c r="D19" s="47">
        <v>5.1471200000000001</v>
      </c>
      <c r="E19" s="47">
        <v>6.9825600000000003</v>
      </c>
      <c r="F19" s="47">
        <v>3.8308900000000001</v>
      </c>
      <c r="G19" s="47">
        <v>50.305869999999999</v>
      </c>
      <c r="H19" s="47">
        <v>5.1515300000000002</v>
      </c>
      <c r="I19" s="47">
        <v>40.269120000000001</v>
      </c>
      <c r="J19" s="47">
        <v>4.1222200000000004</v>
      </c>
      <c r="K19" s="47">
        <v>3.23047</v>
      </c>
      <c r="L19" s="47">
        <v>5.45146</v>
      </c>
      <c r="M19" s="47">
        <v>0</v>
      </c>
      <c r="N19" s="47">
        <v>0</v>
      </c>
      <c r="O19" s="47">
        <v>0</v>
      </c>
      <c r="P19" s="48">
        <v>124.49124</v>
      </c>
      <c r="Q19" s="68">
        <v>0.94386973865500001</v>
      </c>
    </row>
    <row r="20" spans="1:17" ht="14.4" customHeight="1" x14ac:dyDescent="0.3">
      <c r="A20" s="15" t="s">
        <v>32</v>
      </c>
      <c r="B20" s="46">
        <v>2564.9999192087198</v>
      </c>
      <c r="C20" s="47">
        <v>213.74999326739299</v>
      </c>
      <c r="D20" s="47">
        <v>215.29041000000001</v>
      </c>
      <c r="E20" s="47">
        <v>214.65857000000099</v>
      </c>
      <c r="F20" s="47">
        <v>216.21433999999999</v>
      </c>
      <c r="G20" s="47">
        <v>216.01991000000001</v>
      </c>
      <c r="H20" s="47">
        <v>215.79835</v>
      </c>
      <c r="I20" s="47">
        <v>220.55257</v>
      </c>
      <c r="J20" s="47">
        <v>349.06939999999997</v>
      </c>
      <c r="K20" s="47">
        <v>214.41748999999999</v>
      </c>
      <c r="L20" s="47">
        <v>223.74870000000001</v>
      </c>
      <c r="M20" s="47">
        <v>0</v>
      </c>
      <c r="N20" s="47">
        <v>0</v>
      </c>
      <c r="O20" s="47">
        <v>0</v>
      </c>
      <c r="P20" s="48">
        <v>2085.7697400000002</v>
      </c>
      <c r="Q20" s="68">
        <v>1.0842208216739999</v>
      </c>
    </row>
    <row r="21" spans="1:17" ht="14.4" customHeight="1" x14ac:dyDescent="0.3">
      <c r="A21" s="16" t="s">
        <v>33</v>
      </c>
      <c r="B21" s="46">
        <v>74.999997637679996</v>
      </c>
      <c r="C21" s="47">
        <v>6.2499998031399997</v>
      </c>
      <c r="D21" s="47">
        <v>6.5640000000000001</v>
      </c>
      <c r="E21" s="47">
        <v>6.5640000000000001</v>
      </c>
      <c r="F21" s="47">
        <v>6.5640000000000001</v>
      </c>
      <c r="G21" s="47">
        <v>6.5640000000000001</v>
      </c>
      <c r="H21" s="47">
        <v>6.5640000000000001</v>
      </c>
      <c r="I21" s="47">
        <v>6.5640000000000001</v>
      </c>
      <c r="J21" s="47">
        <v>5.9379999999999997</v>
      </c>
      <c r="K21" s="47">
        <v>5.9379999999999997</v>
      </c>
      <c r="L21" s="47">
        <v>5.9379999999999997</v>
      </c>
      <c r="M21" s="47">
        <v>0</v>
      </c>
      <c r="N21" s="47">
        <v>0</v>
      </c>
      <c r="O21" s="47">
        <v>0</v>
      </c>
      <c r="P21" s="48">
        <v>57.198</v>
      </c>
      <c r="Q21" s="68">
        <v>1.0168533653609999</v>
      </c>
    </row>
    <row r="22" spans="1:17" ht="14.4" customHeight="1" x14ac:dyDescent="0.3">
      <c r="A22" s="15" t="s">
        <v>34</v>
      </c>
      <c r="B22" s="46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0</v>
      </c>
      <c r="Q22" s="68" t="s">
        <v>207</v>
      </c>
    </row>
    <row r="23" spans="1:17" ht="14.4" customHeight="1" x14ac:dyDescent="0.3">
      <c r="A23" s="16" t="s">
        <v>35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68" t="s">
        <v>207</v>
      </c>
    </row>
    <row r="24" spans="1:17" ht="14.4" customHeight="1" x14ac:dyDescent="0.3">
      <c r="A24" s="16" t="s">
        <v>36</v>
      </c>
      <c r="B24" s="46">
        <v>9.0949470177292804E-13</v>
      </c>
      <c r="C24" s="47">
        <v>5.6843418860808002E-14</v>
      </c>
      <c r="D24" s="47">
        <v>2.8421709430404001E-14</v>
      </c>
      <c r="E24" s="47">
        <v>0.69999999999899998</v>
      </c>
      <c r="F24" s="47">
        <v>1.3</v>
      </c>
      <c r="G24" s="47">
        <v>-5.6843418860808002E-14</v>
      </c>
      <c r="H24" s="47">
        <v>-2.8421709430404001E-14</v>
      </c>
      <c r="I24" s="47">
        <v>0</v>
      </c>
      <c r="J24" s="47">
        <v>5.6843418860808002E-14</v>
      </c>
      <c r="K24" s="47">
        <v>2.8421709430404001E-14</v>
      </c>
      <c r="L24" s="47">
        <v>1.8</v>
      </c>
      <c r="M24" s="47">
        <v>0</v>
      </c>
      <c r="N24" s="47">
        <v>0</v>
      </c>
      <c r="O24" s="47">
        <v>0</v>
      </c>
      <c r="P24" s="48">
        <v>3.8</v>
      </c>
      <c r="Q24" s="68"/>
    </row>
    <row r="25" spans="1:17" ht="14.4" customHeight="1" x14ac:dyDescent="0.3">
      <c r="A25" s="17" t="s">
        <v>37</v>
      </c>
      <c r="B25" s="49">
        <v>3202.5179271054199</v>
      </c>
      <c r="C25" s="50">
        <v>266.876493925452</v>
      </c>
      <c r="D25" s="50">
        <v>246.58857</v>
      </c>
      <c r="E25" s="50">
        <v>253.42044000000101</v>
      </c>
      <c r="F25" s="50">
        <v>317.57488000000001</v>
      </c>
      <c r="G25" s="50">
        <v>288.85737999999998</v>
      </c>
      <c r="H25" s="50">
        <v>237.14207999999999</v>
      </c>
      <c r="I25" s="50">
        <v>310.45963999999998</v>
      </c>
      <c r="J25" s="50">
        <v>371.53809000000001</v>
      </c>
      <c r="K25" s="50">
        <v>234.71421000000001</v>
      </c>
      <c r="L25" s="50">
        <v>284.58445</v>
      </c>
      <c r="M25" s="50">
        <v>0</v>
      </c>
      <c r="N25" s="50">
        <v>0</v>
      </c>
      <c r="O25" s="50">
        <v>0</v>
      </c>
      <c r="P25" s="51">
        <v>2544.8797399999999</v>
      </c>
      <c r="Q25" s="69">
        <v>1.059532862547</v>
      </c>
    </row>
    <row r="26" spans="1:17" ht="14.4" customHeight="1" x14ac:dyDescent="0.3">
      <c r="A26" s="15" t="s">
        <v>38</v>
      </c>
      <c r="B26" s="46">
        <v>445.20804666328701</v>
      </c>
      <c r="C26" s="47">
        <v>37.100670555272998</v>
      </c>
      <c r="D26" s="47">
        <v>30.186240000000002</v>
      </c>
      <c r="E26" s="47">
        <v>31.59986</v>
      </c>
      <c r="F26" s="47">
        <v>34.66751</v>
      </c>
      <c r="G26" s="47">
        <v>31.063110000000002</v>
      </c>
      <c r="H26" s="47">
        <v>29.914750000000002</v>
      </c>
      <c r="I26" s="47">
        <v>41.343809999999998</v>
      </c>
      <c r="J26" s="47">
        <v>50.334989999999998</v>
      </c>
      <c r="K26" s="47">
        <v>27.07178</v>
      </c>
      <c r="L26" s="47">
        <v>48.93891</v>
      </c>
      <c r="M26" s="47">
        <v>0</v>
      </c>
      <c r="N26" s="47">
        <v>0</v>
      </c>
      <c r="O26" s="47">
        <v>0</v>
      </c>
      <c r="P26" s="48">
        <v>325.12096000000003</v>
      </c>
      <c r="Q26" s="68">
        <v>0.973689978387</v>
      </c>
    </row>
    <row r="27" spans="1:17" ht="14.4" customHeight="1" x14ac:dyDescent="0.3">
      <c r="A27" s="18" t="s">
        <v>39</v>
      </c>
      <c r="B27" s="49">
        <v>3647.72597376871</v>
      </c>
      <c r="C27" s="50">
        <v>303.97716448072498</v>
      </c>
      <c r="D27" s="50">
        <v>276.77481</v>
      </c>
      <c r="E27" s="50">
        <v>285.02030000000099</v>
      </c>
      <c r="F27" s="50">
        <v>352.24239</v>
      </c>
      <c r="G27" s="50">
        <v>319.92048999999997</v>
      </c>
      <c r="H27" s="50">
        <v>267.05682999999999</v>
      </c>
      <c r="I27" s="50">
        <v>351.80345</v>
      </c>
      <c r="J27" s="50">
        <v>421.87308000000002</v>
      </c>
      <c r="K27" s="50">
        <v>261.78599000000003</v>
      </c>
      <c r="L27" s="50">
        <v>333.52336000000003</v>
      </c>
      <c r="M27" s="50">
        <v>0</v>
      </c>
      <c r="N27" s="50">
        <v>0</v>
      </c>
      <c r="O27" s="50">
        <v>0</v>
      </c>
      <c r="P27" s="51">
        <v>2870.0007000000001</v>
      </c>
      <c r="Q27" s="69">
        <v>1.049055665781</v>
      </c>
    </row>
    <row r="28" spans="1:17" ht="14.4" customHeight="1" x14ac:dyDescent="0.3">
      <c r="A28" s="16" t="s">
        <v>40</v>
      </c>
      <c r="B28" s="46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0</v>
      </c>
      <c r="Q28" s="68">
        <v>0</v>
      </c>
    </row>
    <row r="29" spans="1:17" ht="14.4" customHeight="1" x14ac:dyDescent="0.3">
      <c r="A29" s="16" t="s">
        <v>41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68" t="s">
        <v>207</v>
      </c>
    </row>
    <row r="30" spans="1:17" ht="14.4" customHeight="1" x14ac:dyDescent="0.3">
      <c r="A30" s="16" t="s">
        <v>42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68">
        <v>0</v>
      </c>
    </row>
    <row r="31" spans="1:17" ht="14.4" customHeight="1" thickBot="1" x14ac:dyDescent="0.35">
      <c r="A31" s="19" t="s">
        <v>43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70" t="s">
        <v>207</v>
      </c>
    </row>
    <row r="32" spans="1:17" ht="14.4" customHeight="1" x14ac:dyDescent="0.3">
      <c r="B32" s="97"/>
      <c r="C32" s="97"/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</row>
    <row r="33" spans="1:17" ht="14.4" customHeight="1" x14ac:dyDescent="0.3">
      <c r="A33" s="79" t="s">
        <v>90</v>
      </c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8"/>
    </row>
    <row r="34" spans="1:17" ht="14.4" customHeight="1" x14ac:dyDescent="0.3">
      <c r="A34" s="102" t="s">
        <v>204</v>
      </c>
      <c r="B34" s="98"/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8"/>
    </row>
    <row r="35" spans="1:17" ht="14.4" customHeight="1" x14ac:dyDescent="0.3">
      <c r="A35" s="103" t="s">
        <v>44</v>
      </c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8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24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96" customWidth="1"/>
    <col min="2" max="11" width="10" style="96" customWidth="1"/>
    <col min="12" max="16384" width="8.88671875" style="96"/>
  </cols>
  <sheetData>
    <row r="1" spans="1:11" s="55" customFormat="1" ht="18.600000000000001" customHeight="1" thickBot="1" x14ac:dyDescent="0.4">
      <c r="A1" s="269" t="s">
        <v>45</v>
      </c>
      <c r="B1" s="269"/>
      <c r="C1" s="269"/>
      <c r="D1" s="269"/>
      <c r="E1" s="269"/>
      <c r="F1" s="269"/>
      <c r="G1" s="269"/>
      <c r="H1" s="274"/>
      <c r="I1" s="274"/>
      <c r="J1" s="274"/>
      <c r="K1" s="274"/>
    </row>
    <row r="2" spans="1:11" s="55" customFormat="1" ht="14.4" customHeight="1" thickBot="1" x14ac:dyDescent="0.35">
      <c r="A2" s="174" t="s">
        <v>206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58"/>
      <c r="B3" s="270" t="s">
        <v>46</v>
      </c>
      <c r="C3" s="271"/>
      <c r="D3" s="271"/>
      <c r="E3" s="271"/>
      <c r="F3" s="277" t="s">
        <v>47</v>
      </c>
      <c r="G3" s="271"/>
      <c r="H3" s="271"/>
      <c r="I3" s="271"/>
      <c r="J3" s="271"/>
      <c r="K3" s="278"/>
    </row>
    <row r="4" spans="1:11" ht="14.4" customHeight="1" x14ac:dyDescent="0.3">
      <c r="A4" s="59"/>
      <c r="B4" s="275"/>
      <c r="C4" s="276"/>
      <c r="D4" s="276"/>
      <c r="E4" s="276"/>
      <c r="F4" s="279" t="s">
        <v>200</v>
      </c>
      <c r="G4" s="281" t="s">
        <v>48</v>
      </c>
      <c r="H4" s="107" t="s">
        <v>80</v>
      </c>
      <c r="I4" s="279" t="s">
        <v>49</v>
      </c>
      <c r="J4" s="281" t="s">
        <v>202</v>
      </c>
      <c r="K4" s="282" t="s">
        <v>203</v>
      </c>
    </row>
    <row r="5" spans="1:11" ht="42" thickBot="1" x14ac:dyDescent="0.35">
      <c r="A5" s="60"/>
      <c r="B5" s="24" t="s">
        <v>196</v>
      </c>
      <c r="C5" s="25" t="s">
        <v>197</v>
      </c>
      <c r="D5" s="26" t="s">
        <v>198</v>
      </c>
      <c r="E5" s="26" t="s">
        <v>199</v>
      </c>
      <c r="F5" s="280"/>
      <c r="G5" s="280"/>
      <c r="H5" s="25" t="s">
        <v>201</v>
      </c>
      <c r="I5" s="280"/>
      <c r="J5" s="280"/>
      <c r="K5" s="283"/>
    </row>
    <row r="6" spans="1:11" ht="14.4" customHeight="1" thickBot="1" x14ac:dyDescent="0.35">
      <c r="A6" s="325" t="s">
        <v>209</v>
      </c>
      <c r="B6" s="307">
        <v>3023.5661133680201</v>
      </c>
      <c r="C6" s="307">
        <v>3204.67724</v>
      </c>
      <c r="D6" s="308">
        <v>181.11112663198199</v>
      </c>
      <c r="E6" s="309">
        <v>1.0598998400699999</v>
      </c>
      <c r="F6" s="307">
        <v>3202.5179271054199</v>
      </c>
      <c r="G6" s="308">
        <v>2401.8884453290598</v>
      </c>
      <c r="H6" s="310">
        <v>284.58445</v>
      </c>
      <c r="I6" s="307">
        <v>2544.8797399999999</v>
      </c>
      <c r="J6" s="308">
        <v>142.99129467093601</v>
      </c>
      <c r="K6" s="311">
        <v>0.79464964690999995</v>
      </c>
    </row>
    <row r="7" spans="1:11" ht="14.4" customHeight="1" thickBot="1" x14ac:dyDescent="0.35">
      <c r="A7" s="326" t="s">
        <v>210</v>
      </c>
      <c r="B7" s="307">
        <v>421.81684716470198</v>
      </c>
      <c r="C7" s="307">
        <v>377.0043</v>
      </c>
      <c r="D7" s="308">
        <v>-44.812547164702003</v>
      </c>
      <c r="E7" s="309">
        <v>0.89376302187500001</v>
      </c>
      <c r="F7" s="307">
        <v>373.09631466503902</v>
      </c>
      <c r="G7" s="308">
        <v>279.82223599877898</v>
      </c>
      <c r="H7" s="310">
        <v>44.799289999999999</v>
      </c>
      <c r="I7" s="307">
        <v>235.71508</v>
      </c>
      <c r="J7" s="308">
        <v>-44.107155998777998</v>
      </c>
      <c r="K7" s="311">
        <v>0.63178077813900002</v>
      </c>
    </row>
    <row r="8" spans="1:11" ht="14.4" customHeight="1" thickBot="1" x14ac:dyDescent="0.35">
      <c r="A8" s="327" t="s">
        <v>211</v>
      </c>
      <c r="B8" s="307">
        <v>310.61869031574201</v>
      </c>
      <c r="C8" s="307">
        <v>283.35802000000001</v>
      </c>
      <c r="D8" s="308">
        <v>-27.260670315740999</v>
      </c>
      <c r="E8" s="309">
        <v>0.91223750802600001</v>
      </c>
      <c r="F8" s="307">
        <v>263.41228911355603</v>
      </c>
      <c r="G8" s="308">
        <v>197.55921683516701</v>
      </c>
      <c r="H8" s="310">
        <v>38.83229</v>
      </c>
      <c r="I8" s="307">
        <v>167.15708000000001</v>
      </c>
      <c r="J8" s="308">
        <v>-30.402136835166999</v>
      </c>
      <c r="K8" s="311">
        <v>0.63458345304399999</v>
      </c>
    </row>
    <row r="9" spans="1:11" ht="14.4" customHeight="1" thickBot="1" x14ac:dyDescent="0.35">
      <c r="A9" s="328" t="s">
        <v>212</v>
      </c>
      <c r="B9" s="312">
        <v>0.77063330568099997</v>
      </c>
      <c r="C9" s="312">
        <v>0</v>
      </c>
      <c r="D9" s="313">
        <v>-0.77063330568099997</v>
      </c>
      <c r="E9" s="314">
        <v>0</v>
      </c>
      <c r="F9" s="312">
        <v>0</v>
      </c>
      <c r="G9" s="313">
        <v>0</v>
      </c>
      <c r="H9" s="315">
        <v>0</v>
      </c>
      <c r="I9" s="312">
        <v>0.40909000000000001</v>
      </c>
      <c r="J9" s="313">
        <v>0.40909000000000001</v>
      </c>
      <c r="K9" s="316" t="s">
        <v>213</v>
      </c>
    </row>
    <row r="10" spans="1:11" ht="14.4" customHeight="1" thickBot="1" x14ac:dyDescent="0.35">
      <c r="A10" s="329" t="s">
        <v>214</v>
      </c>
      <c r="B10" s="307">
        <v>0.77063330568099997</v>
      </c>
      <c r="C10" s="307">
        <v>0</v>
      </c>
      <c r="D10" s="308">
        <v>-0.77063330568099997</v>
      </c>
      <c r="E10" s="309">
        <v>0</v>
      </c>
      <c r="F10" s="307">
        <v>0</v>
      </c>
      <c r="G10" s="308">
        <v>0</v>
      </c>
      <c r="H10" s="310">
        <v>0</v>
      </c>
      <c r="I10" s="307">
        <v>0.40909000000000001</v>
      </c>
      <c r="J10" s="308">
        <v>0.40909000000000001</v>
      </c>
      <c r="K10" s="317" t="s">
        <v>213</v>
      </c>
    </row>
    <row r="11" spans="1:11" ht="14.4" customHeight="1" thickBot="1" x14ac:dyDescent="0.35">
      <c r="A11" s="328" t="s">
        <v>215</v>
      </c>
      <c r="B11" s="312">
        <v>65.733283269283007</v>
      </c>
      <c r="C11" s="312">
        <v>65.088279999999997</v>
      </c>
      <c r="D11" s="313">
        <v>-0.645003269283</v>
      </c>
      <c r="E11" s="314">
        <v>0.99018756956499998</v>
      </c>
      <c r="F11" s="312">
        <v>66.807997927206998</v>
      </c>
      <c r="G11" s="313">
        <v>50.105998445405</v>
      </c>
      <c r="H11" s="315">
        <v>5.9260999999999999</v>
      </c>
      <c r="I11" s="312">
        <v>45.462820000000001</v>
      </c>
      <c r="J11" s="313">
        <v>-4.6431784454049998</v>
      </c>
      <c r="K11" s="318">
        <v>0.68049966187400002</v>
      </c>
    </row>
    <row r="12" spans="1:11" ht="14.4" customHeight="1" thickBot="1" x14ac:dyDescent="0.35">
      <c r="A12" s="329" t="s">
        <v>216</v>
      </c>
      <c r="B12" s="307">
        <v>58.999903784494002</v>
      </c>
      <c r="C12" s="307">
        <v>62.280279999999998</v>
      </c>
      <c r="D12" s="308">
        <v>3.280376215505</v>
      </c>
      <c r="E12" s="309">
        <v>1.055599687543</v>
      </c>
      <c r="F12" s="307">
        <v>62.999998015651997</v>
      </c>
      <c r="G12" s="308">
        <v>47.249998511739001</v>
      </c>
      <c r="H12" s="310">
        <v>5.9260999999999999</v>
      </c>
      <c r="I12" s="307">
        <v>42.66872</v>
      </c>
      <c r="J12" s="308">
        <v>-4.5812785117389998</v>
      </c>
      <c r="K12" s="311">
        <v>0.67728129117299996</v>
      </c>
    </row>
    <row r="13" spans="1:11" ht="14.4" customHeight="1" thickBot="1" x14ac:dyDescent="0.35">
      <c r="A13" s="329" t="s">
        <v>217</v>
      </c>
      <c r="B13" s="307">
        <v>6.7181672275680002</v>
      </c>
      <c r="C13" s="307">
        <v>2.6619999999999999</v>
      </c>
      <c r="D13" s="308">
        <v>-4.0561672275680003</v>
      </c>
      <c r="E13" s="309">
        <v>0.39623902023099999</v>
      </c>
      <c r="F13" s="307">
        <v>3.6619999161529999</v>
      </c>
      <c r="G13" s="308">
        <v>2.7464999371149998</v>
      </c>
      <c r="H13" s="310">
        <v>0</v>
      </c>
      <c r="I13" s="307">
        <v>2.6520999999999999</v>
      </c>
      <c r="J13" s="308">
        <v>-9.4399937114999999E-2</v>
      </c>
      <c r="K13" s="311">
        <v>0.72422175333700001</v>
      </c>
    </row>
    <row r="14" spans="1:11" ht="14.4" customHeight="1" thickBot="1" x14ac:dyDescent="0.35">
      <c r="A14" s="329" t="s">
        <v>218</v>
      </c>
      <c r="B14" s="307">
        <v>1.5212257220000001E-2</v>
      </c>
      <c r="C14" s="307">
        <v>0.14599999999999999</v>
      </c>
      <c r="D14" s="308">
        <v>0.13078774277899999</v>
      </c>
      <c r="E14" s="309">
        <v>9.5975237520879997</v>
      </c>
      <c r="F14" s="307">
        <v>0.145999995401</v>
      </c>
      <c r="G14" s="308">
        <v>0.109499996551</v>
      </c>
      <c r="H14" s="310">
        <v>0</v>
      </c>
      <c r="I14" s="307">
        <v>0.14199999999999999</v>
      </c>
      <c r="J14" s="308">
        <v>3.2500003447999998E-2</v>
      </c>
      <c r="K14" s="311">
        <v>0.97260277035999998</v>
      </c>
    </row>
    <row r="15" spans="1:11" ht="14.4" customHeight="1" thickBot="1" x14ac:dyDescent="0.35">
      <c r="A15" s="328" t="s">
        <v>219</v>
      </c>
      <c r="B15" s="312">
        <v>240.20200522550701</v>
      </c>
      <c r="C15" s="312">
        <v>217.46861999999999</v>
      </c>
      <c r="D15" s="313">
        <v>-22.733385225506002</v>
      </c>
      <c r="E15" s="314">
        <v>0.905357221293</v>
      </c>
      <c r="F15" s="312">
        <v>196.60429118634801</v>
      </c>
      <c r="G15" s="313">
        <v>147.45321838976099</v>
      </c>
      <c r="H15" s="315">
        <v>32.387320000000003</v>
      </c>
      <c r="I15" s="312">
        <v>119.25982</v>
      </c>
      <c r="J15" s="313">
        <v>-28.193398389761001</v>
      </c>
      <c r="K15" s="318">
        <v>0.60659825520699995</v>
      </c>
    </row>
    <row r="16" spans="1:11" ht="14.4" customHeight="1" thickBot="1" x14ac:dyDescent="0.35">
      <c r="A16" s="329" t="s">
        <v>220</v>
      </c>
      <c r="B16" s="307">
        <v>2.7929345469999999E-3</v>
      </c>
      <c r="C16" s="307">
        <v>4.077</v>
      </c>
      <c r="D16" s="308">
        <v>4.0742070654519997</v>
      </c>
      <c r="E16" s="309">
        <v>1459.7549390527299</v>
      </c>
      <c r="F16" s="307">
        <v>7.226520767657</v>
      </c>
      <c r="G16" s="308">
        <v>5.4198905757429996</v>
      </c>
      <c r="H16" s="310">
        <v>0</v>
      </c>
      <c r="I16" s="307">
        <v>0</v>
      </c>
      <c r="J16" s="308">
        <v>-5.4198905757429996</v>
      </c>
      <c r="K16" s="311">
        <v>0</v>
      </c>
    </row>
    <row r="17" spans="1:11" ht="14.4" customHeight="1" thickBot="1" x14ac:dyDescent="0.35">
      <c r="A17" s="329" t="s">
        <v>221</v>
      </c>
      <c r="B17" s="307">
        <v>0.15283576581300001</v>
      </c>
      <c r="C17" s="307">
        <v>9.0880000000000002E-2</v>
      </c>
      <c r="D17" s="308">
        <v>-6.1955765812999997E-2</v>
      </c>
      <c r="E17" s="309">
        <v>0.59462521430100002</v>
      </c>
      <c r="F17" s="307">
        <v>0</v>
      </c>
      <c r="G17" s="308">
        <v>0</v>
      </c>
      <c r="H17" s="310">
        <v>0</v>
      </c>
      <c r="I17" s="307">
        <v>0</v>
      </c>
      <c r="J17" s="308">
        <v>0</v>
      </c>
      <c r="K17" s="317" t="s">
        <v>207</v>
      </c>
    </row>
    <row r="18" spans="1:11" ht="14.4" customHeight="1" thickBot="1" x14ac:dyDescent="0.35">
      <c r="A18" s="329" t="s">
        <v>222</v>
      </c>
      <c r="B18" s="307">
        <v>4.6597864094989996</v>
      </c>
      <c r="C18" s="307">
        <v>1.3133600000000001</v>
      </c>
      <c r="D18" s="308">
        <v>-3.3464264094990002</v>
      </c>
      <c r="E18" s="309">
        <v>0.28184982842099998</v>
      </c>
      <c r="F18" s="307">
        <v>3.001286075696</v>
      </c>
      <c r="G18" s="308">
        <v>2.2509645567719998</v>
      </c>
      <c r="H18" s="310">
        <v>0</v>
      </c>
      <c r="I18" s="307">
        <v>1.2084699999999999</v>
      </c>
      <c r="J18" s="308">
        <v>-1.0424945567720001</v>
      </c>
      <c r="K18" s="311">
        <v>0.40265072023100001</v>
      </c>
    </row>
    <row r="19" spans="1:11" ht="14.4" customHeight="1" thickBot="1" x14ac:dyDescent="0.35">
      <c r="A19" s="329" t="s">
        <v>223</v>
      </c>
      <c r="B19" s="307">
        <v>6.1302059320140003</v>
      </c>
      <c r="C19" s="307">
        <v>4.3379099999999999</v>
      </c>
      <c r="D19" s="308">
        <v>-1.7922959320139999</v>
      </c>
      <c r="E19" s="309">
        <v>0.707628756375</v>
      </c>
      <c r="F19" s="307">
        <v>3.9999998740090001</v>
      </c>
      <c r="G19" s="308">
        <v>2.9999999055069999</v>
      </c>
      <c r="H19" s="310">
        <v>0.57899</v>
      </c>
      <c r="I19" s="307">
        <v>3.6752899999999999</v>
      </c>
      <c r="J19" s="308">
        <v>0.67529009449199995</v>
      </c>
      <c r="K19" s="311">
        <v>0.91882252894000005</v>
      </c>
    </row>
    <row r="20" spans="1:11" ht="14.4" customHeight="1" thickBot="1" x14ac:dyDescent="0.35">
      <c r="A20" s="329" t="s">
        <v>224</v>
      </c>
      <c r="B20" s="307">
        <v>0.99991897388999995</v>
      </c>
      <c r="C20" s="307">
        <v>10.74873</v>
      </c>
      <c r="D20" s="308">
        <v>9.7488110261089993</v>
      </c>
      <c r="E20" s="309">
        <v>10.749600998345</v>
      </c>
      <c r="F20" s="307">
        <v>0</v>
      </c>
      <c r="G20" s="308">
        <v>0</v>
      </c>
      <c r="H20" s="310">
        <v>0</v>
      </c>
      <c r="I20" s="307">
        <v>0.18099999999999999</v>
      </c>
      <c r="J20" s="308">
        <v>0.18099999999999999</v>
      </c>
      <c r="K20" s="317" t="s">
        <v>207</v>
      </c>
    </row>
    <row r="21" spans="1:11" ht="14.4" customHeight="1" thickBot="1" x14ac:dyDescent="0.35">
      <c r="A21" s="329" t="s">
        <v>225</v>
      </c>
      <c r="B21" s="307">
        <v>221.008190799711</v>
      </c>
      <c r="C21" s="307">
        <v>190.11735999999999</v>
      </c>
      <c r="D21" s="308">
        <v>-30.890830799709999</v>
      </c>
      <c r="E21" s="309">
        <v>0.86022766537299999</v>
      </c>
      <c r="F21" s="307">
        <v>177.999994393431</v>
      </c>
      <c r="G21" s="308">
        <v>133.499995795074</v>
      </c>
      <c r="H21" s="310">
        <v>31.808330000000002</v>
      </c>
      <c r="I21" s="307">
        <v>111.93548</v>
      </c>
      <c r="J21" s="308">
        <v>-21.564515795073</v>
      </c>
      <c r="K21" s="311">
        <v>0.628851031043</v>
      </c>
    </row>
    <row r="22" spans="1:11" ht="14.4" customHeight="1" thickBot="1" x14ac:dyDescent="0.35">
      <c r="A22" s="329" t="s">
        <v>226</v>
      </c>
      <c r="B22" s="307">
        <v>4.5615312182869996</v>
      </c>
      <c r="C22" s="307">
        <v>3.3471600000000001</v>
      </c>
      <c r="D22" s="308">
        <v>-1.2143712182869999</v>
      </c>
      <c r="E22" s="309">
        <v>0.73377991727400005</v>
      </c>
      <c r="F22" s="307">
        <v>2.3764901385480002</v>
      </c>
      <c r="G22" s="308">
        <v>1.7823676039109999</v>
      </c>
      <c r="H22" s="310">
        <v>0</v>
      </c>
      <c r="I22" s="307">
        <v>1.4822500000000001</v>
      </c>
      <c r="J22" s="308">
        <v>-0.30011760391100001</v>
      </c>
      <c r="K22" s="311">
        <v>0.62371392834999995</v>
      </c>
    </row>
    <row r="23" spans="1:11" ht="14.4" customHeight="1" thickBot="1" x14ac:dyDescent="0.35">
      <c r="A23" s="329" t="s">
        <v>227</v>
      </c>
      <c r="B23" s="307">
        <v>2.6867431917419999</v>
      </c>
      <c r="C23" s="307">
        <v>2.9256000000000002</v>
      </c>
      <c r="D23" s="308">
        <v>0.23885680825700001</v>
      </c>
      <c r="E23" s="309">
        <v>1.088901986982</v>
      </c>
      <c r="F23" s="307">
        <v>1.999999937004</v>
      </c>
      <c r="G23" s="308">
        <v>1.4999999527529999</v>
      </c>
      <c r="H23" s="310">
        <v>0</v>
      </c>
      <c r="I23" s="307">
        <v>0.77732999999999997</v>
      </c>
      <c r="J23" s="308">
        <v>-0.72266995275300006</v>
      </c>
      <c r="K23" s="311">
        <v>0.38866501224200001</v>
      </c>
    </row>
    <row r="24" spans="1:11" ht="14.4" customHeight="1" thickBot="1" x14ac:dyDescent="0.35">
      <c r="A24" s="329" t="s">
        <v>228</v>
      </c>
      <c r="B24" s="307">
        <v>0</v>
      </c>
      <c r="C24" s="307">
        <v>0.51061999999999996</v>
      </c>
      <c r="D24" s="308">
        <v>0.51061999999999996</v>
      </c>
      <c r="E24" s="319" t="s">
        <v>213</v>
      </c>
      <c r="F24" s="307">
        <v>0</v>
      </c>
      <c r="G24" s="308">
        <v>0</v>
      </c>
      <c r="H24" s="310">
        <v>0</v>
      </c>
      <c r="I24" s="307">
        <v>0</v>
      </c>
      <c r="J24" s="308">
        <v>0</v>
      </c>
      <c r="K24" s="317" t="s">
        <v>207</v>
      </c>
    </row>
    <row r="25" spans="1:11" ht="14.4" customHeight="1" thickBot="1" x14ac:dyDescent="0.35">
      <c r="A25" s="328" t="s">
        <v>229</v>
      </c>
      <c r="B25" s="312">
        <v>1.0001864980149999</v>
      </c>
      <c r="C25" s="312">
        <v>7.1340000000000001E-2</v>
      </c>
      <c r="D25" s="313">
        <v>-0.92884649801399999</v>
      </c>
      <c r="E25" s="314">
        <v>7.1326697711999995E-2</v>
      </c>
      <c r="F25" s="312">
        <v>0</v>
      </c>
      <c r="G25" s="313">
        <v>0</v>
      </c>
      <c r="H25" s="315">
        <v>0</v>
      </c>
      <c r="I25" s="312">
        <v>0.25413000000000002</v>
      </c>
      <c r="J25" s="313">
        <v>0.25413000000000002</v>
      </c>
      <c r="K25" s="316" t="s">
        <v>207</v>
      </c>
    </row>
    <row r="26" spans="1:11" ht="14.4" customHeight="1" thickBot="1" x14ac:dyDescent="0.35">
      <c r="A26" s="329" t="s">
        <v>230</v>
      </c>
      <c r="B26" s="307">
        <v>1.0001864980149999</v>
      </c>
      <c r="C26" s="307">
        <v>7.1340000000000001E-2</v>
      </c>
      <c r="D26" s="308">
        <v>-0.92884649801399999</v>
      </c>
      <c r="E26" s="309">
        <v>7.1326697711999995E-2</v>
      </c>
      <c r="F26" s="307">
        <v>0</v>
      </c>
      <c r="G26" s="308">
        <v>0</v>
      </c>
      <c r="H26" s="310">
        <v>0</v>
      </c>
      <c r="I26" s="307">
        <v>0.25413000000000002</v>
      </c>
      <c r="J26" s="308">
        <v>0.25413000000000002</v>
      </c>
      <c r="K26" s="317" t="s">
        <v>207</v>
      </c>
    </row>
    <row r="27" spans="1:11" ht="14.4" customHeight="1" thickBot="1" x14ac:dyDescent="0.35">
      <c r="A27" s="328" t="s">
        <v>231</v>
      </c>
      <c r="B27" s="312">
        <v>2.9125820172550001</v>
      </c>
      <c r="C27" s="312">
        <v>0.72977999999999998</v>
      </c>
      <c r="D27" s="313">
        <v>-2.1828020172549998</v>
      </c>
      <c r="E27" s="314">
        <v>0.25056118443199998</v>
      </c>
      <c r="F27" s="312">
        <v>0</v>
      </c>
      <c r="G27" s="313">
        <v>0</v>
      </c>
      <c r="H27" s="315">
        <v>0.51887000000000005</v>
      </c>
      <c r="I27" s="312">
        <v>1.77122</v>
      </c>
      <c r="J27" s="313">
        <v>1.77122</v>
      </c>
      <c r="K27" s="316" t="s">
        <v>207</v>
      </c>
    </row>
    <row r="28" spans="1:11" ht="14.4" customHeight="1" thickBot="1" x14ac:dyDescent="0.35">
      <c r="A28" s="329" t="s">
        <v>232</v>
      </c>
      <c r="B28" s="307">
        <v>2.9125820172550001</v>
      </c>
      <c r="C28" s="307">
        <v>0.72977999999999998</v>
      </c>
      <c r="D28" s="308">
        <v>-2.1828020172549998</v>
      </c>
      <c r="E28" s="309">
        <v>0.25056118443199998</v>
      </c>
      <c r="F28" s="307">
        <v>0</v>
      </c>
      <c r="G28" s="308">
        <v>0</v>
      </c>
      <c r="H28" s="310">
        <v>0.31218000000000001</v>
      </c>
      <c r="I28" s="307">
        <v>1.56453</v>
      </c>
      <c r="J28" s="308">
        <v>1.56453</v>
      </c>
      <c r="K28" s="317" t="s">
        <v>207</v>
      </c>
    </row>
    <row r="29" spans="1:11" ht="14.4" customHeight="1" thickBot="1" x14ac:dyDescent="0.35">
      <c r="A29" s="329" t="s">
        <v>233</v>
      </c>
      <c r="B29" s="307">
        <v>0</v>
      </c>
      <c r="C29" s="307">
        <v>0</v>
      </c>
      <c r="D29" s="308">
        <v>0</v>
      </c>
      <c r="E29" s="309">
        <v>1</v>
      </c>
      <c r="F29" s="307">
        <v>0</v>
      </c>
      <c r="G29" s="308">
        <v>0</v>
      </c>
      <c r="H29" s="310">
        <v>7.9640000000000002E-2</v>
      </c>
      <c r="I29" s="307">
        <v>7.9640000000000002E-2</v>
      </c>
      <c r="J29" s="308">
        <v>7.9640000000000002E-2</v>
      </c>
      <c r="K29" s="317" t="s">
        <v>213</v>
      </c>
    </row>
    <row r="30" spans="1:11" ht="14.4" customHeight="1" thickBot="1" x14ac:dyDescent="0.35">
      <c r="A30" s="329" t="s">
        <v>234</v>
      </c>
      <c r="B30" s="307">
        <v>0</v>
      </c>
      <c r="C30" s="307">
        <v>0</v>
      </c>
      <c r="D30" s="308">
        <v>0</v>
      </c>
      <c r="E30" s="309">
        <v>1</v>
      </c>
      <c r="F30" s="307">
        <v>0</v>
      </c>
      <c r="G30" s="308">
        <v>0</v>
      </c>
      <c r="H30" s="310">
        <v>0.12705</v>
      </c>
      <c r="I30" s="307">
        <v>0.12705</v>
      </c>
      <c r="J30" s="308">
        <v>0.12705</v>
      </c>
      <c r="K30" s="317" t="s">
        <v>213</v>
      </c>
    </row>
    <row r="31" spans="1:11" ht="14.4" customHeight="1" thickBot="1" x14ac:dyDescent="0.35">
      <c r="A31" s="327" t="s">
        <v>26</v>
      </c>
      <c r="B31" s="307">
        <v>111.19815684896101</v>
      </c>
      <c r="C31" s="307">
        <v>93.646280000000004</v>
      </c>
      <c r="D31" s="308">
        <v>-17.551876848959999</v>
      </c>
      <c r="E31" s="309">
        <v>0.84215676458699995</v>
      </c>
      <c r="F31" s="307">
        <v>109.68402555148199</v>
      </c>
      <c r="G31" s="308">
        <v>82.263019163611006</v>
      </c>
      <c r="H31" s="310">
        <v>5.9669999999999996</v>
      </c>
      <c r="I31" s="307">
        <v>68.558000000000007</v>
      </c>
      <c r="J31" s="308">
        <v>-13.705019163611</v>
      </c>
      <c r="K31" s="311">
        <v>0.62504999844099995</v>
      </c>
    </row>
    <row r="32" spans="1:11" ht="14.4" customHeight="1" thickBot="1" x14ac:dyDescent="0.35">
      <c r="A32" s="328" t="s">
        <v>235</v>
      </c>
      <c r="B32" s="312">
        <v>111.19815684896101</v>
      </c>
      <c r="C32" s="312">
        <v>93.646280000000004</v>
      </c>
      <c r="D32" s="313">
        <v>-17.551876848959999</v>
      </c>
      <c r="E32" s="314">
        <v>0.84215676458699995</v>
      </c>
      <c r="F32" s="312">
        <v>109.68402555148199</v>
      </c>
      <c r="G32" s="313">
        <v>82.263019163611006</v>
      </c>
      <c r="H32" s="315">
        <v>5.9669999999999996</v>
      </c>
      <c r="I32" s="312">
        <v>68.558000000000007</v>
      </c>
      <c r="J32" s="313">
        <v>-13.705019163611</v>
      </c>
      <c r="K32" s="318">
        <v>0.62504999844099995</v>
      </c>
    </row>
    <row r="33" spans="1:11" ht="14.4" customHeight="1" thickBot="1" x14ac:dyDescent="0.35">
      <c r="A33" s="329" t="s">
        <v>236</v>
      </c>
      <c r="B33" s="307">
        <v>49.202501880671001</v>
      </c>
      <c r="C33" s="307">
        <v>41.345999999999997</v>
      </c>
      <c r="D33" s="308">
        <v>-7.8565018806699998</v>
      </c>
      <c r="E33" s="309">
        <v>0.84032312219100003</v>
      </c>
      <c r="F33" s="307">
        <v>55</v>
      </c>
      <c r="G33" s="308">
        <v>41.25</v>
      </c>
      <c r="H33" s="310">
        <v>3.476</v>
      </c>
      <c r="I33" s="307">
        <v>31.978000000000002</v>
      </c>
      <c r="J33" s="308">
        <v>-9.2719999999990002</v>
      </c>
      <c r="K33" s="311">
        <v>0.58141818181799998</v>
      </c>
    </row>
    <row r="34" spans="1:11" ht="14.4" customHeight="1" thickBot="1" x14ac:dyDescent="0.35">
      <c r="A34" s="329" t="s">
        <v>237</v>
      </c>
      <c r="B34" s="307">
        <v>8.0000541912450007</v>
      </c>
      <c r="C34" s="307">
        <v>7.3220000000000001</v>
      </c>
      <c r="D34" s="308">
        <v>-0.67805419124499999</v>
      </c>
      <c r="E34" s="309">
        <v>0.91524380022399998</v>
      </c>
      <c r="F34" s="307">
        <v>8.4357324226639996</v>
      </c>
      <c r="G34" s="308">
        <v>6.3267993169979997</v>
      </c>
      <c r="H34" s="310">
        <v>0.64300000000000002</v>
      </c>
      <c r="I34" s="307">
        <v>5.4829999999999997</v>
      </c>
      <c r="J34" s="308">
        <v>-0.84379931699800004</v>
      </c>
      <c r="K34" s="311">
        <v>0.64997320034299999</v>
      </c>
    </row>
    <row r="35" spans="1:11" ht="14.4" customHeight="1" thickBot="1" x14ac:dyDescent="0.35">
      <c r="A35" s="329" t="s">
        <v>238</v>
      </c>
      <c r="B35" s="307">
        <v>48.228002284279</v>
      </c>
      <c r="C35" s="307">
        <v>44.74</v>
      </c>
      <c r="D35" s="308">
        <v>-3.4880022842790002</v>
      </c>
      <c r="E35" s="309">
        <v>0.92767682426999998</v>
      </c>
      <c r="F35" s="307">
        <v>45.999998551110998</v>
      </c>
      <c r="G35" s="308">
        <v>34.499998913333002</v>
      </c>
      <c r="H35" s="310">
        <v>1.8480000000000001</v>
      </c>
      <c r="I35" s="307">
        <v>31.097000000000001</v>
      </c>
      <c r="J35" s="308">
        <v>-3.4029989133330001</v>
      </c>
      <c r="K35" s="311">
        <v>0.676021760423</v>
      </c>
    </row>
    <row r="36" spans="1:11" ht="14.4" customHeight="1" thickBot="1" x14ac:dyDescent="0.35">
      <c r="A36" s="329" t="s">
        <v>239</v>
      </c>
      <c r="B36" s="307">
        <v>5.7675984927639998</v>
      </c>
      <c r="C36" s="307">
        <v>0.23827999999999999</v>
      </c>
      <c r="D36" s="308">
        <v>-5.5293184927640002</v>
      </c>
      <c r="E36" s="309">
        <v>4.1313555425000002E-2</v>
      </c>
      <c r="F36" s="307">
        <v>0.248294577706</v>
      </c>
      <c r="G36" s="308">
        <v>0.18622093327899999</v>
      </c>
      <c r="H36" s="310">
        <v>0</v>
      </c>
      <c r="I36" s="307">
        <v>0</v>
      </c>
      <c r="J36" s="308">
        <v>-0.18622093327899999</v>
      </c>
      <c r="K36" s="311">
        <v>0</v>
      </c>
    </row>
    <row r="37" spans="1:11" ht="14.4" customHeight="1" thickBot="1" x14ac:dyDescent="0.35">
      <c r="A37" s="330" t="s">
        <v>240</v>
      </c>
      <c r="B37" s="312">
        <v>221.738482454983</v>
      </c>
      <c r="C37" s="312">
        <v>177.72968</v>
      </c>
      <c r="D37" s="313">
        <v>-44.008802454982003</v>
      </c>
      <c r="E37" s="314">
        <v>0.80152835011800005</v>
      </c>
      <c r="F37" s="312">
        <v>189.421695593983</v>
      </c>
      <c r="G37" s="313">
        <v>142.06627169548699</v>
      </c>
      <c r="H37" s="315">
        <v>8.2984600000000004</v>
      </c>
      <c r="I37" s="312">
        <v>162.39691999999999</v>
      </c>
      <c r="J37" s="313">
        <v>20.330648304513002</v>
      </c>
      <c r="K37" s="318">
        <v>0.85733009352800005</v>
      </c>
    </row>
    <row r="38" spans="1:11" ht="14.4" customHeight="1" thickBot="1" x14ac:dyDescent="0.35">
      <c r="A38" s="327" t="s">
        <v>29</v>
      </c>
      <c r="B38" s="307">
        <v>6.3074241458079996</v>
      </c>
      <c r="C38" s="307">
        <v>26.844999999999999</v>
      </c>
      <c r="D38" s="308">
        <v>20.537575854191001</v>
      </c>
      <c r="E38" s="309">
        <v>4.2560955755350003</v>
      </c>
      <c r="F38" s="307">
        <v>13.562344242715</v>
      </c>
      <c r="G38" s="308">
        <v>10.171758182035999</v>
      </c>
      <c r="H38" s="310">
        <v>0</v>
      </c>
      <c r="I38" s="307">
        <v>28.67568</v>
      </c>
      <c r="J38" s="308">
        <v>18.503921817963001</v>
      </c>
      <c r="K38" s="311">
        <v>2.114360134709</v>
      </c>
    </row>
    <row r="39" spans="1:11" ht="14.4" customHeight="1" thickBot="1" x14ac:dyDescent="0.35">
      <c r="A39" s="331" t="s">
        <v>241</v>
      </c>
      <c r="B39" s="307">
        <v>6.3074241458079996</v>
      </c>
      <c r="C39" s="307">
        <v>26.844999999999999</v>
      </c>
      <c r="D39" s="308">
        <v>20.537575854191001</v>
      </c>
      <c r="E39" s="309">
        <v>4.2560955755350003</v>
      </c>
      <c r="F39" s="307">
        <v>13.562344242715</v>
      </c>
      <c r="G39" s="308">
        <v>10.171758182035999</v>
      </c>
      <c r="H39" s="310">
        <v>0</v>
      </c>
      <c r="I39" s="307">
        <v>28.67568</v>
      </c>
      <c r="J39" s="308">
        <v>18.503921817963001</v>
      </c>
      <c r="K39" s="311">
        <v>2.114360134709</v>
      </c>
    </row>
    <row r="40" spans="1:11" ht="14.4" customHeight="1" thickBot="1" x14ac:dyDescent="0.35">
      <c r="A40" s="329" t="s">
        <v>242</v>
      </c>
      <c r="B40" s="307">
        <v>0</v>
      </c>
      <c r="C40" s="307">
        <v>0</v>
      </c>
      <c r="D40" s="308">
        <v>0</v>
      </c>
      <c r="E40" s="309">
        <v>1</v>
      </c>
      <c r="F40" s="307">
        <v>0</v>
      </c>
      <c r="G40" s="308">
        <v>0</v>
      </c>
      <c r="H40" s="310">
        <v>0</v>
      </c>
      <c r="I40" s="307">
        <v>27.225000000000001</v>
      </c>
      <c r="J40" s="308">
        <v>27.225000000000001</v>
      </c>
      <c r="K40" s="317" t="s">
        <v>213</v>
      </c>
    </row>
    <row r="41" spans="1:11" ht="14.4" customHeight="1" thickBot="1" x14ac:dyDescent="0.35">
      <c r="A41" s="329" t="s">
        <v>243</v>
      </c>
      <c r="B41" s="307">
        <v>4.9999915584819998</v>
      </c>
      <c r="C41" s="307">
        <v>12.133089999999999</v>
      </c>
      <c r="D41" s="308">
        <v>7.1330984415170002</v>
      </c>
      <c r="E41" s="309">
        <v>2.426622096874</v>
      </c>
      <c r="F41" s="307">
        <v>0</v>
      </c>
      <c r="G41" s="308">
        <v>0</v>
      </c>
      <c r="H41" s="310">
        <v>0</v>
      </c>
      <c r="I41" s="307">
        <v>0.93169999999999997</v>
      </c>
      <c r="J41" s="308">
        <v>0.93169999999999997</v>
      </c>
      <c r="K41" s="317" t="s">
        <v>207</v>
      </c>
    </row>
    <row r="42" spans="1:11" ht="14.4" customHeight="1" thickBot="1" x14ac:dyDescent="0.35">
      <c r="A42" s="329" t="s">
        <v>244</v>
      </c>
      <c r="B42" s="307">
        <v>1.3074325873249999</v>
      </c>
      <c r="C42" s="307">
        <v>14.71191</v>
      </c>
      <c r="D42" s="308">
        <v>13.404477412674</v>
      </c>
      <c r="E42" s="309">
        <v>11.252518976974001</v>
      </c>
      <c r="F42" s="307">
        <v>13.562344242715</v>
      </c>
      <c r="G42" s="308">
        <v>10.171758182035999</v>
      </c>
      <c r="H42" s="310">
        <v>0</v>
      </c>
      <c r="I42" s="307">
        <v>0.51898</v>
      </c>
      <c r="J42" s="308">
        <v>-9.6527781820360001</v>
      </c>
      <c r="K42" s="311">
        <v>3.8266245916000002E-2</v>
      </c>
    </row>
    <row r="43" spans="1:11" ht="14.4" customHeight="1" thickBot="1" x14ac:dyDescent="0.35">
      <c r="A43" s="332" t="s">
        <v>30</v>
      </c>
      <c r="B43" s="312">
        <v>0</v>
      </c>
      <c r="C43" s="312">
        <v>9.3810000000000002</v>
      </c>
      <c r="D43" s="313">
        <v>9.3810000000000002</v>
      </c>
      <c r="E43" s="320" t="s">
        <v>207</v>
      </c>
      <c r="F43" s="312">
        <v>0</v>
      </c>
      <c r="G43" s="313">
        <v>0</v>
      </c>
      <c r="H43" s="315">
        <v>2.847</v>
      </c>
      <c r="I43" s="312">
        <v>9.23</v>
      </c>
      <c r="J43" s="313">
        <v>9.23</v>
      </c>
      <c r="K43" s="316" t="s">
        <v>207</v>
      </c>
    </row>
    <row r="44" spans="1:11" ht="14.4" customHeight="1" thickBot="1" x14ac:dyDescent="0.35">
      <c r="A44" s="328" t="s">
        <v>245</v>
      </c>
      <c r="B44" s="312">
        <v>0</v>
      </c>
      <c r="C44" s="312">
        <v>9.3810000000000002</v>
      </c>
      <c r="D44" s="313">
        <v>9.3810000000000002</v>
      </c>
      <c r="E44" s="320" t="s">
        <v>207</v>
      </c>
      <c r="F44" s="312">
        <v>0</v>
      </c>
      <c r="G44" s="313">
        <v>0</v>
      </c>
      <c r="H44" s="315">
        <v>2.847</v>
      </c>
      <c r="I44" s="312">
        <v>9.23</v>
      </c>
      <c r="J44" s="313">
        <v>9.23</v>
      </c>
      <c r="K44" s="316" t="s">
        <v>207</v>
      </c>
    </row>
    <row r="45" spans="1:11" ht="14.4" customHeight="1" thickBot="1" x14ac:dyDescent="0.35">
      <c r="A45" s="329" t="s">
        <v>246</v>
      </c>
      <c r="B45" s="307">
        <v>0</v>
      </c>
      <c r="C45" s="307">
        <v>9.3810000000000002</v>
      </c>
      <c r="D45" s="308">
        <v>9.3810000000000002</v>
      </c>
      <c r="E45" s="319" t="s">
        <v>207</v>
      </c>
      <c r="F45" s="307">
        <v>0</v>
      </c>
      <c r="G45" s="308">
        <v>0</v>
      </c>
      <c r="H45" s="310">
        <v>2.847</v>
      </c>
      <c r="I45" s="307">
        <v>9.23</v>
      </c>
      <c r="J45" s="308">
        <v>9.23</v>
      </c>
      <c r="K45" s="317" t="s">
        <v>207</v>
      </c>
    </row>
    <row r="46" spans="1:11" ht="14.4" customHeight="1" thickBot="1" x14ac:dyDescent="0.35">
      <c r="A46" s="327" t="s">
        <v>31</v>
      </c>
      <c r="B46" s="307">
        <v>215.43105830917401</v>
      </c>
      <c r="C46" s="307">
        <v>141.50368</v>
      </c>
      <c r="D46" s="308">
        <v>-73.927378309174003</v>
      </c>
      <c r="E46" s="309">
        <v>0.65683973847800003</v>
      </c>
      <c r="F46" s="307">
        <v>175.85935135126701</v>
      </c>
      <c r="G46" s="308">
        <v>131.89451351344999</v>
      </c>
      <c r="H46" s="310">
        <v>5.45146</v>
      </c>
      <c r="I46" s="307">
        <v>124.49124</v>
      </c>
      <c r="J46" s="308">
        <v>-7.4032735134500003</v>
      </c>
      <c r="K46" s="311">
        <v>0.70790230399099996</v>
      </c>
    </row>
    <row r="47" spans="1:11" ht="14.4" customHeight="1" thickBot="1" x14ac:dyDescent="0.35">
      <c r="A47" s="328" t="s">
        <v>247</v>
      </c>
      <c r="B47" s="312">
        <v>0.26116318637800001</v>
      </c>
      <c r="C47" s="312">
        <v>0</v>
      </c>
      <c r="D47" s="313">
        <v>-0.26116318637800001</v>
      </c>
      <c r="E47" s="314">
        <v>0</v>
      </c>
      <c r="F47" s="312">
        <v>0</v>
      </c>
      <c r="G47" s="313">
        <v>0</v>
      </c>
      <c r="H47" s="315">
        <v>0</v>
      </c>
      <c r="I47" s="312">
        <v>0</v>
      </c>
      <c r="J47" s="313">
        <v>0</v>
      </c>
      <c r="K47" s="318">
        <v>0</v>
      </c>
    </row>
    <row r="48" spans="1:11" ht="14.4" customHeight="1" thickBot="1" x14ac:dyDescent="0.35">
      <c r="A48" s="329" t="s">
        <v>248</v>
      </c>
      <c r="B48" s="307">
        <v>0.26116318637800001</v>
      </c>
      <c r="C48" s="307">
        <v>0</v>
      </c>
      <c r="D48" s="308">
        <v>-0.26116318637800001</v>
      </c>
      <c r="E48" s="309">
        <v>0</v>
      </c>
      <c r="F48" s="307">
        <v>0</v>
      </c>
      <c r="G48" s="308">
        <v>0</v>
      </c>
      <c r="H48" s="310">
        <v>0</v>
      </c>
      <c r="I48" s="307">
        <v>0</v>
      </c>
      <c r="J48" s="308">
        <v>0</v>
      </c>
      <c r="K48" s="311">
        <v>0</v>
      </c>
    </row>
    <row r="49" spans="1:11" ht="14.4" customHeight="1" thickBot="1" x14ac:dyDescent="0.35">
      <c r="A49" s="328" t="s">
        <v>249</v>
      </c>
      <c r="B49" s="312">
        <v>8.14591297634</v>
      </c>
      <c r="C49" s="312">
        <v>7.2120800000000003</v>
      </c>
      <c r="D49" s="313">
        <v>-0.93383297633999995</v>
      </c>
      <c r="E49" s="314">
        <v>0.88536177846999997</v>
      </c>
      <c r="F49" s="312">
        <v>7.6741094639060004</v>
      </c>
      <c r="G49" s="313">
        <v>5.7555820979290004</v>
      </c>
      <c r="H49" s="315">
        <v>1.0480400000000001</v>
      </c>
      <c r="I49" s="312">
        <v>9.1731599999999993</v>
      </c>
      <c r="J49" s="313">
        <v>3.4175779020700001</v>
      </c>
      <c r="K49" s="318">
        <v>1.1953386960579999</v>
      </c>
    </row>
    <row r="50" spans="1:11" ht="14.4" customHeight="1" thickBot="1" x14ac:dyDescent="0.35">
      <c r="A50" s="329" t="s">
        <v>250</v>
      </c>
      <c r="B50" s="307">
        <v>6.9972257977000005E-2</v>
      </c>
      <c r="C50" s="307">
        <v>6.6500000000000004E-2</v>
      </c>
      <c r="D50" s="308">
        <v>-3.4722579769999999E-3</v>
      </c>
      <c r="E50" s="309">
        <v>0.95037664814800005</v>
      </c>
      <c r="F50" s="307">
        <v>4.2467717947000001E-2</v>
      </c>
      <c r="G50" s="308">
        <v>3.1850788460000001E-2</v>
      </c>
      <c r="H50" s="310">
        <v>4.4699999999999997E-2</v>
      </c>
      <c r="I50" s="307">
        <v>8.0799999999999997E-2</v>
      </c>
      <c r="J50" s="308">
        <v>4.8949211538999997E-2</v>
      </c>
      <c r="K50" s="311">
        <v>1.9026216595609999</v>
      </c>
    </row>
    <row r="51" spans="1:11" ht="14.4" customHeight="1" thickBot="1" x14ac:dyDescent="0.35">
      <c r="A51" s="329" t="s">
        <v>251</v>
      </c>
      <c r="B51" s="307">
        <v>8.0759407183620002</v>
      </c>
      <c r="C51" s="307">
        <v>7.1455799999999998</v>
      </c>
      <c r="D51" s="308">
        <v>-0.93036071836199996</v>
      </c>
      <c r="E51" s="309">
        <v>0.88479847106200005</v>
      </c>
      <c r="F51" s="307">
        <v>7.6316417459580004</v>
      </c>
      <c r="G51" s="308">
        <v>5.7237313094679996</v>
      </c>
      <c r="H51" s="310">
        <v>1.0033399999999999</v>
      </c>
      <c r="I51" s="307">
        <v>9.0923599999999993</v>
      </c>
      <c r="J51" s="308">
        <v>3.3686286905310001</v>
      </c>
      <c r="K51" s="311">
        <v>1.191402885862</v>
      </c>
    </row>
    <row r="52" spans="1:11" ht="14.4" customHeight="1" thickBot="1" x14ac:dyDescent="0.35">
      <c r="A52" s="328" t="s">
        <v>252</v>
      </c>
      <c r="B52" s="312">
        <v>1.2798062825150001</v>
      </c>
      <c r="C52" s="312">
        <v>0.54</v>
      </c>
      <c r="D52" s="313">
        <v>-0.73980628251500002</v>
      </c>
      <c r="E52" s="314">
        <v>0.42193885697900002</v>
      </c>
      <c r="F52" s="312">
        <v>1.279806242204</v>
      </c>
      <c r="G52" s="313">
        <v>0.95985468165300003</v>
      </c>
      <c r="H52" s="315">
        <v>0</v>
      </c>
      <c r="I52" s="312">
        <v>0.40500000000000003</v>
      </c>
      <c r="J52" s="313">
        <v>-0.554854681653</v>
      </c>
      <c r="K52" s="318">
        <v>0.316454152702</v>
      </c>
    </row>
    <row r="53" spans="1:11" ht="14.4" customHeight="1" thickBot="1" x14ac:dyDescent="0.35">
      <c r="A53" s="329" t="s">
        <v>253</v>
      </c>
      <c r="B53" s="307">
        <v>1.2798062825150001</v>
      </c>
      <c r="C53" s="307">
        <v>0.54</v>
      </c>
      <c r="D53" s="308">
        <v>-0.73980628251500002</v>
      </c>
      <c r="E53" s="309">
        <v>0.42193885697900002</v>
      </c>
      <c r="F53" s="307">
        <v>1.279806242204</v>
      </c>
      <c r="G53" s="308">
        <v>0.95985468165300003</v>
      </c>
      <c r="H53" s="310">
        <v>0</v>
      </c>
      <c r="I53" s="307">
        <v>0.40500000000000003</v>
      </c>
      <c r="J53" s="308">
        <v>-0.554854681653</v>
      </c>
      <c r="K53" s="311">
        <v>0.316454152702</v>
      </c>
    </row>
    <row r="54" spans="1:11" ht="14.4" customHeight="1" thickBot="1" x14ac:dyDescent="0.35">
      <c r="A54" s="328" t="s">
        <v>254</v>
      </c>
      <c r="B54" s="312">
        <v>32.080634131947001</v>
      </c>
      <c r="C54" s="312">
        <v>32.019199999999998</v>
      </c>
      <c r="D54" s="313">
        <v>-6.1434131947000002E-2</v>
      </c>
      <c r="E54" s="314">
        <v>0.998085008803</v>
      </c>
      <c r="F54" s="312">
        <v>33.29999823875</v>
      </c>
      <c r="G54" s="313">
        <v>24.974998679062001</v>
      </c>
      <c r="H54" s="315">
        <v>4.4034199999999997</v>
      </c>
      <c r="I54" s="312">
        <v>25.369599999999998</v>
      </c>
      <c r="J54" s="313">
        <v>0.39460132093700001</v>
      </c>
      <c r="K54" s="318">
        <v>0.76184989014399995</v>
      </c>
    </row>
    <row r="55" spans="1:11" ht="14.4" customHeight="1" thickBot="1" x14ac:dyDescent="0.35">
      <c r="A55" s="329" t="s">
        <v>255</v>
      </c>
      <c r="B55" s="307">
        <v>18.758167965218</v>
      </c>
      <c r="C55" s="307">
        <v>17.943760000000001</v>
      </c>
      <c r="D55" s="308">
        <v>-0.81440796521799996</v>
      </c>
      <c r="E55" s="309">
        <v>0.95658382168599998</v>
      </c>
      <c r="F55" s="307">
        <v>19.223769626088</v>
      </c>
      <c r="G55" s="308">
        <v>14.417827219566</v>
      </c>
      <c r="H55" s="310">
        <v>1.48969</v>
      </c>
      <c r="I55" s="307">
        <v>13.407209999999999</v>
      </c>
      <c r="J55" s="308">
        <v>-1.0106172195659999</v>
      </c>
      <c r="K55" s="311">
        <v>0.69742876973500001</v>
      </c>
    </row>
    <row r="56" spans="1:11" ht="14.4" customHeight="1" thickBot="1" x14ac:dyDescent="0.35">
      <c r="A56" s="329" t="s">
        <v>256</v>
      </c>
      <c r="B56" s="307">
        <v>13.322466166728001</v>
      </c>
      <c r="C56" s="307">
        <v>14.07544</v>
      </c>
      <c r="D56" s="308">
        <v>0.75297383327099998</v>
      </c>
      <c r="E56" s="309">
        <v>1.0565191026830001</v>
      </c>
      <c r="F56" s="307">
        <v>14.076228612661</v>
      </c>
      <c r="G56" s="308">
        <v>10.557171459495001</v>
      </c>
      <c r="H56" s="310">
        <v>2.94373</v>
      </c>
      <c r="I56" s="307">
        <v>11.962389999999999</v>
      </c>
      <c r="J56" s="308">
        <v>1.4052185405040001</v>
      </c>
      <c r="K56" s="311">
        <v>0.84982919283000002</v>
      </c>
    </row>
    <row r="57" spans="1:11" ht="14.4" customHeight="1" thickBot="1" x14ac:dyDescent="0.35">
      <c r="A57" s="328" t="s">
        <v>257</v>
      </c>
      <c r="B57" s="312">
        <v>13.663541731996</v>
      </c>
      <c r="C57" s="312">
        <v>76.047899999999998</v>
      </c>
      <c r="D57" s="313">
        <v>62.384358268004</v>
      </c>
      <c r="E57" s="314">
        <v>5.5657531181620001</v>
      </c>
      <c r="F57" s="312">
        <v>63.605439611234999</v>
      </c>
      <c r="G57" s="313">
        <v>47.704079708426001</v>
      </c>
      <c r="H57" s="315">
        <v>0</v>
      </c>
      <c r="I57" s="312">
        <v>50.561480000000003</v>
      </c>
      <c r="J57" s="313">
        <v>2.8574002915730001</v>
      </c>
      <c r="K57" s="318">
        <v>0.79492383527300003</v>
      </c>
    </row>
    <row r="58" spans="1:11" ht="14.4" customHeight="1" thickBot="1" x14ac:dyDescent="0.35">
      <c r="A58" s="329" t="s">
        <v>258</v>
      </c>
      <c r="B58" s="307">
        <v>2.0084091064840002</v>
      </c>
      <c r="C58" s="307">
        <v>0</v>
      </c>
      <c r="D58" s="308">
        <v>-2.0084091064840002</v>
      </c>
      <c r="E58" s="309">
        <v>0</v>
      </c>
      <c r="F58" s="307">
        <v>0</v>
      </c>
      <c r="G58" s="308">
        <v>0</v>
      </c>
      <c r="H58" s="310">
        <v>0</v>
      </c>
      <c r="I58" s="307">
        <v>0.96799999999999997</v>
      </c>
      <c r="J58" s="308">
        <v>0.96799999999999997</v>
      </c>
      <c r="K58" s="317" t="s">
        <v>213</v>
      </c>
    </row>
    <row r="59" spans="1:11" ht="14.4" customHeight="1" thickBot="1" x14ac:dyDescent="0.35">
      <c r="A59" s="329" t="s">
        <v>259</v>
      </c>
      <c r="B59" s="307">
        <v>6.0535869533830002</v>
      </c>
      <c r="C59" s="307">
        <v>27.331160000000001</v>
      </c>
      <c r="D59" s="308">
        <v>21.277573046615998</v>
      </c>
      <c r="E59" s="309">
        <v>4.5148703092010001</v>
      </c>
      <c r="F59" s="307">
        <v>27.936828018530001</v>
      </c>
      <c r="G59" s="308">
        <v>20.952621013897001</v>
      </c>
      <c r="H59" s="310">
        <v>0</v>
      </c>
      <c r="I59" s="307">
        <v>11.362</v>
      </c>
      <c r="J59" s="308">
        <v>-9.5906210138969996</v>
      </c>
      <c r="K59" s="311">
        <v>0.40670329474900002</v>
      </c>
    </row>
    <row r="60" spans="1:11" ht="14.4" customHeight="1" thickBot="1" x14ac:dyDescent="0.35">
      <c r="A60" s="329" t="s">
        <v>260</v>
      </c>
      <c r="B60" s="307">
        <v>5.6015456721270001</v>
      </c>
      <c r="C60" s="307">
        <v>48.716740000000001</v>
      </c>
      <c r="D60" s="308">
        <v>43.115194327871997</v>
      </c>
      <c r="E60" s="309">
        <v>8.6970173683320002</v>
      </c>
      <c r="F60" s="307">
        <v>35.668611592704998</v>
      </c>
      <c r="G60" s="308">
        <v>26.751458694528999</v>
      </c>
      <c r="H60" s="310">
        <v>0</v>
      </c>
      <c r="I60" s="307">
        <v>38.231479999999998</v>
      </c>
      <c r="J60" s="308">
        <v>11.480021305471</v>
      </c>
      <c r="K60" s="311">
        <v>1.0718522054220001</v>
      </c>
    </row>
    <row r="61" spans="1:11" ht="14.4" customHeight="1" thickBot="1" x14ac:dyDescent="0.35">
      <c r="A61" s="328" t="s">
        <v>261</v>
      </c>
      <c r="B61" s="312">
        <v>159.99999999999699</v>
      </c>
      <c r="C61" s="312">
        <v>25.6845</v>
      </c>
      <c r="D61" s="313">
        <v>-134.315499999997</v>
      </c>
      <c r="E61" s="314">
        <v>0.16052812499999999</v>
      </c>
      <c r="F61" s="312">
        <v>69.999997795168994</v>
      </c>
      <c r="G61" s="313">
        <v>52.499998346376998</v>
      </c>
      <c r="H61" s="315">
        <v>0</v>
      </c>
      <c r="I61" s="312">
        <v>38.981999999999999</v>
      </c>
      <c r="J61" s="313">
        <v>-13.517998346377</v>
      </c>
      <c r="K61" s="318">
        <v>0.55688573182599999</v>
      </c>
    </row>
    <row r="62" spans="1:11" ht="14.4" customHeight="1" thickBot="1" x14ac:dyDescent="0.35">
      <c r="A62" s="329" t="s">
        <v>262</v>
      </c>
      <c r="B62" s="307">
        <v>0</v>
      </c>
      <c r="C62" s="307">
        <v>0</v>
      </c>
      <c r="D62" s="308">
        <v>0</v>
      </c>
      <c r="E62" s="309">
        <v>1</v>
      </c>
      <c r="F62" s="307">
        <v>0</v>
      </c>
      <c r="G62" s="308">
        <v>0</v>
      </c>
      <c r="H62" s="310">
        <v>0</v>
      </c>
      <c r="I62" s="307">
        <v>1.8759999999999999</v>
      </c>
      <c r="J62" s="308">
        <v>1.8759999999999999</v>
      </c>
      <c r="K62" s="317" t="s">
        <v>213</v>
      </c>
    </row>
    <row r="63" spans="1:11" ht="14.4" customHeight="1" thickBot="1" x14ac:dyDescent="0.35">
      <c r="A63" s="329" t="s">
        <v>263</v>
      </c>
      <c r="B63" s="307">
        <v>9.9999999999989999</v>
      </c>
      <c r="C63" s="307">
        <v>25.6845</v>
      </c>
      <c r="D63" s="308">
        <v>15.6845</v>
      </c>
      <c r="E63" s="309">
        <v>2.5684499999999999</v>
      </c>
      <c r="F63" s="307">
        <v>29.999999055071999</v>
      </c>
      <c r="G63" s="308">
        <v>22.499999291304</v>
      </c>
      <c r="H63" s="310">
        <v>0</v>
      </c>
      <c r="I63" s="307">
        <v>13.332000000000001</v>
      </c>
      <c r="J63" s="308">
        <v>-9.1679992913039996</v>
      </c>
      <c r="K63" s="311">
        <v>0.44440001399700002</v>
      </c>
    </row>
    <row r="64" spans="1:11" ht="14.4" customHeight="1" thickBot="1" x14ac:dyDescent="0.35">
      <c r="A64" s="329" t="s">
        <v>264</v>
      </c>
      <c r="B64" s="307">
        <v>149.99999999999699</v>
      </c>
      <c r="C64" s="307">
        <v>0</v>
      </c>
      <c r="D64" s="308">
        <v>-149.99999999999699</v>
      </c>
      <c r="E64" s="309">
        <v>0</v>
      </c>
      <c r="F64" s="307">
        <v>39.999998740095997</v>
      </c>
      <c r="G64" s="308">
        <v>29.999999055071999</v>
      </c>
      <c r="H64" s="310">
        <v>0</v>
      </c>
      <c r="I64" s="307">
        <v>23.774000000000001</v>
      </c>
      <c r="J64" s="308">
        <v>-6.2259990550720001</v>
      </c>
      <c r="K64" s="311">
        <v>0.59435001872000004</v>
      </c>
    </row>
    <row r="65" spans="1:11" ht="14.4" customHeight="1" thickBot="1" x14ac:dyDescent="0.35">
      <c r="A65" s="326" t="s">
        <v>32</v>
      </c>
      <c r="B65" s="307">
        <v>2301.01137969501</v>
      </c>
      <c r="C65" s="307">
        <v>2569.5484200000001</v>
      </c>
      <c r="D65" s="308">
        <v>268.53704030498801</v>
      </c>
      <c r="E65" s="309">
        <v>1.116703916666</v>
      </c>
      <c r="F65" s="307">
        <v>2564.9999192087198</v>
      </c>
      <c r="G65" s="308">
        <v>1923.7499394065401</v>
      </c>
      <c r="H65" s="310">
        <v>223.74870000000001</v>
      </c>
      <c r="I65" s="307">
        <v>2085.7697400000002</v>
      </c>
      <c r="J65" s="308">
        <v>162.019800593463</v>
      </c>
      <c r="K65" s="311">
        <v>0.81316561625600003</v>
      </c>
    </row>
    <row r="66" spans="1:11" ht="14.4" customHeight="1" thickBot="1" x14ac:dyDescent="0.35">
      <c r="A66" s="332" t="s">
        <v>265</v>
      </c>
      <c r="B66" s="312">
        <v>1705.99999999997</v>
      </c>
      <c r="C66" s="312">
        <v>1903.769</v>
      </c>
      <c r="D66" s="313">
        <v>197.76900000003101</v>
      </c>
      <c r="E66" s="314">
        <v>1.115925556858</v>
      </c>
      <c r="F66" s="312">
        <v>1915.99993965064</v>
      </c>
      <c r="G66" s="313">
        <v>1436.99995473798</v>
      </c>
      <c r="H66" s="315">
        <v>165.77699999999999</v>
      </c>
      <c r="I66" s="312">
        <v>1545.35</v>
      </c>
      <c r="J66" s="313">
        <v>108.350045262018</v>
      </c>
      <c r="K66" s="318">
        <v>0.806550129788</v>
      </c>
    </row>
    <row r="67" spans="1:11" ht="14.4" customHeight="1" thickBot="1" x14ac:dyDescent="0.35">
      <c r="A67" s="328" t="s">
        <v>266</v>
      </c>
      <c r="B67" s="312">
        <v>1699.99999999997</v>
      </c>
      <c r="C67" s="312">
        <v>1848.769</v>
      </c>
      <c r="D67" s="313">
        <v>148.76900000003101</v>
      </c>
      <c r="E67" s="314">
        <v>1.0875111764700001</v>
      </c>
      <c r="F67" s="312">
        <v>1849.99994172948</v>
      </c>
      <c r="G67" s="313">
        <v>1387.49995629711</v>
      </c>
      <c r="H67" s="315">
        <v>160.77699999999999</v>
      </c>
      <c r="I67" s="312">
        <v>1500.35</v>
      </c>
      <c r="J67" s="313">
        <v>112.85004370288701</v>
      </c>
      <c r="K67" s="318">
        <v>0.81100002554399997</v>
      </c>
    </row>
    <row r="68" spans="1:11" ht="14.4" customHeight="1" thickBot="1" x14ac:dyDescent="0.35">
      <c r="A68" s="329" t="s">
        <v>267</v>
      </c>
      <c r="B68" s="307">
        <v>1699.99999999997</v>
      </c>
      <c r="C68" s="307">
        <v>1848.769</v>
      </c>
      <c r="D68" s="308">
        <v>148.76900000003101</v>
      </c>
      <c r="E68" s="309">
        <v>1.0875111764700001</v>
      </c>
      <c r="F68" s="307">
        <v>1849.99994172948</v>
      </c>
      <c r="G68" s="308">
        <v>1387.49995629711</v>
      </c>
      <c r="H68" s="310">
        <v>160.77699999999999</v>
      </c>
      <c r="I68" s="307">
        <v>1500.35</v>
      </c>
      <c r="J68" s="308">
        <v>112.85004370288701</v>
      </c>
      <c r="K68" s="311">
        <v>0.81100002554399997</v>
      </c>
    </row>
    <row r="69" spans="1:11" ht="14.4" customHeight="1" thickBot="1" x14ac:dyDescent="0.35">
      <c r="A69" s="328" t="s">
        <v>268</v>
      </c>
      <c r="B69" s="312">
        <v>0</v>
      </c>
      <c r="C69" s="312">
        <v>55</v>
      </c>
      <c r="D69" s="313">
        <v>55</v>
      </c>
      <c r="E69" s="320" t="s">
        <v>213</v>
      </c>
      <c r="F69" s="312">
        <v>59.999998110145</v>
      </c>
      <c r="G69" s="313">
        <v>44.999998582609003</v>
      </c>
      <c r="H69" s="315">
        <v>5</v>
      </c>
      <c r="I69" s="312">
        <v>45</v>
      </c>
      <c r="J69" s="313">
        <v>1.41739095482762E-6</v>
      </c>
      <c r="K69" s="318">
        <v>0.750000023623</v>
      </c>
    </row>
    <row r="70" spans="1:11" ht="14.4" customHeight="1" thickBot="1" x14ac:dyDescent="0.35">
      <c r="A70" s="329" t="s">
        <v>269</v>
      </c>
      <c r="B70" s="307">
        <v>0</v>
      </c>
      <c r="C70" s="307">
        <v>55</v>
      </c>
      <c r="D70" s="308">
        <v>55</v>
      </c>
      <c r="E70" s="319" t="s">
        <v>213</v>
      </c>
      <c r="F70" s="307">
        <v>59.999998110145</v>
      </c>
      <c r="G70" s="308">
        <v>44.999998582609003</v>
      </c>
      <c r="H70" s="310">
        <v>5</v>
      </c>
      <c r="I70" s="307">
        <v>45</v>
      </c>
      <c r="J70" s="308">
        <v>1.41739095482762E-6</v>
      </c>
      <c r="K70" s="311">
        <v>0.750000023623</v>
      </c>
    </row>
    <row r="71" spans="1:11" ht="14.4" customHeight="1" thickBot="1" x14ac:dyDescent="0.35">
      <c r="A71" s="328" t="s">
        <v>270</v>
      </c>
      <c r="B71" s="312">
        <v>5.9999999999989999</v>
      </c>
      <c r="C71" s="312">
        <v>0</v>
      </c>
      <c r="D71" s="313">
        <v>-5.9999999999989999</v>
      </c>
      <c r="E71" s="314">
        <v>0</v>
      </c>
      <c r="F71" s="312">
        <v>5.9999998110139998</v>
      </c>
      <c r="G71" s="313">
        <v>4.4999998582599998</v>
      </c>
      <c r="H71" s="315">
        <v>0</v>
      </c>
      <c r="I71" s="312">
        <v>0</v>
      </c>
      <c r="J71" s="313">
        <v>-4.4999998582599998</v>
      </c>
      <c r="K71" s="318">
        <v>0</v>
      </c>
    </row>
    <row r="72" spans="1:11" ht="14.4" customHeight="1" thickBot="1" x14ac:dyDescent="0.35">
      <c r="A72" s="329" t="s">
        <v>271</v>
      </c>
      <c r="B72" s="307">
        <v>5.9999999999989999</v>
      </c>
      <c r="C72" s="307">
        <v>0</v>
      </c>
      <c r="D72" s="308">
        <v>-5.9999999999989999</v>
      </c>
      <c r="E72" s="309">
        <v>0</v>
      </c>
      <c r="F72" s="307">
        <v>5.9999998110139998</v>
      </c>
      <c r="G72" s="308">
        <v>4.4999998582599998</v>
      </c>
      <c r="H72" s="310">
        <v>0</v>
      </c>
      <c r="I72" s="307">
        <v>0</v>
      </c>
      <c r="J72" s="308">
        <v>-4.4999998582599998</v>
      </c>
      <c r="K72" s="311">
        <v>0</v>
      </c>
    </row>
    <row r="73" spans="1:11" ht="14.4" customHeight="1" thickBot="1" x14ac:dyDescent="0.35">
      <c r="A73" s="327" t="s">
        <v>272</v>
      </c>
      <c r="B73" s="307">
        <v>578.01137969504305</v>
      </c>
      <c r="C73" s="307">
        <v>647.28396999999995</v>
      </c>
      <c r="D73" s="308">
        <v>69.272590304957006</v>
      </c>
      <c r="E73" s="309">
        <v>1.1198464126109999</v>
      </c>
      <c r="F73" s="307">
        <v>629.99998015652704</v>
      </c>
      <c r="G73" s="308">
        <v>472.499985117395</v>
      </c>
      <c r="H73" s="310">
        <v>56.363999999999997</v>
      </c>
      <c r="I73" s="307">
        <v>525.41810999999996</v>
      </c>
      <c r="J73" s="308">
        <v>52.918124882604999</v>
      </c>
      <c r="K73" s="311">
        <v>0.83399702626799999</v>
      </c>
    </row>
    <row r="74" spans="1:11" ht="14.4" customHeight="1" thickBot="1" x14ac:dyDescent="0.35">
      <c r="A74" s="328" t="s">
        <v>273</v>
      </c>
      <c r="B74" s="312">
        <v>153.011379695052</v>
      </c>
      <c r="C74" s="312">
        <v>171.3417</v>
      </c>
      <c r="D74" s="313">
        <v>18.330320304948</v>
      </c>
      <c r="E74" s="314">
        <v>1.1197971049040001</v>
      </c>
      <c r="F74" s="312">
        <v>166.99999473990499</v>
      </c>
      <c r="G74" s="313">
        <v>125.249996054929</v>
      </c>
      <c r="H74" s="315">
        <v>14.919750000000001</v>
      </c>
      <c r="I74" s="312">
        <v>139.08059</v>
      </c>
      <c r="J74" s="313">
        <v>13.830593945071</v>
      </c>
      <c r="K74" s="318">
        <v>0.83281793042300001</v>
      </c>
    </row>
    <row r="75" spans="1:11" ht="14.4" customHeight="1" thickBot="1" x14ac:dyDescent="0.35">
      <c r="A75" s="329" t="s">
        <v>274</v>
      </c>
      <c r="B75" s="307">
        <v>153.011379695052</v>
      </c>
      <c r="C75" s="307">
        <v>171.3417</v>
      </c>
      <c r="D75" s="308">
        <v>18.330320304948</v>
      </c>
      <c r="E75" s="309">
        <v>1.1197971049040001</v>
      </c>
      <c r="F75" s="307">
        <v>166.99999473990499</v>
      </c>
      <c r="G75" s="308">
        <v>125.249996054929</v>
      </c>
      <c r="H75" s="310">
        <v>14.919750000000001</v>
      </c>
      <c r="I75" s="307">
        <v>139.08059</v>
      </c>
      <c r="J75" s="308">
        <v>13.830593945071</v>
      </c>
      <c r="K75" s="311">
        <v>0.83281793042300001</v>
      </c>
    </row>
    <row r="76" spans="1:11" ht="14.4" customHeight="1" thickBot="1" x14ac:dyDescent="0.35">
      <c r="A76" s="328" t="s">
        <v>275</v>
      </c>
      <c r="B76" s="312">
        <v>424.99999999999102</v>
      </c>
      <c r="C76" s="312">
        <v>475.94227000000001</v>
      </c>
      <c r="D76" s="313">
        <v>50.942270000008001</v>
      </c>
      <c r="E76" s="314">
        <v>1.1198641647050001</v>
      </c>
      <c r="F76" s="312">
        <v>462.999985416622</v>
      </c>
      <c r="G76" s="313">
        <v>347.24998906246702</v>
      </c>
      <c r="H76" s="315">
        <v>41.444249999999997</v>
      </c>
      <c r="I76" s="312">
        <v>386.33751999999998</v>
      </c>
      <c r="J76" s="313">
        <v>39.087530937533003</v>
      </c>
      <c r="K76" s="318">
        <v>0.83442231569900005</v>
      </c>
    </row>
    <row r="77" spans="1:11" ht="14.4" customHeight="1" thickBot="1" x14ac:dyDescent="0.35">
      <c r="A77" s="329" t="s">
        <v>276</v>
      </c>
      <c r="B77" s="307">
        <v>424.99999999999102</v>
      </c>
      <c r="C77" s="307">
        <v>475.94227000000001</v>
      </c>
      <c r="D77" s="308">
        <v>50.942270000008001</v>
      </c>
      <c r="E77" s="309">
        <v>1.1198641647050001</v>
      </c>
      <c r="F77" s="307">
        <v>462.999985416622</v>
      </c>
      <c r="G77" s="308">
        <v>347.24998906246702</v>
      </c>
      <c r="H77" s="310">
        <v>41.444249999999997</v>
      </c>
      <c r="I77" s="307">
        <v>386.33751999999998</v>
      </c>
      <c r="J77" s="308">
        <v>39.087530937533003</v>
      </c>
      <c r="K77" s="311">
        <v>0.83442231569900005</v>
      </c>
    </row>
    <row r="78" spans="1:11" ht="14.4" customHeight="1" thickBot="1" x14ac:dyDescent="0.35">
      <c r="A78" s="327" t="s">
        <v>277</v>
      </c>
      <c r="B78" s="307">
        <v>16.999999999999002</v>
      </c>
      <c r="C78" s="307">
        <v>18.495450000000002</v>
      </c>
      <c r="D78" s="308">
        <v>1.4954499999999999</v>
      </c>
      <c r="E78" s="309">
        <v>1.087967647058</v>
      </c>
      <c r="F78" s="307">
        <v>18.999999401545999</v>
      </c>
      <c r="G78" s="308">
        <v>14.249999551159</v>
      </c>
      <c r="H78" s="310">
        <v>1.6076999999999999</v>
      </c>
      <c r="I78" s="307">
        <v>15.00163</v>
      </c>
      <c r="J78" s="308">
        <v>0.75163044883999997</v>
      </c>
      <c r="K78" s="311">
        <v>0.78955949855300001</v>
      </c>
    </row>
    <row r="79" spans="1:11" ht="14.4" customHeight="1" thickBot="1" x14ac:dyDescent="0.35">
      <c r="A79" s="328" t="s">
        <v>278</v>
      </c>
      <c r="B79" s="312">
        <v>16.999999999999002</v>
      </c>
      <c r="C79" s="312">
        <v>18.495450000000002</v>
      </c>
      <c r="D79" s="313">
        <v>1.4954499999999999</v>
      </c>
      <c r="E79" s="314">
        <v>1.087967647058</v>
      </c>
      <c r="F79" s="312">
        <v>18.999999401545999</v>
      </c>
      <c r="G79" s="313">
        <v>14.249999551159</v>
      </c>
      <c r="H79" s="315">
        <v>1.6076999999999999</v>
      </c>
      <c r="I79" s="312">
        <v>15.00163</v>
      </c>
      <c r="J79" s="313">
        <v>0.75163044883999997</v>
      </c>
      <c r="K79" s="318">
        <v>0.78955949855300001</v>
      </c>
    </row>
    <row r="80" spans="1:11" ht="14.4" customHeight="1" thickBot="1" x14ac:dyDescent="0.35">
      <c r="A80" s="329" t="s">
        <v>279</v>
      </c>
      <c r="B80" s="307">
        <v>16.999999999999002</v>
      </c>
      <c r="C80" s="307">
        <v>18.495450000000002</v>
      </c>
      <c r="D80" s="308">
        <v>1.4954499999999999</v>
      </c>
      <c r="E80" s="309">
        <v>1.087967647058</v>
      </c>
      <c r="F80" s="307">
        <v>18.999999401545999</v>
      </c>
      <c r="G80" s="308">
        <v>14.249999551159</v>
      </c>
      <c r="H80" s="310">
        <v>1.6076999999999999</v>
      </c>
      <c r="I80" s="307">
        <v>15.00163</v>
      </c>
      <c r="J80" s="308">
        <v>0.75163044883999997</v>
      </c>
      <c r="K80" s="311">
        <v>0.78955949855300001</v>
      </c>
    </row>
    <row r="81" spans="1:11" ht="14.4" customHeight="1" thickBot="1" x14ac:dyDescent="0.35">
      <c r="A81" s="326" t="s">
        <v>280</v>
      </c>
      <c r="B81" s="307">
        <v>0</v>
      </c>
      <c r="C81" s="307">
        <v>1.6268400000000001</v>
      </c>
      <c r="D81" s="308">
        <v>1.6268400000000001</v>
      </c>
      <c r="E81" s="319" t="s">
        <v>207</v>
      </c>
      <c r="F81" s="307">
        <v>0</v>
      </c>
      <c r="G81" s="308">
        <v>0</v>
      </c>
      <c r="H81" s="310">
        <v>1.8</v>
      </c>
      <c r="I81" s="307">
        <v>3.8</v>
      </c>
      <c r="J81" s="308">
        <v>3.8</v>
      </c>
      <c r="K81" s="317" t="s">
        <v>207</v>
      </c>
    </row>
    <row r="82" spans="1:11" ht="14.4" customHeight="1" thickBot="1" x14ac:dyDescent="0.35">
      <c r="A82" s="327" t="s">
        <v>281</v>
      </c>
      <c r="B82" s="307">
        <v>0</v>
      </c>
      <c r="C82" s="307">
        <v>1.6268400000000001</v>
      </c>
      <c r="D82" s="308">
        <v>1.6268400000000001</v>
      </c>
      <c r="E82" s="319" t="s">
        <v>207</v>
      </c>
      <c r="F82" s="307">
        <v>0</v>
      </c>
      <c r="G82" s="308">
        <v>0</v>
      </c>
      <c r="H82" s="310">
        <v>1.8</v>
      </c>
      <c r="I82" s="307">
        <v>3.8</v>
      </c>
      <c r="J82" s="308">
        <v>3.8</v>
      </c>
      <c r="K82" s="317" t="s">
        <v>207</v>
      </c>
    </row>
    <row r="83" spans="1:11" ht="14.4" customHeight="1" thickBot="1" x14ac:dyDescent="0.35">
      <c r="A83" s="328" t="s">
        <v>282</v>
      </c>
      <c r="B83" s="312">
        <v>0</v>
      </c>
      <c r="C83" s="312">
        <v>1.1000000000000001</v>
      </c>
      <c r="D83" s="313">
        <v>1.1000000000000001</v>
      </c>
      <c r="E83" s="320" t="s">
        <v>207</v>
      </c>
      <c r="F83" s="312">
        <v>0</v>
      </c>
      <c r="G83" s="313">
        <v>0</v>
      </c>
      <c r="H83" s="315">
        <v>1.2</v>
      </c>
      <c r="I83" s="312">
        <v>1.3</v>
      </c>
      <c r="J83" s="313">
        <v>1.3</v>
      </c>
      <c r="K83" s="316" t="s">
        <v>207</v>
      </c>
    </row>
    <row r="84" spans="1:11" ht="14.4" customHeight="1" thickBot="1" x14ac:dyDescent="0.35">
      <c r="A84" s="329" t="s">
        <v>283</v>
      </c>
      <c r="B84" s="307">
        <v>0</v>
      </c>
      <c r="C84" s="307">
        <v>0.5</v>
      </c>
      <c r="D84" s="308">
        <v>0.5</v>
      </c>
      <c r="E84" s="319" t="s">
        <v>207</v>
      </c>
      <c r="F84" s="307">
        <v>0</v>
      </c>
      <c r="G84" s="308">
        <v>0</v>
      </c>
      <c r="H84" s="310">
        <v>0.6</v>
      </c>
      <c r="I84" s="307">
        <v>0.6</v>
      </c>
      <c r="J84" s="308">
        <v>0.6</v>
      </c>
      <c r="K84" s="317" t="s">
        <v>213</v>
      </c>
    </row>
    <row r="85" spans="1:11" ht="14.4" customHeight="1" thickBot="1" x14ac:dyDescent="0.35">
      <c r="A85" s="329" t="s">
        <v>284</v>
      </c>
      <c r="B85" s="307">
        <v>0</v>
      </c>
      <c r="C85" s="307">
        <v>0.5</v>
      </c>
      <c r="D85" s="308">
        <v>0.5</v>
      </c>
      <c r="E85" s="319" t="s">
        <v>213</v>
      </c>
      <c r="F85" s="307">
        <v>0</v>
      </c>
      <c r="G85" s="308">
        <v>0</v>
      </c>
      <c r="H85" s="310">
        <v>0.6</v>
      </c>
      <c r="I85" s="307">
        <v>0.6</v>
      </c>
      <c r="J85" s="308">
        <v>0.6</v>
      </c>
      <c r="K85" s="317" t="s">
        <v>213</v>
      </c>
    </row>
    <row r="86" spans="1:11" ht="14.4" customHeight="1" thickBot="1" x14ac:dyDescent="0.35">
      <c r="A86" s="329" t="s">
        <v>285</v>
      </c>
      <c r="B86" s="307">
        <v>0</v>
      </c>
      <c r="C86" s="307">
        <v>0.1</v>
      </c>
      <c r="D86" s="308">
        <v>0.1</v>
      </c>
      <c r="E86" s="319" t="s">
        <v>213</v>
      </c>
      <c r="F86" s="307">
        <v>0</v>
      </c>
      <c r="G86" s="308">
        <v>0</v>
      </c>
      <c r="H86" s="310">
        <v>0</v>
      </c>
      <c r="I86" s="307">
        <v>0.1</v>
      </c>
      <c r="J86" s="308">
        <v>0.1</v>
      </c>
      <c r="K86" s="317" t="s">
        <v>207</v>
      </c>
    </row>
    <row r="87" spans="1:11" ht="14.4" customHeight="1" thickBot="1" x14ac:dyDescent="0.35">
      <c r="A87" s="328" t="s">
        <v>286</v>
      </c>
      <c r="B87" s="312">
        <v>0</v>
      </c>
      <c r="C87" s="312">
        <v>7.6839999999E-2</v>
      </c>
      <c r="D87" s="313">
        <v>7.6839999999E-2</v>
      </c>
      <c r="E87" s="320" t="s">
        <v>213</v>
      </c>
      <c r="F87" s="312">
        <v>0</v>
      </c>
      <c r="G87" s="313">
        <v>0</v>
      </c>
      <c r="H87" s="315">
        <v>0</v>
      </c>
      <c r="I87" s="312">
        <v>0</v>
      </c>
      <c r="J87" s="313">
        <v>0</v>
      </c>
      <c r="K87" s="316" t="s">
        <v>207</v>
      </c>
    </row>
    <row r="88" spans="1:11" ht="14.4" customHeight="1" thickBot="1" x14ac:dyDescent="0.35">
      <c r="A88" s="329" t="s">
        <v>287</v>
      </c>
      <c r="B88" s="307">
        <v>0</v>
      </c>
      <c r="C88" s="307">
        <v>7.6839999999E-2</v>
      </c>
      <c r="D88" s="308">
        <v>7.6839999999E-2</v>
      </c>
      <c r="E88" s="319" t="s">
        <v>213</v>
      </c>
      <c r="F88" s="307">
        <v>0</v>
      </c>
      <c r="G88" s="308">
        <v>0</v>
      </c>
      <c r="H88" s="310">
        <v>0</v>
      </c>
      <c r="I88" s="307">
        <v>0</v>
      </c>
      <c r="J88" s="308">
        <v>0</v>
      </c>
      <c r="K88" s="317" t="s">
        <v>207</v>
      </c>
    </row>
    <row r="89" spans="1:11" ht="14.4" customHeight="1" thickBot="1" x14ac:dyDescent="0.35">
      <c r="A89" s="331" t="s">
        <v>288</v>
      </c>
      <c r="B89" s="307">
        <v>0</v>
      </c>
      <c r="C89" s="307">
        <v>0</v>
      </c>
      <c r="D89" s="308">
        <v>0</v>
      </c>
      <c r="E89" s="319" t="s">
        <v>207</v>
      </c>
      <c r="F89" s="307">
        <v>0</v>
      </c>
      <c r="G89" s="308">
        <v>0</v>
      </c>
      <c r="H89" s="310">
        <v>0.6</v>
      </c>
      <c r="I89" s="307">
        <v>1.9</v>
      </c>
      <c r="J89" s="308">
        <v>1.9</v>
      </c>
      <c r="K89" s="317" t="s">
        <v>213</v>
      </c>
    </row>
    <row r="90" spans="1:11" ht="14.4" customHeight="1" thickBot="1" x14ac:dyDescent="0.35">
      <c r="A90" s="329" t="s">
        <v>289</v>
      </c>
      <c r="B90" s="307">
        <v>0</v>
      </c>
      <c r="C90" s="307">
        <v>0</v>
      </c>
      <c r="D90" s="308">
        <v>0</v>
      </c>
      <c r="E90" s="319" t="s">
        <v>207</v>
      </c>
      <c r="F90" s="307">
        <v>0</v>
      </c>
      <c r="G90" s="308">
        <v>0</v>
      </c>
      <c r="H90" s="310">
        <v>0.6</v>
      </c>
      <c r="I90" s="307">
        <v>1.9</v>
      </c>
      <c r="J90" s="308">
        <v>1.9</v>
      </c>
      <c r="K90" s="317" t="s">
        <v>213</v>
      </c>
    </row>
    <row r="91" spans="1:11" ht="14.4" customHeight="1" thickBot="1" x14ac:dyDescent="0.35">
      <c r="A91" s="331" t="s">
        <v>290</v>
      </c>
      <c r="B91" s="307">
        <v>0</v>
      </c>
      <c r="C91" s="307">
        <v>0.45</v>
      </c>
      <c r="D91" s="308">
        <v>0.45</v>
      </c>
      <c r="E91" s="319" t="s">
        <v>207</v>
      </c>
      <c r="F91" s="307">
        <v>0</v>
      </c>
      <c r="G91" s="308">
        <v>0</v>
      </c>
      <c r="H91" s="310">
        <v>0</v>
      </c>
      <c r="I91" s="307">
        <v>0.6</v>
      </c>
      <c r="J91" s="308">
        <v>0.6</v>
      </c>
      <c r="K91" s="317" t="s">
        <v>207</v>
      </c>
    </row>
    <row r="92" spans="1:11" ht="14.4" customHeight="1" thickBot="1" x14ac:dyDescent="0.35">
      <c r="A92" s="329" t="s">
        <v>291</v>
      </c>
      <c r="B92" s="307">
        <v>0</v>
      </c>
      <c r="C92" s="307">
        <v>0.45</v>
      </c>
      <c r="D92" s="308">
        <v>0.45</v>
      </c>
      <c r="E92" s="319" t="s">
        <v>207</v>
      </c>
      <c r="F92" s="307">
        <v>0</v>
      </c>
      <c r="G92" s="308">
        <v>0</v>
      </c>
      <c r="H92" s="310">
        <v>0</v>
      </c>
      <c r="I92" s="307">
        <v>0.6</v>
      </c>
      <c r="J92" s="308">
        <v>0.6</v>
      </c>
      <c r="K92" s="317" t="s">
        <v>207</v>
      </c>
    </row>
    <row r="93" spans="1:11" ht="14.4" customHeight="1" thickBot="1" x14ac:dyDescent="0.35">
      <c r="A93" s="326" t="s">
        <v>292</v>
      </c>
      <c r="B93" s="307">
        <v>78.999404053321996</v>
      </c>
      <c r="C93" s="307">
        <v>78.768000000000001</v>
      </c>
      <c r="D93" s="308">
        <v>-0.23140405332200001</v>
      </c>
      <c r="E93" s="309">
        <v>0.99707081267099995</v>
      </c>
      <c r="F93" s="307">
        <v>74.999997637679996</v>
      </c>
      <c r="G93" s="308">
        <v>56.249998228259997</v>
      </c>
      <c r="H93" s="310">
        <v>5.9379999999999997</v>
      </c>
      <c r="I93" s="307">
        <v>57.198</v>
      </c>
      <c r="J93" s="308">
        <v>0.94800177173900002</v>
      </c>
      <c r="K93" s="311">
        <v>0.76264002402099995</v>
      </c>
    </row>
    <row r="94" spans="1:11" ht="14.4" customHeight="1" thickBot="1" x14ac:dyDescent="0.35">
      <c r="A94" s="327" t="s">
        <v>293</v>
      </c>
      <c r="B94" s="307">
        <v>78.999404053321996</v>
      </c>
      <c r="C94" s="307">
        <v>78.768000000000001</v>
      </c>
      <c r="D94" s="308">
        <v>-0.23140405332200001</v>
      </c>
      <c r="E94" s="309">
        <v>0.99707081267099995</v>
      </c>
      <c r="F94" s="307">
        <v>74.999997637679996</v>
      </c>
      <c r="G94" s="308">
        <v>56.249998228259997</v>
      </c>
      <c r="H94" s="310">
        <v>5.9379999999999997</v>
      </c>
      <c r="I94" s="307">
        <v>57.198</v>
      </c>
      <c r="J94" s="308">
        <v>0.94800177173900002</v>
      </c>
      <c r="K94" s="311">
        <v>0.76264002402099995</v>
      </c>
    </row>
    <row r="95" spans="1:11" ht="14.4" customHeight="1" thickBot="1" x14ac:dyDescent="0.35">
      <c r="A95" s="328" t="s">
        <v>294</v>
      </c>
      <c r="B95" s="312">
        <v>78.999404053321996</v>
      </c>
      <c r="C95" s="312">
        <v>78.768000000000001</v>
      </c>
      <c r="D95" s="313">
        <v>-0.23140405332200001</v>
      </c>
      <c r="E95" s="314">
        <v>0.99707081267099995</v>
      </c>
      <c r="F95" s="312">
        <v>74.999997637679996</v>
      </c>
      <c r="G95" s="313">
        <v>56.249998228259997</v>
      </c>
      <c r="H95" s="315">
        <v>5.9379999999999997</v>
      </c>
      <c r="I95" s="312">
        <v>57.198</v>
      </c>
      <c r="J95" s="313">
        <v>0.94800177173900002</v>
      </c>
      <c r="K95" s="318">
        <v>0.76264002402099995</v>
      </c>
    </row>
    <row r="96" spans="1:11" ht="14.4" customHeight="1" thickBot="1" x14ac:dyDescent="0.35">
      <c r="A96" s="329" t="s">
        <v>295</v>
      </c>
      <c r="B96" s="307">
        <v>14.999404053323</v>
      </c>
      <c r="C96" s="307">
        <v>14.58</v>
      </c>
      <c r="D96" s="308">
        <v>-0.41940405332300001</v>
      </c>
      <c r="E96" s="309">
        <v>0.97203861887800003</v>
      </c>
      <c r="F96" s="307">
        <v>14.999999527536</v>
      </c>
      <c r="G96" s="308">
        <v>11.249999645652</v>
      </c>
      <c r="H96" s="310">
        <v>1.2150000000000001</v>
      </c>
      <c r="I96" s="307">
        <v>10.935</v>
      </c>
      <c r="J96" s="308">
        <v>-0.314999645652</v>
      </c>
      <c r="K96" s="311">
        <v>0.72900002296099997</v>
      </c>
    </row>
    <row r="97" spans="1:11" ht="14.4" customHeight="1" thickBot="1" x14ac:dyDescent="0.35">
      <c r="A97" s="329" t="s">
        <v>296</v>
      </c>
      <c r="B97" s="307">
        <v>63.999999999998003</v>
      </c>
      <c r="C97" s="307">
        <v>64.188000000000002</v>
      </c>
      <c r="D97" s="308">
        <v>0.18800000000100001</v>
      </c>
      <c r="E97" s="309">
        <v>1.0029375</v>
      </c>
      <c r="F97" s="307">
        <v>59.999998110143999</v>
      </c>
      <c r="G97" s="308">
        <v>44.999998582608001</v>
      </c>
      <c r="H97" s="310">
        <v>4.7229999999999999</v>
      </c>
      <c r="I97" s="307">
        <v>46.262999999999998</v>
      </c>
      <c r="J97" s="308">
        <v>1.263001417391</v>
      </c>
      <c r="K97" s="311">
        <v>0.771050024286</v>
      </c>
    </row>
    <row r="98" spans="1:11" ht="14.4" customHeight="1" thickBot="1" x14ac:dyDescent="0.35">
      <c r="A98" s="325" t="s">
        <v>297</v>
      </c>
      <c r="B98" s="307">
        <v>0</v>
      </c>
      <c r="C98" s="307">
        <v>0.995</v>
      </c>
      <c r="D98" s="308">
        <v>0.995</v>
      </c>
      <c r="E98" s="319" t="s">
        <v>207</v>
      </c>
      <c r="F98" s="307">
        <v>0</v>
      </c>
      <c r="G98" s="308">
        <v>0</v>
      </c>
      <c r="H98" s="310">
        <v>20.078880000000002</v>
      </c>
      <c r="I98" s="307">
        <v>30.631229999999999</v>
      </c>
      <c r="J98" s="308">
        <v>30.631229999999999</v>
      </c>
      <c r="K98" s="317" t="s">
        <v>207</v>
      </c>
    </row>
    <row r="99" spans="1:11" ht="14.4" customHeight="1" thickBot="1" x14ac:dyDescent="0.35">
      <c r="A99" s="326" t="s">
        <v>298</v>
      </c>
      <c r="B99" s="307">
        <v>0</v>
      </c>
      <c r="C99" s="307">
        <v>0.995</v>
      </c>
      <c r="D99" s="308">
        <v>0.995</v>
      </c>
      <c r="E99" s="319" t="s">
        <v>207</v>
      </c>
      <c r="F99" s="307">
        <v>0</v>
      </c>
      <c r="G99" s="308">
        <v>0</v>
      </c>
      <c r="H99" s="310">
        <v>20.078880000000002</v>
      </c>
      <c r="I99" s="307">
        <v>30.631229999999999</v>
      </c>
      <c r="J99" s="308">
        <v>30.631229999999999</v>
      </c>
      <c r="K99" s="317" t="s">
        <v>207</v>
      </c>
    </row>
    <row r="100" spans="1:11" ht="14.4" customHeight="1" thickBot="1" x14ac:dyDescent="0.35">
      <c r="A100" s="332" t="s">
        <v>299</v>
      </c>
      <c r="B100" s="312">
        <v>0</v>
      </c>
      <c r="C100" s="312">
        <v>0.995</v>
      </c>
      <c r="D100" s="313">
        <v>0.995</v>
      </c>
      <c r="E100" s="320" t="s">
        <v>207</v>
      </c>
      <c r="F100" s="312">
        <v>0</v>
      </c>
      <c r="G100" s="313">
        <v>0</v>
      </c>
      <c r="H100" s="315">
        <v>20.078880000000002</v>
      </c>
      <c r="I100" s="312">
        <v>30.631229999999999</v>
      </c>
      <c r="J100" s="313">
        <v>30.631229999999999</v>
      </c>
      <c r="K100" s="316" t="s">
        <v>207</v>
      </c>
    </row>
    <row r="101" spans="1:11" ht="14.4" customHeight="1" thickBot="1" x14ac:dyDescent="0.35">
      <c r="A101" s="328" t="s">
        <v>300</v>
      </c>
      <c r="B101" s="312">
        <v>0</v>
      </c>
      <c r="C101" s="312">
        <v>0</v>
      </c>
      <c r="D101" s="313">
        <v>0</v>
      </c>
      <c r="E101" s="314">
        <v>1</v>
      </c>
      <c r="F101" s="312">
        <v>0</v>
      </c>
      <c r="G101" s="313">
        <v>0</v>
      </c>
      <c r="H101" s="315">
        <v>0</v>
      </c>
      <c r="I101" s="312">
        <v>-5.0000000000000002E-5</v>
      </c>
      <c r="J101" s="313">
        <v>-5.0000000000000002E-5</v>
      </c>
      <c r="K101" s="316" t="s">
        <v>207</v>
      </c>
    </row>
    <row r="102" spans="1:11" ht="14.4" customHeight="1" thickBot="1" x14ac:dyDescent="0.35">
      <c r="A102" s="329" t="s">
        <v>301</v>
      </c>
      <c r="B102" s="307">
        <v>0</v>
      </c>
      <c r="C102" s="307">
        <v>0</v>
      </c>
      <c r="D102" s="308">
        <v>0</v>
      </c>
      <c r="E102" s="309">
        <v>1</v>
      </c>
      <c r="F102" s="307">
        <v>0</v>
      </c>
      <c r="G102" s="308">
        <v>0</v>
      </c>
      <c r="H102" s="310">
        <v>0</v>
      </c>
      <c r="I102" s="307">
        <v>-5.0000000000000002E-5</v>
      </c>
      <c r="J102" s="308">
        <v>-5.0000000000000002E-5</v>
      </c>
      <c r="K102" s="317" t="s">
        <v>213</v>
      </c>
    </row>
    <row r="103" spans="1:11" ht="14.4" customHeight="1" thickBot="1" x14ac:dyDescent="0.35">
      <c r="A103" s="328" t="s">
        <v>302</v>
      </c>
      <c r="B103" s="312">
        <v>0</v>
      </c>
      <c r="C103" s="312">
        <v>0.995</v>
      </c>
      <c r="D103" s="313">
        <v>0.995</v>
      </c>
      <c r="E103" s="320" t="s">
        <v>207</v>
      </c>
      <c r="F103" s="312">
        <v>0</v>
      </c>
      <c r="G103" s="313">
        <v>0</v>
      </c>
      <c r="H103" s="315">
        <v>20.078880000000002</v>
      </c>
      <c r="I103" s="312">
        <v>30.63128</v>
      </c>
      <c r="J103" s="313">
        <v>30.63128</v>
      </c>
      <c r="K103" s="316" t="s">
        <v>207</v>
      </c>
    </row>
    <row r="104" spans="1:11" ht="14.4" customHeight="1" thickBot="1" x14ac:dyDescent="0.35">
      <c r="A104" s="329" t="s">
        <v>303</v>
      </c>
      <c r="B104" s="307">
        <v>0</v>
      </c>
      <c r="C104" s="307">
        <v>0.995</v>
      </c>
      <c r="D104" s="308">
        <v>0.995</v>
      </c>
      <c r="E104" s="319" t="s">
        <v>207</v>
      </c>
      <c r="F104" s="307">
        <v>0</v>
      </c>
      <c r="G104" s="308">
        <v>0</v>
      </c>
      <c r="H104" s="310">
        <v>0.08</v>
      </c>
      <c r="I104" s="307">
        <v>0.71499999999999997</v>
      </c>
      <c r="J104" s="308">
        <v>0.71499999999999997</v>
      </c>
      <c r="K104" s="317" t="s">
        <v>207</v>
      </c>
    </row>
    <row r="105" spans="1:11" ht="14.4" customHeight="1" thickBot="1" x14ac:dyDescent="0.35">
      <c r="A105" s="329" t="s">
        <v>304</v>
      </c>
      <c r="B105" s="307">
        <v>0</v>
      </c>
      <c r="C105" s="307">
        <v>0</v>
      </c>
      <c r="D105" s="308">
        <v>0</v>
      </c>
      <c r="E105" s="309">
        <v>1</v>
      </c>
      <c r="F105" s="307">
        <v>0</v>
      </c>
      <c r="G105" s="308">
        <v>0</v>
      </c>
      <c r="H105" s="310">
        <v>19.99888</v>
      </c>
      <c r="I105" s="307">
        <v>29.91628</v>
      </c>
      <c r="J105" s="308">
        <v>29.91628</v>
      </c>
      <c r="K105" s="317" t="s">
        <v>213</v>
      </c>
    </row>
    <row r="106" spans="1:11" ht="14.4" customHeight="1" thickBot="1" x14ac:dyDescent="0.35">
      <c r="A106" s="325" t="s">
        <v>305</v>
      </c>
      <c r="B106" s="307">
        <v>493.00070881769199</v>
      </c>
      <c r="C106" s="307">
        <v>517.30546000000004</v>
      </c>
      <c r="D106" s="308">
        <v>24.304751182307001</v>
      </c>
      <c r="E106" s="309">
        <v>1.0492996272570001</v>
      </c>
      <c r="F106" s="307">
        <v>445.20804666328701</v>
      </c>
      <c r="G106" s="308">
        <v>333.90603499746601</v>
      </c>
      <c r="H106" s="310">
        <v>48.93891</v>
      </c>
      <c r="I106" s="307">
        <v>325.12096000000003</v>
      </c>
      <c r="J106" s="308">
        <v>-8.7850749974649993</v>
      </c>
      <c r="K106" s="311">
        <v>0.73026748378999995</v>
      </c>
    </row>
    <row r="107" spans="1:11" ht="14.4" customHeight="1" thickBot="1" x14ac:dyDescent="0.35">
      <c r="A107" s="330" t="s">
        <v>306</v>
      </c>
      <c r="B107" s="312">
        <v>493.00070881769199</v>
      </c>
      <c r="C107" s="312">
        <v>517.30546000000004</v>
      </c>
      <c r="D107" s="313">
        <v>24.304751182307001</v>
      </c>
      <c r="E107" s="314">
        <v>1.0492996272570001</v>
      </c>
      <c r="F107" s="312">
        <v>445.20804666328701</v>
      </c>
      <c r="G107" s="313">
        <v>333.90603499746601</v>
      </c>
      <c r="H107" s="315">
        <v>48.93891</v>
      </c>
      <c r="I107" s="312">
        <v>325.12096000000003</v>
      </c>
      <c r="J107" s="313">
        <v>-8.7850749974649993</v>
      </c>
      <c r="K107" s="318">
        <v>0.73026748378999995</v>
      </c>
    </row>
    <row r="108" spans="1:11" ht="14.4" customHeight="1" thickBot="1" x14ac:dyDescent="0.35">
      <c r="A108" s="332" t="s">
        <v>38</v>
      </c>
      <c r="B108" s="312">
        <v>493.00070881769199</v>
      </c>
      <c r="C108" s="312">
        <v>517.30546000000004</v>
      </c>
      <c r="D108" s="313">
        <v>24.304751182307001</v>
      </c>
      <c r="E108" s="314">
        <v>1.0492996272570001</v>
      </c>
      <c r="F108" s="312">
        <v>445.20804666328701</v>
      </c>
      <c r="G108" s="313">
        <v>333.90603499746601</v>
      </c>
      <c r="H108" s="315">
        <v>48.93891</v>
      </c>
      <c r="I108" s="312">
        <v>325.12096000000003</v>
      </c>
      <c r="J108" s="313">
        <v>-8.7850749974649993</v>
      </c>
      <c r="K108" s="318">
        <v>0.73026748378999995</v>
      </c>
    </row>
    <row r="109" spans="1:11" ht="14.4" customHeight="1" thickBot="1" x14ac:dyDescent="0.35">
      <c r="A109" s="328" t="s">
        <v>307</v>
      </c>
      <c r="B109" s="312">
        <v>5</v>
      </c>
      <c r="C109" s="312">
        <v>0</v>
      </c>
      <c r="D109" s="313">
        <v>-5</v>
      </c>
      <c r="E109" s="314">
        <v>0</v>
      </c>
      <c r="F109" s="312">
        <v>0</v>
      </c>
      <c r="G109" s="313">
        <v>0</v>
      </c>
      <c r="H109" s="315">
        <v>0</v>
      </c>
      <c r="I109" s="312">
        <v>0</v>
      </c>
      <c r="J109" s="313">
        <v>0</v>
      </c>
      <c r="K109" s="318">
        <v>0</v>
      </c>
    </row>
    <row r="110" spans="1:11" ht="14.4" customHeight="1" thickBot="1" x14ac:dyDescent="0.35">
      <c r="A110" s="329" t="s">
        <v>308</v>
      </c>
      <c r="B110" s="307">
        <v>5</v>
      </c>
      <c r="C110" s="307">
        <v>0</v>
      </c>
      <c r="D110" s="308">
        <v>-5</v>
      </c>
      <c r="E110" s="309">
        <v>0</v>
      </c>
      <c r="F110" s="307">
        <v>0</v>
      </c>
      <c r="G110" s="308">
        <v>0</v>
      </c>
      <c r="H110" s="310">
        <v>0</v>
      </c>
      <c r="I110" s="307">
        <v>0</v>
      </c>
      <c r="J110" s="308">
        <v>0</v>
      </c>
      <c r="K110" s="311">
        <v>0</v>
      </c>
    </row>
    <row r="111" spans="1:11" ht="14.4" customHeight="1" thickBot="1" x14ac:dyDescent="0.35">
      <c r="A111" s="328" t="s">
        <v>309</v>
      </c>
      <c r="B111" s="312">
        <v>5.0007088176919998</v>
      </c>
      <c r="C111" s="312">
        <v>13.6632</v>
      </c>
      <c r="D111" s="313">
        <v>8.6624911823070008</v>
      </c>
      <c r="E111" s="314">
        <v>2.7322526661939999</v>
      </c>
      <c r="F111" s="312">
        <v>31.672897196261001</v>
      </c>
      <c r="G111" s="313">
        <v>23.754672897195999</v>
      </c>
      <c r="H111" s="315">
        <v>5.4261999999999997</v>
      </c>
      <c r="I111" s="312">
        <v>11.2272</v>
      </c>
      <c r="J111" s="313">
        <v>-12.527472897196001</v>
      </c>
      <c r="K111" s="318">
        <v>0.35447341398600002</v>
      </c>
    </row>
    <row r="112" spans="1:11" ht="14.4" customHeight="1" thickBot="1" x14ac:dyDescent="0.35">
      <c r="A112" s="329" t="s">
        <v>310</v>
      </c>
      <c r="B112" s="307">
        <v>5.0007088176919998</v>
      </c>
      <c r="C112" s="307">
        <v>13.6632</v>
      </c>
      <c r="D112" s="308">
        <v>8.6624911823070008</v>
      </c>
      <c r="E112" s="309">
        <v>2.7322526661939999</v>
      </c>
      <c r="F112" s="307">
        <v>0</v>
      </c>
      <c r="G112" s="308">
        <v>0</v>
      </c>
      <c r="H112" s="310">
        <v>0</v>
      </c>
      <c r="I112" s="307">
        <v>4.4408920985006301E-16</v>
      </c>
      <c r="J112" s="308">
        <v>4.4408920985006301E-16</v>
      </c>
      <c r="K112" s="317" t="s">
        <v>207</v>
      </c>
    </row>
    <row r="113" spans="1:11" ht="14.4" customHeight="1" thickBot="1" x14ac:dyDescent="0.35">
      <c r="A113" s="329" t="s">
        <v>311</v>
      </c>
      <c r="B113" s="307">
        <v>0</v>
      </c>
      <c r="C113" s="307">
        <v>0</v>
      </c>
      <c r="D113" s="308">
        <v>0</v>
      </c>
      <c r="E113" s="309">
        <v>1</v>
      </c>
      <c r="F113" s="307">
        <v>31.672897196261001</v>
      </c>
      <c r="G113" s="308">
        <v>23.754672897195999</v>
      </c>
      <c r="H113" s="310">
        <v>5.1322000000000001</v>
      </c>
      <c r="I113" s="307">
        <v>10.4922</v>
      </c>
      <c r="J113" s="308">
        <v>-13.262472897196</v>
      </c>
      <c r="K113" s="311">
        <v>0.33126745352600001</v>
      </c>
    </row>
    <row r="114" spans="1:11" ht="14.4" customHeight="1" thickBot="1" x14ac:dyDescent="0.35">
      <c r="A114" s="329" t="s">
        <v>312</v>
      </c>
      <c r="B114" s="307">
        <v>0</v>
      </c>
      <c r="C114" s="307">
        <v>0</v>
      </c>
      <c r="D114" s="308">
        <v>0</v>
      </c>
      <c r="E114" s="309">
        <v>1</v>
      </c>
      <c r="F114" s="307">
        <v>0</v>
      </c>
      <c r="G114" s="308">
        <v>0</v>
      </c>
      <c r="H114" s="310">
        <v>0.29399999999999998</v>
      </c>
      <c r="I114" s="307">
        <v>0.73499999999999999</v>
      </c>
      <c r="J114" s="308">
        <v>0.73499999999999999</v>
      </c>
      <c r="K114" s="317" t="s">
        <v>213</v>
      </c>
    </row>
    <row r="115" spans="1:11" ht="14.4" customHeight="1" thickBot="1" x14ac:dyDescent="0.35">
      <c r="A115" s="328" t="s">
        <v>313</v>
      </c>
      <c r="B115" s="312">
        <v>3</v>
      </c>
      <c r="C115" s="312">
        <v>5.7444199999999999</v>
      </c>
      <c r="D115" s="313">
        <v>2.7444199999999999</v>
      </c>
      <c r="E115" s="314">
        <v>1.914806666666</v>
      </c>
      <c r="F115" s="312">
        <v>5.6595209004399996</v>
      </c>
      <c r="G115" s="313">
        <v>4.2446406753300003</v>
      </c>
      <c r="H115" s="315">
        <v>0.58699999999999997</v>
      </c>
      <c r="I115" s="312">
        <v>4.6638799999999998</v>
      </c>
      <c r="J115" s="313">
        <v>0.41923932466899999</v>
      </c>
      <c r="K115" s="318">
        <v>0.82407682241000002</v>
      </c>
    </row>
    <row r="116" spans="1:11" ht="14.4" customHeight="1" thickBot="1" x14ac:dyDescent="0.35">
      <c r="A116" s="329" t="s">
        <v>314</v>
      </c>
      <c r="B116" s="307">
        <v>3</v>
      </c>
      <c r="C116" s="307">
        <v>5.7444199999999999</v>
      </c>
      <c r="D116" s="308">
        <v>2.7444199999999999</v>
      </c>
      <c r="E116" s="309">
        <v>1.914806666666</v>
      </c>
      <c r="F116" s="307">
        <v>5.6595209004399996</v>
      </c>
      <c r="G116" s="308">
        <v>4.2446406753300003</v>
      </c>
      <c r="H116" s="310">
        <v>0.58699999999999997</v>
      </c>
      <c r="I116" s="307">
        <v>4.6638799999999998</v>
      </c>
      <c r="J116" s="308">
        <v>0.41923932466899999</v>
      </c>
      <c r="K116" s="311">
        <v>0.82407682241000002</v>
      </c>
    </row>
    <row r="117" spans="1:11" ht="14.4" customHeight="1" thickBot="1" x14ac:dyDescent="0.35">
      <c r="A117" s="328" t="s">
        <v>315</v>
      </c>
      <c r="B117" s="312">
        <v>220</v>
      </c>
      <c r="C117" s="312">
        <v>193.2929</v>
      </c>
      <c r="D117" s="313">
        <v>-26.707100000000001</v>
      </c>
      <c r="E117" s="314">
        <v>0.87860409090900005</v>
      </c>
      <c r="F117" s="312">
        <v>125</v>
      </c>
      <c r="G117" s="313">
        <v>93.75</v>
      </c>
      <c r="H117" s="315">
        <v>9.2926900000000003</v>
      </c>
      <c r="I117" s="312">
        <v>79.530919999999995</v>
      </c>
      <c r="J117" s="313">
        <v>-14.219079999999</v>
      </c>
      <c r="K117" s="318">
        <v>0.63624736000000004</v>
      </c>
    </row>
    <row r="118" spans="1:11" ht="14.4" customHeight="1" thickBot="1" x14ac:dyDescent="0.35">
      <c r="A118" s="329" t="s">
        <v>316</v>
      </c>
      <c r="B118" s="307">
        <v>220</v>
      </c>
      <c r="C118" s="307">
        <v>193.2929</v>
      </c>
      <c r="D118" s="308">
        <v>-26.707100000000001</v>
      </c>
      <c r="E118" s="309">
        <v>0.87860409090900005</v>
      </c>
      <c r="F118" s="307">
        <v>125</v>
      </c>
      <c r="G118" s="308">
        <v>93.75</v>
      </c>
      <c r="H118" s="310">
        <v>9.2926900000000003</v>
      </c>
      <c r="I118" s="307">
        <v>79.530919999999995</v>
      </c>
      <c r="J118" s="308">
        <v>-14.219079999999</v>
      </c>
      <c r="K118" s="311">
        <v>0.63624736000000004</v>
      </c>
    </row>
    <row r="119" spans="1:11" ht="14.4" customHeight="1" thickBot="1" x14ac:dyDescent="0.35">
      <c r="A119" s="328" t="s">
        <v>317</v>
      </c>
      <c r="B119" s="312">
        <v>0</v>
      </c>
      <c r="C119" s="312">
        <v>12.824999999999999</v>
      </c>
      <c r="D119" s="313">
        <v>12.824999999999999</v>
      </c>
      <c r="E119" s="320" t="s">
        <v>213</v>
      </c>
      <c r="F119" s="312">
        <v>0</v>
      </c>
      <c r="G119" s="313">
        <v>0</v>
      </c>
      <c r="H119" s="315">
        <v>8.8650000000000002</v>
      </c>
      <c r="I119" s="312">
        <v>11.516999999999999</v>
      </c>
      <c r="J119" s="313">
        <v>11.516999999999999</v>
      </c>
      <c r="K119" s="316" t="s">
        <v>207</v>
      </c>
    </row>
    <row r="120" spans="1:11" ht="14.4" customHeight="1" thickBot="1" x14ac:dyDescent="0.35">
      <c r="A120" s="329" t="s">
        <v>318</v>
      </c>
      <c r="B120" s="307">
        <v>0</v>
      </c>
      <c r="C120" s="307">
        <v>12.824999999999999</v>
      </c>
      <c r="D120" s="308">
        <v>12.824999999999999</v>
      </c>
      <c r="E120" s="319" t="s">
        <v>213</v>
      </c>
      <c r="F120" s="307">
        <v>0</v>
      </c>
      <c r="G120" s="308">
        <v>0</v>
      </c>
      <c r="H120" s="310">
        <v>8.8650000000000002</v>
      </c>
      <c r="I120" s="307">
        <v>11.516999999999999</v>
      </c>
      <c r="J120" s="308">
        <v>11.516999999999999</v>
      </c>
      <c r="K120" s="317" t="s">
        <v>207</v>
      </c>
    </row>
    <row r="121" spans="1:11" ht="14.4" customHeight="1" thickBot="1" x14ac:dyDescent="0.35">
      <c r="A121" s="328" t="s">
        <v>319</v>
      </c>
      <c r="B121" s="312">
        <v>260</v>
      </c>
      <c r="C121" s="312">
        <v>291.77994000000001</v>
      </c>
      <c r="D121" s="313">
        <v>31.77994</v>
      </c>
      <c r="E121" s="314">
        <v>1.1222305384610001</v>
      </c>
      <c r="F121" s="312">
        <v>282.87562856658502</v>
      </c>
      <c r="G121" s="313">
        <v>212.15672142493901</v>
      </c>
      <c r="H121" s="315">
        <v>24.76802</v>
      </c>
      <c r="I121" s="312">
        <v>218.18196</v>
      </c>
      <c r="J121" s="313">
        <v>6.0252385750609996</v>
      </c>
      <c r="K121" s="318">
        <v>0.77129995647000005</v>
      </c>
    </row>
    <row r="122" spans="1:11" ht="14.4" customHeight="1" thickBot="1" x14ac:dyDescent="0.35">
      <c r="A122" s="329" t="s">
        <v>320</v>
      </c>
      <c r="B122" s="307">
        <v>260</v>
      </c>
      <c r="C122" s="307">
        <v>291.77994000000001</v>
      </c>
      <c r="D122" s="308">
        <v>31.77994</v>
      </c>
      <c r="E122" s="309">
        <v>1.1222305384610001</v>
      </c>
      <c r="F122" s="307">
        <v>282.87562856658502</v>
      </c>
      <c r="G122" s="308">
        <v>212.15672142493901</v>
      </c>
      <c r="H122" s="310">
        <v>24.76802</v>
      </c>
      <c r="I122" s="307">
        <v>218.18196</v>
      </c>
      <c r="J122" s="308">
        <v>6.0252385750609996</v>
      </c>
      <c r="K122" s="311">
        <v>0.77129995647000005</v>
      </c>
    </row>
    <row r="123" spans="1:11" ht="14.4" customHeight="1" thickBot="1" x14ac:dyDescent="0.35">
      <c r="A123" s="333"/>
      <c r="B123" s="307">
        <v>-3516.56682218571</v>
      </c>
      <c r="C123" s="307">
        <v>-3720.9877000000001</v>
      </c>
      <c r="D123" s="308">
        <v>-204.42087781429001</v>
      </c>
      <c r="E123" s="309">
        <v>1.0581308100060001</v>
      </c>
      <c r="F123" s="307">
        <v>-3647.72597376871</v>
      </c>
      <c r="G123" s="308">
        <v>-2735.79448032653</v>
      </c>
      <c r="H123" s="310">
        <v>-313.44448</v>
      </c>
      <c r="I123" s="307">
        <v>-2839.3694700000001</v>
      </c>
      <c r="J123" s="308">
        <v>-103.574989673472</v>
      </c>
      <c r="K123" s="311">
        <v>0.77839439980299996</v>
      </c>
    </row>
    <row r="124" spans="1:11" ht="14.4" customHeight="1" thickBot="1" x14ac:dyDescent="0.35">
      <c r="A124" s="334" t="s">
        <v>50</v>
      </c>
      <c r="B124" s="321">
        <v>-3516.56682218571</v>
      </c>
      <c r="C124" s="321">
        <v>-3720.9877000000001</v>
      </c>
      <c r="D124" s="322">
        <v>-204.42087781429001</v>
      </c>
      <c r="E124" s="323" t="s">
        <v>207</v>
      </c>
      <c r="F124" s="321">
        <v>-3647.72597376871</v>
      </c>
      <c r="G124" s="322">
        <v>-2735.79448032653</v>
      </c>
      <c r="H124" s="321">
        <v>-313.44448</v>
      </c>
      <c r="I124" s="321">
        <v>-2839.3694700000001</v>
      </c>
      <c r="J124" s="322">
        <v>-103.57498967347099</v>
      </c>
      <c r="K124" s="324">
        <v>0.77839439980299996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1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63" customWidth="1"/>
    <col min="2" max="2" width="61.109375" style="163" customWidth="1"/>
    <col min="3" max="3" width="9.5546875" style="96" customWidth="1"/>
    <col min="4" max="4" width="9.5546875" style="164" customWidth="1"/>
    <col min="5" max="5" width="2.21875" style="164" customWidth="1"/>
    <col min="6" max="6" width="9.5546875" style="165" customWidth="1"/>
    <col min="7" max="7" width="9.5546875" style="162" customWidth="1"/>
    <col min="8" max="9" width="9.5546875" style="96" customWidth="1"/>
    <col min="10" max="10" width="0" style="96" hidden="1" customWidth="1"/>
    <col min="11" max="16384" width="8.88671875" style="96"/>
  </cols>
  <sheetData>
    <row r="1" spans="1:10" ht="18.600000000000001" customHeight="1" thickBot="1" x14ac:dyDescent="0.4">
      <c r="A1" s="289" t="s">
        <v>77</v>
      </c>
      <c r="B1" s="290"/>
      <c r="C1" s="290"/>
      <c r="D1" s="290"/>
      <c r="E1" s="290"/>
      <c r="F1" s="290"/>
      <c r="G1" s="261"/>
      <c r="H1" s="291"/>
      <c r="I1" s="291"/>
    </row>
    <row r="2" spans="1:10" ht="14.4" customHeight="1" thickBot="1" x14ac:dyDescent="0.35">
      <c r="A2" s="174" t="s">
        <v>206</v>
      </c>
      <c r="B2" s="161"/>
      <c r="C2" s="161"/>
      <c r="D2" s="161"/>
      <c r="E2" s="161"/>
      <c r="F2" s="161"/>
    </row>
    <row r="3" spans="1:10" ht="14.4" customHeight="1" thickBot="1" x14ac:dyDescent="0.35">
      <c r="A3" s="174"/>
      <c r="B3" s="161"/>
      <c r="C3" s="232">
        <v>2013</v>
      </c>
      <c r="D3" s="233">
        <v>2014</v>
      </c>
      <c r="E3" s="7"/>
      <c r="F3" s="284">
        <v>2015</v>
      </c>
      <c r="G3" s="285"/>
      <c r="H3" s="285"/>
      <c r="I3" s="286"/>
    </row>
    <row r="4" spans="1:10" ht="14.4" customHeight="1" thickBot="1" x14ac:dyDescent="0.35">
      <c r="A4" s="237" t="s">
        <v>0</v>
      </c>
      <c r="B4" s="238" t="s">
        <v>171</v>
      </c>
      <c r="C4" s="287" t="s">
        <v>55</v>
      </c>
      <c r="D4" s="288"/>
      <c r="E4" s="239"/>
      <c r="F4" s="234" t="s">
        <v>55</v>
      </c>
      <c r="G4" s="235" t="s">
        <v>56</v>
      </c>
      <c r="H4" s="235" t="s">
        <v>52</v>
      </c>
      <c r="I4" s="236" t="s">
        <v>57</v>
      </c>
    </row>
    <row r="5" spans="1:10" ht="14.4" customHeight="1" x14ac:dyDescent="0.3">
      <c r="A5" s="335" t="s">
        <v>321</v>
      </c>
      <c r="B5" s="336" t="s">
        <v>322</v>
      </c>
      <c r="C5" s="337" t="s">
        <v>323</v>
      </c>
      <c r="D5" s="337" t="s">
        <v>323</v>
      </c>
      <c r="E5" s="337"/>
      <c r="F5" s="337" t="s">
        <v>323</v>
      </c>
      <c r="G5" s="337" t="s">
        <v>323</v>
      </c>
      <c r="H5" s="337" t="s">
        <v>323</v>
      </c>
      <c r="I5" s="338" t="s">
        <v>323</v>
      </c>
      <c r="J5" s="339" t="s">
        <v>53</v>
      </c>
    </row>
    <row r="6" spans="1:10" ht="14.4" customHeight="1" x14ac:dyDescent="0.3">
      <c r="A6" s="335" t="s">
        <v>321</v>
      </c>
      <c r="B6" s="336" t="s">
        <v>214</v>
      </c>
      <c r="C6" s="337">
        <v>0.57743</v>
      </c>
      <c r="D6" s="337">
        <v>0</v>
      </c>
      <c r="E6" s="337"/>
      <c r="F6" s="337">
        <v>0.40909000000000001</v>
      </c>
      <c r="G6" s="337">
        <v>0</v>
      </c>
      <c r="H6" s="337">
        <v>0.40909000000000001</v>
      </c>
      <c r="I6" s="338" t="s">
        <v>323</v>
      </c>
      <c r="J6" s="339" t="s">
        <v>1</v>
      </c>
    </row>
    <row r="7" spans="1:10" ht="14.4" customHeight="1" x14ac:dyDescent="0.3">
      <c r="A7" s="335" t="s">
        <v>321</v>
      </c>
      <c r="B7" s="336" t="s">
        <v>324</v>
      </c>
      <c r="C7" s="337">
        <v>0.57743</v>
      </c>
      <c r="D7" s="337">
        <v>0</v>
      </c>
      <c r="E7" s="337"/>
      <c r="F7" s="337">
        <v>0.40909000000000001</v>
      </c>
      <c r="G7" s="337">
        <v>0</v>
      </c>
      <c r="H7" s="337">
        <v>0.40909000000000001</v>
      </c>
      <c r="I7" s="338" t="s">
        <v>323</v>
      </c>
      <c r="J7" s="339" t="s">
        <v>325</v>
      </c>
    </row>
    <row r="9" spans="1:10" ht="14.4" customHeight="1" x14ac:dyDescent="0.3">
      <c r="A9" s="335" t="s">
        <v>321</v>
      </c>
      <c r="B9" s="336" t="s">
        <v>322</v>
      </c>
      <c r="C9" s="337" t="s">
        <v>323</v>
      </c>
      <c r="D9" s="337" t="s">
        <v>323</v>
      </c>
      <c r="E9" s="337"/>
      <c r="F9" s="337" t="s">
        <v>323</v>
      </c>
      <c r="G9" s="337" t="s">
        <v>323</v>
      </c>
      <c r="H9" s="337" t="s">
        <v>323</v>
      </c>
      <c r="I9" s="338" t="s">
        <v>323</v>
      </c>
      <c r="J9" s="339" t="s">
        <v>53</v>
      </c>
    </row>
    <row r="10" spans="1:10" ht="14.4" customHeight="1" x14ac:dyDescent="0.3">
      <c r="A10" s="335" t="s">
        <v>326</v>
      </c>
      <c r="B10" s="336" t="s">
        <v>322</v>
      </c>
      <c r="C10" s="337" t="s">
        <v>323</v>
      </c>
      <c r="D10" s="337" t="s">
        <v>323</v>
      </c>
      <c r="E10" s="337"/>
      <c r="F10" s="337" t="s">
        <v>323</v>
      </c>
      <c r="G10" s="337" t="s">
        <v>323</v>
      </c>
      <c r="H10" s="337" t="s">
        <v>323</v>
      </c>
      <c r="I10" s="338" t="s">
        <v>323</v>
      </c>
      <c r="J10" s="339" t="s">
        <v>0</v>
      </c>
    </row>
    <row r="11" spans="1:10" ht="14.4" customHeight="1" x14ac:dyDescent="0.3">
      <c r="A11" s="335" t="s">
        <v>326</v>
      </c>
      <c r="B11" s="336" t="s">
        <v>214</v>
      </c>
      <c r="C11" s="337">
        <v>0.57743</v>
      </c>
      <c r="D11" s="337">
        <v>0</v>
      </c>
      <c r="E11" s="337"/>
      <c r="F11" s="337">
        <v>0.40909000000000001</v>
      </c>
      <c r="G11" s="337">
        <v>0</v>
      </c>
      <c r="H11" s="337">
        <v>0.40909000000000001</v>
      </c>
      <c r="I11" s="338" t="s">
        <v>323</v>
      </c>
      <c r="J11" s="339" t="s">
        <v>1</v>
      </c>
    </row>
    <row r="12" spans="1:10" ht="14.4" customHeight="1" x14ac:dyDescent="0.3">
      <c r="A12" s="335" t="s">
        <v>326</v>
      </c>
      <c r="B12" s="336" t="s">
        <v>324</v>
      </c>
      <c r="C12" s="337">
        <v>0.57743</v>
      </c>
      <c r="D12" s="337">
        <v>0</v>
      </c>
      <c r="E12" s="337"/>
      <c r="F12" s="337">
        <v>0.40909000000000001</v>
      </c>
      <c r="G12" s="337">
        <v>0</v>
      </c>
      <c r="H12" s="337">
        <v>0.40909000000000001</v>
      </c>
      <c r="I12" s="338" t="s">
        <v>323</v>
      </c>
      <c r="J12" s="339" t="s">
        <v>327</v>
      </c>
    </row>
    <row r="13" spans="1:10" ht="14.4" customHeight="1" x14ac:dyDescent="0.3">
      <c r="A13" s="335" t="s">
        <v>323</v>
      </c>
      <c r="B13" s="336" t="s">
        <v>323</v>
      </c>
      <c r="C13" s="337" t="s">
        <v>323</v>
      </c>
      <c r="D13" s="337" t="s">
        <v>323</v>
      </c>
      <c r="E13" s="337"/>
      <c r="F13" s="337" t="s">
        <v>323</v>
      </c>
      <c r="G13" s="337" t="s">
        <v>323</v>
      </c>
      <c r="H13" s="337" t="s">
        <v>323</v>
      </c>
      <c r="I13" s="338" t="s">
        <v>323</v>
      </c>
      <c r="J13" s="339" t="s">
        <v>328</v>
      </c>
    </row>
    <row r="14" spans="1:10" ht="14.4" customHeight="1" x14ac:dyDescent="0.3">
      <c r="A14" s="335" t="s">
        <v>321</v>
      </c>
      <c r="B14" s="336" t="s">
        <v>324</v>
      </c>
      <c r="C14" s="337">
        <v>0.57743</v>
      </c>
      <c r="D14" s="337">
        <v>0</v>
      </c>
      <c r="E14" s="337"/>
      <c r="F14" s="337">
        <v>0.40909000000000001</v>
      </c>
      <c r="G14" s="337">
        <v>0</v>
      </c>
      <c r="H14" s="337">
        <v>0.40909000000000001</v>
      </c>
      <c r="I14" s="338" t="s">
        <v>323</v>
      </c>
      <c r="J14" s="339" t="s">
        <v>325</v>
      </c>
    </row>
  </sheetData>
  <mergeCells count="3">
    <mergeCell ref="F3:I3"/>
    <mergeCell ref="C4:D4"/>
    <mergeCell ref="A1:I1"/>
  </mergeCells>
  <conditionalFormatting sqref="F8 F15:F65537">
    <cfRule type="cellIs" dxfId="36" priority="18" stopIfTrue="1" operator="greaterThan">
      <formula>1</formula>
    </cfRule>
  </conditionalFormatting>
  <conditionalFormatting sqref="H5:H7">
    <cfRule type="expression" dxfId="35" priority="14">
      <formula>$H5&gt;0</formula>
    </cfRule>
  </conditionalFormatting>
  <conditionalFormatting sqref="I5:I7">
    <cfRule type="expression" dxfId="34" priority="15">
      <formula>$I5&gt;1</formula>
    </cfRule>
  </conditionalFormatting>
  <conditionalFormatting sqref="B5:B7">
    <cfRule type="expression" dxfId="33" priority="11">
      <formula>OR($J5="NS",$J5="SumaNS",$J5="Účet")</formula>
    </cfRule>
  </conditionalFormatting>
  <conditionalFormatting sqref="B5:D7 F5:I7">
    <cfRule type="expression" dxfId="32" priority="17">
      <formula>AND($J5&lt;&gt;"",$J5&lt;&gt;"mezeraKL")</formula>
    </cfRule>
  </conditionalFormatting>
  <conditionalFormatting sqref="B5:D7 F5:I7">
    <cfRule type="expression" dxfId="31" priority="12">
      <formula>OR($J5="KL",$J5="SumaKL")</formula>
    </cfRule>
    <cfRule type="expression" priority="16" stopIfTrue="1">
      <formula>OR($J5="mezeraNS",$J5="mezeraKL")</formula>
    </cfRule>
  </conditionalFormatting>
  <conditionalFormatting sqref="F5:I7 B5:D7">
    <cfRule type="expression" dxfId="30" priority="13">
      <formula>OR($J5="SumaNS",$J5="NS")</formula>
    </cfRule>
  </conditionalFormatting>
  <conditionalFormatting sqref="A5:A7">
    <cfRule type="expression" dxfId="29" priority="9">
      <formula>AND($J5&lt;&gt;"mezeraKL",$J5&lt;&gt;"")</formula>
    </cfRule>
  </conditionalFormatting>
  <conditionalFormatting sqref="A5:A7">
    <cfRule type="expression" dxfId="28" priority="10">
      <formula>AND($J5&lt;&gt;"",$J5&lt;&gt;"mezeraKL")</formula>
    </cfRule>
  </conditionalFormatting>
  <conditionalFormatting sqref="H9:H14">
    <cfRule type="expression" dxfId="27" priority="5">
      <formula>$H9&gt;0</formula>
    </cfRule>
  </conditionalFormatting>
  <conditionalFormatting sqref="A9:A14">
    <cfRule type="expression" dxfId="26" priority="2">
      <formula>AND($J9&lt;&gt;"mezeraKL",$J9&lt;&gt;"")</formula>
    </cfRule>
  </conditionalFormatting>
  <conditionalFormatting sqref="I9:I14">
    <cfRule type="expression" dxfId="25" priority="6">
      <formula>$I9&gt;1</formula>
    </cfRule>
  </conditionalFormatting>
  <conditionalFormatting sqref="B9:B14">
    <cfRule type="expression" dxfId="24" priority="1">
      <formula>OR($J9="NS",$J9="SumaNS",$J9="Účet")</formula>
    </cfRule>
  </conditionalFormatting>
  <conditionalFormatting sqref="A9:D14 F9:I14">
    <cfRule type="expression" dxfId="23" priority="8">
      <formula>AND($J9&lt;&gt;"",$J9&lt;&gt;"mezeraKL")</formula>
    </cfRule>
  </conditionalFormatting>
  <conditionalFormatting sqref="B9:D14 F9:I14">
    <cfRule type="expression" dxfId="22" priority="3">
      <formula>OR($J9="KL",$J9="SumaKL")</formula>
    </cfRule>
    <cfRule type="expression" priority="7" stopIfTrue="1">
      <formula>OR($J9="mezeraNS",$J9="mezeraKL")</formula>
    </cfRule>
  </conditionalFormatting>
  <conditionalFormatting sqref="B9:D14 F9:I14">
    <cfRule type="expression" dxfId="21" priority="4">
      <formula>OR($J9="SumaNS",$J9="NS")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6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96" hidden="1" customWidth="1" outlineLevel="1"/>
    <col min="2" max="2" width="28.33203125" style="96" hidden="1" customWidth="1" outlineLevel="1"/>
    <col min="3" max="3" width="5.33203125" style="164" bestFit="1" customWidth="1" collapsed="1"/>
    <col min="4" max="4" width="18.77734375" style="168" customWidth="1"/>
    <col min="5" max="5" width="9" style="164" bestFit="1" customWidth="1"/>
    <col min="6" max="6" width="18.77734375" style="168" customWidth="1"/>
    <col min="7" max="7" width="5" style="164" customWidth="1"/>
    <col min="8" max="8" width="12.44140625" style="164" hidden="1" customWidth="1" outlineLevel="1"/>
    <col min="9" max="9" width="8.5546875" style="164" hidden="1" customWidth="1" outlineLevel="1"/>
    <col min="10" max="10" width="25.77734375" style="164" customWidth="1" collapsed="1"/>
    <col min="11" max="11" width="8.77734375" style="164" customWidth="1"/>
    <col min="12" max="13" width="7.77734375" style="162" customWidth="1"/>
    <col min="14" max="14" width="11.109375" style="162" customWidth="1"/>
    <col min="15" max="16384" width="8.88671875" style="96"/>
  </cols>
  <sheetData>
    <row r="1" spans="1:14" ht="18.600000000000001" customHeight="1" thickBot="1" x14ac:dyDescent="0.4">
      <c r="A1" s="296" t="s">
        <v>94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</row>
    <row r="2" spans="1:14" ht="14.4" customHeight="1" thickBot="1" x14ac:dyDescent="0.35">
      <c r="A2" s="174" t="s">
        <v>206</v>
      </c>
      <c r="B2" s="57"/>
      <c r="C2" s="166"/>
      <c r="D2" s="166"/>
      <c r="E2" s="166"/>
      <c r="F2" s="166"/>
      <c r="G2" s="166"/>
      <c r="H2" s="166"/>
      <c r="I2" s="166"/>
      <c r="J2" s="166"/>
      <c r="K2" s="166"/>
      <c r="L2" s="167"/>
      <c r="M2" s="167"/>
      <c r="N2" s="167"/>
    </row>
    <row r="3" spans="1:14" ht="14.4" customHeight="1" thickBot="1" x14ac:dyDescent="0.35">
      <c r="A3" s="57"/>
      <c r="B3" s="57"/>
      <c r="C3" s="292"/>
      <c r="D3" s="293"/>
      <c r="E3" s="293"/>
      <c r="F3" s="293"/>
      <c r="G3" s="293"/>
      <c r="H3" s="293"/>
      <c r="I3" s="293"/>
      <c r="J3" s="294" t="s">
        <v>75</v>
      </c>
      <c r="K3" s="295"/>
      <c r="L3" s="71">
        <f>IF(M3&lt;&gt;0,N3/M3,0)</f>
        <v>68.18142125501349</v>
      </c>
      <c r="M3" s="71">
        <f>SUBTOTAL(9,M5:M1048576)</f>
        <v>6</v>
      </c>
      <c r="N3" s="72">
        <f>SUBTOTAL(9,N5:N1048576)</f>
        <v>409.08852753008091</v>
      </c>
    </row>
    <row r="4" spans="1:14" s="163" customFormat="1" ht="14.4" customHeight="1" thickBot="1" x14ac:dyDescent="0.35">
      <c r="A4" s="340" t="s">
        <v>3</v>
      </c>
      <c r="B4" s="341" t="s">
        <v>4</v>
      </c>
      <c r="C4" s="341" t="s">
        <v>0</v>
      </c>
      <c r="D4" s="341" t="s">
        <v>5</v>
      </c>
      <c r="E4" s="341" t="s">
        <v>6</v>
      </c>
      <c r="F4" s="341" t="s">
        <v>1</v>
      </c>
      <c r="G4" s="341" t="s">
        <v>7</v>
      </c>
      <c r="H4" s="341" t="s">
        <v>8</v>
      </c>
      <c r="I4" s="341" t="s">
        <v>9</v>
      </c>
      <c r="J4" s="342" t="s">
        <v>10</v>
      </c>
      <c r="K4" s="342" t="s">
        <v>11</v>
      </c>
      <c r="L4" s="343" t="s">
        <v>81</v>
      </c>
      <c r="M4" s="343" t="s">
        <v>12</v>
      </c>
      <c r="N4" s="344" t="s">
        <v>89</v>
      </c>
    </row>
    <row r="5" spans="1:14" ht="14.4" customHeight="1" x14ac:dyDescent="0.3">
      <c r="A5" s="345" t="s">
        <v>321</v>
      </c>
      <c r="B5" s="346" t="s">
        <v>322</v>
      </c>
      <c r="C5" s="347" t="s">
        <v>326</v>
      </c>
      <c r="D5" s="348" t="s">
        <v>322</v>
      </c>
      <c r="E5" s="347" t="s">
        <v>329</v>
      </c>
      <c r="F5" s="348" t="s">
        <v>335</v>
      </c>
      <c r="G5" s="347" t="s">
        <v>330</v>
      </c>
      <c r="H5" s="347" t="s">
        <v>331</v>
      </c>
      <c r="I5" s="347" t="s">
        <v>96</v>
      </c>
      <c r="J5" s="347" t="s">
        <v>332</v>
      </c>
      <c r="K5" s="347"/>
      <c r="L5" s="349">
        <v>75.681681882520223</v>
      </c>
      <c r="M5" s="349">
        <v>4</v>
      </c>
      <c r="N5" s="350">
        <v>302.72672753008089</v>
      </c>
    </row>
    <row r="6" spans="1:14" ht="14.4" customHeight="1" thickBot="1" x14ac:dyDescent="0.35">
      <c r="A6" s="351" t="s">
        <v>321</v>
      </c>
      <c r="B6" s="352" t="s">
        <v>322</v>
      </c>
      <c r="C6" s="353" t="s">
        <v>326</v>
      </c>
      <c r="D6" s="354" t="s">
        <v>322</v>
      </c>
      <c r="E6" s="353" t="s">
        <v>329</v>
      </c>
      <c r="F6" s="354" t="s">
        <v>335</v>
      </c>
      <c r="G6" s="353" t="s">
        <v>330</v>
      </c>
      <c r="H6" s="353" t="s">
        <v>333</v>
      </c>
      <c r="I6" s="353" t="s">
        <v>96</v>
      </c>
      <c r="J6" s="353" t="s">
        <v>334</v>
      </c>
      <c r="K6" s="353"/>
      <c r="L6" s="355">
        <v>53.180900000000001</v>
      </c>
      <c r="M6" s="355">
        <v>2</v>
      </c>
      <c r="N6" s="356">
        <v>106.3618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52" customWidth="1"/>
    <col min="2" max="2" width="5.44140625" style="162" bestFit="1" customWidth="1"/>
    <col min="3" max="3" width="6.109375" style="162" bestFit="1" customWidth="1"/>
    <col min="4" max="4" width="7.44140625" style="162" bestFit="1" customWidth="1"/>
    <col min="5" max="5" width="6.21875" style="162" bestFit="1" customWidth="1"/>
    <col min="6" max="6" width="6.33203125" style="165" bestFit="1" customWidth="1"/>
    <col min="7" max="7" width="6.109375" style="165" bestFit="1" customWidth="1"/>
    <col min="8" max="8" width="7.44140625" style="165" bestFit="1" customWidth="1"/>
    <col min="9" max="9" width="6.21875" style="165" bestFit="1" customWidth="1"/>
    <col min="10" max="10" width="5.44140625" style="162" bestFit="1" customWidth="1"/>
    <col min="11" max="11" width="6.109375" style="162" bestFit="1" customWidth="1"/>
    <col min="12" max="12" width="7.44140625" style="162" bestFit="1" customWidth="1"/>
    <col min="13" max="13" width="6.21875" style="162" bestFit="1" customWidth="1"/>
    <col min="14" max="14" width="5.33203125" style="165" bestFit="1" customWidth="1"/>
    <col min="15" max="15" width="6.109375" style="165" bestFit="1" customWidth="1"/>
    <col min="16" max="16" width="7.44140625" style="165" bestFit="1" customWidth="1"/>
    <col min="17" max="17" width="6.21875" style="165" bestFit="1" customWidth="1"/>
    <col min="18" max="16384" width="8.88671875" style="96"/>
  </cols>
  <sheetData>
    <row r="1" spans="1:17" ht="18.600000000000001" customHeight="1" thickBot="1" x14ac:dyDescent="0.4">
      <c r="A1" s="297" t="s">
        <v>172</v>
      </c>
      <c r="B1" s="297"/>
      <c r="C1" s="297"/>
      <c r="D1" s="297"/>
      <c r="E1" s="297"/>
      <c r="F1" s="261"/>
      <c r="G1" s="261"/>
      <c r="H1" s="261"/>
      <c r="I1" s="261"/>
      <c r="J1" s="291"/>
      <c r="K1" s="291"/>
      <c r="L1" s="291"/>
      <c r="M1" s="291"/>
      <c r="N1" s="291"/>
      <c r="O1" s="291"/>
      <c r="P1" s="291"/>
      <c r="Q1" s="291"/>
    </row>
    <row r="2" spans="1:17" ht="14.4" customHeight="1" thickBot="1" x14ac:dyDescent="0.35">
      <c r="A2" s="174" t="s">
        <v>206</v>
      </c>
      <c r="B2" s="169"/>
      <c r="C2" s="169"/>
      <c r="D2" s="169"/>
      <c r="E2" s="169"/>
    </row>
    <row r="3" spans="1:17" ht="14.4" customHeight="1" thickBot="1" x14ac:dyDescent="0.35">
      <c r="A3" s="241" t="s">
        <v>2</v>
      </c>
      <c r="B3" s="245">
        <f>SUM(B6:B1048576)</f>
        <v>8</v>
      </c>
      <c r="C3" s="246">
        <f>SUM(C6:C1048576)</f>
        <v>0</v>
      </c>
      <c r="D3" s="246">
        <f>SUM(D6:D1048576)</f>
        <v>0</v>
      </c>
      <c r="E3" s="247">
        <f>SUM(E6:E1048576)</f>
        <v>0</v>
      </c>
      <c r="F3" s="244">
        <f>IF(SUM($B3:$E3)=0,"",B3/SUM($B3:$E3))</f>
        <v>1</v>
      </c>
      <c r="G3" s="242">
        <f t="shared" ref="G3:I3" si="0">IF(SUM($B3:$E3)=0,"",C3/SUM($B3:$E3))</f>
        <v>0</v>
      </c>
      <c r="H3" s="242">
        <f t="shared" si="0"/>
        <v>0</v>
      </c>
      <c r="I3" s="243">
        <f t="shared" si="0"/>
        <v>0</v>
      </c>
      <c r="J3" s="246">
        <f>SUM(J6:J1048576)</f>
        <v>3</v>
      </c>
      <c r="K3" s="246">
        <f>SUM(K6:K1048576)</f>
        <v>0</v>
      </c>
      <c r="L3" s="246">
        <f>SUM(L6:L1048576)</f>
        <v>0</v>
      </c>
      <c r="M3" s="247">
        <f>SUM(M6:M1048576)</f>
        <v>0</v>
      </c>
      <c r="N3" s="244">
        <f>IF(SUM($J3:$M3)=0,"",J3/SUM($J3:$M3))</f>
        <v>1</v>
      </c>
      <c r="O3" s="242">
        <f t="shared" ref="O3:Q3" si="1">IF(SUM($J3:$M3)=0,"",K3/SUM($J3:$M3))</f>
        <v>0</v>
      </c>
      <c r="P3" s="242">
        <f t="shared" si="1"/>
        <v>0</v>
      </c>
      <c r="Q3" s="243">
        <f t="shared" si="1"/>
        <v>0</v>
      </c>
    </row>
    <row r="4" spans="1:17" ht="14.4" customHeight="1" thickBot="1" x14ac:dyDescent="0.35">
      <c r="A4" s="240"/>
      <c r="B4" s="301" t="s">
        <v>174</v>
      </c>
      <c r="C4" s="302"/>
      <c r="D4" s="302"/>
      <c r="E4" s="303"/>
      <c r="F4" s="298" t="s">
        <v>179</v>
      </c>
      <c r="G4" s="299"/>
      <c r="H4" s="299"/>
      <c r="I4" s="300"/>
      <c r="J4" s="301" t="s">
        <v>180</v>
      </c>
      <c r="K4" s="302"/>
      <c r="L4" s="302"/>
      <c r="M4" s="303"/>
      <c r="N4" s="298" t="s">
        <v>181</v>
      </c>
      <c r="O4" s="299"/>
      <c r="P4" s="299"/>
      <c r="Q4" s="300"/>
    </row>
    <row r="5" spans="1:17" ht="14.4" customHeight="1" thickBot="1" x14ac:dyDescent="0.35">
      <c r="A5" s="357" t="s">
        <v>173</v>
      </c>
      <c r="B5" s="358" t="s">
        <v>175</v>
      </c>
      <c r="C5" s="358" t="s">
        <v>176</v>
      </c>
      <c r="D5" s="358" t="s">
        <v>177</v>
      </c>
      <c r="E5" s="359" t="s">
        <v>178</v>
      </c>
      <c r="F5" s="360" t="s">
        <v>175</v>
      </c>
      <c r="G5" s="361" t="s">
        <v>176</v>
      </c>
      <c r="H5" s="361" t="s">
        <v>177</v>
      </c>
      <c r="I5" s="362" t="s">
        <v>178</v>
      </c>
      <c r="J5" s="358" t="s">
        <v>175</v>
      </c>
      <c r="K5" s="358" t="s">
        <v>176</v>
      </c>
      <c r="L5" s="358" t="s">
        <v>177</v>
      </c>
      <c r="M5" s="359" t="s">
        <v>178</v>
      </c>
      <c r="N5" s="360" t="s">
        <v>175</v>
      </c>
      <c r="O5" s="361" t="s">
        <v>176</v>
      </c>
      <c r="P5" s="361" t="s">
        <v>177</v>
      </c>
      <c r="Q5" s="362" t="s">
        <v>178</v>
      </c>
    </row>
    <row r="6" spans="1:17" ht="14.4" customHeight="1" x14ac:dyDescent="0.3">
      <c r="A6" s="367" t="s">
        <v>336</v>
      </c>
      <c r="B6" s="371"/>
      <c r="C6" s="349"/>
      <c r="D6" s="349"/>
      <c r="E6" s="350"/>
      <c r="F6" s="369"/>
      <c r="G6" s="363"/>
      <c r="H6" s="363"/>
      <c r="I6" s="373"/>
      <c r="J6" s="371"/>
      <c r="K6" s="349"/>
      <c r="L6" s="349"/>
      <c r="M6" s="350"/>
      <c r="N6" s="369"/>
      <c r="O6" s="363"/>
      <c r="P6" s="363"/>
      <c r="Q6" s="364"/>
    </row>
    <row r="7" spans="1:17" ht="14.4" customHeight="1" thickBot="1" x14ac:dyDescent="0.35">
      <c r="A7" s="368" t="s">
        <v>337</v>
      </c>
      <c r="B7" s="372">
        <v>8</v>
      </c>
      <c r="C7" s="355"/>
      <c r="D7" s="355"/>
      <c r="E7" s="356"/>
      <c r="F7" s="370">
        <v>1</v>
      </c>
      <c r="G7" s="365">
        <v>0</v>
      </c>
      <c r="H7" s="365">
        <v>0</v>
      </c>
      <c r="I7" s="374">
        <v>0</v>
      </c>
      <c r="J7" s="372">
        <v>3</v>
      </c>
      <c r="K7" s="355"/>
      <c r="L7" s="355"/>
      <c r="M7" s="356"/>
      <c r="N7" s="370">
        <v>1</v>
      </c>
      <c r="O7" s="365">
        <v>0</v>
      </c>
      <c r="P7" s="365">
        <v>0</v>
      </c>
      <c r="Q7" s="366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0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1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63" customWidth="1"/>
    <col min="2" max="2" width="61.109375" style="163" customWidth="1"/>
    <col min="3" max="3" width="9.5546875" style="96" customWidth="1"/>
    <col min="4" max="4" width="9.5546875" style="164" customWidth="1"/>
    <col min="5" max="5" width="2.21875" style="164" customWidth="1"/>
    <col min="6" max="6" width="9.5546875" style="165" customWidth="1"/>
    <col min="7" max="7" width="9.5546875" style="162" customWidth="1"/>
    <col min="8" max="9" width="9.5546875" style="96" customWidth="1"/>
    <col min="10" max="10" width="0" style="96" hidden="1" customWidth="1"/>
    <col min="11" max="16384" width="8.88671875" style="96"/>
  </cols>
  <sheetData>
    <row r="1" spans="1:10" ht="18.600000000000001" customHeight="1" thickBot="1" x14ac:dyDescent="0.4">
      <c r="A1" s="289" t="s">
        <v>78</v>
      </c>
      <c r="B1" s="290"/>
      <c r="C1" s="290"/>
      <c r="D1" s="290"/>
      <c r="E1" s="290"/>
      <c r="F1" s="290"/>
      <c r="G1" s="261"/>
      <c r="H1" s="291"/>
      <c r="I1" s="291"/>
    </row>
    <row r="2" spans="1:10" ht="14.4" customHeight="1" thickBot="1" x14ac:dyDescent="0.35">
      <c r="A2" s="174" t="s">
        <v>206</v>
      </c>
      <c r="B2" s="161"/>
      <c r="C2" s="161"/>
      <c r="D2" s="161"/>
      <c r="E2" s="161"/>
      <c r="F2" s="161"/>
    </row>
    <row r="3" spans="1:10" ht="14.4" customHeight="1" thickBot="1" x14ac:dyDescent="0.35">
      <c r="A3" s="174"/>
      <c r="B3" s="161"/>
      <c r="C3" s="232">
        <v>2013</v>
      </c>
      <c r="D3" s="233">
        <v>2014</v>
      </c>
      <c r="E3" s="7"/>
      <c r="F3" s="284">
        <v>2015</v>
      </c>
      <c r="G3" s="285"/>
      <c r="H3" s="285"/>
      <c r="I3" s="286"/>
    </row>
    <row r="4" spans="1:10" ht="14.4" customHeight="1" thickBot="1" x14ac:dyDescent="0.35">
      <c r="A4" s="237" t="s">
        <v>0</v>
      </c>
      <c r="B4" s="238" t="s">
        <v>171</v>
      </c>
      <c r="C4" s="287" t="s">
        <v>55</v>
      </c>
      <c r="D4" s="288"/>
      <c r="E4" s="239"/>
      <c r="F4" s="234" t="s">
        <v>55</v>
      </c>
      <c r="G4" s="235" t="s">
        <v>56</v>
      </c>
      <c r="H4" s="235" t="s">
        <v>52</v>
      </c>
      <c r="I4" s="236" t="s">
        <v>57</v>
      </c>
    </row>
    <row r="5" spans="1:10" ht="14.4" customHeight="1" x14ac:dyDescent="0.3">
      <c r="A5" s="335" t="s">
        <v>321</v>
      </c>
      <c r="B5" s="336" t="s">
        <v>322</v>
      </c>
      <c r="C5" s="337" t="s">
        <v>323</v>
      </c>
      <c r="D5" s="337" t="s">
        <v>323</v>
      </c>
      <c r="E5" s="337"/>
      <c r="F5" s="337" t="s">
        <v>323</v>
      </c>
      <c r="G5" s="337" t="s">
        <v>323</v>
      </c>
      <c r="H5" s="337" t="s">
        <v>323</v>
      </c>
      <c r="I5" s="338" t="s">
        <v>323</v>
      </c>
      <c r="J5" s="339" t="s">
        <v>53</v>
      </c>
    </row>
    <row r="6" spans="1:10" ht="14.4" customHeight="1" x14ac:dyDescent="0.3">
      <c r="A6" s="335" t="s">
        <v>321</v>
      </c>
      <c r="B6" s="336" t="s">
        <v>216</v>
      </c>
      <c r="C6" s="337">
        <v>28.59787</v>
      </c>
      <c r="D6" s="337">
        <v>49.822360000000003</v>
      </c>
      <c r="E6" s="337"/>
      <c r="F6" s="337">
        <v>42.66872</v>
      </c>
      <c r="G6" s="337">
        <v>47.249998511738994</v>
      </c>
      <c r="H6" s="337">
        <v>-4.5812785117389936</v>
      </c>
      <c r="I6" s="338">
        <v>0.90304172156532869</v>
      </c>
      <c r="J6" s="339" t="s">
        <v>1</v>
      </c>
    </row>
    <row r="7" spans="1:10" ht="14.4" customHeight="1" x14ac:dyDescent="0.3">
      <c r="A7" s="335" t="s">
        <v>321</v>
      </c>
      <c r="B7" s="336" t="s">
        <v>217</v>
      </c>
      <c r="C7" s="337">
        <v>2.7119999999999997</v>
      </c>
      <c r="D7" s="337">
        <v>2.6619999999999999</v>
      </c>
      <c r="E7" s="337"/>
      <c r="F7" s="337">
        <v>2.6520999999999999</v>
      </c>
      <c r="G7" s="337">
        <v>2.7464999371147498</v>
      </c>
      <c r="H7" s="337">
        <v>-9.4399937114749921E-2</v>
      </c>
      <c r="I7" s="338">
        <v>0.96562900445069044</v>
      </c>
      <c r="J7" s="339" t="s">
        <v>1</v>
      </c>
    </row>
    <row r="8" spans="1:10" ht="14.4" customHeight="1" x14ac:dyDescent="0.3">
      <c r="A8" s="335" t="s">
        <v>321</v>
      </c>
      <c r="B8" s="336" t="s">
        <v>218</v>
      </c>
      <c r="C8" s="337">
        <v>1.4999999999999999E-2</v>
      </c>
      <c r="D8" s="337">
        <v>0.14599999999999999</v>
      </c>
      <c r="E8" s="337"/>
      <c r="F8" s="337">
        <v>0.14199999999999999</v>
      </c>
      <c r="G8" s="337">
        <v>0.10949999655075</v>
      </c>
      <c r="H8" s="337">
        <v>3.2500003449249984E-2</v>
      </c>
      <c r="I8" s="338">
        <v>1.2968036938173528</v>
      </c>
      <c r="J8" s="339" t="s">
        <v>1</v>
      </c>
    </row>
    <row r="9" spans="1:10" ht="14.4" customHeight="1" x14ac:dyDescent="0.3">
      <c r="A9" s="335" t="s">
        <v>321</v>
      </c>
      <c r="B9" s="336" t="s">
        <v>324</v>
      </c>
      <c r="C9" s="337">
        <v>31.324870000000001</v>
      </c>
      <c r="D9" s="337">
        <v>52.630360000000003</v>
      </c>
      <c r="E9" s="337"/>
      <c r="F9" s="337">
        <v>45.462820000000001</v>
      </c>
      <c r="G9" s="337">
        <v>50.105998445404495</v>
      </c>
      <c r="H9" s="337">
        <v>-4.6431784454044944</v>
      </c>
      <c r="I9" s="338">
        <v>0.90733288249981281</v>
      </c>
      <c r="J9" s="339" t="s">
        <v>325</v>
      </c>
    </row>
    <row r="11" spans="1:10" ht="14.4" customHeight="1" x14ac:dyDescent="0.3">
      <c r="A11" s="335" t="s">
        <v>321</v>
      </c>
      <c r="B11" s="336" t="s">
        <v>322</v>
      </c>
      <c r="C11" s="337" t="s">
        <v>323</v>
      </c>
      <c r="D11" s="337" t="s">
        <v>323</v>
      </c>
      <c r="E11" s="337"/>
      <c r="F11" s="337" t="s">
        <v>323</v>
      </c>
      <c r="G11" s="337" t="s">
        <v>323</v>
      </c>
      <c r="H11" s="337" t="s">
        <v>323</v>
      </c>
      <c r="I11" s="338" t="s">
        <v>323</v>
      </c>
      <c r="J11" s="339" t="s">
        <v>53</v>
      </c>
    </row>
    <row r="12" spans="1:10" ht="14.4" customHeight="1" x14ac:dyDescent="0.3">
      <c r="A12" s="335" t="s">
        <v>326</v>
      </c>
      <c r="B12" s="336" t="s">
        <v>322</v>
      </c>
      <c r="C12" s="337" t="s">
        <v>323</v>
      </c>
      <c r="D12" s="337" t="s">
        <v>323</v>
      </c>
      <c r="E12" s="337"/>
      <c r="F12" s="337" t="s">
        <v>323</v>
      </c>
      <c r="G12" s="337" t="s">
        <v>323</v>
      </c>
      <c r="H12" s="337" t="s">
        <v>323</v>
      </c>
      <c r="I12" s="338" t="s">
        <v>323</v>
      </c>
      <c r="J12" s="339" t="s">
        <v>0</v>
      </c>
    </row>
    <row r="13" spans="1:10" ht="14.4" customHeight="1" x14ac:dyDescent="0.3">
      <c r="A13" s="335" t="s">
        <v>326</v>
      </c>
      <c r="B13" s="336" t="s">
        <v>216</v>
      </c>
      <c r="C13" s="337">
        <v>28.59787</v>
      </c>
      <c r="D13" s="337">
        <v>49.822360000000003</v>
      </c>
      <c r="E13" s="337"/>
      <c r="F13" s="337">
        <v>42.66872</v>
      </c>
      <c r="G13" s="337">
        <v>47.249998511738994</v>
      </c>
      <c r="H13" s="337">
        <v>-4.5812785117389936</v>
      </c>
      <c r="I13" s="338">
        <v>0.90304172156532869</v>
      </c>
      <c r="J13" s="339" t="s">
        <v>1</v>
      </c>
    </row>
    <row r="14" spans="1:10" ht="14.4" customHeight="1" x14ac:dyDescent="0.3">
      <c r="A14" s="335" t="s">
        <v>326</v>
      </c>
      <c r="B14" s="336" t="s">
        <v>217</v>
      </c>
      <c r="C14" s="337">
        <v>2.7119999999999997</v>
      </c>
      <c r="D14" s="337">
        <v>2.6619999999999999</v>
      </c>
      <c r="E14" s="337"/>
      <c r="F14" s="337">
        <v>2.6520999999999999</v>
      </c>
      <c r="G14" s="337">
        <v>2.7464999371147498</v>
      </c>
      <c r="H14" s="337">
        <v>-9.4399937114749921E-2</v>
      </c>
      <c r="I14" s="338">
        <v>0.96562900445069044</v>
      </c>
      <c r="J14" s="339" t="s">
        <v>1</v>
      </c>
    </row>
    <row r="15" spans="1:10" ht="14.4" customHeight="1" x14ac:dyDescent="0.3">
      <c r="A15" s="335" t="s">
        <v>326</v>
      </c>
      <c r="B15" s="336" t="s">
        <v>218</v>
      </c>
      <c r="C15" s="337">
        <v>1.4999999999999999E-2</v>
      </c>
      <c r="D15" s="337">
        <v>0.14599999999999999</v>
      </c>
      <c r="E15" s="337"/>
      <c r="F15" s="337">
        <v>0.14199999999999999</v>
      </c>
      <c r="G15" s="337">
        <v>0.10949999655075</v>
      </c>
      <c r="H15" s="337">
        <v>3.2500003449249984E-2</v>
      </c>
      <c r="I15" s="338">
        <v>1.2968036938173528</v>
      </c>
      <c r="J15" s="339" t="s">
        <v>1</v>
      </c>
    </row>
    <row r="16" spans="1:10" ht="14.4" customHeight="1" x14ac:dyDescent="0.3">
      <c r="A16" s="335" t="s">
        <v>326</v>
      </c>
      <c r="B16" s="336" t="s">
        <v>324</v>
      </c>
      <c r="C16" s="337">
        <v>31.324870000000001</v>
      </c>
      <c r="D16" s="337">
        <v>52.630360000000003</v>
      </c>
      <c r="E16" s="337"/>
      <c r="F16" s="337">
        <v>45.462820000000001</v>
      </c>
      <c r="G16" s="337">
        <v>50.105998445404495</v>
      </c>
      <c r="H16" s="337">
        <v>-4.6431784454044944</v>
      </c>
      <c r="I16" s="338">
        <v>0.90733288249981281</v>
      </c>
      <c r="J16" s="339" t="s">
        <v>327</v>
      </c>
    </row>
    <row r="17" spans="1:10" ht="14.4" customHeight="1" x14ac:dyDescent="0.3">
      <c r="A17" s="335" t="s">
        <v>323</v>
      </c>
      <c r="B17" s="336" t="s">
        <v>323</v>
      </c>
      <c r="C17" s="337" t="s">
        <v>323</v>
      </c>
      <c r="D17" s="337" t="s">
        <v>323</v>
      </c>
      <c r="E17" s="337"/>
      <c r="F17" s="337" t="s">
        <v>323</v>
      </c>
      <c r="G17" s="337" t="s">
        <v>323</v>
      </c>
      <c r="H17" s="337" t="s">
        <v>323</v>
      </c>
      <c r="I17" s="338" t="s">
        <v>323</v>
      </c>
      <c r="J17" s="339" t="s">
        <v>328</v>
      </c>
    </row>
    <row r="18" spans="1:10" ht="14.4" customHeight="1" x14ac:dyDescent="0.3">
      <c r="A18" s="335" t="s">
        <v>321</v>
      </c>
      <c r="B18" s="336" t="s">
        <v>324</v>
      </c>
      <c r="C18" s="337">
        <v>31.324870000000001</v>
      </c>
      <c r="D18" s="337">
        <v>52.630360000000003</v>
      </c>
      <c r="E18" s="337"/>
      <c r="F18" s="337">
        <v>45.462820000000001</v>
      </c>
      <c r="G18" s="337">
        <v>50.105998445404495</v>
      </c>
      <c r="H18" s="337">
        <v>-4.6431784454044944</v>
      </c>
      <c r="I18" s="338">
        <v>0.90733288249981281</v>
      </c>
      <c r="J18" s="339" t="s">
        <v>325</v>
      </c>
    </row>
  </sheetData>
  <mergeCells count="3">
    <mergeCell ref="A1:I1"/>
    <mergeCell ref="F3:I3"/>
    <mergeCell ref="C4:D4"/>
  </mergeCells>
  <conditionalFormatting sqref="F10 F19:F65537">
    <cfRule type="cellIs" dxfId="19" priority="18" stopIfTrue="1" operator="greaterThan">
      <formula>1</formula>
    </cfRule>
  </conditionalFormatting>
  <conditionalFormatting sqref="H5:H9">
    <cfRule type="expression" dxfId="18" priority="14">
      <formula>$H5&gt;0</formula>
    </cfRule>
  </conditionalFormatting>
  <conditionalFormatting sqref="I5:I9">
    <cfRule type="expression" dxfId="17" priority="15">
      <formula>$I5&gt;1</formula>
    </cfRule>
  </conditionalFormatting>
  <conditionalFormatting sqref="B5:B9">
    <cfRule type="expression" dxfId="16" priority="11">
      <formula>OR($J5="NS",$J5="SumaNS",$J5="Účet")</formula>
    </cfRule>
  </conditionalFormatting>
  <conditionalFormatting sqref="F5:I9 B5:D9">
    <cfRule type="expression" dxfId="15" priority="17">
      <formula>AND($J5&lt;&gt;"",$J5&lt;&gt;"mezeraKL")</formula>
    </cfRule>
  </conditionalFormatting>
  <conditionalFormatting sqref="B5:D9 F5:I9">
    <cfRule type="expression" dxfId="14" priority="12">
      <formula>OR($J5="KL",$J5="SumaKL")</formula>
    </cfRule>
    <cfRule type="expression" priority="16" stopIfTrue="1">
      <formula>OR($J5="mezeraNS",$J5="mezeraKL")</formula>
    </cfRule>
  </conditionalFormatting>
  <conditionalFormatting sqref="B5:D9 F5:I9">
    <cfRule type="expression" dxfId="13" priority="13">
      <formula>OR($J5="SumaNS",$J5="NS")</formula>
    </cfRule>
  </conditionalFormatting>
  <conditionalFormatting sqref="A5:A9">
    <cfRule type="expression" dxfId="12" priority="9">
      <formula>AND($J5&lt;&gt;"mezeraKL",$J5&lt;&gt;"")</formula>
    </cfRule>
  </conditionalFormatting>
  <conditionalFormatting sqref="A5:A9">
    <cfRule type="expression" dxfId="11" priority="10">
      <formula>AND($J5&lt;&gt;"",$J5&lt;&gt;"mezeraKL")</formula>
    </cfRule>
  </conditionalFormatting>
  <conditionalFormatting sqref="H11:H18">
    <cfRule type="expression" dxfId="10" priority="5">
      <formula>$H11&gt;0</formula>
    </cfRule>
  </conditionalFormatting>
  <conditionalFormatting sqref="A11:A18">
    <cfRule type="expression" dxfId="9" priority="2">
      <formula>AND($J11&lt;&gt;"mezeraKL",$J11&lt;&gt;"")</formula>
    </cfRule>
  </conditionalFormatting>
  <conditionalFormatting sqref="I11:I18">
    <cfRule type="expression" dxfId="8" priority="6">
      <formula>$I11&gt;1</formula>
    </cfRule>
  </conditionalFormatting>
  <conditionalFormatting sqref="B11:B18">
    <cfRule type="expression" dxfId="7" priority="1">
      <formula>OR($J11="NS",$J11="SumaNS",$J11="Účet")</formula>
    </cfRule>
  </conditionalFormatting>
  <conditionalFormatting sqref="A11:D18 F11:I18">
    <cfRule type="expression" dxfId="6" priority="8">
      <formula>AND($J11&lt;&gt;"",$J11&lt;&gt;"mezeraKL")</formula>
    </cfRule>
  </conditionalFormatting>
  <conditionalFormatting sqref="B11:D18 F11:I18">
    <cfRule type="expression" dxfId="5" priority="3">
      <formula>OR($J11="KL",$J11="SumaKL")</formula>
    </cfRule>
    <cfRule type="expression" priority="7" stopIfTrue="1">
      <formula>OR($J11="mezeraNS",$J11="mezeraKL")</formula>
    </cfRule>
  </conditionalFormatting>
  <conditionalFormatting sqref="B11:D18 F11:I18">
    <cfRule type="expression" dxfId="4" priority="4">
      <formula>OR($J11="SumaNS",$J11="NS")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12</vt:i4>
      </vt:variant>
    </vt:vector>
  </HeadingPairs>
  <TitlesOfParts>
    <vt:vector size="12" baseType="lpstr">
      <vt:lpstr>Obsah</vt:lpstr>
      <vt:lpstr>Motivace</vt:lpstr>
      <vt:lpstr>HI</vt:lpstr>
      <vt:lpstr>Man Tab</vt:lpstr>
      <vt:lpstr>HV</vt:lpstr>
      <vt:lpstr>Léky Žádanky</vt:lpstr>
      <vt:lpstr>LŽ Detail</vt:lpstr>
      <vt:lpstr>LŽ Statim</vt:lpstr>
      <vt:lpstr>Materiál Žádanky</vt:lpstr>
      <vt:lpstr>MŽ Detail</vt:lpstr>
      <vt:lpstr>Osobní náklady</vt:lpstr>
      <vt:lpstr>ON 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2015-10-26T17:49:47Z</dcterms:modified>
</cp:coreProperties>
</file>