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I26" i="419" l="1"/>
  <c r="I27" i="419" s="1"/>
  <c r="I25" i="419"/>
  <c r="E26" i="419"/>
  <c r="I28" i="419" l="1"/>
  <c r="E25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E27" i="419" l="1"/>
  <c r="B26" i="419"/>
  <c r="B27" i="419" s="1"/>
  <c r="E28" i="419"/>
  <c r="A8" i="414"/>
  <c r="A7" i="414"/>
  <c r="G21" i="419" l="1"/>
  <c r="G22" i="419" s="1"/>
  <c r="F21" i="419"/>
  <c r="F22" i="419" s="1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F18" i="419"/>
  <c r="G18" i="419"/>
  <c r="F23" i="419"/>
  <c r="G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<sst xmlns="http://schemas.openxmlformats.org/spreadsheetml/2006/main" count="666" uniqueCount="333">
  <si>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</si>
  <si>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</si>
  <si>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</si>
  <si>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</si>
  <si>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</si>
  <si>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</si>
  <si>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</si>
  <si>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</si>
  <si>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</si>
  <si>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</si>
  <si>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</si>
  <si>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</si>
  <si>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</si>
  <si>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</si>
  <si>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</si>
  <si>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</si>
  <si>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</si>
  <si>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</si>
  <si>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</si>
  <si>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</si>
  <si>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</si>
  <si>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</si>
  <si>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</si>
  <si>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</si>
  <si>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</si>
  <si>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</si>
  <si>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</si>
  <si>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</si>
  <si>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</si>
  <si>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</si>
  <si>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</si>
  <si>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</si>
  <si>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</si>
  <si>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</si>
  <si>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</si>
  <si>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</si>
  <si>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</si>
  <si>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</si>
  <si>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</si>
  <si>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</si>
  <si>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</si>
  <si>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</si>
  <si>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</si>
  <si>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</si>
  <si>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</si>
  <si>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</si>
  <si>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</si>
  <si>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</si>
  <si>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</si>
  <si>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</si>
  <si>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</si>
  <si>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</si>
  <si>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</si>
  <si>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</si>
  <si>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</si>
  <si>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</si>
  <si>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</si>
  <si>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</si>
  <si>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</si>
  <si>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</si>
  <si>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</si>
  <si>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</si>
  <si>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</si>
  <si>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</si>
  <si>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</si>
  <si>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</si>
  <si>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</si>
  <si>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</si>
  <si>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</si>
  <si>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</si>
  <si>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</si>
  <si>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</si>
  <si>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</si>
  <si>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</si>
  <si>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</si>
  <si>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</si>
  <si>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</si>
  <si>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</si>
  <si>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</si>
  <si>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</si>
  <si>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</si>
  <si>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</si>
  <si>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</si>
  <si>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</si>
  <si>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</si>
  <si>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</si>
  <si>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</si>
  <si>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</si>
  <si>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</si>
  <si>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</si>
  <si>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</si>
  <si>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</si>
  <si>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</si>
  <si>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</si>
  <si>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</si>
  <si>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</si>
  <si>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</si>
  <si>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</si>
  <si>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</si>
  <si>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</si>
  <si>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</si>
  <si>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</si>
  <si>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</si>
  <si>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</si>
  <si>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</si>
  <si>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</si>
  <si>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</si>
  <si>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</si>
  <si>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</si>
  <si>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</si>
  <si>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</si>
  <si>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</si>
  <si>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</si>
  <si>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</si>
  <si>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</si>
  <si>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</si>
  <si>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</si>
  <si>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</si>
  <si>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</si>
  <si>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</si>
  <si>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</si>
  <si>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</si>
  <si>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</si>
  <si>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</si>
  <si>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</si>
  <si>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</si>
  <si>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</si>
  <si>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</si>
  <si>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</si>
  <si>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</si>
  <si>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</si>
  <si>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</si>
  <si>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</si>
  <si>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</si>
  <si>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</si>
  <si>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</si>
  <si>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</si>
  <si>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</si>
  <si>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</si>
  <si>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</si>
  <si>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</si>
  <si>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</si>
  <si>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</si>
  <si>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</si>
  <si>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</si>
  <si>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</si>
  <si>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</si>
  <si>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</si>
  <si>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</si>
  <si>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</si>
  <si>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</si>
  <si>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</si>
  <si>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</si>
  <si>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</si>
  <si>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</si>
  <si>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</si>
  <si>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</si>
  <si>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</si>
  <si>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</si>
  <si>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</si>
  <si>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</si>
  <si>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</si>
  <si>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</si>
  <si>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</si>
  <si>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</si>
  <si>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</si>
  <si>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</si>
  <si>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</si>
  <si>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</si>
  <si>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</si>
  <si>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</si>
  <si>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</si>
  <si>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</si>
  <si>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</si>
  <si>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</si>
  <si>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</si>
  <si>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</si>
  <si>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1.-9.měsíc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</si>
  <si>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</si>
  <si>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</si>
  <si>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</si>
  <si>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</si>
  <si>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</si>
  <si>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</si>
  <si>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</si>
  <si>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</si>
  <si>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</si>
  <si>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</si>
  <si>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</si>
  <si>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</si>
  <si>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</si>
  <si>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</si>
  <si>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</si>
  <si>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</si>
  <si>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</si>
  <si>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</si>
  <si>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</si>
  <si>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</si>
  <si>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</si>
  <si>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</si>
  <si>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</si>
  <si>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</si>
  <si>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</si>
  <si>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</si>
  <si>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</si>
  <si>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</si>
  <si>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</si>
  <si>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</si>
  <si>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</si>
  <si>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</si>
  <si>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</si>
  <si>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</si>
  <si>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</si>
  <si>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</si>
  <si>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</si>
  <si>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</si>
  <si>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</si>
  <si>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</si>
  <si>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</si>
  <si>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</si>
  <si>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</si>
  <si>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</si>
  <si>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</si>
  <si>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</si>
  <si>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</si>
  <si>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</si>
  <si>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</si>
  <si>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</si>
  <si>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</si>
  <si>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</si>
  <si>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</si>
  <si>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</si>
  <si>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</si>
  <si>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</si>
  <si>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</si>
  <si>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51874018     propagace, reklama, tisk (TM)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</si>
  <si>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</si>
  <si>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</si>
  <si>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</si>
  <si>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</si>
  <si>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</si>
  <si>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</si>
  <si>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</si>
  <si>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</si>
  <si>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</si>
  <si>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</si>
  <si>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</si>
  <si>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</si>
  <si>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</si>
  <si>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</si>
  <si>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</si>
  <si>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</si>
  <si>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</si>
  <si>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</si>
  <si>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</si>
  <si>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</si>
  <si>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</si>
  <si>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</si>
  <si>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</si>
  <si>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</si>
  <si>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</si>
  <si>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</si>
  <si>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</si>
  <si>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</si>
  <si>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</si>
  <si>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</si>
  <si>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</si>
  <si>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</si>
  <si>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</si>
  <si>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</si>
  <si>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</si>
  <si>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</si>
  <si>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</si>
  <si>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</si>
  <si>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</si>
  <si>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</si>
  <si>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</si>
  <si>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</si>
  <si>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</si>
  <si>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</si>
  <si>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</si>
  <si>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</si>
  <si>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</si>
  <si>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</si>
  <si>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</si>
  <si>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</si>
  <si>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</si>
  <si>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</si>
  <si>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</si>
  <si>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</si>
  <si>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</si>
  <si>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</si>
  <si>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</si>
  <si>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</si>
  <si>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</si>
  <si>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</si>
  <si>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</si>
  <si>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</si>
  <si>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</si>
  <si>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</si>
  <si>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</si>
  <si>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</si>
  <si>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900321</t>
  </si>
  <si>
    <t>0</t>
  </si>
  <si>
    <t>KL PRIPRAVEK</t>
  </si>
  <si>
    <t>500979</t>
  </si>
  <si>
    <t>KL MS HYDROG.PEROX. 3% 500g</t>
  </si>
  <si>
    <t>ONH: Oddělení nemocniční hygieny</t>
  </si>
  <si>
    <t>Lékárna - léčiva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</si>
  <si>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</si>
  <si>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</si>
  <si>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</si>
  <si>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</si>
  <si>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</si>
  <si>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</si>
  <si>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</si>
  <si>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</si>
  <si>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</si>
  <si>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</si>
  <si>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</si>
  <si>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</si>
  <si>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</si>
  <si>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</si>
  <si>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DC521</t>
  </si>
  <si>
    <t>OXITEST</t>
  </si>
  <si>
    <t>DE728</t>
  </si>
  <si>
    <t>PASTOREX STAPH PLUS 1x50 testů</t>
  </si>
  <si>
    <t>50115050</t>
  </si>
  <si>
    <t>502 SZM obvazový (112 02 040)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</si>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</sst>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5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78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0" fillId="0" borderId="103" xfId="0" applyBorder="1" applyAlignment="1"/>
    <xf numFmtId="173" fontId="39" fillId="4" borderId="104" xfId="0" applyNumberFormat="1" applyFont="1" applyFill="1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4" t="s">
        <v>177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179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59" t="s">
        <v>138</v>
      </c>
      <c r="C12" s="42" t="s">
        <v>148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331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2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307" t="s">
        <v>331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303"/>
      <c r="D3" s="304"/>
      <c r="E3" s="304"/>
      <c r="F3" s="304"/>
      <c r="G3" s="304"/>
      <c r="H3" s="108" t="s">
        <v>75</v>
      </c>
      <c r="I3" s="71">
        <f>IF(J3&lt;&gt;0,K3/J3,0)</f>
        <v>9.9623479370480634</v>
      </c>
      <c r="J3" s="71">
        <f>SUBTOTAL(9,J5:J1048576)</f>
        <v>4702</v>
      </c>
      <c r="K3" s="72">
        <f>SUBTOTAL(9,K5:K1048576)</f>
        <v>46842.959999999992</v>
      </c>
    </row>
    <row r="4" spans="1:11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54</v>
      </c>
      <c r="H4" s="353" t="s">
        <v>10</v>
      </c>
      <c r="I4" s="354" t="s">
        <v>81</v>
      </c>
      <c r="J4" s="354" t="s">
        <v>12</v>
      </c>
      <c r="K4" s="355" t="s">
        <v>89</v>
      </c>
    </row>
    <row r="5" spans="1:11" ht="14.4" customHeight="1" x14ac:dyDescent="0.3">
      <c r="A5" s="356" t="s">
        <v>292</v>
      </c>
      <c r="B5" s="357" t="s">
        <v>293</v>
      </c>
      <c r="C5" s="358" t="s">
        <v>297</v>
      </c>
      <c r="D5" s="359" t="s">
        <v>307</v>
      </c>
      <c r="E5" s="358" t="s">
        <v>327</v>
      </c>
      <c r="F5" s="359" t="s">
        <v>328</v>
      </c>
      <c r="G5" s="358" t="s">
        <v>311</v>
      </c>
      <c r="H5" s="358" t="s">
        <v>312</v>
      </c>
      <c r="I5" s="360">
        <v>1.21</v>
      </c>
      <c r="J5" s="360">
        <v>2000</v>
      </c>
      <c r="K5" s="361">
        <v>2420</v>
      </c>
    </row>
    <row r="6" spans="1:11" ht="14.4" customHeight="1" x14ac:dyDescent="0.3">
      <c r="A6" s="386" t="s">
        <v>292</v>
      </c>
      <c r="B6" s="387" t="s">
        <v>293</v>
      </c>
      <c r="C6" s="388" t="s">
        <v>297</v>
      </c>
      <c r="D6" s="389" t="s">
        <v>307</v>
      </c>
      <c r="E6" s="388" t="s">
        <v>329</v>
      </c>
      <c r="F6" s="389" t="s">
        <v>330</v>
      </c>
      <c r="G6" s="388" t="s">
        <v>313</v>
      </c>
      <c r="H6" s="388" t="s">
        <v>314</v>
      </c>
      <c r="I6" s="390">
        <v>12.304545454545455</v>
      </c>
      <c r="J6" s="390">
        <v>420</v>
      </c>
      <c r="K6" s="391">
        <v>5167.84</v>
      </c>
    </row>
    <row r="7" spans="1:11" ht="14.4" customHeight="1" x14ac:dyDescent="0.3">
      <c r="A7" s="386" t="s">
        <v>292</v>
      </c>
      <c r="B7" s="387" t="s">
        <v>293</v>
      </c>
      <c r="C7" s="388" t="s">
        <v>297</v>
      </c>
      <c r="D7" s="389" t="s">
        <v>307</v>
      </c>
      <c r="E7" s="388" t="s">
        <v>329</v>
      </c>
      <c r="F7" s="389" t="s">
        <v>330</v>
      </c>
      <c r="G7" s="388" t="s">
        <v>315</v>
      </c>
      <c r="H7" s="388" t="s">
        <v>316</v>
      </c>
      <c r="I7" s="390">
        <v>17.539999999999996</v>
      </c>
      <c r="J7" s="390">
        <v>220</v>
      </c>
      <c r="K7" s="391">
        <v>3859.6899999999996</v>
      </c>
    </row>
    <row r="8" spans="1:11" ht="14.4" customHeight="1" x14ac:dyDescent="0.3">
      <c r="A8" s="386" t="s">
        <v>292</v>
      </c>
      <c r="B8" s="387" t="s">
        <v>293</v>
      </c>
      <c r="C8" s="388" t="s">
        <v>297</v>
      </c>
      <c r="D8" s="389" t="s">
        <v>307</v>
      </c>
      <c r="E8" s="388" t="s">
        <v>329</v>
      </c>
      <c r="F8" s="389" t="s">
        <v>330</v>
      </c>
      <c r="G8" s="388" t="s">
        <v>317</v>
      </c>
      <c r="H8" s="388" t="s">
        <v>318</v>
      </c>
      <c r="I8" s="390">
        <v>18.149999999999999</v>
      </c>
      <c r="J8" s="390">
        <v>90</v>
      </c>
      <c r="K8" s="391">
        <v>1633.5600000000002</v>
      </c>
    </row>
    <row r="9" spans="1:11" ht="14.4" customHeight="1" x14ac:dyDescent="0.3">
      <c r="A9" s="386" t="s">
        <v>292</v>
      </c>
      <c r="B9" s="387" t="s">
        <v>293</v>
      </c>
      <c r="C9" s="388" t="s">
        <v>297</v>
      </c>
      <c r="D9" s="389" t="s">
        <v>307</v>
      </c>
      <c r="E9" s="388" t="s">
        <v>329</v>
      </c>
      <c r="F9" s="389" t="s">
        <v>330</v>
      </c>
      <c r="G9" s="388" t="s">
        <v>319</v>
      </c>
      <c r="H9" s="388" t="s">
        <v>320</v>
      </c>
      <c r="I9" s="390">
        <v>15.81</v>
      </c>
      <c r="J9" s="390">
        <v>1770</v>
      </c>
      <c r="K9" s="391">
        <v>27990.299999999996</v>
      </c>
    </row>
    <row r="10" spans="1:11" ht="14.4" customHeight="1" x14ac:dyDescent="0.3">
      <c r="A10" s="386" t="s">
        <v>292</v>
      </c>
      <c r="B10" s="387" t="s">
        <v>293</v>
      </c>
      <c r="C10" s="388" t="s">
        <v>297</v>
      </c>
      <c r="D10" s="389" t="s">
        <v>307</v>
      </c>
      <c r="E10" s="388" t="s">
        <v>329</v>
      </c>
      <c r="F10" s="389" t="s">
        <v>330</v>
      </c>
      <c r="G10" s="388" t="s">
        <v>321</v>
      </c>
      <c r="H10" s="388" t="s">
        <v>322</v>
      </c>
      <c r="I10" s="390">
        <v>15.549999999999999</v>
      </c>
      <c r="J10" s="390">
        <v>200</v>
      </c>
      <c r="K10" s="391">
        <v>3109.5699999999997</v>
      </c>
    </row>
    <row r="11" spans="1:11" ht="14.4" customHeight="1" x14ac:dyDescent="0.3">
      <c r="A11" s="386" t="s">
        <v>292</v>
      </c>
      <c r="B11" s="387" t="s">
        <v>293</v>
      </c>
      <c r="C11" s="388" t="s">
        <v>297</v>
      </c>
      <c r="D11" s="389" t="s">
        <v>307</v>
      </c>
      <c r="E11" s="388" t="s">
        <v>329</v>
      </c>
      <c r="F11" s="389" t="s">
        <v>330</v>
      </c>
      <c r="G11" s="388" t="s">
        <v>323</v>
      </c>
      <c r="H11" s="388" t="s">
        <v>324</v>
      </c>
      <c r="I11" s="390">
        <v>151.25</v>
      </c>
      <c r="J11" s="390">
        <v>1</v>
      </c>
      <c r="K11" s="391">
        <v>151.25</v>
      </c>
    </row>
    <row r="12" spans="1:11" ht="14.4" customHeight="1" thickBot="1" x14ac:dyDescent="0.35">
      <c r="A12" s="362" t="s">
        <v>292</v>
      </c>
      <c r="B12" s="363" t="s">
        <v>293</v>
      </c>
      <c r="C12" s="364" t="s">
        <v>297</v>
      </c>
      <c r="D12" s="365" t="s">
        <v>307</v>
      </c>
      <c r="E12" s="364" t="s">
        <v>329</v>
      </c>
      <c r="F12" s="365" t="s">
        <v>330</v>
      </c>
      <c r="G12" s="364" t="s">
        <v>325</v>
      </c>
      <c r="H12" s="364" t="s">
        <v>326</v>
      </c>
      <c r="I12" s="366">
        <v>2510.75</v>
      </c>
      <c r="J12" s="366">
        <v>1</v>
      </c>
      <c r="K12" s="367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  <col min="9" max="9" width="13.109375" hidden="1" customWidth="1"/>
  </cols>
  <sheetData>
    <row r="1" spans="1:46" ht="18.600000000000001" thickBot="1" x14ac:dyDescent="0.4">
      <c r="A1" s="317" t="s">
        <v>61</v>
      </c>
      <c r="B1" s="302"/>
      <c r="C1" s="302"/>
      <c r="D1" s="302"/>
      <c r="E1" s="302"/>
      <c r="F1" s="302"/>
      <c r="G1" s="302"/>
      <c r="H1" s="302"/>
      <c r="I1" s="302"/>
    </row>
    <row r="2" spans="1:46" ht="15" thickBot="1" x14ac:dyDescent="0.35">
      <c r="A2" s="174" t="s">
        <v>177</v>
      </c>
      <c r="B2" s="175"/>
      <c r="C2" s="175"/>
      <c r="D2" s="175"/>
      <c r="E2" s="175"/>
      <c r="F2" s="175"/>
      <c r="G2" s="175"/>
    </row>
    <row r="3" spans="1:46" x14ac:dyDescent="0.3">
      <c r="A3" s="195" t="s">
        <v>125</v>
      </c>
      <c r="B3" s="315" t="s">
        <v>108</v>
      </c>
      <c r="C3" s="176">
        <v>0</v>
      </c>
      <c r="D3" s="198">
        <v>101</v>
      </c>
      <c r="E3" s="198">
        <v>302</v>
      </c>
      <c r="F3" s="198">
        <v>409</v>
      </c>
      <c r="G3" s="177">
        <v>528</v>
      </c>
      <c r="H3" s="177">
        <v>746</v>
      </c>
      <c r="I3" s="178">
        <v>930</v>
      </c>
      <c r="AT3" s="410"/>
    </row>
    <row r="4" spans="1:46" ht="36.6" outlineLevel="1" thickBot="1" x14ac:dyDescent="0.35">
      <c r="A4" s="196">
        <v>2016</v>
      </c>
      <c r="B4" s="316"/>
      <c r="C4" s="179" t="s">
        <v>109</v>
      </c>
      <c r="D4" s="199" t="s">
        <v>151</v>
      </c>
      <c r="E4" s="199" t="s">
        <v>152</v>
      </c>
      <c r="F4" s="199" t="s">
        <v>134</v>
      </c>
      <c r="G4" s="180" t="s">
        <v>136</v>
      </c>
      <c r="H4" s="180" t="s">
        <v>135</v>
      </c>
      <c r="I4" s="181" t="s">
        <v>127</v>
      </c>
      <c r="AT4" s="410"/>
    </row>
    <row r="5" spans="1:46" x14ac:dyDescent="0.3">
      <c r="A5" s="182" t="s">
        <v>110</v>
      </c>
      <c r="B5" s="224"/>
      <c r="C5" s="225"/>
      <c r="D5" s="226"/>
      <c r="E5" s="226"/>
      <c r="F5" s="226"/>
      <c r="G5" s="226"/>
      <c r="H5" s="226"/>
      <c r="I5" s="227"/>
      <c r="AT5" s="410"/>
    </row>
    <row r="6" spans="1:46" ht="15" collapsed="1" thickBot="1" x14ac:dyDescent="0.35">
      <c r="A6" s="183" t="s">
        <v>55</v>
      </c>
      <c r="B6" s="228">
        <f xml:space="preserve">
TRUNC(IF($A$4&lt;=12,SUMIFS('ON Data'!F:F,'ON Data'!$D:$D,$A$4,'ON Data'!$E:$E,1),SUMIFS('ON Data'!F:F,'ON Data'!$E:$E,1)/'ON Data'!$D$3),1)</f>
        <v>4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Data'!K:K,'ON Data'!$D:$D,$A$4,'ON Data'!$E:$E,1),SUMIFS('ON Data'!K:K,'ON Data'!$E:$E,1)/'ON Data'!$D$3),1)</f>
        <v>2</v>
      </c>
      <c r="E6" s="230">
        <f xml:space="preserve">
TRUNC(IF($A$4&lt;=12,SUMIFS('ON Data'!O:O,'ON Data'!$D:$D,$A$4,'ON Data'!$E:$E,1),SUMIFS('ON Data'!O:O,'ON Data'!$E:$E,1)/'ON Data'!$D$3),1)</f>
        <v>0</v>
      </c>
      <c r="F6" s="230">
        <f xml:space="preserve">
TRUNC(IF($A$4&lt;=12,SUMIFS('ON Data'!V:V,'ON Data'!$D:$D,$A$4,'ON Data'!$E:$E,1),SUMIFS('ON Data'!V:V,'ON Data'!$E:$E,1)/'ON Data'!$D$3),1)</f>
        <v>1</v>
      </c>
      <c r="G6" s="230">
        <f xml:space="preserve">
TRUNC(IF($A$4&lt;=12,SUMIFS('ON Data'!AL:AL,'ON Data'!$D:$D,$A$4,'ON Data'!$E:$E,1),SUMIFS('ON Data'!AL:AL,'ON Data'!$E:$E,1)/'ON Data'!$D$3),1)</f>
        <v>1</v>
      </c>
      <c r="H6" s="230">
        <f xml:space="preserve">
TRUNC(IF($A$4&lt;=12,SUMIFS('ON Data'!AU:AU,'ON Data'!$D:$D,$A$4,'ON Data'!$E:$E,1),SUMIFS('ON Data'!AU:AU,'ON Data'!$E:$E,1)/'ON Data'!$D$3),1)</f>
        <v>0</v>
      </c>
      <c r="I6" s="231">
        <f xml:space="preserve">
TRUNC(IF($A$4&lt;=12,SUMIFS('ON Data'!AW:AW,'ON Data'!$D:$D,$A$4,'ON Data'!$E:$E,1),SUMIFS('ON Data'!AW:AW,'ON Data'!$E:$E,1)/'ON Data'!$D$3),1)</f>
        <v>0</v>
      </c>
      <c r="AT6" s="410"/>
    </row>
    <row r="7" spans="1:46" ht="15" hidden="1" outlineLevel="1" thickBot="1" x14ac:dyDescent="0.35">
      <c r="A7" s="183" t="s">
        <v>62</v>
      </c>
      <c r="B7" s="228"/>
      <c r="C7" s="232"/>
      <c r="D7" s="230"/>
      <c r="E7" s="230"/>
      <c r="F7" s="230"/>
      <c r="G7" s="230"/>
      <c r="H7" s="230"/>
      <c r="I7" s="231"/>
      <c r="AT7" s="410"/>
    </row>
    <row r="8" spans="1:46" ht="15" hidden="1" outlineLevel="1" thickBot="1" x14ac:dyDescent="0.35">
      <c r="A8" s="183" t="s">
        <v>57</v>
      </c>
      <c r="B8" s="228"/>
      <c r="C8" s="232"/>
      <c r="D8" s="230"/>
      <c r="E8" s="230"/>
      <c r="F8" s="230"/>
      <c r="G8" s="230"/>
      <c r="H8" s="230"/>
      <c r="I8" s="231"/>
      <c r="AT8" s="410"/>
    </row>
    <row r="9" spans="1:46" ht="15" hidden="1" outlineLevel="1" thickBot="1" x14ac:dyDescent="0.35">
      <c r="A9" s="184" t="s">
        <v>52</v>
      </c>
      <c r="B9" s="233"/>
      <c r="C9" s="234"/>
      <c r="D9" s="235"/>
      <c r="E9" s="235"/>
      <c r="F9" s="235"/>
      <c r="G9" s="235"/>
      <c r="H9" s="235"/>
      <c r="I9" s="236"/>
      <c r="AT9" s="410"/>
    </row>
    <row r="10" spans="1:46" x14ac:dyDescent="0.3">
      <c r="A10" s="185" t="s">
        <v>111</v>
      </c>
      <c r="B10" s="200"/>
      <c r="C10" s="201"/>
      <c r="D10" s="202"/>
      <c r="E10" s="202"/>
      <c r="F10" s="202"/>
      <c r="G10" s="202"/>
      <c r="H10" s="202"/>
      <c r="I10" s="203"/>
      <c r="AT10" s="410"/>
    </row>
    <row r="11" spans="1:46" x14ac:dyDescent="0.3">
      <c r="A11" s="186" t="s">
        <v>112</v>
      </c>
      <c r="B11" s="204">
        <f xml:space="preserve">
IF($A$4&lt;=12,SUMIFS('ON Data'!F:F,'ON Data'!$D:$D,$A$4,'ON Data'!$E:$E,2),SUMIFS('ON Data'!F:F,'ON Data'!$E:$E,2))</f>
        <v>5560</v>
      </c>
      <c r="C11" s="205">
        <f xml:space="preserve">
IF($A$4&lt;=12,SUMIFS('ON Data'!G:G,'ON Data'!$D:$D,$A$4,'ON Data'!$E:$E,2),SUMIFS('ON Data'!G:G,'ON Data'!$E:$E,2))</f>
        <v>0</v>
      </c>
      <c r="D11" s="206">
        <f xml:space="preserve">
IF($A$4&lt;=12,SUMIFS('ON Data'!K:K,'ON Data'!$D:$D,$A$4,'ON Data'!$E:$E,2),SUMIFS('ON Data'!K:K,'ON Data'!$E:$E,2))</f>
        <v>2824</v>
      </c>
      <c r="E11" s="206">
        <f xml:space="preserve">
IF($A$4&lt;=12,SUMIFS('ON Data'!O:O,'ON Data'!$D:$D,$A$4,'ON Data'!$E:$E,2),SUMIFS('ON Data'!O:O,'ON Data'!$E:$E,2))</f>
        <v>0</v>
      </c>
      <c r="F11" s="206">
        <f xml:space="preserve">
IF($A$4&lt;=12,SUMIFS('ON Data'!V:V,'ON Data'!$D:$D,$A$4,'ON Data'!$E:$E,2),SUMIFS('ON Data'!V:V,'ON Data'!$E:$E,2))</f>
        <v>1400</v>
      </c>
      <c r="G11" s="206">
        <f xml:space="preserve">
IF($A$4&lt;=12,SUMIFS('ON Data'!AL:AL,'ON Data'!$D:$D,$A$4,'ON Data'!$E:$E,2),SUMIFS('ON Data'!AL:AL,'ON Data'!$E:$E,2))</f>
        <v>1336</v>
      </c>
      <c r="H11" s="206">
        <f xml:space="preserve">
IF($A$4&lt;=12,SUMIFS('ON Data'!AU:AU,'ON Data'!$D:$D,$A$4,'ON Data'!$E:$E,2),SUMIFS('ON Data'!AU:AU,'ON Data'!$E:$E,2))</f>
        <v>0</v>
      </c>
      <c r="I11" s="207">
        <f xml:space="preserve">
IF($A$4&lt;=12,SUMIFS('ON Data'!AW:AW,'ON Data'!$D:$D,$A$4,'ON Data'!$E:$E,2),SUMIFS('ON Data'!AW:AW,'ON Data'!$E:$E,2))</f>
        <v>0</v>
      </c>
      <c r="AT11" s="410"/>
    </row>
    <row r="12" spans="1:46" x14ac:dyDescent="0.3">
      <c r="A12" s="186" t="s">
        <v>113</v>
      </c>
      <c r="B12" s="204">
        <f xml:space="preserve">
IF($A$4&lt;=12,SUMIFS('ON Data'!F:F,'ON Data'!$D:$D,$A$4,'ON Data'!$E:$E,3),SUMIFS('ON Data'!F:F,'ON Data'!$E:$E,3))</f>
        <v>0</v>
      </c>
      <c r="C12" s="205">
        <f xml:space="preserve">
IF($A$4&lt;=12,SUMIFS('ON Data'!G:G,'ON Data'!$D:$D,$A$4,'ON Data'!$E:$E,3),SUMIFS('ON Data'!G:G,'ON Data'!$E:$E,3))</f>
        <v>0</v>
      </c>
      <c r="D12" s="206">
        <f xml:space="preserve">
IF($A$4&lt;=12,SUMIFS('ON Data'!K:K,'ON Data'!$D:$D,$A$4,'ON Data'!$E:$E,3),SUMIFS('ON Data'!K:K,'ON Data'!$E:$E,3))</f>
        <v>0</v>
      </c>
      <c r="E12" s="206">
        <f xml:space="preserve">
IF($A$4&lt;=12,SUMIFS('ON Data'!O:O,'ON Data'!$D:$D,$A$4,'ON Data'!$E:$E,3),SUMIFS('ON Data'!O:O,'ON Data'!$E:$E,3))</f>
        <v>0</v>
      </c>
      <c r="F12" s="206">
        <f xml:space="preserve">
IF($A$4&lt;=12,SUMIFS('ON Data'!V:V,'ON Data'!$D:$D,$A$4,'ON Data'!$E:$E,3),SUMIFS('ON Data'!V:V,'ON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06">
        <f xml:space="preserve">
IF($A$4&lt;=12,SUMIFS('ON Data'!AU:AU,'ON Data'!$D:$D,$A$4,'ON Data'!$E:$E,3),SUMIFS('ON Data'!AU:AU,'ON Data'!$E:$E,3))</f>
        <v>0</v>
      </c>
      <c r="I12" s="207">
        <f xml:space="preserve">
IF($A$4&lt;=12,SUMIFS('ON Data'!AW:AW,'ON Data'!$D:$D,$A$4,'ON Data'!$E:$E,3),SUMIFS('ON Data'!AW:AW,'ON Data'!$E:$E,3))</f>
        <v>0</v>
      </c>
      <c r="AT12" s="410"/>
    </row>
    <row r="13" spans="1:46" x14ac:dyDescent="0.3">
      <c r="A13" s="186" t="s">
        <v>120</v>
      </c>
      <c r="B13" s="204">
        <f xml:space="preserve">
IF($A$4&lt;=12,SUMIFS('ON Data'!F:F,'ON Data'!$D:$D,$A$4,'ON Data'!$E:$E,4),SUMIFS('ON Data'!F:F,'ON Data'!$E:$E,4))</f>
        <v>0</v>
      </c>
      <c r="C13" s="205">
        <f xml:space="preserve">
IF($A$4&lt;=12,SUMIFS('ON Data'!G:G,'ON Data'!$D:$D,$A$4,'ON Data'!$E:$E,4),SUMIFS('ON Data'!G:G,'ON Data'!$E:$E,4))</f>
        <v>0</v>
      </c>
      <c r="D13" s="206">
        <f xml:space="preserve">
IF($A$4&lt;=12,SUMIFS('ON Data'!K:K,'ON Data'!$D:$D,$A$4,'ON Data'!$E:$E,4),SUMIFS('ON Data'!K:K,'ON Data'!$E:$E,4))</f>
        <v>0</v>
      </c>
      <c r="E13" s="206">
        <f xml:space="preserve">
IF($A$4&lt;=12,SUMIFS('ON Data'!O:O,'ON Data'!$D:$D,$A$4,'ON Data'!$E:$E,4),SUMIFS('ON Data'!O:O,'ON Data'!$E:$E,4))</f>
        <v>0</v>
      </c>
      <c r="F13" s="206">
        <f xml:space="preserve">
IF($A$4&lt;=12,SUMIFS('ON Data'!V:V,'ON Data'!$D:$D,$A$4,'ON Data'!$E:$E,4),SUMIFS('ON Data'!V:V,'ON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06">
        <f xml:space="preserve">
IF($A$4&lt;=12,SUMIFS('ON Data'!AU:AU,'ON Data'!$D:$D,$A$4,'ON Data'!$E:$E,4),SUMIFS('ON Data'!AU:AU,'ON Data'!$E:$E,4))</f>
        <v>0</v>
      </c>
      <c r="I13" s="207">
        <f xml:space="preserve">
IF($A$4&lt;=12,SUMIFS('ON Data'!AW:AW,'ON Data'!$D:$D,$A$4,'ON Data'!$E:$E,4),SUMIFS('ON Data'!AW:AW,'ON Data'!$E:$E,4))</f>
        <v>0</v>
      </c>
      <c r="AT13" s="410"/>
    </row>
    <row r="14" spans="1:46" ht="15" thickBot="1" x14ac:dyDescent="0.35">
      <c r="A14" s="187" t="s">
        <v>114</v>
      </c>
      <c r="B14" s="208">
        <f xml:space="preserve">
IF($A$4&lt;=12,SUMIFS('ON Data'!F:F,'ON Data'!$D:$D,$A$4,'ON Data'!$E:$E,5),SUMIFS('ON Data'!F:F,'ON Data'!$E:$E,5))</f>
        <v>180</v>
      </c>
      <c r="C14" s="209">
        <f xml:space="preserve">
IF($A$4&lt;=12,SUMIFS('ON Data'!G:G,'ON Data'!$D:$D,$A$4,'ON Data'!$E:$E,5),SUMIFS('ON Data'!G:G,'ON Data'!$E:$E,5))</f>
        <v>180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Data'!V:V,'ON Data'!$D:$D,$A$4,'ON Data'!$E:$E,5),SUMIFS('ON Data'!V:V,'ON Data'!$E:$E,5))</f>
        <v>0</v>
      </c>
      <c r="G14" s="210">
        <f xml:space="preserve">
IF($A$4&lt;=12,SUMIFS('ON Data'!AL:AL,'ON Data'!$D:$D,$A$4,'ON Data'!$E:$E,5),SUMIFS('ON Data'!AL:AL,'ON Data'!$E:$E,5))</f>
        <v>0</v>
      </c>
      <c r="H14" s="210">
        <f xml:space="preserve">
IF($A$4&lt;=12,SUMIFS('ON Data'!AU:AU,'ON Data'!$D:$D,$A$4,'ON Data'!$E:$E,5),SUMIFS('ON Data'!AU:AU,'ON Data'!$E:$E,5))</f>
        <v>0</v>
      </c>
      <c r="I14" s="211">
        <f xml:space="preserve">
IF($A$4&lt;=12,SUMIFS('ON Data'!AW:AW,'ON Data'!$D:$D,$A$4,'ON Data'!$E:$E,5),SUMIFS('ON Data'!AW:AW,'ON Data'!$E:$E,5))</f>
        <v>0</v>
      </c>
      <c r="AT14" s="410"/>
    </row>
    <row r="15" spans="1:46" x14ac:dyDescent="0.3">
      <c r="A15" s="126" t="s">
        <v>124</v>
      </c>
      <c r="B15" s="212"/>
      <c r="C15" s="213"/>
      <c r="D15" s="214"/>
      <c r="E15" s="214"/>
      <c r="F15" s="214"/>
      <c r="G15" s="214"/>
      <c r="H15" s="214"/>
      <c r="I15" s="215"/>
      <c r="AT15" s="410"/>
    </row>
    <row r="16" spans="1:46" x14ac:dyDescent="0.3">
      <c r="A16" s="188" t="s">
        <v>115</v>
      </c>
      <c r="B16" s="204">
        <f xml:space="preserve">
IF($A$4&lt;=12,SUMIFS('ON Data'!F:F,'ON Data'!$D:$D,$A$4,'ON Data'!$E:$E,7),SUMIFS('ON Data'!F:F,'ON Data'!$E:$E,7))</f>
        <v>0</v>
      </c>
      <c r="C16" s="205">
        <f xml:space="preserve">
IF($A$4&lt;=12,SUMIFS('ON Data'!G:G,'ON Data'!$D:$D,$A$4,'ON Data'!$E:$E,7),SUMIFS('ON Data'!G:G,'ON Data'!$E:$E,7))</f>
        <v>0</v>
      </c>
      <c r="D16" s="206">
        <f xml:space="preserve">
IF($A$4&lt;=12,SUMIFS('ON Data'!K:K,'ON Data'!$D:$D,$A$4,'ON Data'!$E:$E,7),SUMIFS('ON Data'!K:K,'ON Data'!$E:$E,7))</f>
        <v>0</v>
      </c>
      <c r="E16" s="206">
        <f xml:space="preserve">
IF($A$4&lt;=12,SUMIFS('ON Data'!O:O,'ON Data'!$D:$D,$A$4,'ON Data'!$E:$E,7),SUMIFS('ON Data'!O:O,'ON Data'!$E:$E,7))</f>
        <v>0</v>
      </c>
      <c r="F16" s="206">
        <f xml:space="preserve">
IF($A$4&lt;=12,SUMIFS('ON Data'!V:V,'ON Data'!$D:$D,$A$4,'ON Data'!$E:$E,7),SUMIFS('ON Data'!V:V,'ON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06">
        <f xml:space="preserve">
IF($A$4&lt;=12,SUMIFS('ON Data'!AU:AU,'ON Data'!$D:$D,$A$4,'ON Data'!$E:$E,7),SUMIFS('ON Data'!AU:AU,'ON Data'!$E:$E,7))</f>
        <v>0</v>
      </c>
      <c r="I16" s="207">
        <f xml:space="preserve">
IF($A$4&lt;=12,SUMIFS('ON Data'!AW:AW,'ON Data'!$D:$D,$A$4,'ON Data'!$E:$E,7),SUMIFS('ON Data'!AW:AW,'ON Data'!$E:$E,7))</f>
        <v>0</v>
      </c>
      <c r="AT16" s="410"/>
    </row>
    <row r="17" spans="1:46" x14ac:dyDescent="0.3">
      <c r="A17" s="188" t="s">
        <v>116</v>
      </c>
      <c r="B17" s="204">
        <f xml:space="preserve">
IF($A$4&lt;=12,SUMIFS('ON Data'!F:F,'ON Data'!$D:$D,$A$4,'ON Data'!$E:$E,8),SUMIFS('ON Data'!F:F,'ON Data'!$E:$E,8))</f>
        <v>0</v>
      </c>
      <c r="C17" s="205">
        <f xml:space="preserve">
IF($A$4&lt;=12,SUMIFS('ON Data'!G:G,'ON Data'!$D:$D,$A$4,'ON Data'!$E:$E,8),SUMIFS('ON Data'!G:G,'ON Data'!$E:$E,8))</f>
        <v>0</v>
      </c>
      <c r="D17" s="206">
        <f xml:space="preserve">
IF($A$4&lt;=12,SUMIFS('ON Data'!K:K,'ON Data'!$D:$D,$A$4,'ON Data'!$E:$E,8),SUMIFS('ON Data'!K:K,'ON Data'!$E:$E,8))</f>
        <v>0</v>
      </c>
      <c r="E17" s="206">
        <f xml:space="preserve">
IF($A$4&lt;=12,SUMIFS('ON Data'!O:O,'ON Data'!$D:$D,$A$4,'ON Data'!$E:$E,8),SUMIFS('ON Data'!O:O,'ON Data'!$E:$E,8))</f>
        <v>0</v>
      </c>
      <c r="F17" s="206">
        <f xml:space="preserve">
IF($A$4&lt;=12,SUMIFS('ON Data'!V:V,'ON Data'!$D:$D,$A$4,'ON Data'!$E:$E,8),SUMIFS('ON Data'!V:V,'ON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06">
        <f xml:space="preserve">
IF($A$4&lt;=12,SUMIFS('ON Data'!AU:AU,'ON Data'!$D:$D,$A$4,'ON Data'!$E:$E,8),SUMIFS('ON Data'!AU:AU,'ON Data'!$E:$E,8))</f>
        <v>0</v>
      </c>
      <c r="I17" s="207">
        <f xml:space="preserve">
IF($A$4&lt;=12,SUMIFS('ON Data'!AW:AW,'ON Data'!$D:$D,$A$4,'ON Data'!$E:$E,8),SUMIFS('ON Data'!AW:AW,'ON Data'!$E:$E,8))</f>
        <v>0</v>
      </c>
      <c r="AT17" s="410"/>
    </row>
    <row r="18" spans="1:46" x14ac:dyDescent="0.3">
      <c r="A18" s="188" t="s">
        <v>117</v>
      </c>
      <c r="B18" s="204">
        <f xml:space="preserve">
B19-B16-B17</f>
        <v>88122</v>
      </c>
      <c r="C18" s="205">
        <f t="shared" ref="C18:D18" si="0" xml:space="preserve">
C19-C16-C17</f>
        <v>0</v>
      </c>
      <c r="D18" s="206">
        <f t="shared" si="0"/>
        <v>70722</v>
      </c>
      <c r="E18" s="206">
        <f t="shared" ref="E18:G18" si="1" xml:space="preserve">
E19-E16-E17</f>
        <v>0</v>
      </c>
      <c r="F18" s="206">
        <f t="shared" si="1"/>
        <v>8341</v>
      </c>
      <c r="G18" s="206">
        <f t="shared" si="1"/>
        <v>9059</v>
      </c>
      <c r="H18" s="206">
        <f t="shared" ref="H18:I18" si="2" xml:space="preserve">
H19-H16-H17</f>
        <v>0</v>
      </c>
      <c r="I18" s="207">
        <f t="shared" si="2"/>
        <v>0</v>
      </c>
      <c r="AT18" s="410"/>
    </row>
    <row r="19" spans="1:46" ht="15" thickBot="1" x14ac:dyDescent="0.35">
      <c r="A19" s="189" t="s">
        <v>118</v>
      </c>
      <c r="B19" s="216">
        <f xml:space="preserve">
IF($A$4&lt;=12,SUMIFS('ON Data'!F:F,'ON Data'!$D:$D,$A$4,'ON Data'!$E:$E,9),SUMIFS('ON Data'!F:F,'ON Data'!$E:$E,9))</f>
        <v>88122</v>
      </c>
      <c r="C19" s="217">
        <f xml:space="preserve">
IF($A$4&lt;=12,SUMIFS('ON Data'!G:G,'ON Data'!$D:$D,$A$4,'ON Data'!$E:$E,9),SUMIFS('ON Data'!G:G,'ON Data'!$E:$E,9))</f>
        <v>0</v>
      </c>
      <c r="D19" s="218">
        <f xml:space="preserve">
IF($A$4&lt;=12,SUMIFS('ON Data'!K:K,'ON Data'!$D:$D,$A$4,'ON Data'!$E:$E,9),SUMIFS('ON Data'!K:K,'ON Data'!$E:$E,9))</f>
        <v>70722</v>
      </c>
      <c r="E19" s="218">
        <f xml:space="preserve">
IF($A$4&lt;=12,SUMIFS('ON Data'!O:O,'ON Data'!$D:$D,$A$4,'ON Data'!$E:$E,9),SUMIFS('ON Data'!O:O,'ON Data'!$E:$E,9))</f>
        <v>0</v>
      </c>
      <c r="F19" s="218">
        <f xml:space="preserve">
IF($A$4&lt;=12,SUMIFS('ON Data'!V:V,'ON Data'!$D:$D,$A$4,'ON Data'!$E:$E,9),SUMIFS('ON Data'!V:V,'ON Data'!$E:$E,9))</f>
        <v>8341</v>
      </c>
      <c r="G19" s="218">
        <f xml:space="preserve">
IF($A$4&lt;=12,SUMIFS('ON Data'!AL:AL,'ON Data'!$D:$D,$A$4,'ON Data'!$E:$E,9),SUMIFS('ON Data'!AL:AL,'ON Data'!$E:$E,9))</f>
        <v>9059</v>
      </c>
      <c r="H19" s="218">
        <f xml:space="preserve">
IF($A$4&lt;=12,SUMIFS('ON Data'!AU:AU,'ON Data'!$D:$D,$A$4,'ON Data'!$E:$E,9),SUMIFS('ON Data'!AU:AU,'ON Data'!$E:$E,9))</f>
        <v>0</v>
      </c>
      <c r="I19" s="219">
        <f xml:space="preserve">
IF($A$4&lt;=12,SUMIFS('ON Data'!AW:AW,'ON Data'!$D:$D,$A$4,'ON Data'!$E:$E,9),SUMIFS('ON Data'!AW:AW,'ON Data'!$E:$E,9))</f>
        <v>0</v>
      </c>
      <c r="AT19" s="410"/>
    </row>
    <row r="20" spans="1:46" ht="15" collapsed="1" thickBot="1" x14ac:dyDescent="0.35">
      <c r="A20" s="190" t="s">
        <v>55</v>
      </c>
      <c r="B20" s="220">
        <f xml:space="preserve">
IF($A$4&lt;=12,SUMIFS('ON Data'!F:F,'ON Data'!$D:$D,$A$4,'ON Data'!$E:$E,6),SUMIFS('ON Data'!F:F,'ON Data'!$E:$E,6))</f>
        <v>1617169</v>
      </c>
      <c r="C20" s="221">
        <f xml:space="preserve">
IF($A$4&lt;=12,SUMIFS('ON Data'!G:G,'ON Data'!$D:$D,$A$4,'ON Data'!$E:$E,6),SUMIFS('ON Data'!G:G,'ON Data'!$E:$E,6))</f>
        <v>45000</v>
      </c>
      <c r="D20" s="222">
        <f xml:space="preserve">
IF($A$4&lt;=12,SUMIFS('ON Data'!K:K,'ON Data'!$D:$D,$A$4,'ON Data'!$E:$E,6),SUMIFS('ON Data'!K:K,'ON Data'!$E:$E,6))</f>
        <v>1076643</v>
      </c>
      <c r="E20" s="222">
        <f xml:space="preserve">
IF($A$4&lt;=12,SUMIFS('ON Data'!O:O,'ON Data'!$D:$D,$A$4,'ON Data'!$E:$E,6),SUMIFS('ON Data'!O:O,'ON Data'!$E:$E,6))</f>
        <v>0</v>
      </c>
      <c r="F20" s="222">
        <f xml:space="preserve">
IF($A$4&lt;=12,SUMIFS('ON Data'!V:V,'ON Data'!$D:$D,$A$4,'ON Data'!$E:$E,6),SUMIFS('ON Data'!V:V,'ON Data'!$E:$E,6))</f>
        <v>250258</v>
      </c>
      <c r="G20" s="222">
        <f xml:space="preserve">
IF($A$4&lt;=12,SUMIFS('ON Data'!AL:AL,'ON Data'!$D:$D,$A$4,'ON Data'!$E:$E,6),SUMIFS('ON Data'!AL:AL,'ON Data'!$E:$E,6))</f>
        <v>240495</v>
      </c>
      <c r="H20" s="222">
        <f xml:space="preserve">
IF($A$4&lt;=12,SUMIFS('ON Data'!AU:AU,'ON Data'!$D:$D,$A$4,'ON Data'!$E:$E,6),SUMIFS('ON Data'!AU:AU,'ON Data'!$E:$E,6))</f>
        <v>4773</v>
      </c>
      <c r="I20" s="223">
        <f xml:space="preserve">
IF($A$4&lt;=12,SUMIFS('ON Data'!AW:AW,'ON Data'!$D:$D,$A$4,'ON Data'!$E:$E,6),SUMIFS('ON Data'!AW:AW,'ON Data'!$E:$E,6))</f>
        <v>0</v>
      </c>
      <c r="AT20" s="410"/>
    </row>
    <row r="21" spans="1:46" ht="15" hidden="1" outlineLevel="1" thickBot="1" x14ac:dyDescent="0.35">
      <c r="A21" s="183" t="s">
        <v>62</v>
      </c>
      <c r="B21" s="204">
        <f xml:space="preserve">
IF($A$4&lt;=12,SUMIFS('ON Data'!F:F,'ON Data'!$D:$D,$A$4,'ON Data'!$E:$E,12),SUMIFS('ON Data'!F:F,'ON Data'!$E:$E,12))</f>
        <v>0</v>
      </c>
      <c r="C21" s="205">
        <f xml:space="preserve">
IF($A$4&lt;=12,SUMIFS('ON Data'!G:G,'ON Data'!$D:$D,$A$4,'ON Data'!$E:$E,12),SUMIFS('ON Data'!G:G,'ON Data'!$E:$E,12))</f>
        <v>0</v>
      </c>
      <c r="D21" s="206">
        <f xml:space="preserve">
IF($A$4&lt;=12,SUMIFS('ON Data'!K:K,'ON Data'!$D:$D,$A$4,'ON Data'!$E:$E,12),SUMIFS('ON Data'!K:K,'ON Data'!$E:$E,12))</f>
        <v>0</v>
      </c>
      <c r="E21" s="206">
        <f xml:space="preserve">
IF($A$4&lt;=12,SUMIFS('ON Data'!O:O,'ON Data'!$D:$D,$A$4,'ON Data'!$E:$E,12),SUMIFS('ON Data'!O:O,'ON Data'!$E:$E,12))</f>
        <v>0</v>
      </c>
      <c r="F21" s="206">
        <f xml:space="preserve">
IF($A$4&lt;=12,SUMIFS('ON Data'!V:V,'ON Data'!$D:$D,$A$4,'ON Data'!$E:$E,12),SUMIFS('ON Data'!V:V,'ON Data'!$E:$E,12))</f>
        <v>0</v>
      </c>
      <c r="G21" s="206">
        <f xml:space="preserve">
IF($A$4&lt;=12,SUMIFS('ON Data'!AL:AL,'ON Data'!$D:$D,$A$4,'ON Data'!$E:$E,12),SUMIFS('ON Data'!AL:AL,'ON Data'!$E:$E,12))</f>
        <v>0</v>
      </c>
      <c r="AT21" s="410"/>
    </row>
    <row r="22" spans="1:46" ht="15" hidden="1" outlineLevel="1" thickBot="1" x14ac:dyDescent="0.35">
      <c r="A22" s="183" t="s">
        <v>57</v>
      </c>
      <c r="B22" s="264" t="str">
        <f xml:space="preserve">
IF(OR(B21="",B21=0),"",B20/B21)</f>
        <v/>
      </c>
      <c r="C22" s="265" t="str">
        <f t="shared" ref="C22:D22" si="3" xml:space="preserve">
IF(OR(C21="",C21=0),"",C20/C21)</f>
        <v/>
      </c>
      <c r="D22" s="266" t="str">
        <f t="shared" si="3"/>
        <v/>
      </c>
      <c r="E22" s="266" t="str">
        <f t="shared" ref="E22:G22" si="4" xml:space="preserve">
IF(OR(E21="",E21=0),"",E20/E21)</f>
        <v/>
      </c>
      <c r="F22" s="266" t="str">
        <f t="shared" si="4"/>
        <v/>
      </c>
      <c r="G22" s="266" t="str">
        <f t="shared" si="4"/>
        <v/>
      </c>
      <c r="AT22" s="410"/>
    </row>
    <row r="23" spans="1:46" ht="15" hidden="1" outlineLevel="1" thickBot="1" x14ac:dyDescent="0.35">
      <c r="A23" s="191" t="s">
        <v>52</v>
      </c>
      <c r="B23" s="208">
        <f xml:space="preserve">
IF(B21="","",B20-B21)</f>
        <v>1617169</v>
      </c>
      <c r="C23" s="209">
        <f t="shared" ref="C23:D23" si="5" xml:space="preserve">
IF(C21="","",C20-C21)</f>
        <v>45000</v>
      </c>
      <c r="D23" s="210">
        <f t="shared" si="5"/>
        <v>1076643</v>
      </c>
      <c r="E23" s="210">
        <f t="shared" ref="E23:G23" si="6" xml:space="preserve">
IF(E21="","",E20-E21)</f>
        <v>0</v>
      </c>
      <c r="F23" s="210">
        <f t="shared" si="6"/>
        <v>250258</v>
      </c>
      <c r="G23" s="210">
        <f t="shared" si="6"/>
        <v>240495</v>
      </c>
      <c r="AT23" s="410"/>
    </row>
    <row r="24" spans="1:46" x14ac:dyDescent="0.3">
      <c r="A24" s="185" t="s">
        <v>119</v>
      </c>
      <c r="B24" s="241" t="s">
        <v>2</v>
      </c>
      <c r="C24" s="411" t="s">
        <v>130</v>
      </c>
      <c r="D24" s="392"/>
      <c r="E24" s="393" t="s">
        <v>131</v>
      </c>
      <c r="F24" s="394"/>
      <c r="G24" s="394"/>
      <c r="H24" s="394"/>
      <c r="I24" s="395" t="s">
        <v>132</v>
      </c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409"/>
      <c r="AT24" s="410"/>
    </row>
    <row r="25" spans="1:46" x14ac:dyDescent="0.3">
      <c r="A25" s="186" t="s">
        <v>55</v>
      </c>
      <c r="B25" s="204">
        <f xml:space="preserve">
SUM(C25:I25)</f>
        <v>14988</v>
      </c>
      <c r="C25" s="412">
        <f xml:space="preserve">
IF($A$4&lt;=12,SUMIFS('ON Data'!J:J,'ON Data'!$D:$D,$A$4,'ON Data'!$E:$E,10),SUMIFS('ON Data'!J:J,'ON Data'!$E:$E,10))</f>
        <v>4580</v>
      </c>
      <c r="D25" s="397"/>
      <c r="E25" s="398">
        <f xml:space="preserve">
IF($A$4&lt;=12,SUMIFS('ON Data'!O:O,'ON Data'!$D:$D,$A$4,'ON Data'!$E:$E,10),SUMIFS('ON Data'!O:O,'ON Data'!$E:$E,10))</f>
        <v>10408</v>
      </c>
      <c r="F25" s="399"/>
      <c r="G25" s="399"/>
      <c r="H25" s="399"/>
      <c r="I25" s="400">
        <f xml:space="preserve">
IF($A$4&lt;=12,SUMIFS('ON Data'!AW:AW,'ON Data'!$D:$D,$A$4,'ON Data'!$E:$E,10),SUMIFS('ON Data'!AW:AW,'ON Data'!$E:$E,10))</f>
        <v>0</v>
      </c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409"/>
      <c r="AT25" s="410"/>
    </row>
    <row r="26" spans="1:46" x14ac:dyDescent="0.3">
      <c r="A26" s="192" t="s">
        <v>129</v>
      </c>
      <c r="B26" s="216">
        <f xml:space="preserve">
SUM(C26:I26)</f>
        <v>8902.6717557251905</v>
      </c>
      <c r="C26" s="412">
        <f xml:space="preserve">
IF($A$4&lt;=12,SUMIFS('ON Data'!J:J,'ON Data'!$D:$D,$A$4,'ON Data'!$E:$E,11),SUMIFS('ON Data'!J:J,'ON Data'!$E:$E,11))</f>
        <v>5152.6717557251914</v>
      </c>
      <c r="D26" s="397"/>
      <c r="E26" s="401">
        <f xml:space="preserve">
IF($A$4&lt;=12,SUMIFS('ON Data'!O:O,'ON Data'!$D:$D,$A$4,'ON Data'!$E:$E,11),SUMIFS('ON Data'!O:O,'ON Data'!$E:$E,11))</f>
        <v>3749.9999999999995</v>
      </c>
      <c r="F26" s="402"/>
      <c r="G26" s="402"/>
      <c r="H26" s="402"/>
      <c r="I26" s="400">
        <f xml:space="preserve">
IF($A$4&lt;=12,SUMIFS('ON Data'!AW:AW,'ON Data'!$D:$D,$A$4,'ON Data'!$E:$E,11),SUMIFS('ON Data'!AW:AW,'ON Data'!$E:$E,11))</f>
        <v>0</v>
      </c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409"/>
      <c r="AT26" s="410"/>
    </row>
    <row r="27" spans="1:46" x14ac:dyDescent="0.3">
      <c r="A27" s="192" t="s">
        <v>57</v>
      </c>
      <c r="B27" s="242">
        <f xml:space="preserve">
IF(B26=0,0,B25/B26)</f>
        <v>1.6835395498392283</v>
      </c>
      <c r="C27" s="413">
        <f xml:space="preserve">
IF(C26=0,0,C25/C26)</f>
        <v>0.88885925925925913</v>
      </c>
      <c r="D27" s="397"/>
      <c r="E27" s="403">
        <f xml:space="preserve">
IF(E26=0,0,E25/E26)</f>
        <v>2.775466666666667</v>
      </c>
      <c r="F27" s="399"/>
      <c r="G27" s="399"/>
      <c r="H27" s="399"/>
      <c r="I27" s="404">
        <f xml:space="preserve">
IF(I26=0,0,I25/I26)</f>
        <v>0</v>
      </c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409"/>
      <c r="AT27" s="410"/>
    </row>
    <row r="28" spans="1:46" ht="15" thickBot="1" x14ac:dyDescent="0.35">
      <c r="A28" s="192" t="s">
        <v>128</v>
      </c>
      <c r="B28" s="216">
        <f xml:space="preserve">
SUM(C28:I28)</f>
        <v>-6085.3282442748086</v>
      </c>
      <c r="C28" s="414">
        <f xml:space="preserve">
C26-C25</f>
        <v>572.67175572519136</v>
      </c>
      <c r="D28" s="405"/>
      <c r="E28" s="406">
        <f xml:space="preserve">
E26-E25</f>
        <v>-6658</v>
      </c>
      <c r="F28" s="407"/>
      <c r="G28" s="407"/>
      <c r="H28" s="407"/>
      <c r="I28" s="408">
        <f xml:space="preserve">
I26-I25</f>
        <v>0</v>
      </c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409"/>
      <c r="AT28" s="410"/>
    </row>
    <row r="29" spans="1:46" x14ac:dyDescent="0.3">
      <c r="A29" s="193"/>
      <c r="B29" s="193"/>
      <c r="C29" s="194"/>
      <c r="D29" s="194"/>
      <c r="E29" s="194"/>
      <c r="F29" s="194"/>
      <c r="G29" s="193"/>
    </row>
    <row r="30" spans="1:46" x14ac:dyDescent="0.3">
      <c r="A30" s="79" t="s">
        <v>90</v>
      </c>
      <c r="B30" s="96"/>
      <c r="C30" s="96"/>
      <c r="D30" s="96"/>
      <c r="E30" s="96"/>
      <c r="F30" s="96"/>
      <c r="G30" s="96"/>
    </row>
    <row r="31" spans="1:46" x14ac:dyDescent="0.3">
      <c r="A31" s="80" t="s">
        <v>126</v>
      </c>
      <c r="B31" s="96"/>
      <c r="C31" s="96"/>
      <c r="D31" s="96"/>
      <c r="E31" s="96"/>
      <c r="F31" s="96"/>
      <c r="G31" s="96"/>
    </row>
    <row r="32" spans="1:46" ht="14.4" customHeight="1" x14ac:dyDescent="0.3">
      <c r="A32" s="238" t="s">
        <v>123</v>
      </c>
      <c r="B32" s="239"/>
      <c r="C32" s="239"/>
      <c r="D32" s="239"/>
      <c r="E32" s="239"/>
      <c r="F32" s="239"/>
      <c r="G32" s="239"/>
    </row>
    <row r="33" spans="1:1" x14ac:dyDescent="0.3">
      <c r="A33" s="240" t="s">
        <v>153</v>
      </c>
    </row>
    <row r="34" spans="1:1" x14ac:dyDescent="0.3">
      <c r="A34" s="240" t="s">
        <v>154</v>
      </c>
    </row>
    <row r="35" spans="1:1" x14ac:dyDescent="0.3">
      <c r="A35" s="240" t="s">
        <v>155</v>
      </c>
    </row>
    <row r="36" spans="1:1" x14ac:dyDescent="0.3">
      <c r="A36" s="240" t="s">
        <v>133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56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332</v>
      </c>
    </row>
    <row r="2" spans="1:49" x14ac:dyDescent="0.3">
      <c r="A2" s="174" t="s">
        <v>177</v>
      </c>
    </row>
    <row r="3" spans="1:49" x14ac:dyDescent="0.3">
      <c r="A3" s="170" t="s">
        <v>95</v>
      </c>
      <c r="B3" s="197">
        <v>2016</v>
      </c>
      <c r="D3" s="171">
        <f>MAX(D5:D1048576)</f>
        <v>9</v>
      </c>
      <c r="F3" s="171">
        <f>SUMIF($E5:$E1048576,"&lt;10",F5:F1048576)</f>
        <v>1711067</v>
      </c>
      <c r="G3" s="171">
        <f t="shared" ref="G3:AW3" si="0">SUMIF($E5:$E1048576,"&lt;10",G5:G1048576)</f>
        <v>45180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1150207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260008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250899</v>
      </c>
      <c r="AM3" s="171">
        <f t="shared" si="0"/>
        <v>0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0</v>
      </c>
      <c r="AS3" s="171">
        <f t="shared" si="0"/>
        <v>0</v>
      </c>
      <c r="AT3" s="171">
        <f t="shared" si="0"/>
        <v>0</v>
      </c>
      <c r="AU3" s="171">
        <f t="shared" si="0"/>
        <v>4773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7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7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0</v>
      </c>
      <c r="I5" s="170">
        <v>0</v>
      </c>
      <c r="J5" s="170">
        <v>0</v>
      </c>
      <c r="K5" s="170">
        <v>2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1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1</v>
      </c>
      <c r="AM5" s="170">
        <v>0</v>
      </c>
      <c r="AN5" s="170">
        <v>0</v>
      </c>
      <c r="AO5" s="170">
        <v>0</v>
      </c>
      <c r="AP5" s="170">
        <v>0</v>
      </c>
      <c r="AQ5" s="170">
        <v>0</v>
      </c>
      <c r="AR5" s="170">
        <v>0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7">
        <v>3</v>
      </c>
      <c r="C6" s="170">
        <v>54</v>
      </c>
      <c r="D6" s="170">
        <v>1</v>
      </c>
      <c r="E6" s="170">
        <v>2</v>
      </c>
      <c r="F6" s="170">
        <v>632</v>
      </c>
      <c r="G6" s="170">
        <v>0</v>
      </c>
      <c r="H6" s="170">
        <v>0</v>
      </c>
      <c r="I6" s="170">
        <v>0</v>
      </c>
      <c r="J6" s="170">
        <v>0</v>
      </c>
      <c r="K6" s="170">
        <v>336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160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136</v>
      </c>
      <c r="AM6" s="170">
        <v>0</v>
      </c>
      <c r="AN6" s="170">
        <v>0</v>
      </c>
      <c r="AO6" s="170">
        <v>0</v>
      </c>
      <c r="AP6" s="170">
        <v>0</v>
      </c>
      <c r="AQ6" s="170">
        <v>0</v>
      </c>
      <c r="AR6" s="170">
        <v>0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7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  <c r="AP7" s="170">
        <v>0</v>
      </c>
      <c r="AQ7" s="170">
        <v>0</v>
      </c>
      <c r="AR7" s="170">
        <v>0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7">
        <v>5</v>
      </c>
      <c r="C8" s="170">
        <v>54</v>
      </c>
      <c r="D8" s="170">
        <v>1</v>
      </c>
      <c r="E8" s="170">
        <v>6</v>
      </c>
      <c r="F8" s="170">
        <v>167691</v>
      </c>
      <c r="G8" s="170">
        <v>5000</v>
      </c>
      <c r="H8" s="170">
        <v>0</v>
      </c>
      <c r="I8" s="170">
        <v>0</v>
      </c>
      <c r="J8" s="170">
        <v>0</v>
      </c>
      <c r="K8" s="170">
        <v>110710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26816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24651</v>
      </c>
      <c r="AM8" s="170">
        <v>0</v>
      </c>
      <c r="AN8" s="170">
        <v>0</v>
      </c>
      <c r="AO8" s="170">
        <v>0</v>
      </c>
      <c r="AP8" s="170">
        <v>0</v>
      </c>
      <c r="AQ8" s="170">
        <v>0</v>
      </c>
      <c r="AR8" s="170">
        <v>0</v>
      </c>
      <c r="AS8" s="170">
        <v>0</v>
      </c>
      <c r="AT8" s="170">
        <v>0</v>
      </c>
      <c r="AU8" s="170">
        <v>514</v>
      </c>
      <c r="AV8" s="170">
        <v>0</v>
      </c>
      <c r="AW8" s="170">
        <v>0</v>
      </c>
    </row>
    <row r="9" spans="1:49" x14ac:dyDescent="0.3">
      <c r="A9" s="170" t="s">
        <v>101</v>
      </c>
      <c r="B9" s="197">
        <v>6</v>
      </c>
      <c r="C9" s="170">
        <v>54</v>
      </c>
      <c r="D9" s="170">
        <v>1</v>
      </c>
      <c r="E9" s="170">
        <v>11</v>
      </c>
      <c r="F9" s="170">
        <v>989.1857506361323</v>
      </c>
      <c r="G9" s="170">
        <v>0</v>
      </c>
      <c r="H9" s="170">
        <v>0</v>
      </c>
      <c r="I9" s="170">
        <v>0</v>
      </c>
      <c r="J9" s="170">
        <v>572.51908396946567</v>
      </c>
      <c r="K9" s="170">
        <v>0</v>
      </c>
      <c r="L9" s="170">
        <v>0</v>
      </c>
      <c r="M9" s="170">
        <v>0</v>
      </c>
      <c r="N9" s="170">
        <v>0</v>
      </c>
      <c r="O9" s="170">
        <v>416.66666666666669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70">
        <v>0</v>
      </c>
      <c r="AR9" s="170">
        <v>0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7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0</v>
      </c>
      <c r="I10" s="170">
        <v>0</v>
      </c>
      <c r="J10" s="170">
        <v>0</v>
      </c>
      <c r="K10" s="170">
        <v>2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1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1</v>
      </c>
      <c r="AM10" s="170">
        <v>0</v>
      </c>
      <c r="AN10" s="170">
        <v>0</v>
      </c>
      <c r="AO10" s="170">
        <v>0</v>
      </c>
      <c r="AP10" s="170">
        <v>0</v>
      </c>
      <c r="AQ10" s="170">
        <v>0</v>
      </c>
      <c r="AR10" s="170">
        <v>0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7">
        <v>8</v>
      </c>
      <c r="C11" s="170">
        <v>54</v>
      </c>
      <c r="D11" s="170">
        <v>2</v>
      </c>
      <c r="E11" s="170">
        <v>2</v>
      </c>
      <c r="F11" s="170">
        <v>608</v>
      </c>
      <c r="G11" s="170">
        <v>0</v>
      </c>
      <c r="H11" s="170">
        <v>0</v>
      </c>
      <c r="I11" s="170">
        <v>0</v>
      </c>
      <c r="J11" s="170">
        <v>0</v>
      </c>
      <c r="K11" s="170">
        <v>320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160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128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0">
        <v>0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7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7">
        <v>10</v>
      </c>
      <c r="C13" s="170">
        <v>54</v>
      </c>
      <c r="D13" s="170">
        <v>2</v>
      </c>
      <c r="E13" s="170">
        <v>6</v>
      </c>
      <c r="F13" s="170">
        <v>168030</v>
      </c>
      <c r="G13" s="170">
        <v>5000</v>
      </c>
      <c r="H13" s="170">
        <v>0</v>
      </c>
      <c r="I13" s="170">
        <v>0</v>
      </c>
      <c r="J13" s="170">
        <v>0</v>
      </c>
      <c r="K13" s="170">
        <v>110882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26816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24732</v>
      </c>
      <c r="AM13" s="170">
        <v>0</v>
      </c>
      <c r="AN13" s="170">
        <v>0</v>
      </c>
      <c r="AO13" s="170">
        <v>0</v>
      </c>
      <c r="AP13" s="170">
        <v>0</v>
      </c>
      <c r="AQ13" s="170">
        <v>0</v>
      </c>
      <c r="AR13" s="170">
        <v>0</v>
      </c>
      <c r="AS13" s="170">
        <v>0</v>
      </c>
      <c r="AT13" s="170">
        <v>0</v>
      </c>
      <c r="AU13" s="170">
        <v>600</v>
      </c>
      <c r="AV13" s="170">
        <v>0</v>
      </c>
      <c r="AW13" s="170">
        <v>0</v>
      </c>
    </row>
    <row r="14" spans="1:49" x14ac:dyDescent="0.3">
      <c r="A14" s="170" t="s">
        <v>106</v>
      </c>
      <c r="B14" s="197">
        <v>11</v>
      </c>
      <c r="C14" s="170">
        <v>54</v>
      </c>
      <c r="D14" s="170">
        <v>2</v>
      </c>
      <c r="E14" s="170">
        <v>11</v>
      </c>
      <c r="F14" s="170">
        <v>989.1857506361323</v>
      </c>
      <c r="G14" s="170">
        <v>0</v>
      </c>
      <c r="H14" s="170">
        <v>0</v>
      </c>
      <c r="I14" s="170">
        <v>0</v>
      </c>
      <c r="J14" s="170">
        <v>572.51908396946567</v>
      </c>
      <c r="K14" s="170">
        <v>0</v>
      </c>
      <c r="L14" s="170">
        <v>0</v>
      </c>
      <c r="M14" s="170">
        <v>0</v>
      </c>
      <c r="N14" s="170">
        <v>0</v>
      </c>
      <c r="O14" s="170">
        <v>416.66666666666669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  <c r="AP14" s="170">
        <v>0</v>
      </c>
      <c r="AQ14" s="170">
        <v>0</v>
      </c>
      <c r="AR14" s="170">
        <v>0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7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0</v>
      </c>
      <c r="I15" s="170">
        <v>0</v>
      </c>
      <c r="J15" s="170">
        <v>0</v>
      </c>
      <c r="K15" s="170">
        <v>2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1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1</v>
      </c>
      <c r="AM15" s="170">
        <v>0</v>
      </c>
      <c r="AN15" s="170">
        <v>0</v>
      </c>
      <c r="AO15" s="170">
        <v>0</v>
      </c>
      <c r="AP15" s="170">
        <v>0</v>
      </c>
      <c r="AQ15" s="170">
        <v>0</v>
      </c>
      <c r="AR15" s="170">
        <v>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7">
        <v>2016</v>
      </c>
      <c r="C16" s="170">
        <v>54</v>
      </c>
      <c r="D16" s="170">
        <v>3</v>
      </c>
      <c r="E16" s="170">
        <v>2</v>
      </c>
      <c r="F16" s="170">
        <v>696</v>
      </c>
      <c r="G16" s="170">
        <v>0</v>
      </c>
      <c r="H16" s="170">
        <v>0</v>
      </c>
      <c r="I16" s="170">
        <v>0</v>
      </c>
      <c r="J16" s="170">
        <v>0</v>
      </c>
      <c r="K16" s="170">
        <v>360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160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176</v>
      </c>
      <c r="AM16" s="170">
        <v>0</v>
      </c>
      <c r="AN16" s="170">
        <v>0</v>
      </c>
      <c r="AO16" s="170">
        <v>0</v>
      </c>
      <c r="AP16" s="170">
        <v>0</v>
      </c>
      <c r="AQ16" s="170">
        <v>0</v>
      </c>
      <c r="AR16" s="170">
        <v>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  <c r="AP17" s="170">
        <v>0</v>
      </c>
      <c r="AQ17" s="170">
        <v>0</v>
      </c>
      <c r="AR17" s="170">
        <v>0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54</v>
      </c>
      <c r="D18" s="170">
        <v>3</v>
      </c>
      <c r="E18" s="170">
        <v>6</v>
      </c>
      <c r="F18" s="170">
        <v>168321</v>
      </c>
      <c r="G18" s="170">
        <v>5000</v>
      </c>
      <c r="H18" s="170">
        <v>0</v>
      </c>
      <c r="I18" s="170">
        <v>0</v>
      </c>
      <c r="J18" s="170">
        <v>0</v>
      </c>
      <c r="K18" s="170">
        <v>110970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27239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24512</v>
      </c>
      <c r="AM18" s="170">
        <v>0</v>
      </c>
      <c r="AN18" s="170">
        <v>0</v>
      </c>
      <c r="AO18" s="170">
        <v>0</v>
      </c>
      <c r="AP18" s="170">
        <v>0</v>
      </c>
      <c r="AQ18" s="170">
        <v>0</v>
      </c>
      <c r="AR18" s="170">
        <v>0</v>
      </c>
      <c r="AS18" s="170">
        <v>0</v>
      </c>
      <c r="AT18" s="170">
        <v>0</v>
      </c>
      <c r="AU18" s="170">
        <v>600</v>
      </c>
      <c r="AV18" s="170">
        <v>0</v>
      </c>
      <c r="AW18" s="170">
        <v>0</v>
      </c>
    </row>
    <row r="19" spans="3:49" x14ac:dyDescent="0.3">
      <c r="C19" s="170">
        <v>54</v>
      </c>
      <c r="D19" s="170">
        <v>3</v>
      </c>
      <c r="E19" s="170">
        <v>10</v>
      </c>
      <c r="F19" s="170">
        <v>2980</v>
      </c>
      <c r="G19" s="170">
        <v>0</v>
      </c>
      <c r="H19" s="170">
        <v>0</v>
      </c>
      <c r="I19" s="170">
        <v>0</v>
      </c>
      <c r="J19" s="170">
        <v>1780</v>
      </c>
      <c r="K19" s="170">
        <v>0</v>
      </c>
      <c r="L19" s="170">
        <v>0</v>
      </c>
      <c r="M19" s="170">
        <v>0</v>
      </c>
      <c r="N19" s="170">
        <v>0</v>
      </c>
      <c r="O19" s="170">
        <v>1200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  <c r="AP19" s="170">
        <v>0</v>
      </c>
      <c r="AQ19" s="170">
        <v>0</v>
      </c>
      <c r="AR19" s="170">
        <v>0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54</v>
      </c>
      <c r="D20" s="170">
        <v>3</v>
      </c>
      <c r="E20" s="170">
        <v>11</v>
      </c>
      <c r="F20" s="170">
        <v>989.1857506361323</v>
      </c>
      <c r="G20" s="170">
        <v>0</v>
      </c>
      <c r="H20" s="170">
        <v>0</v>
      </c>
      <c r="I20" s="170">
        <v>0</v>
      </c>
      <c r="J20" s="170">
        <v>572.51908396946567</v>
      </c>
      <c r="K20" s="170">
        <v>0</v>
      </c>
      <c r="L20" s="170">
        <v>0</v>
      </c>
      <c r="M20" s="170">
        <v>0</v>
      </c>
      <c r="N20" s="170">
        <v>0</v>
      </c>
      <c r="O20" s="170">
        <v>416.66666666666669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0</v>
      </c>
      <c r="I21" s="170">
        <v>0</v>
      </c>
      <c r="J21" s="170">
        <v>0</v>
      </c>
      <c r="K21" s="170">
        <v>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1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1</v>
      </c>
      <c r="AM21" s="170">
        <v>0</v>
      </c>
      <c r="AN21" s="170">
        <v>0</v>
      </c>
      <c r="AO21" s="170">
        <v>0</v>
      </c>
      <c r="AP21" s="170">
        <v>0</v>
      </c>
      <c r="AQ21" s="170">
        <v>0</v>
      </c>
      <c r="AR21" s="170">
        <v>0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54</v>
      </c>
      <c r="D22" s="170">
        <v>4</v>
      </c>
      <c r="E22" s="170">
        <v>2</v>
      </c>
      <c r="F22" s="170">
        <v>632</v>
      </c>
      <c r="G22" s="170">
        <v>0</v>
      </c>
      <c r="H22" s="170">
        <v>0</v>
      </c>
      <c r="I22" s="170">
        <v>0</v>
      </c>
      <c r="J22" s="170">
        <v>0</v>
      </c>
      <c r="K22" s="170">
        <v>320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160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152</v>
      </c>
      <c r="AM22" s="170">
        <v>0</v>
      </c>
      <c r="AN22" s="170">
        <v>0</v>
      </c>
      <c r="AO22" s="170">
        <v>0</v>
      </c>
      <c r="AP22" s="170">
        <v>0</v>
      </c>
      <c r="AQ22" s="170">
        <v>0</v>
      </c>
      <c r="AR22" s="170">
        <v>0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  <c r="AP23" s="170">
        <v>0</v>
      </c>
      <c r="AQ23" s="170">
        <v>0</v>
      </c>
      <c r="AR23" s="170">
        <v>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54</v>
      </c>
      <c r="D24" s="170">
        <v>4</v>
      </c>
      <c r="E24" s="170">
        <v>6</v>
      </c>
      <c r="F24" s="170">
        <v>168277</v>
      </c>
      <c r="G24" s="170">
        <v>5000</v>
      </c>
      <c r="H24" s="170">
        <v>0</v>
      </c>
      <c r="I24" s="170">
        <v>0</v>
      </c>
      <c r="J24" s="170">
        <v>0</v>
      </c>
      <c r="K24" s="170">
        <v>111464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26806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24435</v>
      </c>
      <c r="AM24" s="170">
        <v>0</v>
      </c>
      <c r="AN24" s="170">
        <v>0</v>
      </c>
      <c r="AO24" s="170">
        <v>0</v>
      </c>
      <c r="AP24" s="170">
        <v>0</v>
      </c>
      <c r="AQ24" s="170">
        <v>0</v>
      </c>
      <c r="AR24" s="170">
        <v>0</v>
      </c>
      <c r="AS24" s="170">
        <v>0</v>
      </c>
      <c r="AT24" s="170">
        <v>0</v>
      </c>
      <c r="AU24" s="170">
        <v>572</v>
      </c>
      <c r="AV24" s="170">
        <v>0</v>
      </c>
      <c r="AW24" s="170">
        <v>0</v>
      </c>
    </row>
    <row r="25" spans="3:49" x14ac:dyDescent="0.3">
      <c r="C25" s="170">
        <v>54</v>
      </c>
      <c r="D25" s="170">
        <v>4</v>
      </c>
      <c r="E25" s="170">
        <v>11</v>
      </c>
      <c r="F25" s="170">
        <v>989.1857506361323</v>
      </c>
      <c r="G25" s="170">
        <v>0</v>
      </c>
      <c r="H25" s="170">
        <v>0</v>
      </c>
      <c r="I25" s="170">
        <v>0</v>
      </c>
      <c r="J25" s="170">
        <v>572.51908396946567</v>
      </c>
      <c r="K25" s="170">
        <v>0</v>
      </c>
      <c r="L25" s="170">
        <v>0</v>
      </c>
      <c r="M25" s="170">
        <v>0</v>
      </c>
      <c r="N25" s="170">
        <v>0</v>
      </c>
      <c r="O25" s="170">
        <v>416.66666666666669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  <c r="AP25" s="170">
        <v>0</v>
      </c>
      <c r="AQ25" s="170">
        <v>0</v>
      </c>
      <c r="AR25" s="170">
        <v>0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  <row r="26" spans="3:49" x14ac:dyDescent="0.3">
      <c r="C26" s="170">
        <v>54</v>
      </c>
      <c r="D26" s="170">
        <v>5</v>
      </c>
      <c r="E26" s="170">
        <v>1</v>
      </c>
      <c r="F26" s="170">
        <v>4</v>
      </c>
      <c r="G26" s="170">
        <v>0</v>
      </c>
      <c r="H26" s="170">
        <v>0</v>
      </c>
      <c r="I26" s="170">
        <v>0</v>
      </c>
      <c r="J26" s="170">
        <v>0</v>
      </c>
      <c r="K26" s="170">
        <v>2</v>
      </c>
      <c r="L26" s="170">
        <v>0</v>
      </c>
      <c r="M26" s="170">
        <v>0</v>
      </c>
      <c r="N26" s="170">
        <v>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1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1</v>
      </c>
      <c r="AM26" s="170">
        <v>0</v>
      </c>
      <c r="AN26" s="170">
        <v>0</v>
      </c>
      <c r="AO26" s="170">
        <v>0</v>
      </c>
      <c r="AP26" s="170">
        <v>0</v>
      </c>
      <c r="AQ26" s="170">
        <v>0</v>
      </c>
      <c r="AR26" s="170">
        <v>0</v>
      </c>
      <c r="AS26" s="170">
        <v>0</v>
      </c>
      <c r="AT26" s="170">
        <v>0</v>
      </c>
      <c r="AU26" s="170">
        <v>0</v>
      </c>
      <c r="AV26" s="170">
        <v>0</v>
      </c>
      <c r="AW26" s="170">
        <v>0</v>
      </c>
    </row>
    <row r="27" spans="3:49" x14ac:dyDescent="0.3">
      <c r="C27" s="170">
        <v>54</v>
      </c>
      <c r="D27" s="170">
        <v>5</v>
      </c>
      <c r="E27" s="170">
        <v>2</v>
      </c>
      <c r="F27" s="170">
        <v>648</v>
      </c>
      <c r="G27" s="170">
        <v>0</v>
      </c>
      <c r="H27" s="170">
        <v>0</v>
      </c>
      <c r="I27" s="170">
        <v>0</v>
      </c>
      <c r="J27" s="170">
        <v>0</v>
      </c>
      <c r="K27" s="170">
        <v>336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160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152</v>
      </c>
      <c r="AM27" s="170">
        <v>0</v>
      </c>
      <c r="AN27" s="170">
        <v>0</v>
      </c>
      <c r="AO27" s="170">
        <v>0</v>
      </c>
      <c r="AP27" s="170">
        <v>0</v>
      </c>
      <c r="AQ27" s="170">
        <v>0</v>
      </c>
      <c r="AR27" s="170">
        <v>0</v>
      </c>
      <c r="AS27" s="170">
        <v>0</v>
      </c>
      <c r="AT27" s="170">
        <v>0</v>
      </c>
      <c r="AU27" s="170">
        <v>0</v>
      </c>
      <c r="AV27" s="170">
        <v>0</v>
      </c>
      <c r="AW27" s="170">
        <v>0</v>
      </c>
    </row>
    <row r="28" spans="3:49" x14ac:dyDescent="0.3">
      <c r="C28" s="170">
        <v>54</v>
      </c>
      <c r="D28" s="170">
        <v>5</v>
      </c>
      <c r="E28" s="170">
        <v>5</v>
      </c>
      <c r="F28" s="170">
        <v>20</v>
      </c>
      <c r="G28" s="170">
        <v>20</v>
      </c>
      <c r="H28" s="170">
        <v>0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0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0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0</v>
      </c>
      <c r="AL28" s="170">
        <v>0</v>
      </c>
      <c r="AM28" s="170">
        <v>0</v>
      </c>
      <c r="AN28" s="170">
        <v>0</v>
      </c>
      <c r="AO28" s="170">
        <v>0</v>
      </c>
      <c r="AP28" s="170">
        <v>0</v>
      </c>
      <c r="AQ28" s="170">
        <v>0</v>
      </c>
      <c r="AR28" s="170">
        <v>0</v>
      </c>
      <c r="AS28" s="170">
        <v>0</v>
      </c>
      <c r="AT28" s="170">
        <v>0</v>
      </c>
      <c r="AU28" s="170">
        <v>0</v>
      </c>
      <c r="AV28" s="170">
        <v>0</v>
      </c>
      <c r="AW28" s="170">
        <v>0</v>
      </c>
    </row>
    <row r="29" spans="3:49" x14ac:dyDescent="0.3">
      <c r="C29" s="170">
        <v>54</v>
      </c>
      <c r="D29" s="170">
        <v>5</v>
      </c>
      <c r="E29" s="170">
        <v>6</v>
      </c>
      <c r="F29" s="170">
        <v>168164</v>
      </c>
      <c r="G29" s="170">
        <v>5000</v>
      </c>
      <c r="H29" s="170">
        <v>0</v>
      </c>
      <c r="I29" s="170">
        <v>0</v>
      </c>
      <c r="J29" s="170">
        <v>0</v>
      </c>
      <c r="K29" s="170">
        <v>110961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26957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24646</v>
      </c>
      <c r="AM29" s="170">
        <v>0</v>
      </c>
      <c r="AN29" s="170">
        <v>0</v>
      </c>
      <c r="AO29" s="170">
        <v>0</v>
      </c>
      <c r="AP29" s="170">
        <v>0</v>
      </c>
      <c r="AQ29" s="170">
        <v>0</v>
      </c>
      <c r="AR29" s="170">
        <v>0</v>
      </c>
      <c r="AS29" s="170">
        <v>0</v>
      </c>
      <c r="AT29" s="170">
        <v>0</v>
      </c>
      <c r="AU29" s="170">
        <v>600</v>
      </c>
      <c r="AV29" s="170">
        <v>0</v>
      </c>
      <c r="AW29" s="170">
        <v>0</v>
      </c>
    </row>
    <row r="30" spans="3:49" x14ac:dyDescent="0.3">
      <c r="C30" s="170">
        <v>54</v>
      </c>
      <c r="D30" s="170">
        <v>5</v>
      </c>
      <c r="E30" s="170">
        <v>10</v>
      </c>
      <c r="F30" s="170">
        <v>4000</v>
      </c>
      <c r="G30" s="170">
        <v>0</v>
      </c>
      <c r="H30" s="170">
        <v>0</v>
      </c>
      <c r="I30" s="170">
        <v>0</v>
      </c>
      <c r="J30" s="170">
        <v>600</v>
      </c>
      <c r="K30" s="170">
        <v>0</v>
      </c>
      <c r="L30" s="170">
        <v>0</v>
      </c>
      <c r="M30" s="170">
        <v>0</v>
      </c>
      <c r="N30" s="170">
        <v>0</v>
      </c>
      <c r="O30" s="170">
        <v>3400</v>
      </c>
      <c r="P30" s="170">
        <v>0</v>
      </c>
      <c r="Q30" s="170">
        <v>0</v>
      </c>
      <c r="R30" s="170">
        <v>0</v>
      </c>
      <c r="S30" s="170">
        <v>0</v>
      </c>
      <c r="T30" s="170">
        <v>0</v>
      </c>
      <c r="U30" s="170">
        <v>0</v>
      </c>
      <c r="V30" s="170">
        <v>0</v>
      </c>
      <c r="W30" s="170">
        <v>0</v>
      </c>
      <c r="X30" s="170">
        <v>0</v>
      </c>
      <c r="Y30" s="170">
        <v>0</v>
      </c>
      <c r="Z30" s="170">
        <v>0</v>
      </c>
      <c r="AA30" s="170">
        <v>0</v>
      </c>
      <c r="AB30" s="170">
        <v>0</v>
      </c>
      <c r="AC30" s="170">
        <v>0</v>
      </c>
      <c r="AD30" s="170">
        <v>0</v>
      </c>
      <c r="AE30" s="170">
        <v>0</v>
      </c>
      <c r="AF30" s="170">
        <v>0</v>
      </c>
      <c r="AG30" s="170">
        <v>0</v>
      </c>
      <c r="AH30" s="170">
        <v>0</v>
      </c>
      <c r="AI30" s="170">
        <v>0</v>
      </c>
      <c r="AJ30" s="170">
        <v>0</v>
      </c>
      <c r="AK30" s="170">
        <v>0</v>
      </c>
      <c r="AL30" s="170">
        <v>0</v>
      </c>
      <c r="AM30" s="170">
        <v>0</v>
      </c>
      <c r="AN30" s="170">
        <v>0</v>
      </c>
      <c r="AO30" s="170">
        <v>0</v>
      </c>
      <c r="AP30" s="170">
        <v>0</v>
      </c>
      <c r="AQ30" s="170">
        <v>0</v>
      </c>
      <c r="AR30" s="170">
        <v>0</v>
      </c>
      <c r="AS30" s="170">
        <v>0</v>
      </c>
      <c r="AT30" s="170">
        <v>0</v>
      </c>
      <c r="AU30" s="170">
        <v>0</v>
      </c>
      <c r="AV30" s="170">
        <v>0</v>
      </c>
      <c r="AW30" s="170">
        <v>0</v>
      </c>
    </row>
    <row r="31" spans="3:49" x14ac:dyDescent="0.3">
      <c r="C31" s="170">
        <v>54</v>
      </c>
      <c r="D31" s="170">
        <v>5</v>
      </c>
      <c r="E31" s="170">
        <v>11</v>
      </c>
      <c r="F31" s="170">
        <v>989.1857506361323</v>
      </c>
      <c r="G31" s="170">
        <v>0</v>
      </c>
      <c r="H31" s="170">
        <v>0</v>
      </c>
      <c r="I31" s="170">
        <v>0</v>
      </c>
      <c r="J31" s="170">
        <v>572.51908396946567</v>
      </c>
      <c r="K31" s="170">
        <v>0</v>
      </c>
      <c r="L31" s="170">
        <v>0</v>
      </c>
      <c r="M31" s="170">
        <v>0</v>
      </c>
      <c r="N31" s="170">
        <v>0</v>
      </c>
      <c r="O31" s="170">
        <v>416.66666666666669</v>
      </c>
      <c r="P31" s="170">
        <v>0</v>
      </c>
      <c r="Q31" s="170">
        <v>0</v>
      </c>
      <c r="R31" s="170">
        <v>0</v>
      </c>
      <c r="S31" s="170">
        <v>0</v>
      </c>
      <c r="T31" s="170">
        <v>0</v>
      </c>
      <c r="U31" s="170">
        <v>0</v>
      </c>
      <c r="V31" s="170">
        <v>0</v>
      </c>
      <c r="W31" s="170">
        <v>0</v>
      </c>
      <c r="X31" s="170">
        <v>0</v>
      </c>
      <c r="Y31" s="170">
        <v>0</v>
      </c>
      <c r="Z31" s="170">
        <v>0</v>
      </c>
      <c r="AA31" s="170">
        <v>0</v>
      </c>
      <c r="AB31" s="170">
        <v>0</v>
      </c>
      <c r="AC31" s="170">
        <v>0</v>
      </c>
      <c r="AD31" s="170">
        <v>0</v>
      </c>
      <c r="AE31" s="170">
        <v>0</v>
      </c>
      <c r="AF31" s="170">
        <v>0</v>
      </c>
      <c r="AG31" s="170">
        <v>0</v>
      </c>
      <c r="AH31" s="170">
        <v>0</v>
      </c>
      <c r="AI31" s="170">
        <v>0</v>
      </c>
      <c r="AJ31" s="170">
        <v>0</v>
      </c>
      <c r="AK31" s="170">
        <v>0</v>
      </c>
      <c r="AL31" s="170">
        <v>0</v>
      </c>
      <c r="AM31" s="170">
        <v>0</v>
      </c>
      <c r="AN31" s="170">
        <v>0</v>
      </c>
      <c r="AO31" s="170">
        <v>0</v>
      </c>
      <c r="AP31" s="170">
        <v>0</v>
      </c>
      <c r="AQ31" s="170">
        <v>0</v>
      </c>
      <c r="AR31" s="170">
        <v>0</v>
      </c>
      <c r="AS31" s="170">
        <v>0</v>
      </c>
      <c r="AT31" s="170">
        <v>0</v>
      </c>
      <c r="AU31" s="170">
        <v>0</v>
      </c>
      <c r="AV31" s="170">
        <v>0</v>
      </c>
      <c r="AW31" s="170">
        <v>0</v>
      </c>
    </row>
    <row r="32" spans="3:49" x14ac:dyDescent="0.3">
      <c r="C32" s="170">
        <v>54</v>
      </c>
      <c r="D32" s="170">
        <v>6</v>
      </c>
      <c r="E32" s="170">
        <v>1</v>
      </c>
      <c r="F32" s="170">
        <v>4</v>
      </c>
      <c r="G32" s="170">
        <v>0</v>
      </c>
      <c r="H32" s="170">
        <v>0</v>
      </c>
      <c r="I32" s="170">
        <v>0</v>
      </c>
      <c r="J32" s="170">
        <v>0</v>
      </c>
      <c r="K32" s="170">
        <v>2</v>
      </c>
      <c r="L32" s="170">
        <v>0</v>
      </c>
      <c r="M32" s="170">
        <v>0</v>
      </c>
      <c r="N32" s="170">
        <v>0</v>
      </c>
      <c r="O32" s="170">
        <v>0</v>
      </c>
      <c r="P32" s="170">
        <v>0</v>
      </c>
      <c r="Q32" s="170">
        <v>0</v>
      </c>
      <c r="R32" s="170">
        <v>0</v>
      </c>
      <c r="S32" s="170">
        <v>0</v>
      </c>
      <c r="T32" s="170">
        <v>0</v>
      </c>
      <c r="U32" s="170">
        <v>0</v>
      </c>
      <c r="V32" s="170">
        <v>1</v>
      </c>
      <c r="W32" s="170">
        <v>0</v>
      </c>
      <c r="X32" s="170">
        <v>0</v>
      </c>
      <c r="Y32" s="170">
        <v>0</v>
      </c>
      <c r="Z32" s="170">
        <v>0</v>
      </c>
      <c r="AA32" s="170">
        <v>0</v>
      </c>
      <c r="AB32" s="170">
        <v>0</v>
      </c>
      <c r="AC32" s="170">
        <v>0</v>
      </c>
      <c r="AD32" s="170">
        <v>0</v>
      </c>
      <c r="AE32" s="170">
        <v>0</v>
      </c>
      <c r="AF32" s="170">
        <v>0</v>
      </c>
      <c r="AG32" s="170">
        <v>0</v>
      </c>
      <c r="AH32" s="170">
        <v>0</v>
      </c>
      <c r="AI32" s="170">
        <v>0</v>
      </c>
      <c r="AJ32" s="170">
        <v>0</v>
      </c>
      <c r="AK32" s="170">
        <v>0</v>
      </c>
      <c r="AL32" s="170">
        <v>1</v>
      </c>
      <c r="AM32" s="170">
        <v>0</v>
      </c>
      <c r="AN32" s="170">
        <v>0</v>
      </c>
      <c r="AO32" s="170">
        <v>0</v>
      </c>
      <c r="AP32" s="170">
        <v>0</v>
      </c>
      <c r="AQ32" s="170">
        <v>0</v>
      </c>
      <c r="AR32" s="170">
        <v>0</v>
      </c>
      <c r="AS32" s="170">
        <v>0</v>
      </c>
      <c r="AT32" s="170">
        <v>0</v>
      </c>
      <c r="AU32" s="170">
        <v>0</v>
      </c>
      <c r="AV32" s="170">
        <v>0</v>
      </c>
      <c r="AW32" s="170">
        <v>0</v>
      </c>
    </row>
    <row r="33" spans="3:49" x14ac:dyDescent="0.3">
      <c r="C33" s="170">
        <v>54</v>
      </c>
      <c r="D33" s="170">
        <v>6</v>
      </c>
      <c r="E33" s="170">
        <v>2</v>
      </c>
      <c r="F33" s="170">
        <v>616</v>
      </c>
      <c r="G33" s="170">
        <v>0</v>
      </c>
      <c r="H33" s="170">
        <v>0</v>
      </c>
      <c r="I33" s="170">
        <v>0</v>
      </c>
      <c r="J33" s="170">
        <v>0</v>
      </c>
      <c r="K33" s="170">
        <v>304</v>
      </c>
      <c r="L33" s="170">
        <v>0</v>
      </c>
      <c r="M33" s="170">
        <v>0</v>
      </c>
      <c r="N33" s="170">
        <v>0</v>
      </c>
      <c r="O33" s="170">
        <v>0</v>
      </c>
      <c r="P33" s="170">
        <v>0</v>
      </c>
      <c r="Q33" s="170">
        <v>0</v>
      </c>
      <c r="R33" s="170">
        <v>0</v>
      </c>
      <c r="S33" s="170">
        <v>0</v>
      </c>
      <c r="T33" s="170">
        <v>0</v>
      </c>
      <c r="U33" s="170">
        <v>0</v>
      </c>
      <c r="V33" s="170">
        <v>144</v>
      </c>
      <c r="W33" s="170">
        <v>0</v>
      </c>
      <c r="X33" s="170">
        <v>0</v>
      </c>
      <c r="Y33" s="170">
        <v>0</v>
      </c>
      <c r="Z33" s="170">
        <v>0</v>
      </c>
      <c r="AA33" s="170">
        <v>0</v>
      </c>
      <c r="AB33" s="170">
        <v>0</v>
      </c>
      <c r="AC33" s="170">
        <v>0</v>
      </c>
      <c r="AD33" s="170">
        <v>0</v>
      </c>
      <c r="AE33" s="170">
        <v>0</v>
      </c>
      <c r="AF33" s="170">
        <v>0</v>
      </c>
      <c r="AG33" s="170">
        <v>0</v>
      </c>
      <c r="AH33" s="170">
        <v>0</v>
      </c>
      <c r="AI33" s="170">
        <v>0</v>
      </c>
      <c r="AJ33" s="170">
        <v>0</v>
      </c>
      <c r="AK33" s="170">
        <v>0</v>
      </c>
      <c r="AL33" s="170">
        <v>168</v>
      </c>
      <c r="AM33" s="170">
        <v>0</v>
      </c>
      <c r="AN33" s="170">
        <v>0</v>
      </c>
      <c r="AO33" s="170">
        <v>0</v>
      </c>
      <c r="AP33" s="170">
        <v>0</v>
      </c>
      <c r="AQ33" s="170">
        <v>0</v>
      </c>
      <c r="AR33" s="170">
        <v>0</v>
      </c>
      <c r="AS33" s="170">
        <v>0</v>
      </c>
      <c r="AT33" s="170">
        <v>0</v>
      </c>
      <c r="AU33" s="170">
        <v>0</v>
      </c>
      <c r="AV33" s="170">
        <v>0</v>
      </c>
      <c r="AW33" s="170">
        <v>0</v>
      </c>
    </row>
    <row r="34" spans="3:49" x14ac:dyDescent="0.3">
      <c r="C34" s="170">
        <v>54</v>
      </c>
      <c r="D34" s="170">
        <v>6</v>
      </c>
      <c r="E34" s="170">
        <v>5</v>
      </c>
      <c r="F34" s="170">
        <v>20</v>
      </c>
      <c r="G34" s="170">
        <v>20</v>
      </c>
      <c r="H34" s="170">
        <v>0</v>
      </c>
      <c r="I34" s="170">
        <v>0</v>
      </c>
      <c r="J34" s="170">
        <v>0</v>
      </c>
      <c r="K34" s="170">
        <v>0</v>
      </c>
      <c r="L34" s="170">
        <v>0</v>
      </c>
      <c r="M34" s="170">
        <v>0</v>
      </c>
      <c r="N34" s="170">
        <v>0</v>
      </c>
      <c r="O34" s="170">
        <v>0</v>
      </c>
      <c r="P34" s="170">
        <v>0</v>
      </c>
      <c r="Q34" s="170">
        <v>0</v>
      </c>
      <c r="R34" s="170">
        <v>0</v>
      </c>
      <c r="S34" s="170">
        <v>0</v>
      </c>
      <c r="T34" s="170">
        <v>0</v>
      </c>
      <c r="U34" s="170">
        <v>0</v>
      </c>
      <c r="V34" s="170">
        <v>0</v>
      </c>
      <c r="W34" s="170">
        <v>0</v>
      </c>
      <c r="X34" s="170">
        <v>0</v>
      </c>
      <c r="Y34" s="170">
        <v>0</v>
      </c>
      <c r="Z34" s="170">
        <v>0</v>
      </c>
      <c r="AA34" s="170">
        <v>0</v>
      </c>
      <c r="AB34" s="170">
        <v>0</v>
      </c>
      <c r="AC34" s="170">
        <v>0</v>
      </c>
      <c r="AD34" s="170">
        <v>0</v>
      </c>
      <c r="AE34" s="170">
        <v>0</v>
      </c>
      <c r="AF34" s="170">
        <v>0</v>
      </c>
      <c r="AG34" s="170">
        <v>0</v>
      </c>
      <c r="AH34" s="170">
        <v>0</v>
      </c>
      <c r="AI34" s="170">
        <v>0</v>
      </c>
      <c r="AJ34" s="170">
        <v>0</v>
      </c>
      <c r="AK34" s="170">
        <v>0</v>
      </c>
      <c r="AL34" s="170">
        <v>0</v>
      </c>
      <c r="AM34" s="170">
        <v>0</v>
      </c>
      <c r="AN34" s="170">
        <v>0</v>
      </c>
      <c r="AO34" s="170">
        <v>0</v>
      </c>
      <c r="AP34" s="170">
        <v>0</v>
      </c>
      <c r="AQ34" s="170">
        <v>0</v>
      </c>
      <c r="AR34" s="170">
        <v>0</v>
      </c>
      <c r="AS34" s="170">
        <v>0</v>
      </c>
      <c r="AT34" s="170">
        <v>0</v>
      </c>
      <c r="AU34" s="170">
        <v>0</v>
      </c>
      <c r="AV34" s="170">
        <v>0</v>
      </c>
      <c r="AW34" s="170">
        <v>0</v>
      </c>
    </row>
    <row r="35" spans="3:49" x14ac:dyDescent="0.3">
      <c r="C35" s="170">
        <v>54</v>
      </c>
      <c r="D35" s="170">
        <v>6</v>
      </c>
      <c r="E35" s="170">
        <v>6</v>
      </c>
      <c r="F35" s="170">
        <v>175295</v>
      </c>
      <c r="G35" s="170">
        <v>5000</v>
      </c>
      <c r="H35" s="170">
        <v>0</v>
      </c>
      <c r="I35" s="170">
        <v>0</v>
      </c>
      <c r="J35" s="170">
        <v>0</v>
      </c>
      <c r="K35" s="170">
        <v>115308</v>
      </c>
      <c r="L35" s="170">
        <v>0</v>
      </c>
      <c r="M35" s="170">
        <v>0</v>
      </c>
      <c r="N35" s="170">
        <v>0</v>
      </c>
      <c r="O35" s="170">
        <v>0</v>
      </c>
      <c r="P35" s="170">
        <v>0</v>
      </c>
      <c r="Q35" s="170">
        <v>0</v>
      </c>
      <c r="R35" s="170">
        <v>0</v>
      </c>
      <c r="S35" s="170">
        <v>0</v>
      </c>
      <c r="T35" s="170">
        <v>0</v>
      </c>
      <c r="U35" s="170">
        <v>0</v>
      </c>
      <c r="V35" s="170">
        <v>27143</v>
      </c>
      <c r="W35" s="170">
        <v>0</v>
      </c>
      <c r="X35" s="170">
        <v>0</v>
      </c>
      <c r="Y35" s="170">
        <v>0</v>
      </c>
      <c r="Z35" s="170">
        <v>0</v>
      </c>
      <c r="AA35" s="170">
        <v>0</v>
      </c>
      <c r="AB35" s="170">
        <v>0</v>
      </c>
      <c r="AC35" s="170">
        <v>0</v>
      </c>
      <c r="AD35" s="170">
        <v>0</v>
      </c>
      <c r="AE35" s="170">
        <v>0</v>
      </c>
      <c r="AF35" s="170">
        <v>0</v>
      </c>
      <c r="AG35" s="170">
        <v>0</v>
      </c>
      <c r="AH35" s="170">
        <v>0</v>
      </c>
      <c r="AI35" s="170">
        <v>0</v>
      </c>
      <c r="AJ35" s="170">
        <v>0</v>
      </c>
      <c r="AK35" s="170">
        <v>0</v>
      </c>
      <c r="AL35" s="170">
        <v>27299</v>
      </c>
      <c r="AM35" s="170">
        <v>0</v>
      </c>
      <c r="AN35" s="170">
        <v>0</v>
      </c>
      <c r="AO35" s="170">
        <v>0</v>
      </c>
      <c r="AP35" s="170">
        <v>0</v>
      </c>
      <c r="AQ35" s="170">
        <v>0</v>
      </c>
      <c r="AR35" s="170">
        <v>0</v>
      </c>
      <c r="AS35" s="170">
        <v>0</v>
      </c>
      <c r="AT35" s="170">
        <v>0</v>
      </c>
      <c r="AU35" s="170">
        <v>545</v>
      </c>
      <c r="AV35" s="170">
        <v>0</v>
      </c>
      <c r="AW35" s="170">
        <v>0</v>
      </c>
    </row>
    <row r="36" spans="3:49" x14ac:dyDescent="0.3">
      <c r="C36" s="170">
        <v>54</v>
      </c>
      <c r="D36" s="170">
        <v>6</v>
      </c>
      <c r="E36" s="170">
        <v>9</v>
      </c>
      <c r="F36" s="170">
        <v>1250</v>
      </c>
      <c r="G36" s="170">
        <v>0</v>
      </c>
      <c r="H36" s="170">
        <v>0</v>
      </c>
      <c r="I36" s="170">
        <v>0</v>
      </c>
      <c r="J36" s="170">
        <v>0</v>
      </c>
      <c r="K36" s="170">
        <v>1250</v>
      </c>
      <c r="L36" s="170">
        <v>0</v>
      </c>
      <c r="M36" s="170">
        <v>0</v>
      </c>
      <c r="N36" s="170">
        <v>0</v>
      </c>
      <c r="O36" s="170">
        <v>0</v>
      </c>
      <c r="P36" s="170">
        <v>0</v>
      </c>
      <c r="Q36" s="170">
        <v>0</v>
      </c>
      <c r="R36" s="170">
        <v>0</v>
      </c>
      <c r="S36" s="170">
        <v>0</v>
      </c>
      <c r="T36" s="170">
        <v>0</v>
      </c>
      <c r="U36" s="170">
        <v>0</v>
      </c>
      <c r="V36" s="170">
        <v>0</v>
      </c>
      <c r="W36" s="170">
        <v>0</v>
      </c>
      <c r="X36" s="170">
        <v>0</v>
      </c>
      <c r="Y36" s="170">
        <v>0</v>
      </c>
      <c r="Z36" s="170">
        <v>0</v>
      </c>
      <c r="AA36" s="170">
        <v>0</v>
      </c>
      <c r="AB36" s="170">
        <v>0</v>
      </c>
      <c r="AC36" s="170">
        <v>0</v>
      </c>
      <c r="AD36" s="170">
        <v>0</v>
      </c>
      <c r="AE36" s="170">
        <v>0</v>
      </c>
      <c r="AF36" s="170">
        <v>0</v>
      </c>
      <c r="AG36" s="170">
        <v>0</v>
      </c>
      <c r="AH36" s="170">
        <v>0</v>
      </c>
      <c r="AI36" s="170">
        <v>0</v>
      </c>
      <c r="AJ36" s="170">
        <v>0</v>
      </c>
      <c r="AK36" s="170">
        <v>0</v>
      </c>
      <c r="AL36" s="170">
        <v>0</v>
      </c>
      <c r="AM36" s="170">
        <v>0</v>
      </c>
      <c r="AN36" s="170">
        <v>0</v>
      </c>
      <c r="AO36" s="170">
        <v>0</v>
      </c>
      <c r="AP36" s="170">
        <v>0</v>
      </c>
      <c r="AQ36" s="170">
        <v>0</v>
      </c>
      <c r="AR36" s="170">
        <v>0</v>
      </c>
      <c r="AS36" s="170">
        <v>0</v>
      </c>
      <c r="AT36" s="170">
        <v>0</v>
      </c>
      <c r="AU36" s="170">
        <v>0</v>
      </c>
      <c r="AV36" s="170">
        <v>0</v>
      </c>
      <c r="AW36" s="170">
        <v>0</v>
      </c>
    </row>
    <row r="37" spans="3:49" x14ac:dyDescent="0.3">
      <c r="C37" s="170">
        <v>54</v>
      </c>
      <c r="D37" s="170">
        <v>6</v>
      </c>
      <c r="E37" s="170">
        <v>11</v>
      </c>
      <c r="F37" s="170">
        <v>989.1857506361323</v>
      </c>
      <c r="G37" s="170">
        <v>0</v>
      </c>
      <c r="H37" s="170">
        <v>0</v>
      </c>
      <c r="I37" s="170">
        <v>0</v>
      </c>
      <c r="J37" s="170">
        <v>572.51908396946567</v>
      </c>
      <c r="K37" s="170">
        <v>0</v>
      </c>
      <c r="L37" s="170">
        <v>0</v>
      </c>
      <c r="M37" s="170">
        <v>0</v>
      </c>
      <c r="N37" s="170">
        <v>0</v>
      </c>
      <c r="O37" s="170">
        <v>416.66666666666669</v>
      </c>
      <c r="P37" s="170">
        <v>0</v>
      </c>
      <c r="Q37" s="170">
        <v>0</v>
      </c>
      <c r="R37" s="170">
        <v>0</v>
      </c>
      <c r="S37" s="170">
        <v>0</v>
      </c>
      <c r="T37" s="170">
        <v>0</v>
      </c>
      <c r="U37" s="170">
        <v>0</v>
      </c>
      <c r="V37" s="170">
        <v>0</v>
      </c>
      <c r="W37" s="170">
        <v>0</v>
      </c>
      <c r="X37" s="170">
        <v>0</v>
      </c>
      <c r="Y37" s="170">
        <v>0</v>
      </c>
      <c r="Z37" s="170">
        <v>0</v>
      </c>
      <c r="AA37" s="170">
        <v>0</v>
      </c>
      <c r="AB37" s="170">
        <v>0</v>
      </c>
      <c r="AC37" s="170">
        <v>0</v>
      </c>
      <c r="AD37" s="170">
        <v>0</v>
      </c>
      <c r="AE37" s="170">
        <v>0</v>
      </c>
      <c r="AF37" s="170">
        <v>0</v>
      </c>
      <c r="AG37" s="170">
        <v>0</v>
      </c>
      <c r="AH37" s="170">
        <v>0</v>
      </c>
      <c r="AI37" s="170">
        <v>0</v>
      </c>
      <c r="AJ37" s="170">
        <v>0</v>
      </c>
      <c r="AK37" s="170">
        <v>0</v>
      </c>
      <c r="AL37" s="170">
        <v>0</v>
      </c>
      <c r="AM37" s="170">
        <v>0</v>
      </c>
      <c r="AN37" s="170">
        <v>0</v>
      </c>
      <c r="AO37" s="170">
        <v>0</v>
      </c>
      <c r="AP37" s="170">
        <v>0</v>
      </c>
      <c r="AQ37" s="170">
        <v>0</v>
      </c>
      <c r="AR37" s="170">
        <v>0</v>
      </c>
      <c r="AS37" s="170">
        <v>0</v>
      </c>
      <c r="AT37" s="170">
        <v>0</v>
      </c>
      <c r="AU37" s="170">
        <v>0</v>
      </c>
      <c r="AV37" s="170">
        <v>0</v>
      </c>
      <c r="AW37" s="170">
        <v>0</v>
      </c>
    </row>
    <row r="38" spans="3:49" x14ac:dyDescent="0.3">
      <c r="C38" s="170">
        <v>54</v>
      </c>
      <c r="D38" s="170">
        <v>7</v>
      </c>
      <c r="E38" s="170">
        <v>1</v>
      </c>
      <c r="F38" s="170">
        <v>4</v>
      </c>
      <c r="G38" s="170">
        <v>0</v>
      </c>
      <c r="H38" s="170">
        <v>0</v>
      </c>
      <c r="I38" s="170">
        <v>0</v>
      </c>
      <c r="J38" s="170">
        <v>0</v>
      </c>
      <c r="K38" s="170">
        <v>2</v>
      </c>
      <c r="L38" s="170">
        <v>0</v>
      </c>
      <c r="M38" s="170">
        <v>0</v>
      </c>
      <c r="N38" s="170">
        <v>0</v>
      </c>
      <c r="O38" s="170">
        <v>0</v>
      </c>
      <c r="P38" s="170">
        <v>0</v>
      </c>
      <c r="Q38" s="170">
        <v>0</v>
      </c>
      <c r="R38" s="170">
        <v>0</v>
      </c>
      <c r="S38" s="170">
        <v>0</v>
      </c>
      <c r="T38" s="170">
        <v>0</v>
      </c>
      <c r="U38" s="170">
        <v>0</v>
      </c>
      <c r="V38" s="170">
        <v>1</v>
      </c>
      <c r="W38" s="170">
        <v>0</v>
      </c>
      <c r="X38" s="170">
        <v>0</v>
      </c>
      <c r="Y38" s="170">
        <v>0</v>
      </c>
      <c r="Z38" s="170">
        <v>0</v>
      </c>
      <c r="AA38" s="170">
        <v>0</v>
      </c>
      <c r="AB38" s="170">
        <v>0</v>
      </c>
      <c r="AC38" s="170">
        <v>0</v>
      </c>
      <c r="AD38" s="170">
        <v>0</v>
      </c>
      <c r="AE38" s="170">
        <v>0</v>
      </c>
      <c r="AF38" s="170">
        <v>0</v>
      </c>
      <c r="AG38" s="170">
        <v>0</v>
      </c>
      <c r="AH38" s="170">
        <v>0</v>
      </c>
      <c r="AI38" s="170">
        <v>0</v>
      </c>
      <c r="AJ38" s="170">
        <v>0</v>
      </c>
      <c r="AK38" s="170">
        <v>0</v>
      </c>
      <c r="AL38" s="170">
        <v>1</v>
      </c>
      <c r="AM38" s="170">
        <v>0</v>
      </c>
      <c r="AN38" s="170">
        <v>0</v>
      </c>
      <c r="AO38" s="170">
        <v>0</v>
      </c>
      <c r="AP38" s="170">
        <v>0</v>
      </c>
      <c r="AQ38" s="170">
        <v>0</v>
      </c>
      <c r="AR38" s="170">
        <v>0</v>
      </c>
      <c r="AS38" s="170">
        <v>0</v>
      </c>
      <c r="AT38" s="170">
        <v>0</v>
      </c>
      <c r="AU38" s="170">
        <v>0</v>
      </c>
      <c r="AV38" s="170">
        <v>0</v>
      </c>
      <c r="AW38" s="170">
        <v>0</v>
      </c>
    </row>
    <row r="39" spans="3:49" x14ac:dyDescent="0.3">
      <c r="C39" s="170">
        <v>54</v>
      </c>
      <c r="D39" s="170">
        <v>7</v>
      </c>
      <c r="E39" s="170">
        <v>2</v>
      </c>
      <c r="F39" s="170">
        <v>536</v>
      </c>
      <c r="G39" s="170">
        <v>0</v>
      </c>
      <c r="H39" s="170">
        <v>0</v>
      </c>
      <c r="I39" s="170">
        <v>0</v>
      </c>
      <c r="J39" s="170">
        <v>0</v>
      </c>
      <c r="K39" s="170">
        <v>280</v>
      </c>
      <c r="L39" s="170">
        <v>0</v>
      </c>
      <c r="M39" s="170">
        <v>0</v>
      </c>
      <c r="N39" s="170">
        <v>0</v>
      </c>
      <c r="O39" s="170">
        <v>0</v>
      </c>
      <c r="P39" s="170">
        <v>0</v>
      </c>
      <c r="Q39" s="170">
        <v>0</v>
      </c>
      <c r="R39" s="170">
        <v>0</v>
      </c>
      <c r="S39" s="170">
        <v>0</v>
      </c>
      <c r="T39" s="170">
        <v>0</v>
      </c>
      <c r="U39" s="170">
        <v>0</v>
      </c>
      <c r="V39" s="170">
        <v>112</v>
      </c>
      <c r="W39" s="170">
        <v>0</v>
      </c>
      <c r="X39" s="170">
        <v>0</v>
      </c>
      <c r="Y39" s="170">
        <v>0</v>
      </c>
      <c r="Z39" s="170">
        <v>0</v>
      </c>
      <c r="AA39" s="170">
        <v>0</v>
      </c>
      <c r="AB39" s="170">
        <v>0</v>
      </c>
      <c r="AC39" s="170">
        <v>0</v>
      </c>
      <c r="AD39" s="170">
        <v>0</v>
      </c>
      <c r="AE39" s="170">
        <v>0</v>
      </c>
      <c r="AF39" s="170">
        <v>0</v>
      </c>
      <c r="AG39" s="170">
        <v>0</v>
      </c>
      <c r="AH39" s="170">
        <v>0</v>
      </c>
      <c r="AI39" s="170">
        <v>0</v>
      </c>
      <c r="AJ39" s="170">
        <v>0</v>
      </c>
      <c r="AK39" s="170">
        <v>0</v>
      </c>
      <c r="AL39" s="170">
        <v>144</v>
      </c>
      <c r="AM39" s="170">
        <v>0</v>
      </c>
      <c r="AN39" s="170">
        <v>0</v>
      </c>
      <c r="AO39" s="170">
        <v>0</v>
      </c>
      <c r="AP39" s="170">
        <v>0</v>
      </c>
      <c r="AQ39" s="170">
        <v>0</v>
      </c>
      <c r="AR39" s="170">
        <v>0</v>
      </c>
      <c r="AS39" s="170">
        <v>0</v>
      </c>
      <c r="AT39" s="170">
        <v>0</v>
      </c>
      <c r="AU39" s="170">
        <v>0</v>
      </c>
      <c r="AV39" s="170">
        <v>0</v>
      </c>
      <c r="AW39" s="170">
        <v>0</v>
      </c>
    </row>
    <row r="40" spans="3:49" x14ac:dyDescent="0.3">
      <c r="C40" s="170">
        <v>54</v>
      </c>
      <c r="D40" s="170">
        <v>7</v>
      </c>
      <c r="E40" s="170">
        <v>5</v>
      </c>
      <c r="F40" s="170">
        <v>20</v>
      </c>
      <c r="G40" s="170">
        <v>20</v>
      </c>
      <c r="H40" s="170">
        <v>0</v>
      </c>
      <c r="I40" s="170">
        <v>0</v>
      </c>
      <c r="J40" s="170">
        <v>0</v>
      </c>
      <c r="K40" s="170">
        <v>0</v>
      </c>
      <c r="L40" s="170">
        <v>0</v>
      </c>
      <c r="M40" s="170">
        <v>0</v>
      </c>
      <c r="N40" s="170">
        <v>0</v>
      </c>
      <c r="O40" s="170">
        <v>0</v>
      </c>
      <c r="P40" s="170">
        <v>0</v>
      </c>
      <c r="Q40" s="170">
        <v>0</v>
      </c>
      <c r="R40" s="170">
        <v>0</v>
      </c>
      <c r="S40" s="170">
        <v>0</v>
      </c>
      <c r="T40" s="170">
        <v>0</v>
      </c>
      <c r="U40" s="170">
        <v>0</v>
      </c>
      <c r="V40" s="170">
        <v>0</v>
      </c>
      <c r="W40" s="170">
        <v>0</v>
      </c>
      <c r="X40" s="170">
        <v>0</v>
      </c>
      <c r="Y40" s="170">
        <v>0</v>
      </c>
      <c r="Z40" s="170">
        <v>0</v>
      </c>
      <c r="AA40" s="170">
        <v>0</v>
      </c>
      <c r="AB40" s="170">
        <v>0</v>
      </c>
      <c r="AC40" s="170">
        <v>0</v>
      </c>
      <c r="AD40" s="170">
        <v>0</v>
      </c>
      <c r="AE40" s="170">
        <v>0</v>
      </c>
      <c r="AF40" s="170">
        <v>0</v>
      </c>
      <c r="AG40" s="170">
        <v>0</v>
      </c>
      <c r="AH40" s="170">
        <v>0</v>
      </c>
      <c r="AI40" s="170">
        <v>0</v>
      </c>
      <c r="AJ40" s="170">
        <v>0</v>
      </c>
      <c r="AK40" s="170">
        <v>0</v>
      </c>
      <c r="AL40" s="170">
        <v>0</v>
      </c>
      <c r="AM40" s="170">
        <v>0</v>
      </c>
      <c r="AN40" s="170">
        <v>0</v>
      </c>
      <c r="AO40" s="170">
        <v>0</v>
      </c>
      <c r="AP40" s="170">
        <v>0</v>
      </c>
      <c r="AQ40" s="170">
        <v>0</v>
      </c>
      <c r="AR40" s="170">
        <v>0</v>
      </c>
      <c r="AS40" s="170">
        <v>0</v>
      </c>
      <c r="AT40" s="170">
        <v>0</v>
      </c>
      <c r="AU40" s="170">
        <v>0</v>
      </c>
      <c r="AV40" s="170">
        <v>0</v>
      </c>
      <c r="AW40" s="170">
        <v>0</v>
      </c>
    </row>
    <row r="41" spans="3:49" x14ac:dyDescent="0.3">
      <c r="C41" s="170">
        <v>54</v>
      </c>
      <c r="D41" s="170">
        <v>7</v>
      </c>
      <c r="E41" s="170">
        <v>6</v>
      </c>
      <c r="F41" s="170">
        <v>240269</v>
      </c>
      <c r="G41" s="170">
        <v>5000</v>
      </c>
      <c r="H41" s="170">
        <v>0</v>
      </c>
      <c r="I41" s="170">
        <v>0</v>
      </c>
      <c r="J41" s="170">
        <v>0</v>
      </c>
      <c r="K41" s="170">
        <v>163967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0</v>
      </c>
      <c r="R41" s="170">
        <v>0</v>
      </c>
      <c r="S41" s="170">
        <v>0</v>
      </c>
      <c r="T41" s="170">
        <v>0</v>
      </c>
      <c r="U41" s="170">
        <v>0</v>
      </c>
      <c r="V41" s="170">
        <v>34846</v>
      </c>
      <c r="W41" s="170">
        <v>0</v>
      </c>
      <c r="X41" s="170">
        <v>0</v>
      </c>
      <c r="Y41" s="170">
        <v>0</v>
      </c>
      <c r="Z41" s="170">
        <v>0</v>
      </c>
      <c r="AA41" s="170">
        <v>0</v>
      </c>
      <c r="AB41" s="170">
        <v>0</v>
      </c>
      <c r="AC41" s="170">
        <v>0</v>
      </c>
      <c r="AD41" s="170">
        <v>0</v>
      </c>
      <c r="AE41" s="170">
        <v>0</v>
      </c>
      <c r="AF41" s="170">
        <v>0</v>
      </c>
      <c r="AG41" s="170">
        <v>0</v>
      </c>
      <c r="AH41" s="170">
        <v>0</v>
      </c>
      <c r="AI41" s="170">
        <v>0</v>
      </c>
      <c r="AJ41" s="170">
        <v>0</v>
      </c>
      <c r="AK41" s="170">
        <v>0</v>
      </c>
      <c r="AL41" s="170">
        <v>35999</v>
      </c>
      <c r="AM41" s="170">
        <v>0</v>
      </c>
      <c r="AN41" s="170">
        <v>0</v>
      </c>
      <c r="AO41" s="170">
        <v>0</v>
      </c>
      <c r="AP41" s="170">
        <v>0</v>
      </c>
      <c r="AQ41" s="170">
        <v>0</v>
      </c>
      <c r="AR41" s="170">
        <v>0</v>
      </c>
      <c r="AS41" s="170">
        <v>0</v>
      </c>
      <c r="AT41" s="170">
        <v>0</v>
      </c>
      <c r="AU41" s="170">
        <v>457</v>
      </c>
      <c r="AV41" s="170">
        <v>0</v>
      </c>
      <c r="AW41" s="170">
        <v>0</v>
      </c>
    </row>
    <row r="42" spans="3:49" x14ac:dyDescent="0.3">
      <c r="C42" s="170">
        <v>54</v>
      </c>
      <c r="D42" s="170">
        <v>7</v>
      </c>
      <c r="E42" s="170">
        <v>9</v>
      </c>
      <c r="F42" s="170">
        <v>70499</v>
      </c>
      <c r="G42" s="170">
        <v>0</v>
      </c>
      <c r="H42" s="170">
        <v>0</v>
      </c>
      <c r="I42" s="170">
        <v>0</v>
      </c>
      <c r="J42" s="170">
        <v>0</v>
      </c>
      <c r="K42" s="170">
        <v>53099</v>
      </c>
      <c r="L42" s="170">
        <v>0</v>
      </c>
      <c r="M42" s="170">
        <v>0</v>
      </c>
      <c r="N42" s="170">
        <v>0</v>
      </c>
      <c r="O42" s="170">
        <v>0</v>
      </c>
      <c r="P42" s="170">
        <v>0</v>
      </c>
      <c r="Q42" s="170">
        <v>0</v>
      </c>
      <c r="R42" s="170">
        <v>0</v>
      </c>
      <c r="S42" s="170">
        <v>0</v>
      </c>
      <c r="T42" s="170">
        <v>0</v>
      </c>
      <c r="U42" s="170">
        <v>0</v>
      </c>
      <c r="V42" s="170">
        <v>8341</v>
      </c>
      <c r="W42" s="170">
        <v>0</v>
      </c>
      <c r="X42" s="170">
        <v>0</v>
      </c>
      <c r="Y42" s="170">
        <v>0</v>
      </c>
      <c r="Z42" s="170">
        <v>0</v>
      </c>
      <c r="AA42" s="170">
        <v>0</v>
      </c>
      <c r="AB42" s="170">
        <v>0</v>
      </c>
      <c r="AC42" s="170">
        <v>0</v>
      </c>
      <c r="AD42" s="170">
        <v>0</v>
      </c>
      <c r="AE42" s="170">
        <v>0</v>
      </c>
      <c r="AF42" s="170">
        <v>0</v>
      </c>
      <c r="AG42" s="170">
        <v>0</v>
      </c>
      <c r="AH42" s="170">
        <v>0</v>
      </c>
      <c r="AI42" s="170">
        <v>0</v>
      </c>
      <c r="AJ42" s="170">
        <v>0</v>
      </c>
      <c r="AK42" s="170">
        <v>0</v>
      </c>
      <c r="AL42" s="170">
        <v>9059</v>
      </c>
      <c r="AM42" s="170">
        <v>0</v>
      </c>
      <c r="AN42" s="170">
        <v>0</v>
      </c>
      <c r="AO42" s="170">
        <v>0</v>
      </c>
      <c r="AP42" s="170">
        <v>0</v>
      </c>
      <c r="AQ42" s="170">
        <v>0</v>
      </c>
      <c r="AR42" s="170">
        <v>0</v>
      </c>
      <c r="AS42" s="170">
        <v>0</v>
      </c>
      <c r="AT42" s="170">
        <v>0</v>
      </c>
      <c r="AU42" s="170">
        <v>0</v>
      </c>
      <c r="AV42" s="170">
        <v>0</v>
      </c>
      <c r="AW42" s="170">
        <v>0</v>
      </c>
    </row>
    <row r="43" spans="3:49" x14ac:dyDescent="0.3">
      <c r="C43" s="170">
        <v>54</v>
      </c>
      <c r="D43" s="170">
        <v>7</v>
      </c>
      <c r="E43" s="170">
        <v>10</v>
      </c>
      <c r="F43" s="170">
        <v>5808</v>
      </c>
      <c r="G43" s="170">
        <v>0</v>
      </c>
      <c r="H43" s="170">
        <v>0</v>
      </c>
      <c r="I43" s="170">
        <v>0</v>
      </c>
      <c r="J43" s="170">
        <v>0</v>
      </c>
      <c r="K43" s="170">
        <v>0</v>
      </c>
      <c r="L43" s="170">
        <v>0</v>
      </c>
      <c r="M43" s="170">
        <v>0</v>
      </c>
      <c r="N43" s="170">
        <v>0</v>
      </c>
      <c r="O43" s="170">
        <v>5808</v>
      </c>
      <c r="P43" s="170">
        <v>0</v>
      </c>
      <c r="Q43" s="170">
        <v>0</v>
      </c>
      <c r="R43" s="170">
        <v>0</v>
      </c>
      <c r="S43" s="170">
        <v>0</v>
      </c>
      <c r="T43" s="170">
        <v>0</v>
      </c>
      <c r="U43" s="170">
        <v>0</v>
      </c>
      <c r="V43" s="170">
        <v>0</v>
      </c>
      <c r="W43" s="170">
        <v>0</v>
      </c>
      <c r="X43" s="170">
        <v>0</v>
      </c>
      <c r="Y43" s="170">
        <v>0</v>
      </c>
      <c r="Z43" s="170">
        <v>0</v>
      </c>
      <c r="AA43" s="170">
        <v>0</v>
      </c>
      <c r="AB43" s="170">
        <v>0</v>
      </c>
      <c r="AC43" s="170">
        <v>0</v>
      </c>
      <c r="AD43" s="170">
        <v>0</v>
      </c>
      <c r="AE43" s="170">
        <v>0</v>
      </c>
      <c r="AF43" s="170">
        <v>0</v>
      </c>
      <c r="AG43" s="170">
        <v>0</v>
      </c>
      <c r="AH43" s="170">
        <v>0</v>
      </c>
      <c r="AI43" s="170">
        <v>0</v>
      </c>
      <c r="AJ43" s="170">
        <v>0</v>
      </c>
      <c r="AK43" s="170">
        <v>0</v>
      </c>
      <c r="AL43" s="170">
        <v>0</v>
      </c>
      <c r="AM43" s="170">
        <v>0</v>
      </c>
      <c r="AN43" s="170">
        <v>0</v>
      </c>
      <c r="AO43" s="170">
        <v>0</v>
      </c>
      <c r="AP43" s="170">
        <v>0</v>
      </c>
      <c r="AQ43" s="170">
        <v>0</v>
      </c>
      <c r="AR43" s="170">
        <v>0</v>
      </c>
      <c r="AS43" s="170">
        <v>0</v>
      </c>
      <c r="AT43" s="170">
        <v>0</v>
      </c>
      <c r="AU43" s="170">
        <v>0</v>
      </c>
      <c r="AV43" s="170">
        <v>0</v>
      </c>
      <c r="AW43" s="170">
        <v>0</v>
      </c>
    </row>
    <row r="44" spans="3:49" x14ac:dyDescent="0.3">
      <c r="C44" s="170">
        <v>54</v>
      </c>
      <c r="D44" s="170">
        <v>7</v>
      </c>
      <c r="E44" s="170">
        <v>11</v>
      </c>
      <c r="F44" s="170">
        <v>989.1857506361323</v>
      </c>
      <c r="G44" s="170">
        <v>0</v>
      </c>
      <c r="H44" s="170">
        <v>0</v>
      </c>
      <c r="I44" s="170">
        <v>0</v>
      </c>
      <c r="J44" s="170">
        <v>572.51908396946567</v>
      </c>
      <c r="K44" s="170">
        <v>0</v>
      </c>
      <c r="L44" s="170">
        <v>0</v>
      </c>
      <c r="M44" s="170">
        <v>0</v>
      </c>
      <c r="N44" s="170">
        <v>0</v>
      </c>
      <c r="O44" s="170">
        <v>416.66666666666669</v>
      </c>
      <c r="P44" s="170">
        <v>0</v>
      </c>
      <c r="Q44" s="170">
        <v>0</v>
      </c>
      <c r="R44" s="170">
        <v>0</v>
      </c>
      <c r="S44" s="170">
        <v>0</v>
      </c>
      <c r="T44" s="170">
        <v>0</v>
      </c>
      <c r="U44" s="170">
        <v>0</v>
      </c>
      <c r="V44" s="170">
        <v>0</v>
      </c>
      <c r="W44" s="170">
        <v>0</v>
      </c>
      <c r="X44" s="170">
        <v>0</v>
      </c>
      <c r="Y44" s="170">
        <v>0</v>
      </c>
      <c r="Z44" s="170">
        <v>0</v>
      </c>
      <c r="AA44" s="170">
        <v>0</v>
      </c>
      <c r="AB44" s="170">
        <v>0</v>
      </c>
      <c r="AC44" s="170">
        <v>0</v>
      </c>
      <c r="AD44" s="170">
        <v>0</v>
      </c>
      <c r="AE44" s="170">
        <v>0</v>
      </c>
      <c r="AF44" s="170">
        <v>0</v>
      </c>
      <c r="AG44" s="170">
        <v>0</v>
      </c>
      <c r="AH44" s="170">
        <v>0</v>
      </c>
      <c r="AI44" s="170">
        <v>0</v>
      </c>
      <c r="AJ44" s="170">
        <v>0</v>
      </c>
      <c r="AK44" s="170">
        <v>0</v>
      </c>
      <c r="AL44" s="170">
        <v>0</v>
      </c>
      <c r="AM44" s="170">
        <v>0</v>
      </c>
      <c r="AN44" s="170">
        <v>0</v>
      </c>
      <c r="AO44" s="170">
        <v>0</v>
      </c>
      <c r="AP44" s="170">
        <v>0</v>
      </c>
      <c r="AQ44" s="170">
        <v>0</v>
      </c>
      <c r="AR44" s="170">
        <v>0</v>
      </c>
      <c r="AS44" s="170">
        <v>0</v>
      </c>
      <c r="AT44" s="170">
        <v>0</v>
      </c>
      <c r="AU44" s="170">
        <v>0</v>
      </c>
      <c r="AV44" s="170">
        <v>0</v>
      </c>
      <c r="AW44" s="170">
        <v>0</v>
      </c>
    </row>
    <row r="45" spans="3:49" x14ac:dyDescent="0.3">
      <c r="C45" s="170">
        <v>54</v>
      </c>
      <c r="D45" s="170">
        <v>8</v>
      </c>
      <c r="E45" s="170">
        <v>1</v>
      </c>
      <c r="F45" s="170">
        <v>4</v>
      </c>
      <c r="G45" s="170">
        <v>0</v>
      </c>
      <c r="H45" s="170">
        <v>0</v>
      </c>
      <c r="I45" s="170">
        <v>0</v>
      </c>
      <c r="J45" s="170">
        <v>0</v>
      </c>
      <c r="K45" s="170">
        <v>2</v>
      </c>
      <c r="L45" s="170">
        <v>0</v>
      </c>
      <c r="M45" s="170">
        <v>0</v>
      </c>
      <c r="N45" s="170">
        <v>0</v>
      </c>
      <c r="O45" s="170">
        <v>0</v>
      </c>
      <c r="P45" s="170">
        <v>0</v>
      </c>
      <c r="Q45" s="170">
        <v>0</v>
      </c>
      <c r="R45" s="170">
        <v>0</v>
      </c>
      <c r="S45" s="170">
        <v>0</v>
      </c>
      <c r="T45" s="170">
        <v>0</v>
      </c>
      <c r="U45" s="170">
        <v>0</v>
      </c>
      <c r="V45" s="170">
        <v>1</v>
      </c>
      <c r="W45" s="170">
        <v>0</v>
      </c>
      <c r="X45" s="170">
        <v>0</v>
      </c>
      <c r="Y45" s="170">
        <v>0</v>
      </c>
      <c r="Z45" s="170">
        <v>0</v>
      </c>
      <c r="AA45" s="170">
        <v>0</v>
      </c>
      <c r="AB45" s="170">
        <v>0</v>
      </c>
      <c r="AC45" s="170">
        <v>0</v>
      </c>
      <c r="AD45" s="170">
        <v>0</v>
      </c>
      <c r="AE45" s="170">
        <v>0</v>
      </c>
      <c r="AF45" s="170">
        <v>0</v>
      </c>
      <c r="AG45" s="170">
        <v>0</v>
      </c>
      <c r="AH45" s="170">
        <v>0</v>
      </c>
      <c r="AI45" s="170">
        <v>0</v>
      </c>
      <c r="AJ45" s="170">
        <v>0</v>
      </c>
      <c r="AK45" s="170">
        <v>0</v>
      </c>
      <c r="AL45" s="170">
        <v>1</v>
      </c>
      <c r="AM45" s="170">
        <v>0</v>
      </c>
      <c r="AN45" s="170">
        <v>0</v>
      </c>
      <c r="AO45" s="170">
        <v>0</v>
      </c>
      <c r="AP45" s="170">
        <v>0</v>
      </c>
      <c r="AQ45" s="170">
        <v>0</v>
      </c>
      <c r="AR45" s="170">
        <v>0</v>
      </c>
      <c r="AS45" s="170">
        <v>0</v>
      </c>
      <c r="AT45" s="170">
        <v>0</v>
      </c>
      <c r="AU45" s="170">
        <v>0</v>
      </c>
      <c r="AV45" s="170">
        <v>0</v>
      </c>
      <c r="AW45" s="170">
        <v>0</v>
      </c>
    </row>
    <row r="46" spans="3:49" x14ac:dyDescent="0.3">
      <c r="C46" s="170">
        <v>54</v>
      </c>
      <c r="D46" s="170">
        <v>8</v>
      </c>
      <c r="E46" s="170">
        <v>2</v>
      </c>
      <c r="F46" s="170">
        <v>584</v>
      </c>
      <c r="G46" s="170">
        <v>0</v>
      </c>
      <c r="H46" s="170">
        <v>0</v>
      </c>
      <c r="I46" s="170">
        <v>0</v>
      </c>
      <c r="J46" s="170">
        <v>0</v>
      </c>
      <c r="K46" s="170">
        <v>264</v>
      </c>
      <c r="L46" s="170">
        <v>0</v>
      </c>
      <c r="M46" s="170">
        <v>0</v>
      </c>
      <c r="N46" s="170">
        <v>0</v>
      </c>
      <c r="O46" s="170">
        <v>0</v>
      </c>
      <c r="P46" s="170">
        <v>0</v>
      </c>
      <c r="Q46" s="170">
        <v>0</v>
      </c>
      <c r="R46" s="170">
        <v>0</v>
      </c>
      <c r="S46" s="170">
        <v>0</v>
      </c>
      <c r="T46" s="170">
        <v>0</v>
      </c>
      <c r="U46" s="170">
        <v>0</v>
      </c>
      <c r="V46" s="170">
        <v>176</v>
      </c>
      <c r="W46" s="170">
        <v>0</v>
      </c>
      <c r="X46" s="170">
        <v>0</v>
      </c>
      <c r="Y46" s="170">
        <v>0</v>
      </c>
      <c r="Z46" s="170">
        <v>0</v>
      </c>
      <c r="AA46" s="170">
        <v>0</v>
      </c>
      <c r="AB46" s="170">
        <v>0</v>
      </c>
      <c r="AC46" s="170">
        <v>0</v>
      </c>
      <c r="AD46" s="170">
        <v>0</v>
      </c>
      <c r="AE46" s="170">
        <v>0</v>
      </c>
      <c r="AF46" s="170">
        <v>0</v>
      </c>
      <c r="AG46" s="170">
        <v>0</v>
      </c>
      <c r="AH46" s="170">
        <v>0</v>
      </c>
      <c r="AI46" s="170">
        <v>0</v>
      </c>
      <c r="AJ46" s="170">
        <v>0</v>
      </c>
      <c r="AK46" s="170">
        <v>0</v>
      </c>
      <c r="AL46" s="170">
        <v>144</v>
      </c>
      <c r="AM46" s="170">
        <v>0</v>
      </c>
      <c r="AN46" s="170">
        <v>0</v>
      </c>
      <c r="AO46" s="170">
        <v>0</v>
      </c>
      <c r="AP46" s="170">
        <v>0</v>
      </c>
      <c r="AQ46" s="170">
        <v>0</v>
      </c>
      <c r="AR46" s="170">
        <v>0</v>
      </c>
      <c r="AS46" s="170">
        <v>0</v>
      </c>
      <c r="AT46" s="170">
        <v>0</v>
      </c>
      <c r="AU46" s="170">
        <v>0</v>
      </c>
      <c r="AV46" s="170">
        <v>0</v>
      </c>
      <c r="AW46" s="170">
        <v>0</v>
      </c>
    </row>
    <row r="47" spans="3:49" x14ac:dyDescent="0.3">
      <c r="C47" s="170">
        <v>54</v>
      </c>
      <c r="D47" s="170">
        <v>8</v>
      </c>
      <c r="E47" s="170">
        <v>5</v>
      </c>
      <c r="F47" s="170">
        <v>20</v>
      </c>
      <c r="G47" s="170">
        <v>20</v>
      </c>
      <c r="H47" s="170">
        <v>0</v>
      </c>
      <c r="I47" s="170">
        <v>0</v>
      </c>
      <c r="J47" s="170">
        <v>0</v>
      </c>
      <c r="K47" s="170">
        <v>0</v>
      </c>
      <c r="L47" s="170">
        <v>0</v>
      </c>
      <c r="M47" s="170">
        <v>0</v>
      </c>
      <c r="N47" s="170">
        <v>0</v>
      </c>
      <c r="O47" s="170">
        <v>0</v>
      </c>
      <c r="P47" s="170">
        <v>0</v>
      </c>
      <c r="Q47" s="170">
        <v>0</v>
      </c>
      <c r="R47" s="170">
        <v>0</v>
      </c>
      <c r="S47" s="170">
        <v>0</v>
      </c>
      <c r="T47" s="170">
        <v>0</v>
      </c>
      <c r="U47" s="170">
        <v>0</v>
      </c>
      <c r="V47" s="170">
        <v>0</v>
      </c>
      <c r="W47" s="170">
        <v>0</v>
      </c>
      <c r="X47" s="170">
        <v>0</v>
      </c>
      <c r="Y47" s="170">
        <v>0</v>
      </c>
      <c r="Z47" s="170">
        <v>0</v>
      </c>
      <c r="AA47" s="170">
        <v>0</v>
      </c>
      <c r="AB47" s="170">
        <v>0</v>
      </c>
      <c r="AC47" s="170">
        <v>0</v>
      </c>
      <c r="AD47" s="170">
        <v>0</v>
      </c>
      <c r="AE47" s="170">
        <v>0</v>
      </c>
      <c r="AF47" s="170">
        <v>0</v>
      </c>
      <c r="AG47" s="170">
        <v>0</v>
      </c>
      <c r="AH47" s="170">
        <v>0</v>
      </c>
      <c r="AI47" s="170">
        <v>0</v>
      </c>
      <c r="AJ47" s="170">
        <v>0</v>
      </c>
      <c r="AK47" s="170">
        <v>0</v>
      </c>
      <c r="AL47" s="170">
        <v>0</v>
      </c>
      <c r="AM47" s="170">
        <v>0</v>
      </c>
      <c r="AN47" s="170">
        <v>0</v>
      </c>
      <c r="AO47" s="170">
        <v>0</v>
      </c>
      <c r="AP47" s="170">
        <v>0</v>
      </c>
      <c r="AQ47" s="170">
        <v>0</v>
      </c>
      <c r="AR47" s="170">
        <v>0</v>
      </c>
      <c r="AS47" s="170">
        <v>0</v>
      </c>
      <c r="AT47" s="170">
        <v>0</v>
      </c>
      <c r="AU47" s="170">
        <v>0</v>
      </c>
      <c r="AV47" s="170">
        <v>0</v>
      </c>
      <c r="AW47" s="170">
        <v>0</v>
      </c>
    </row>
    <row r="48" spans="3:49" x14ac:dyDescent="0.3">
      <c r="C48" s="170">
        <v>54</v>
      </c>
      <c r="D48" s="170">
        <v>8</v>
      </c>
      <c r="E48" s="170">
        <v>6</v>
      </c>
      <c r="F48" s="170">
        <v>189853</v>
      </c>
      <c r="G48" s="170">
        <v>5000</v>
      </c>
      <c r="H48" s="170">
        <v>0</v>
      </c>
      <c r="I48" s="170">
        <v>0</v>
      </c>
      <c r="J48" s="170">
        <v>0</v>
      </c>
      <c r="K48" s="170">
        <v>130425</v>
      </c>
      <c r="L48" s="170">
        <v>0</v>
      </c>
      <c r="M48" s="170">
        <v>0</v>
      </c>
      <c r="N48" s="170">
        <v>0</v>
      </c>
      <c r="O48" s="170">
        <v>0</v>
      </c>
      <c r="P48" s="170">
        <v>0</v>
      </c>
      <c r="Q48" s="170">
        <v>0</v>
      </c>
      <c r="R48" s="170">
        <v>0</v>
      </c>
      <c r="S48" s="170">
        <v>0</v>
      </c>
      <c r="T48" s="170">
        <v>0</v>
      </c>
      <c r="U48" s="170">
        <v>0</v>
      </c>
      <c r="V48" s="170">
        <v>26844</v>
      </c>
      <c r="W48" s="170">
        <v>0</v>
      </c>
      <c r="X48" s="170">
        <v>0</v>
      </c>
      <c r="Y48" s="170">
        <v>0</v>
      </c>
      <c r="Z48" s="170">
        <v>0</v>
      </c>
      <c r="AA48" s="170">
        <v>0</v>
      </c>
      <c r="AB48" s="170">
        <v>0</v>
      </c>
      <c r="AC48" s="170">
        <v>0</v>
      </c>
      <c r="AD48" s="170">
        <v>0</v>
      </c>
      <c r="AE48" s="170">
        <v>0</v>
      </c>
      <c r="AF48" s="170">
        <v>0</v>
      </c>
      <c r="AG48" s="170">
        <v>0</v>
      </c>
      <c r="AH48" s="170">
        <v>0</v>
      </c>
      <c r="AI48" s="170">
        <v>0</v>
      </c>
      <c r="AJ48" s="170">
        <v>0</v>
      </c>
      <c r="AK48" s="170">
        <v>0</v>
      </c>
      <c r="AL48" s="170">
        <v>27245</v>
      </c>
      <c r="AM48" s="170">
        <v>0</v>
      </c>
      <c r="AN48" s="170">
        <v>0</v>
      </c>
      <c r="AO48" s="170">
        <v>0</v>
      </c>
      <c r="AP48" s="170">
        <v>0</v>
      </c>
      <c r="AQ48" s="170">
        <v>0</v>
      </c>
      <c r="AR48" s="170">
        <v>0</v>
      </c>
      <c r="AS48" s="170">
        <v>0</v>
      </c>
      <c r="AT48" s="170">
        <v>0</v>
      </c>
      <c r="AU48" s="170">
        <v>339</v>
      </c>
      <c r="AV48" s="170">
        <v>0</v>
      </c>
      <c r="AW48" s="170">
        <v>0</v>
      </c>
    </row>
    <row r="49" spans="3:49" x14ac:dyDescent="0.3">
      <c r="C49" s="170">
        <v>54</v>
      </c>
      <c r="D49" s="170">
        <v>8</v>
      </c>
      <c r="E49" s="170">
        <v>9</v>
      </c>
      <c r="F49" s="170">
        <v>16373</v>
      </c>
      <c r="G49" s="170">
        <v>0</v>
      </c>
      <c r="H49" s="170">
        <v>0</v>
      </c>
      <c r="I49" s="170">
        <v>0</v>
      </c>
      <c r="J49" s="170">
        <v>0</v>
      </c>
      <c r="K49" s="170">
        <v>16373</v>
      </c>
      <c r="L49" s="170">
        <v>0</v>
      </c>
      <c r="M49" s="170">
        <v>0</v>
      </c>
      <c r="N49" s="170">
        <v>0</v>
      </c>
      <c r="O49" s="170">
        <v>0</v>
      </c>
      <c r="P49" s="170">
        <v>0</v>
      </c>
      <c r="Q49" s="170">
        <v>0</v>
      </c>
      <c r="R49" s="170">
        <v>0</v>
      </c>
      <c r="S49" s="170">
        <v>0</v>
      </c>
      <c r="T49" s="170">
        <v>0</v>
      </c>
      <c r="U49" s="170">
        <v>0</v>
      </c>
      <c r="V49" s="170">
        <v>0</v>
      </c>
      <c r="W49" s="170">
        <v>0</v>
      </c>
      <c r="X49" s="170">
        <v>0</v>
      </c>
      <c r="Y49" s="170">
        <v>0</v>
      </c>
      <c r="Z49" s="170">
        <v>0</v>
      </c>
      <c r="AA49" s="170">
        <v>0</v>
      </c>
      <c r="AB49" s="170">
        <v>0</v>
      </c>
      <c r="AC49" s="170">
        <v>0</v>
      </c>
      <c r="AD49" s="170">
        <v>0</v>
      </c>
      <c r="AE49" s="170">
        <v>0</v>
      </c>
      <c r="AF49" s="170">
        <v>0</v>
      </c>
      <c r="AG49" s="170">
        <v>0</v>
      </c>
      <c r="AH49" s="170">
        <v>0</v>
      </c>
      <c r="AI49" s="170">
        <v>0</v>
      </c>
      <c r="AJ49" s="170">
        <v>0</v>
      </c>
      <c r="AK49" s="170">
        <v>0</v>
      </c>
      <c r="AL49" s="170">
        <v>0</v>
      </c>
      <c r="AM49" s="170">
        <v>0</v>
      </c>
      <c r="AN49" s="170">
        <v>0</v>
      </c>
      <c r="AO49" s="170">
        <v>0</v>
      </c>
      <c r="AP49" s="170">
        <v>0</v>
      </c>
      <c r="AQ49" s="170">
        <v>0</v>
      </c>
      <c r="AR49" s="170">
        <v>0</v>
      </c>
      <c r="AS49" s="170">
        <v>0</v>
      </c>
      <c r="AT49" s="170">
        <v>0</v>
      </c>
      <c r="AU49" s="170">
        <v>0</v>
      </c>
      <c r="AV49" s="170">
        <v>0</v>
      </c>
      <c r="AW49" s="170">
        <v>0</v>
      </c>
    </row>
    <row r="50" spans="3:49" x14ac:dyDescent="0.3">
      <c r="C50" s="170">
        <v>54</v>
      </c>
      <c r="D50" s="170">
        <v>8</v>
      </c>
      <c r="E50" s="170">
        <v>11</v>
      </c>
      <c r="F50" s="170">
        <v>989.1857506361323</v>
      </c>
      <c r="G50" s="170">
        <v>0</v>
      </c>
      <c r="H50" s="170">
        <v>0</v>
      </c>
      <c r="I50" s="170">
        <v>0</v>
      </c>
      <c r="J50" s="170">
        <v>572.51908396946567</v>
      </c>
      <c r="K50" s="170">
        <v>0</v>
      </c>
      <c r="L50" s="170">
        <v>0</v>
      </c>
      <c r="M50" s="170">
        <v>0</v>
      </c>
      <c r="N50" s="170">
        <v>0</v>
      </c>
      <c r="O50" s="170">
        <v>416.66666666666669</v>
      </c>
      <c r="P50" s="170">
        <v>0</v>
      </c>
      <c r="Q50" s="170">
        <v>0</v>
      </c>
      <c r="R50" s="170">
        <v>0</v>
      </c>
      <c r="S50" s="170">
        <v>0</v>
      </c>
      <c r="T50" s="170">
        <v>0</v>
      </c>
      <c r="U50" s="170">
        <v>0</v>
      </c>
      <c r="V50" s="170">
        <v>0</v>
      </c>
      <c r="W50" s="170">
        <v>0</v>
      </c>
      <c r="X50" s="170">
        <v>0</v>
      </c>
      <c r="Y50" s="170">
        <v>0</v>
      </c>
      <c r="Z50" s="170">
        <v>0</v>
      </c>
      <c r="AA50" s="170">
        <v>0</v>
      </c>
      <c r="AB50" s="170">
        <v>0</v>
      </c>
      <c r="AC50" s="170">
        <v>0</v>
      </c>
      <c r="AD50" s="170">
        <v>0</v>
      </c>
      <c r="AE50" s="170">
        <v>0</v>
      </c>
      <c r="AF50" s="170">
        <v>0</v>
      </c>
      <c r="AG50" s="170">
        <v>0</v>
      </c>
      <c r="AH50" s="170">
        <v>0</v>
      </c>
      <c r="AI50" s="170">
        <v>0</v>
      </c>
      <c r="AJ50" s="170">
        <v>0</v>
      </c>
      <c r="AK50" s="170">
        <v>0</v>
      </c>
      <c r="AL50" s="170">
        <v>0</v>
      </c>
      <c r="AM50" s="170">
        <v>0</v>
      </c>
      <c r="AN50" s="170">
        <v>0</v>
      </c>
      <c r="AO50" s="170">
        <v>0</v>
      </c>
      <c r="AP50" s="170">
        <v>0</v>
      </c>
      <c r="AQ50" s="170">
        <v>0</v>
      </c>
      <c r="AR50" s="170">
        <v>0</v>
      </c>
      <c r="AS50" s="170">
        <v>0</v>
      </c>
      <c r="AT50" s="170">
        <v>0</v>
      </c>
      <c r="AU50" s="170">
        <v>0</v>
      </c>
      <c r="AV50" s="170">
        <v>0</v>
      </c>
      <c r="AW50" s="170">
        <v>0</v>
      </c>
    </row>
    <row r="51" spans="3:49" x14ac:dyDescent="0.3">
      <c r="C51" s="170">
        <v>54</v>
      </c>
      <c r="D51" s="170">
        <v>9</v>
      </c>
      <c r="E51" s="170">
        <v>1</v>
      </c>
      <c r="F51" s="170">
        <v>4</v>
      </c>
      <c r="G51" s="170">
        <v>0</v>
      </c>
      <c r="H51" s="170">
        <v>0</v>
      </c>
      <c r="I51" s="170">
        <v>0</v>
      </c>
      <c r="J51" s="170">
        <v>0</v>
      </c>
      <c r="K51" s="170">
        <v>2</v>
      </c>
      <c r="L51" s="170">
        <v>0</v>
      </c>
      <c r="M51" s="170">
        <v>0</v>
      </c>
      <c r="N51" s="170">
        <v>0</v>
      </c>
      <c r="O51" s="170">
        <v>0</v>
      </c>
      <c r="P51" s="170">
        <v>0</v>
      </c>
      <c r="Q51" s="170">
        <v>0</v>
      </c>
      <c r="R51" s="170">
        <v>0</v>
      </c>
      <c r="S51" s="170">
        <v>0</v>
      </c>
      <c r="T51" s="170">
        <v>0</v>
      </c>
      <c r="U51" s="170">
        <v>0</v>
      </c>
      <c r="V51" s="170">
        <v>1</v>
      </c>
      <c r="W51" s="170">
        <v>0</v>
      </c>
      <c r="X51" s="170">
        <v>0</v>
      </c>
      <c r="Y51" s="170">
        <v>0</v>
      </c>
      <c r="Z51" s="170">
        <v>0</v>
      </c>
      <c r="AA51" s="170">
        <v>0</v>
      </c>
      <c r="AB51" s="170">
        <v>0</v>
      </c>
      <c r="AC51" s="170">
        <v>0</v>
      </c>
      <c r="AD51" s="170">
        <v>0</v>
      </c>
      <c r="AE51" s="170">
        <v>0</v>
      </c>
      <c r="AF51" s="170">
        <v>0</v>
      </c>
      <c r="AG51" s="170">
        <v>0</v>
      </c>
      <c r="AH51" s="170">
        <v>0</v>
      </c>
      <c r="AI51" s="170">
        <v>0</v>
      </c>
      <c r="AJ51" s="170">
        <v>0</v>
      </c>
      <c r="AK51" s="170">
        <v>0</v>
      </c>
      <c r="AL51" s="170">
        <v>1</v>
      </c>
      <c r="AM51" s="170">
        <v>0</v>
      </c>
      <c r="AN51" s="170">
        <v>0</v>
      </c>
      <c r="AO51" s="170">
        <v>0</v>
      </c>
      <c r="AP51" s="170">
        <v>0</v>
      </c>
      <c r="AQ51" s="170">
        <v>0</v>
      </c>
      <c r="AR51" s="170">
        <v>0</v>
      </c>
      <c r="AS51" s="170">
        <v>0</v>
      </c>
      <c r="AT51" s="170">
        <v>0</v>
      </c>
      <c r="AU51" s="170">
        <v>0</v>
      </c>
      <c r="AV51" s="170">
        <v>0</v>
      </c>
      <c r="AW51" s="170">
        <v>0</v>
      </c>
    </row>
    <row r="52" spans="3:49" x14ac:dyDescent="0.3">
      <c r="C52" s="170">
        <v>54</v>
      </c>
      <c r="D52" s="170">
        <v>9</v>
      </c>
      <c r="E52" s="170">
        <v>2</v>
      </c>
      <c r="F52" s="170">
        <v>608</v>
      </c>
      <c r="G52" s="170">
        <v>0</v>
      </c>
      <c r="H52" s="170">
        <v>0</v>
      </c>
      <c r="I52" s="170">
        <v>0</v>
      </c>
      <c r="J52" s="170">
        <v>0</v>
      </c>
      <c r="K52" s="170">
        <v>304</v>
      </c>
      <c r="L52" s="170">
        <v>0</v>
      </c>
      <c r="M52" s="170">
        <v>0</v>
      </c>
      <c r="N52" s="170">
        <v>0</v>
      </c>
      <c r="O52" s="170">
        <v>0</v>
      </c>
      <c r="P52" s="170">
        <v>0</v>
      </c>
      <c r="Q52" s="170">
        <v>0</v>
      </c>
      <c r="R52" s="170">
        <v>0</v>
      </c>
      <c r="S52" s="170">
        <v>0</v>
      </c>
      <c r="T52" s="170">
        <v>0</v>
      </c>
      <c r="U52" s="170">
        <v>0</v>
      </c>
      <c r="V52" s="170">
        <v>168</v>
      </c>
      <c r="W52" s="170">
        <v>0</v>
      </c>
      <c r="X52" s="170">
        <v>0</v>
      </c>
      <c r="Y52" s="170">
        <v>0</v>
      </c>
      <c r="Z52" s="170">
        <v>0</v>
      </c>
      <c r="AA52" s="170">
        <v>0</v>
      </c>
      <c r="AB52" s="170">
        <v>0</v>
      </c>
      <c r="AC52" s="170">
        <v>0</v>
      </c>
      <c r="AD52" s="170">
        <v>0</v>
      </c>
      <c r="AE52" s="170">
        <v>0</v>
      </c>
      <c r="AF52" s="170">
        <v>0</v>
      </c>
      <c r="AG52" s="170">
        <v>0</v>
      </c>
      <c r="AH52" s="170">
        <v>0</v>
      </c>
      <c r="AI52" s="170">
        <v>0</v>
      </c>
      <c r="AJ52" s="170">
        <v>0</v>
      </c>
      <c r="AK52" s="170">
        <v>0</v>
      </c>
      <c r="AL52" s="170">
        <v>136</v>
      </c>
      <c r="AM52" s="170">
        <v>0</v>
      </c>
      <c r="AN52" s="170">
        <v>0</v>
      </c>
      <c r="AO52" s="170">
        <v>0</v>
      </c>
      <c r="AP52" s="170">
        <v>0</v>
      </c>
      <c r="AQ52" s="170">
        <v>0</v>
      </c>
      <c r="AR52" s="170">
        <v>0</v>
      </c>
      <c r="AS52" s="170">
        <v>0</v>
      </c>
      <c r="AT52" s="170">
        <v>0</v>
      </c>
      <c r="AU52" s="170">
        <v>0</v>
      </c>
      <c r="AV52" s="170">
        <v>0</v>
      </c>
      <c r="AW52" s="170">
        <v>0</v>
      </c>
    </row>
    <row r="53" spans="3:49" x14ac:dyDescent="0.3">
      <c r="C53" s="170">
        <v>54</v>
      </c>
      <c r="D53" s="170">
        <v>9</v>
      </c>
      <c r="E53" s="170">
        <v>5</v>
      </c>
      <c r="F53" s="170">
        <v>20</v>
      </c>
      <c r="G53" s="170">
        <v>20</v>
      </c>
      <c r="H53" s="170">
        <v>0</v>
      </c>
      <c r="I53" s="170">
        <v>0</v>
      </c>
      <c r="J53" s="170">
        <v>0</v>
      </c>
      <c r="K53" s="170">
        <v>0</v>
      </c>
      <c r="L53" s="170">
        <v>0</v>
      </c>
      <c r="M53" s="170">
        <v>0</v>
      </c>
      <c r="N53" s="170">
        <v>0</v>
      </c>
      <c r="O53" s="170">
        <v>0</v>
      </c>
      <c r="P53" s="170">
        <v>0</v>
      </c>
      <c r="Q53" s="170">
        <v>0</v>
      </c>
      <c r="R53" s="170">
        <v>0</v>
      </c>
      <c r="S53" s="170">
        <v>0</v>
      </c>
      <c r="T53" s="170">
        <v>0</v>
      </c>
      <c r="U53" s="170">
        <v>0</v>
      </c>
      <c r="V53" s="170">
        <v>0</v>
      </c>
      <c r="W53" s="170">
        <v>0</v>
      </c>
      <c r="X53" s="170">
        <v>0</v>
      </c>
      <c r="Y53" s="170">
        <v>0</v>
      </c>
      <c r="Z53" s="170">
        <v>0</v>
      </c>
      <c r="AA53" s="170">
        <v>0</v>
      </c>
      <c r="AB53" s="170">
        <v>0</v>
      </c>
      <c r="AC53" s="170">
        <v>0</v>
      </c>
      <c r="AD53" s="170">
        <v>0</v>
      </c>
      <c r="AE53" s="170">
        <v>0</v>
      </c>
      <c r="AF53" s="170">
        <v>0</v>
      </c>
      <c r="AG53" s="170">
        <v>0</v>
      </c>
      <c r="AH53" s="170">
        <v>0</v>
      </c>
      <c r="AI53" s="170">
        <v>0</v>
      </c>
      <c r="AJ53" s="170">
        <v>0</v>
      </c>
      <c r="AK53" s="170">
        <v>0</v>
      </c>
      <c r="AL53" s="170">
        <v>0</v>
      </c>
      <c r="AM53" s="170">
        <v>0</v>
      </c>
      <c r="AN53" s="170">
        <v>0</v>
      </c>
      <c r="AO53" s="170">
        <v>0</v>
      </c>
      <c r="AP53" s="170">
        <v>0</v>
      </c>
      <c r="AQ53" s="170">
        <v>0</v>
      </c>
      <c r="AR53" s="170">
        <v>0</v>
      </c>
      <c r="AS53" s="170">
        <v>0</v>
      </c>
      <c r="AT53" s="170">
        <v>0</v>
      </c>
      <c r="AU53" s="170">
        <v>0</v>
      </c>
      <c r="AV53" s="170">
        <v>0</v>
      </c>
      <c r="AW53" s="170">
        <v>0</v>
      </c>
    </row>
    <row r="54" spans="3:49" x14ac:dyDescent="0.3">
      <c r="C54" s="170">
        <v>54</v>
      </c>
      <c r="D54" s="170">
        <v>9</v>
      </c>
      <c r="E54" s="170">
        <v>6</v>
      </c>
      <c r="F54" s="170">
        <v>171269</v>
      </c>
      <c r="G54" s="170">
        <v>5000</v>
      </c>
      <c r="H54" s="170">
        <v>0</v>
      </c>
      <c r="I54" s="170">
        <v>0</v>
      </c>
      <c r="J54" s="170">
        <v>0</v>
      </c>
      <c r="K54" s="170">
        <v>111956</v>
      </c>
      <c r="L54" s="170">
        <v>0</v>
      </c>
      <c r="M54" s="170">
        <v>0</v>
      </c>
      <c r="N54" s="170">
        <v>0</v>
      </c>
      <c r="O54" s="170">
        <v>0</v>
      </c>
      <c r="P54" s="170">
        <v>0</v>
      </c>
      <c r="Q54" s="170">
        <v>0</v>
      </c>
      <c r="R54" s="170">
        <v>0</v>
      </c>
      <c r="S54" s="170">
        <v>0</v>
      </c>
      <c r="T54" s="170">
        <v>0</v>
      </c>
      <c r="U54" s="170">
        <v>0</v>
      </c>
      <c r="V54" s="170">
        <v>26791</v>
      </c>
      <c r="W54" s="170">
        <v>0</v>
      </c>
      <c r="X54" s="170">
        <v>0</v>
      </c>
      <c r="Y54" s="170">
        <v>0</v>
      </c>
      <c r="Z54" s="170">
        <v>0</v>
      </c>
      <c r="AA54" s="170">
        <v>0</v>
      </c>
      <c r="AB54" s="170">
        <v>0</v>
      </c>
      <c r="AC54" s="170">
        <v>0</v>
      </c>
      <c r="AD54" s="170">
        <v>0</v>
      </c>
      <c r="AE54" s="170">
        <v>0</v>
      </c>
      <c r="AF54" s="170">
        <v>0</v>
      </c>
      <c r="AG54" s="170">
        <v>0</v>
      </c>
      <c r="AH54" s="170">
        <v>0</v>
      </c>
      <c r="AI54" s="170">
        <v>0</v>
      </c>
      <c r="AJ54" s="170">
        <v>0</v>
      </c>
      <c r="AK54" s="170">
        <v>0</v>
      </c>
      <c r="AL54" s="170">
        <v>26976</v>
      </c>
      <c r="AM54" s="170">
        <v>0</v>
      </c>
      <c r="AN54" s="170">
        <v>0</v>
      </c>
      <c r="AO54" s="170">
        <v>0</v>
      </c>
      <c r="AP54" s="170">
        <v>0</v>
      </c>
      <c r="AQ54" s="170">
        <v>0</v>
      </c>
      <c r="AR54" s="170">
        <v>0</v>
      </c>
      <c r="AS54" s="170">
        <v>0</v>
      </c>
      <c r="AT54" s="170">
        <v>0</v>
      </c>
      <c r="AU54" s="170">
        <v>546</v>
      </c>
      <c r="AV54" s="170">
        <v>0</v>
      </c>
      <c r="AW54" s="170">
        <v>0</v>
      </c>
    </row>
    <row r="55" spans="3:49" x14ac:dyDescent="0.3">
      <c r="C55" s="170">
        <v>54</v>
      </c>
      <c r="D55" s="170">
        <v>9</v>
      </c>
      <c r="E55" s="170">
        <v>10</v>
      </c>
      <c r="F55" s="170">
        <v>2200</v>
      </c>
      <c r="G55" s="170">
        <v>0</v>
      </c>
      <c r="H55" s="170">
        <v>0</v>
      </c>
      <c r="I55" s="170">
        <v>0</v>
      </c>
      <c r="J55" s="170">
        <v>2200</v>
      </c>
      <c r="K55" s="170">
        <v>0</v>
      </c>
      <c r="L55" s="170">
        <v>0</v>
      </c>
      <c r="M55" s="170">
        <v>0</v>
      </c>
      <c r="N55" s="170">
        <v>0</v>
      </c>
      <c r="O55" s="170">
        <v>0</v>
      </c>
      <c r="P55" s="170">
        <v>0</v>
      </c>
      <c r="Q55" s="170">
        <v>0</v>
      </c>
      <c r="R55" s="170">
        <v>0</v>
      </c>
      <c r="S55" s="170">
        <v>0</v>
      </c>
      <c r="T55" s="170">
        <v>0</v>
      </c>
      <c r="U55" s="170">
        <v>0</v>
      </c>
      <c r="V55" s="170">
        <v>0</v>
      </c>
      <c r="W55" s="170">
        <v>0</v>
      </c>
      <c r="X55" s="170">
        <v>0</v>
      </c>
      <c r="Y55" s="170">
        <v>0</v>
      </c>
      <c r="Z55" s="170">
        <v>0</v>
      </c>
      <c r="AA55" s="170">
        <v>0</v>
      </c>
      <c r="AB55" s="170">
        <v>0</v>
      </c>
      <c r="AC55" s="170">
        <v>0</v>
      </c>
      <c r="AD55" s="170">
        <v>0</v>
      </c>
      <c r="AE55" s="170">
        <v>0</v>
      </c>
      <c r="AF55" s="170">
        <v>0</v>
      </c>
      <c r="AG55" s="170">
        <v>0</v>
      </c>
      <c r="AH55" s="170">
        <v>0</v>
      </c>
      <c r="AI55" s="170">
        <v>0</v>
      </c>
      <c r="AJ55" s="170">
        <v>0</v>
      </c>
      <c r="AK55" s="170">
        <v>0</v>
      </c>
      <c r="AL55" s="170">
        <v>0</v>
      </c>
      <c r="AM55" s="170">
        <v>0</v>
      </c>
      <c r="AN55" s="170">
        <v>0</v>
      </c>
      <c r="AO55" s="170">
        <v>0</v>
      </c>
      <c r="AP55" s="170">
        <v>0</v>
      </c>
      <c r="AQ55" s="170">
        <v>0</v>
      </c>
      <c r="AR55" s="170">
        <v>0</v>
      </c>
      <c r="AS55" s="170">
        <v>0</v>
      </c>
      <c r="AT55" s="170">
        <v>0</v>
      </c>
      <c r="AU55" s="170">
        <v>0</v>
      </c>
      <c r="AV55" s="170">
        <v>0</v>
      </c>
      <c r="AW55" s="170">
        <v>0</v>
      </c>
    </row>
    <row r="56" spans="3:49" x14ac:dyDescent="0.3">
      <c r="C56" s="170">
        <v>54</v>
      </c>
      <c r="D56" s="170">
        <v>9</v>
      </c>
      <c r="E56" s="170">
        <v>11</v>
      </c>
      <c r="F56" s="170">
        <v>989.1857506361323</v>
      </c>
      <c r="G56" s="170">
        <v>0</v>
      </c>
      <c r="H56" s="170">
        <v>0</v>
      </c>
      <c r="I56" s="170">
        <v>0</v>
      </c>
      <c r="J56" s="170">
        <v>572.51908396946567</v>
      </c>
      <c r="K56" s="170">
        <v>0</v>
      </c>
      <c r="L56" s="170">
        <v>0</v>
      </c>
      <c r="M56" s="170">
        <v>0</v>
      </c>
      <c r="N56" s="170">
        <v>0</v>
      </c>
      <c r="O56" s="170">
        <v>416.66666666666669</v>
      </c>
      <c r="P56" s="170">
        <v>0</v>
      </c>
      <c r="Q56" s="170">
        <v>0</v>
      </c>
      <c r="R56" s="170">
        <v>0</v>
      </c>
      <c r="S56" s="170">
        <v>0</v>
      </c>
      <c r="T56" s="170">
        <v>0</v>
      </c>
      <c r="U56" s="170">
        <v>0</v>
      </c>
      <c r="V56" s="170">
        <v>0</v>
      </c>
      <c r="W56" s="170">
        <v>0</v>
      </c>
      <c r="X56" s="170">
        <v>0</v>
      </c>
      <c r="Y56" s="170">
        <v>0</v>
      </c>
      <c r="Z56" s="170">
        <v>0</v>
      </c>
      <c r="AA56" s="170">
        <v>0</v>
      </c>
      <c r="AB56" s="170">
        <v>0</v>
      </c>
      <c r="AC56" s="170">
        <v>0</v>
      </c>
      <c r="AD56" s="170">
        <v>0</v>
      </c>
      <c r="AE56" s="170">
        <v>0</v>
      </c>
      <c r="AF56" s="170">
        <v>0</v>
      </c>
      <c r="AG56" s="170">
        <v>0</v>
      </c>
      <c r="AH56" s="170">
        <v>0</v>
      </c>
      <c r="AI56" s="170">
        <v>0</v>
      </c>
      <c r="AJ56" s="170">
        <v>0</v>
      </c>
      <c r="AK56" s="170">
        <v>0</v>
      </c>
      <c r="AL56" s="170">
        <v>0</v>
      </c>
      <c r="AM56" s="170">
        <v>0</v>
      </c>
      <c r="AN56" s="170">
        <v>0</v>
      </c>
      <c r="AO56" s="170">
        <v>0</v>
      </c>
      <c r="AP56" s="170">
        <v>0</v>
      </c>
      <c r="AQ56" s="170">
        <v>0</v>
      </c>
      <c r="AR56" s="170">
        <v>0</v>
      </c>
      <c r="AS56" s="170">
        <v>0</v>
      </c>
      <c r="AT56" s="170">
        <v>0</v>
      </c>
      <c r="AU56" s="170">
        <v>0</v>
      </c>
      <c r="AV56" s="170">
        <v>0</v>
      </c>
      <c r="AW56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4" t="s">
        <v>177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2627.5919825592218</v>
      </c>
      <c r="D4" s="124">
        <f ca="1">IF(ISERROR(VLOOKUP("Náklady celkem",INDIRECT("HI!$A:$G"),5,0)),0,VLOOKUP("Náklady celkem",INDIRECT("HI!$A:$G"),5,0))</f>
        <v>2617.5055000000011</v>
      </c>
      <c r="E4" s="125">
        <f ca="1">IF(C4=0,0,D4/C4)</f>
        <v>0.9961613208495953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3.7499993048392497</v>
      </c>
      <c r="D7" s="132">
        <f>IF(ISERROR(HI!E5),"",HI!E5)</f>
        <v>0.45740999999999998</v>
      </c>
      <c r="E7" s="129">
        <f t="shared" ref="E7:E12" si="0">IF(C7=0,0,D7/C7)</f>
        <v>0.12197602261145157</v>
      </c>
    </row>
    <row r="8" spans="1:5" ht="14.4" customHeight="1" x14ac:dyDescent="0.3">
      <c r="A8" s="262" t="str">
        <f>HYPERLINK("#'LŽ Statim'!A1","Podíl statimových žádanek (max. 30%)")</f>
        <v>Podíl statimových žádanek (max. 30%)</v>
      </c>
      <c r="B8" s="260" t="s">
        <v>148</v>
      </c>
      <c r="C8" s="261">
        <v>0.3</v>
      </c>
      <c r="D8" s="26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50.356504546158753</v>
      </c>
      <c r="D12" s="132">
        <f>IF(ISERROR(HI!E6),"",HI!E6)</f>
        <v>46.842959999999991</v>
      </c>
      <c r="E12" s="129">
        <f t="shared" si="0"/>
        <v>0.93022659976452282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2123.2501916859374</v>
      </c>
      <c r="D13" s="128">
        <f ca="1">IF(ISERROR(VLOOKUP("Osobní náklady (Kč) *",INDIRECT("HI!$A:$G"),5,0)),0,VLOOKUP("Osobní náklady (Kč) *",INDIRECT("HI!$A:$G"),5,0))</f>
        <v>2190.5878399999997</v>
      </c>
      <c r="E13" s="129">
        <f ca="1">IF(C13=0,0,D13/C13)</f>
        <v>1.0317144199858019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20" operator="lessThan">
      <formula>1</formula>
    </cfRule>
  </conditionalFormatting>
  <conditionalFormatting sqref="E8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71" t="s">
        <v>76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74" t="s">
        <v>177</v>
      </c>
      <c r="B2" s="77"/>
      <c r="C2" s="77"/>
      <c r="D2" s="77"/>
      <c r="E2" s="77"/>
      <c r="F2" s="77"/>
    </row>
    <row r="3" spans="1:8" ht="14.4" customHeight="1" x14ac:dyDescent="0.3">
      <c r="A3" s="273"/>
      <c r="B3" s="73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0.40909000000000001</v>
      </c>
      <c r="D5" s="8"/>
      <c r="E5" s="83">
        <v>0.45740999999999998</v>
      </c>
      <c r="F5" s="28">
        <v>3.7499993048392497</v>
      </c>
      <c r="G5" s="82">
        <f>E5-F5</f>
        <v>-3.2925893048392498</v>
      </c>
      <c r="H5" s="88">
        <f>IF(F5&lt;0.00000001,"",E5/F5)</f>
        <v>0.12197602261145157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52.630359999999996</v>
      </c>
      <c r="C6" s="31">
        <v>45.462820000000001</v>
      </c>
      <c r="D6" s="8"/>
      <c r="E6" s="84">
        <v>46.842959999999991</v>
      </c>
      <c r="F6" s="30">
        <v>50.356504546158753</v>
      </c>
      <c r="G6" s="85">
        <f>E6-F6</f>
        <v>-3.5135445461587622</v>
      </c>
      <c r="H6" s="89">
        <f>IF(F6&lt;0.00000001,"",E6/F6)</f>
        <v>0.93022659976452282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1838.1068300000009</v>
      </c>
      <c r="C7" s="31">
        <v>2085.7697400000011</v>
      </c>
      <c r="D7" s="8"/>
      <c r="E7" s="84">
        <v>2190.5878399999997</v>
      </c>
      <c r="F7" s="30">
        <v>2123.2501916859374</v>
      </c>
      <c r="G7" s="85">
        <f>E7-F7</f>
        <v>67.337648314062335</v>
      </c>
      <c r="H7" s="89">
        <f>IF(F7&lt;0.00000001,"",E7/F7)</f>
        <v>1.0317144199858019</v>
      </c>
    </row>
    <row r="8" spans="1:8" ht="14.4" customHeight="1" thickBot="1" x14ac:dyDescent="0.35">
      <c r="A8" s="1" t="s">
        <v>58</v>
      </c>
      <c r="B8" s="11">
        <v>456.75386000000015</v>
      </c>
      <c r="C8" s="33">
        <v>413.23808999999966</v>
      </c>
      <c r="D8" s="8"/>
      <c r="E8" s="86">
        <v>379.61729000000145</v>
      </c>
      <c r="F8" s="32">
        <v>450.23528702228691</v>
      </c>
      <c r="G8" s="87">
        <f>E8-F8</f>
        <v>-70.617997022285465</v>
      </c>
      <c r="H8" s="90">
        <f>IF(F8&lt;0.00000001,"",E8/F8)</f>
        <v>0.84315312669220033</v>
      </c>
    </row>
    <row r="9" spans="1:8" ht="14.4" customHeight="1" thickBot="1" x14ac:dyDescent="0.35">
      <c r="A9" s="2" t="s">
        <v>59</v>
      </c>
      <c r="B9" s="3">
        <v>2347.491050000001</v>
      </c>
      <c r="C9" s="35">
        <v>2544.8797400000008</v>
      </c>
      <c r="D9" s="8"/>
      <c r="E9" s="3">
        <v>2617.5055000000011</v>
      </c>
      <c r="F9" s="34">
        <v>2627.5919825592218</v>
      </c>
      <c r="G9" s="34">
        <f>E9-F9</f>
        <v>-10.086482559220713</v>
      </c>
      <c r="H9" s="91">
        <f>IF(F9&lt;0.00000001,"",E9/F9)</f>
        <v>0.9961613208495953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38" t="s">
        <v>122</v>
      </c>
      <c r="B18" s="239"/>
      <c r="C18" s="239"/>
      <c r="D18" s="239"/>
      <c r="E18" s="239"/>
      <c r="F18" s="239"/>
      <c r="G18" s="239"/>
      <c r="H18" s="239"/>
    </row>
    <row r="19" spans="1:8" x14ac:dyDescent="0.3">
      <c r="A19" s="237" t="s">
        <v>121</v>
      </c>
      <c r="B19" s="239"/>
      <c r="C19" s="239"/>
      <c r="D19" s="239"/>
      <c r="E19" s="239"/>
      <c r="F19" s="239"/>
      <c r="G19" s="239"/>
      <c r="H19" s="239"/>
    </row>
    <row r="20" spans="1:8" ht="14.4" customHeight="1" x14ac:dyDescent="0.3">
      <c r="A20" s="80" t="s">
        <v>149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176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80" t="s">
        <v>179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9" customFormat="1" ht="14.4" customHeight="1" thickBot="1" x14ac:dyDescent="0.3">
      <c r="A2" s="174" t="s">
        <v>177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81" t="s">
        <v>13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156</v>
      </c>
      <c r="E4" s="95" t="s">
        <v>157</v>
      </c>
      <c r="F4" s="95" t="s">
        <v>158</v>
      </c>
      <c r="G4" s="95" t="s">
        <v>159</v>
      </c>
      <c r="H4" s="95" t="s">
        <v>160</v>
      </c>
      <c r="I4" s="95" t="s">
        <v>161</v>
      </c>
      <c r="J4" s="95" t="s">
        <v>162</v>
      </c>
      <c r="K4" s="95" t="s">
        <v>163</v>
      </c>
      <c r="L4" s="95" t="s">
        <v>164</v>
      </c>
      <c r="M4" s="95" t="s">
        <v>165</v>
      </c>
      <c r="N4" s="95" t="s">
        <v>166</v>
      </c>
      <c r="O4" s="95" t="s">
        <v>167</v>
      </c>
      <c r="P4" s="283" t="s">
        <v>2</v>
      </c>
      <c r="Q4" s="28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178</v>
      </c>
    </row>
    <row r="7" spans="1:17" ht="14.4" customHeight="1" x14ac:dyDescent="0.3">
      <c r="A7" s="15" t="s">
        <v>19</v>
      </c>
      <c r="B7" s="46">
        <v>4.9999990731189996</v>
      </c>
      <c r="C7" s="47">
        <v>0.41666658942599999</v>
      </c>
      <c r="D7" s="47">
        <v>0.15182999999999999</v>
      </c>
      <c r="E7" s="47">
        <v>0</v>
      </c>
      <c r="F7" s="47">
        <v>0</v>
      </c>
      <c r="G7" s="47">
        <v>0</v>
      </c>
      <c r="H7" s="47">
        <v>0</v>
      </c>
      <c r="I7" s="47">
        <v>7.6399999999999996E-2</v>
      </c>
      <c r="J7" s="47">
        <v>0.22917999999999999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0.45740999999999998</v>
      </c>
      <c r="Q7" s="68">
        <v>0.121976022611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178</v>
      </c>
    </row>
    <row r="9" spans="1:17" ht="14.4" customHeight="1" x14ac:dyDescent="0.3">
      <c r="A9" s="15" t="s">
        <v>21</v>
      </c>
      <c r="B9" s="46">
        <v>67.142006061545004</v>
      </c>
      <c r="C9" s="47">
        <v>5.5951671717949996</v>
      </c>
      <c r="D9" s="47">
        <v>4.0709200000000001</v>
      </c>
      <c r="E9" s="47">
        <v>4.68004</v>
      </c>
      <c r="F9" s="47">
        <v>5.2</v>
      </c>
      <c r="G9" s="47">
        <v>11.231</v>
      </c>
      <c r="H9" s="47">
        <v>5.7759999999999998</v>
      </c>
      <c r="I9" s="47">
        <v>8.6739999999999995</v>
      </c>
      <c r="J9" s="47">
        <v>0</v>
      </c>
      <c r="K9" s="47">
        <v>3.72</v>
      </c>
      <c r="L9" s="47">
        <v>3.4910000000000001</v>
      </c>
      <c r="M9" s="47">
        <v>0</v>
      </c>
      <c r="N9" s="47">
        <v>0</v>
      </c>
      <c r="O9" s="47">
        <v>0</v>
      </c>
      <c r="P9" s="48">
        <v>46.842959999999998</v>
      </c>
      <c r="Q9" s="68">
        <v>0.93022659976400002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178</v>
      </c>
    </row>
    <row r="11" spans="1:17" ht="14.4" customHeight="1" x14ac:dyDescent="0.3">
      <c r="A11" s="15" t="s">
        <v>23</v>
      </c>
      <c r="B11" s="46">
        <v>196.43142752793401</v>
      </c>
      <c r="C11" s="47">
        <v>16.369285627326999</v>
      </c>
      <c r="D11" s="47">
        <v>0</v>
      </c>
      <c r="E11" s="47">
        <v>33.447119999999998</v>
      </c>
      <c r="F11" s="47">
        <v>4.2402300000000004</v>
      </c>
      <c r="G11" s="47">
        <v>4.8267100000000003</v>
      </c>
      <c r="H11" s="47">
        <v>24.957450000000001</v>
      </c>
      <c r="I11" s="47">
        <v>28.079969999999999</v>
      </c>
      <c r="J11" s="47">
        <v>10.356859999999999</v>
      </c>
      <c r="K11" s="47">
        <v>5.0145600000000004</v>
      </c>
      <c r="L11" s="47">
        <v>0.88258999999999999</v>
      </c>
      <c r="M11" s="47">
        <v>0</v>
      </c>
      <c r="N11" s="47">
        <v>0</v>
      </c>
      <c r="O11" s="47">
        <v>0</v>
      </c>
      <c r="P11" s="48">
        <v>111.80549000000001</v>
      </c>
      <c r="Q11" s="68">
        <v>0.75891107926400003</v>
      </c>
    </row>
    <row r="12" spans="1:17" ht="14.4" customHeight="1" x14ac:dyDescent="0.3">
      <c r="A12" s="15" t="s">
        <v>24</v>
      </c>
      <c r="B12" s="46">
        <v>0.295110016295</v>
      </c>
      <c r="C12" s="47">
        <v>2.4592501357000002E-2</v>
      </c>
      <c r="D12" s="47">
        <v>0</v>
      </c>
      <c r="E12" s="47">
        <v>0</v>
      </c>
      <c r="F12" s="47">
        <v>0</v>
      </c>
      <c r="G12" s="47">
        <v>0</v>
      </c>
      <c r="H12" s="47">
        <v>0.22800000000000001</v>
      </c>
      <c r="I12" s="47">
        <v>0</v>
      </c>
      <c r="J12" s="47">
        <v>0</v>
      </c>
      <c r="K12" s="47">
        <v>0</v>
      </c>
      <c r="L12" s="47">
        <v>4.1919999999999999E-2</v>
      </c>
      <c r="M12" s="47">
        <v>0</v>
      </c>
      <c r="N12" s="47">
        <v>0</v>
      </c>
      <c r="O12" s="47">
        <v>0</v>
      </c>
      <c r="P12" s="48">
        <v>0.26991999999999999</v>
      </c>
      <c r="Q12" s="68">
        <v>1.2195225965250001</v>
      </c>
    </row>
    <row r="13" spans="1:17" ht="14.4" customHeight="1" x14ac:dyDescent="0.3">
      <c r="A13" s="15" t="s">
        <v>25</v>
      </c>
      <c r="B13" s="46">
        <v>1.5413901463969999</v>
      </c>
      <c r="C13" s="47">
        <v>0.12844917886599999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0.62436000000000003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0.62436000000000003</v>
      </c>
      <c r="Q13" s="68">
        <v>0.54008389890399999</v>
      </c>
    </row>
    <row r="14" spans="1:17" ht="14.4" customHeight="1" x14ac:dyDescent="0.3">
      <c r="A14" s="15" t="s">
        <v>26</v>
      </c>
      <c r="B14" s="46">
        <v>95.881709880854999</v>
      </c>
      <c r="C14" s="47">
        <v>7.9901424900710003</v>
      </c>
      <c r="D14" s="47">
        <v>12.082000000000001</v>
      </c>
      <c r="E14" s="47">
        <v>9.4160000000000004</v>
      </c>
      <c r="F14" s="47">
        <v>9.9510000000000005</v>
      </c>
      <c r="G14" s="47">
        <v>3.5510000000000002</v>
      </c>
      <c r="H14" s="47">
        <v>3.7850000000000001</v>
      </c>
      <c r="I14" s="47">
        <v>3.97</v>
      </c>
      <c r="J14" s="47">
        <v>3.7189999999999999</v>
      </c>
      <c r="K14" s="47">
        <v>3.863</v>
      </c>
      <c r="L14" s="47">
        <v>3.871</v>
      </c>
      <c r="M14" s="47">
        <v>0</v>
      </c>
      <c r="N14" s="47">
        <v>0</v>
      </c>
      <c r="O14" s="47">
        <v>0</v>
      </c>
      <c r="P14" s="48">
        <v>54.207999999999998</v>
      </c>
      <c r="Q14" s="68">
        <v>0.75381773461400003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178</v>
      </c>
    </row>
    <row r="17" spans="1:17" ht="14.4" customHeight="1" x14ac:dyDescent="0.3">
      <c r="A17" s="15" t="s">
        <v>29</v>
      </c>
      <c r="B17" s="46">
        <v>47.732521713368001</v>
      </c>
      <c r="C17" s="47">
        <v>3.9777101427799999</v>
      </c>
      <c r="D17" s="47">
        <v>0</v>
      </c>
      <c r="E17" s="47">
        <v>0.30631999999999998</v>
      </c>
      <c r="F17" s="47">
        <v>0.94755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0.86380999999999997</v>
      </c>
      <c r="M17" s="47">
        <v>0</v>
      </c>
      <c r="N17" s="47">
        <v>0</v>
      </c>
      <c r="O17" s="47">
        <v>0</v>
      </c>
      <c r="P17" s="48">
        <v>2.11768</v>
      </c>
      <c r="Q17" s="68">
        <v>5.9154078435E-2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0.94099999999999995</v>
      </c>
      <c r="E18" s="47">
        <v>7.0000000000000007E-2</v>
      </c>
      <c r="F18" s="47">
        <v>1.292</v>
      </c>
      <c r="G18" s="47">
        <v>4.532</v>
      </c>
      <c r="H18" s="47">
        <v>0</v>
      </c>
      <c r="I18" s="47">
        <v>2.8730000000000002</v>
      </c>
      <c r="J18" s="47">
        <v>0</v>
      </c>
      <c r="K18" s="47">
        <v>0</v>
      </c>
      <c r="L18" s="47">
        <v>0.25</v>
      </c>
      <c r="M18" s="47">
        <v>0</v>
      </c>
      <c r="N18" s="47">
        <v>0</v>
      </c>
      <c r="O18" s="47">
        <v>0</v>
      </c>
      <c r="P18" s="48">
        <v>9.9580000000000002</v>
      </c>
      <c r="Q18" s="68" t="s">
        <v>178</v>
      </c>
    </row>
    <row r="19" spans="1:17" ht="14.4" customHeight="1" x14ac:dyDescent="0.3">
      <c r="A19" s="15" t="s">
        <v>31</v>
      </c>
      <c r="B19" s="46">
        <v>186.43139047817701</v>
      </c>
      <c r="C19" s="47">
        <v>15.535949206513999</v>
      </c>
      <c r="D19" s="47">
        <v>3.2744499999999999</v>
      </c>
      <c r="E19" s="47">
        <v>27.11225</v>
      </c>
      <c r="F19" s="47">
        <v>11.492850000000001</v>
      </c>
      <c r="G19" s="47">
        <v>11.8216</v>
      </c>
      <c r="H19" s="47">
        <v>11.246449999999999</v>
      </c>
      <c r="I19" s="47">
        <v>21.269480000000001</v>
      </c>
      <c r="J19" s="47">
        <v>32.796480000000003</v>
      </c>
      <c r="K19" s="47">
        <v>3.351</v>
      </c>
      <c r="L19" s="47">
        <v>14.78008</v>
      </c>
      <c r="M19" s="47">
        <v>0</v>
      </c>
      <c r="N19" s="47">
        <v>0</v>
      </c>
      <c r="O19" s="47">
        <v>0</v>
      </c>
      <c r="P19" s="48">
        <v>137.14464000000001</v>
      </c>
      <c r="Q19" s="68">
        <v>0.98084083120800003</v>
      </c>
    </row>
    <row r="20" spans="1:17" ht="14.4" customHeight="1" x14ac:dyDescent="0.3">
      <c r="A20" s="15" t="s">
        <v>32</v>
      </c>
      <c r="B20" s="46">
        <v>2831.0002555812498</v>
      </c>
      <c r="C20" s="47">
        <v>235.91668796510399</v>
      </c>
      <c r="D20" s="47">
        <v>227.14662999999999</v>
      </c>
      <c r="E20" s="47">
        <v>227.60598999999999</v>
      </c>
      <c r="F20" s="47">
        <v>227.99991</v>
      </c>
      <c r="G20" s="47">
        <v>227.94006999999999</v>
      </c>
      <c r="H20" s="47">
        <v>227.78543999999999</v>
      </c>
      <c r="I20" s="47">
        <v>237.4495</v>
      </c>
      <c r="J20" s="47">
        <v>325.49068999999997</v>
      </c>
      <c r="K20" s="47">
        <v>257.17622</v>
      </c>
      <c r="L20" s="47">
        <v>231.99339000000001</v>
      </c>
      <c r="M20" s="47">
        <v>0</v>
      </c>
      <c r="N20" s="47">
        <v>0</v>
      </c>
      <c r="O20" s="47">
        <v>0</v>
      </c>
      <c r="P20" s="48">
        <v>2190.5878400000001</v>
      </c>
      <c r="Q20" s="68">
        <v>1.0317144199849999</v>
      </c>
    </row>
    <row r="21" spans="1:17" ht="14.4" customHeight="1" x14ac:dyDescent="0.3">
      <c r="A21" s="16" t="s">
        <v>33</v>
      </c>
      <c r="B21" s="46">
        <v>72.000166266695004</v>
      </c>
      <c r="C21" s="47">
        <v>6.0000138555570004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5.9379999999999997</v>
      </c>
      <c r="I21" s="47">
        <v>5.9379999999999997</v>
      </c>
      <c r="J21" s="47">
        <v>5.9379999999999997</v>
      </c>
      <c r="K21" s="47">
        <v>5.9379999999999997</v>
      </c>
      <c r="L21" s="47">
        <v>5.9379999999999997</v>
      </c>
      <c r="M21" s="47">
        <v>0</v>
      </c>
      <c r="N21" s="47">
        <v>0</v>
      </c>
      <c r="O21" s="47">
        <v>0</v>
      </c>
      <c r="P21" s="48">
        <v>53.442</v>
      </c>
      <c r="Q21" s="68">
        <v>0.98966438127400003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178</v>
      </c>
    </row>
    <row r="24" spans="1:17" ht="14.4" customHeight="1" x14ac:dyDescent="0.3">
      <c r="A24" s="16" t="s">
        <v>36</v>
      </c>
      <c r="B24" s="46">
        <v>0</v>
      </c>
      <c r="C24" s="47">
        <v>-5.6843418860808002E-14</v>
      </c>
      <c r="D24" s="47">
        <v>0.38719999999999999</v>
      </c>
      <c r="E24" s="47">
        <v>0.85</v>
      </c>
      <c r="F24" s="47">
        <v>0.33</v>
      </c>
      <c r="G24" s="47">
        <v>2.88</v>
      </c>
      <c r="H24" s="47">
        <v>0</v>
      </c>
      <c r="I24" s="47">
        <v>3.4</v>
      </c>
      <c r="J24" s="47">
        <v>-5.6843418860808002E-14</v>
      </c>
      <c r="K24" s="47">
        <v>0</v>
      </c>
      <c r="L24" s="47">
        <v>2.1999999999990001</v>
      </c>
      <c r="M24" s="47">
        <v>0</v>
      </c>
      <c r="N24" s="47">
        <v>0</v>
      </c>
      <c r="O24" s="47">
        <v>0</v>
      </c>
      <c r="P24" s="48">
        <v>10.0472</v>
      </c>
      <c r="Q24" s="68"/>
    </row>
    <row r="25" spans="1:17" ht="14.4" customHeight="1" x14ac:dyDescent="0.3">
      <c r="A25" s="17" t="s">
        <v>37</v>
      </c>
      <c r="B25" s="49">
        <v>3503.4559767456299</v>
      </c>
      <c r="C25" s="50">
        <v>291.95466472880298</v>
      </c>
      <c r="D25" s="50">
        <v>253.99203</v>
      </c>
      <c r="E25" s="50">
        <v>309.42572000000001</v>
      </c>
      <c r="F25" s="50">
        <v>267.39154000000002</v>
      </c>
      <c r="G25" s="50">
        <v>272.72037999999998</v>
      </c>
      <c r="H25" s="50">
        <v>279.71634</v>
      </c>
      <c r="I25" s="50">
        <v>312.35471000000098</v>
      </c>
      <c r="J25" s="50">
        <v>378.53021000000001</v>
      </c>
      <c r="K25" s="50">
        <v>279.06277999999998</v>
      </c>
      <c r="L25" s="50">
        <v>264.31178999999997</v>
      </c>
      <c r="M25" s="50">
        <v>0</v>
      </c>
      <c r="N25" s="50">
        <v>0</v>
      </c>
      <c r="O25" s="50">
        <v>0</v>
      </c>
      <c r="P25" s="51">
        <v>2617.5055000000002</v>
      </c>
      <c r="Q25" s="69">
        <v>0.996161320849</v>
      </c>
    </row>
    <row r="26" spans="1:17" ht="14.4" customHeight="1" x14ac:dyDescent="0.3">
      <c r="A26" s="15" t="s">
        <v>38</v>
      </c>
      <c r="B26" s="46">
        <v>501.42696791205799</v>
      </c>
      <c r="C26" s="47">
        <v>41.785580659338002</v>
      </c>
      <c r="D26" s="47">
        <v>41.745440000000002</v>
      </c>
      <c r="E26" s="47">
        <v>31.823250000000002</v>
      </c>
      <c r="F26" s="47">
        <v>33.845379999999999</v>
      </c>
      <c r="G26" s="47">
        <v>36.206870000000002</v>
      </c>
      <c r="H26" s="47">
        <v>31.067240000000002</v>
      </c>
      <c r="I26" s="47">
        <v>56.097459999999998</v>
      </c>
      <c r="J26" s="47">
        <v>38.462229999999998</v>
      </c>
      <c r="K26" s="47">
        <v>40.05912</v>
      </c>
      <c r="L26" s="47">
        <v>44.223140000000001</v>
      </c>
      <c r="M26" s="47">
        <v>0</v>
      </c>
      <c r="N26" s="47">
        <v>0</v>
      </c>
      <c r="O26" s="47">
        <v>0</v>
      </c>
      <c r="P26" s="48">
        <v>353.53012999999999</v>
      </c>
      <c r="Q26" s="68">
        <v>0.94006413063299998</v>
      </c>
    </row>
    <row r="27" spans="1:17" ht="14.4" customHeight="1" x14ac:dyDescent="0.3">
      <c r="A27" s="18" t="s">
        <v>39</v>
      </c>
      <c r="B27" s="49">
        <v>4004.8829446576901</v>
      </c>
      <c r="C27" s="50">
        <v>333.74024538814098</v>
      </c>
      <c r="D27" s="50">
        <v>295.73746999999997</v>
      </c>
      <c r="E27" s="50">
        <v>341.24896999999999</v>
      </c>
      <c r="F27" s="50">
        <v>301.23692</v>
      </c>
      <c r="G27" s="50">
        <v>308.92725000000002</v>
      </c>
      <c r="H27" s="50">
        <v>310.78357999999997</v>
      </c>
      <c r="I27" s="50">
        <v>368.45217000000099</v>
      </c>
      <c r="J27" s="50">
        <v>416.99243999999999</v>
      </c>
      <c r="K27" s="50">
        <v>319.12189999999998</v>
      </c>
      <c r="L27" s="50">
        <v>308.53492999999997</v>
      </c>
      <c r="M27" s="50">
        <v>0</v>
      </c>
      <c r="N27" s="50">
        <v>0</v>
      </c>
      <c r="O27" s="50">
        <v>0</v>
      </c>
      <c r="P27" s="51">
        <v>2971.0356299999999</v>
      </c>
      <c r="Q27" s="69">
        <v>0.98913773379600001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80" t="s">
        <v>45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74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1" t="s">
        <v>46</v>
      </c>
      <c r="C3" s="282"/>
      <c r="D3" s="282"/>
      <c r="E3" s="282"/>
      <c r="F3" s="288" t="s">
        <v>47</v>
      </c>
      <c r="G3" s="282"/>
      <c r="H3" s="282"/>
      <c r="I3" s="282"/>
      <c r="J3" s="282"/>
      <c r="K3" s="289"/>
    </row>
    <row r="4" spans="1:11" ht="14.4" customHeight="1" x14ac:dyDescent="0.3">
      <c r="A4" s="59"/>
      <c r="B4" s="286"/>
      <c r="C4" s="287"/>
      <c r="D4" s="287"/>
      <c r="E4" s="287"/>
      <c r="F4" s="290" t="s">
        <v>173</v>
      </c>
      <c r="G4" s="292" t="s">
        <v>48</v>
      </c>
      <c r="H4" s="107" t="s">
        <v>80</v>
      </c>
      <c r="I4" s="290" t="s">
        <v>49</v>
      </c>
      <c r="J4" s="292" t="s">
        <v>150</v>
      </c>
      <c r="K4" s="293" t="s">
        <v>175</v>
      </c>
    </row>
    <row r="5" spans="1:11" ht="42" thickBot="1" x14ac:dyDescent="0.3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91"/>
      <c r="G5" s="291"/>
      <c r="H5" s="25" t="s">
        <v>174</v>
      </c>
      <c r="I5" s="291"/>
      <c r="J5" s="291"/>
      <c r="K5" s="294"/>
    </row>
    <row r="6" spans="1:11" ht="14.4" customHeight="1" thickBot="1" x14ac:dyDescent="0.35">
      <c r="A6" s="336" t="s">
        <v>180</v>
      </c>
      <c r="B6" s="318">
        <v>3202.5179271054199</v>
      </c>
      <c r="C6" s="318">
        <v>3482.0374900000002</v>
      </c>
      <c r="D6" s="319">
        <v>279.51956289458201</v>
      </c>
      <c r="E6" s="320">
        <v>1.0872811860089999</v>
      </c>
      <c r="F6" s="318">
        <v>3503.4559767456299</v>
      </c>
      <c r="G6" s="319">
        <v>2627.59198255923</v>
      </c>
      <c r="H6" s="321">
        <v>264.31178999999997</v>
      </c>
      <c r="I6" s="318">
        <v>2617.5055000000002</v>
      </c>
      <c r="J6" s="319">
        <v>-10.086482559225001</v>
      </c>
      <c r="K6" s="322">
        <v>0.74712099063699999</v>
      </c>
    </row>
    <row r="7" spans="1:11" ht="14.4" customHeight="1" thickBot="1" x14ac:dyDescent="0.35">
      <c r="A7" s="337" t="s">
        <v>181</v>
      </c>
      <c r="B7" s="318">
        <v>373.09631466503902</v>
      </c>
      <c r="C7" s="318">
        <v>314.54642999999999</v>
      </c>
      <c r="D7" s="319">
        <v>-58.549884665038</v>
      </c>
      <c r="E7" s="320">
        <v>0.84307032161999995</v>
      </c>
      <c r="F7" s="318">
        <v>366.29164270614802</v>
      </c>
      <c r="G7" s="319">
        <v>274.71873202961098</v>
      </c>
      <c r="H7" s="321">
        <v>8.2865099999999998</v>
      </c>
      <c r="I7" s="318">
        <v>214.20813999999999</v>
      </c>
      <c r="J7" s="319">
        <v>-60.510592029610002</v>
      </c>
      <c r="K7" s="322">
        <v>0.584802149504</v>
      </c>
    </row>
    <row r="8" spans="1:11" ht="14.4" customHeight="1" thickBot="1" x14ac:dyDescent="0.35">
      <c r="A8" s="338" t="s">
        <v>182</v>
      </c>
      <c r="B8" s="318">
        <v>263.41228911355603</v>
      </c>
      <c r="C8" s="318">
        <v>217.59343000000001</v>
      </c>
      <c r="D8" s="319">
        <v>-45.818859113556002</v>
      </c>
      <c r="E8" s="320">
        <v>0.82605648632499995</v>
      </c>
      <c r="F8" s="318">
        <v>270.409932825292</v>
      </c>
      <c r="G8" s="319">
        <v>202.807449618969</v>
      </c>
      <c r="H8" s="321">
        <v>4.4155100000000003</v>
      </c>
      <c r="I8" s="318">
        <v>160.00013999999999</v>
      </c>
      <c r="J8" s="319">
        <v>-42.807309618967999</v>
      </c>
      <c r="K8" s="322">
        <v>0.59169475887300005</v>
      </c>
    </row>
    <row r="9" spans="1:11" ht="14.4" customHeight="1" thickBot="1" x14ac:dyDescent="0.35">
      <c r="A9" s="339" t="s">
        <v>183</v>
      </c>
      <c r="B9" s="323">
        <v>0</v>
      </c>
      <c r="C9" s="323">
        <v>0.40909000000000001</v>
      </c>
      <c r="D9" s="324">
        <v>0.40909000000000001</v>
      </c>
      <c r="E9" s="325" t="s">
        <v>184</v>
      </c>
      <c r="F9" s="323">
        <v>4.9999990731189996</v>
      </c>
      <c r="G9" s="324">
        <v>3.7499993048390001</v>
      </c>
      <c r="H9" s="326">
        <v>0</v>
      </c>
      <c r="I9" s="323">
        <v>0.45740999999999998</v>
      </c>
      <c r="J9" s="324">
        <v>-3.2925893048389998</v>
      </c>
      <c r="K9" s="327">
        <v>9.1482016957999998E-2</v>
      </c>
    </row>
    <row r="10" spans="1:11" ht="14.4" customHeight="1" thickBot="1" x14ac:dyDescent="0.35">
      <c r="A10" s="340" t="s">
        <v>185</v>
      </c>
      <c r="B10" s="318">
        <v>0</v>
      </c>
      <c r="C10" s="318">
        <v>0.40909000000000001</v>
      </c>
      <c r="D10" s="319">
        <v>0.40909000000000001</v>
      </c>
      <c r="E10" s="328" t="s">
        <v>184</v>
      </c>
      <c r="F10" s="318">
        <v>4.9999990731189996</v>
      </c>
      <c r="G10" s="319">
        <v>3.7499993048390001</v>
      </c>
      <c r="H10" s="321">
        <v>0</v>
      </c>
      <c r="I10" s="318">
        <v>0.45740999999999998</v>
      </c>
      <c r="J10" s="319">
        <v>-3.2925893048389998</v>
      </c>
      <c r="K10" s="322">
        <v>9.1482016957999998E-2</v>
      </c>
    </row>
    <row r="11" spans="1:11" ht="14.4" customHeight="1" thickBot="1" x14ac:dyDescent="0.35">
      <c r="A11" s="339" t="s">
        <v>186</v>
      </c>
      <c r="B11" s="323">
        <v>66.807997927206998</v>
      </c>
      <c r="C11" s="323">
        <v>54.455660000000002</v>
      </c>
      <c r="D11" s="324">
        <v>-12.352337927207</v>
      </c>
      <c r="E11" s="329">
        <v>0.81510689871700004</v>
      </c>
      <c r="F11" s="323">
        <v>67.142006061545004</v>
      </c>
      <c r="G11" s="324">
        <v>50.356504546158</v>
      </c>
      <c r="H11" s="326">
        <v>3.4910000000000001</v>
      </c>
      <c r="I11" s="323">
        <v>46.842959999999998</v>
      </c>
      <c r="J11" s="324">
        <v>-3.5135445461580002</v>
      </c>
      <c r="K11" s="327">
        <v>0.69766994982300001</v>
      </c>
    </row>
    <row r="12" spans="1:11" ht="14.4" customHeight="1" thickBot="1" x14ac:dyDescent="0.35">
      <c r="A12" s="340" t="s">
        <v>187</v>
      </c>
      <c r="B12" s="318">
        <v>62.999998015651997</v>
      </c>
      <c r="C12" s="318">
        <v>51.661560000000001</v>
      </c>
      <c r="D12" s="319">
        <v>-11.338438015652001</v>
      </c>
      <c r="E12" s="320">
        <v>0.82002478773300003</v>
      </c>
      <c r="F12" s="318">
        <v>63.000005687607</v>
      </c>
      <c r="G12" s="319">
        <v>47.250004265705002</v>
      </c>
      <c r="H12" s="321">
        <v>3.4910000000000001</v>
      </c>
      <c r="I12" s="318">
        <v>44.422960000000003</v>
      </c>
      <c r="J12" s="319">
        <v>-2.8270442657050001</v>
      </c>
      <c r="K12" s="322">
        <v>0.70512628554699996</v>
      </c>
    </row>
    <row r="13" spans="1:11" ht="14.4" customHeight="1" thickBot="1" x14ac:dyDescent="0.35">
      <c r="A13" s="340" t="s">
        <v>188</v>
      </c>
      <c r="B13" s="318">
        <v>3.6619999161529999</v>
      </c>
      <c r="C13" s="318">
        <v>2.6520999999999999</v>
      </c>
      <c r="D13" s="319">
        <v>-1.009899916153</v>
      </c>
      <c r="E13" s="320">
        <v>0.72422175333700001</v>
      </c>
      <c r="F13" s="318">
        <v>4.0000003611170003</v>
      </c>
      <c r="G13" s="319">
        <v>3.000000270838</v>
      </c>
      <c r="H13" s="321">
        <v>0</v>
      </c>
      <c r="I13" s="318">
        <v>2.42</v>
      </c>
      <c r="J13" s="319">
        <v>-0.58000027083799999</v>
      </c>
      <c r="K13" s="322">
        <v>0.60499994538000001</v>
      </c>
    </row>
    <row r="14" spans="1:11" ht="14.4" customHeight="1" thickBot="1" x14ac:dyDescent="0.35">
      <c r="A14" s="340" t="s">
        <v>189</v>
      </c>
      <c r="B14" s="318">
        <v>0.145999995401</v>
      </c>
      <c r="C14" s="318">
        <v>0.14199999999999999</v>
      </c>
      <c r="D14" s="319">
        <v>-3.9999954009999998E-3</v>
      </c>
      <c r="E14" s="320">
        <v>0.97260277035999998</v>
      </c>
      <c r="F14" s="318">
        <v>0.14200001281899999</v>
      </c>
      <c r="G14" s="319">
        <v>0.106500009614</v>
      </c>
      <c r="H14" s="321">
        <v>0</v>
      </c>
      <c r="I14" s="318">
        <v>0</v>
      </c>
      <c r="J14" s="319">
        <v>-0.106500009614</v>
      </c>
      <c r="K14" s="322">
        <v>0</v>
      </c>
    </row>
    <row r="15" spans="1:11" ht="14.4" customHeight="1" thickBot="1" x14ac:dyDescent="0.35">
      <c r="A15" s="339" t="s">
        <v>190</v>
      </c>
      <c r="B15" s="323">
        <v>196.60429118634801</v>
      </c>
      <c r="C15" s="323">
        <v>160.70332999999999</v>
      </c>
      <c r="D15" s="324">
        <v>-35.900961186347999</v>
      </c>
      <c r="E15" s="329">
        <v>0.81739482404099995</v>
      </c>
      <c r="F15" s="323">
        <v>196.43142752793401</v>
      </c>
      <c r="G15" s="324">
        <v>147.32357064595101</v>
      </c>
      <c r="H15" s="326">
        <v>0.88258999999999999</v>
      </c>
      <c r="I15" s="323">
        <v>111.80549000000001</v>
      </c>
      <c r="J15" s="324">
        <v>-35.51808064595</v>
      </c>
      <c r="K15" s="327">
        <v>0.569183309448</v>
      </c>
    </row>
    <row r="16" spans="1:11" ht="14.4" customHeight="1" thickBot="1" x14ac:dyDescent="0.35">
      <c r="A16" s="340" t="s">
        <v>191</v>
      </c>
      <c r="B16" s="318">
        <v>7.226520767657</v>
      </c>
      <c r="C16" s="318">
        <v>0</v>
      </c>
      <c r="D16" s="319">
        <v>-7.226520767657</v>
      </c>
      <c r="E16" s="320">
        <v>0</v>
      </c>
      <c r="F16" s="318">
        <v>0</v>
      </c>
      <c r="G16" s="319">
        <v>0</v>
      </c>
      <c r="H16" s="321">
        <v>0</v>
      </c>
      <c r="I16" s="318">
        <v>0</v>
      </c>
      <c r="J16" s="319">
        <v>0</v>
      </c>
      <c r="K16" s="322">
        <v>0</v>
      </c>
    </row>
    <row r="17" spans="1:11" ht="14.4" customHeight="1" thickBot="1" x14ac:dyDescent="0.35">
      <c r="A17" s="340" t="s">
        <v>192</v>
      </c>
      <c r="B17" s="318">
        <v>3.001286075696</v>
      </c>
      <c r="C17" s="318">
        <v>1.2084699999999999</v>
      </c>
      <c r="D17" s="319">
        <v>-1.7928160756960001</v>
      </c>
      <c r="E17" s="320">
        <v>0.40265072023100001</v>
      </c>
      <c r="F17" s="318">
        <v>1.2216282037790001</v>
      </c>
      <c r="G17" s="319">
        <v>0.91622115283399996</v>
      </c>
      <c r="H17" s="321">
        <v>0</v>
      </c>
      <c r="I17" s="318">
        <v>3.8142100000000001</v>
      </c>
      <c r="J17" s="319">
        <v>2.8979888471650002</v>
      </c>
      <c r="K17" s="322">
        <v>3.1222347259149998</v>
      </c>
    </row>
    <row r="18" spans="1:11" ht="14.4" customHeight="1" thickBot="1" x14ac:dyDescent="0.35">
      <c r="A18" s="340" t="s">
        <v>193</v>
      </c>
      <c r="B18" s="318">
        <v>3.9999998740090001</v>
      </c>
      <c r="C18" s="318">
        <v>6.2113699999999996</v>
      </c>
      <c r="D18" s="319">
        <v>2.2113701259899998</v>
      </c>
      <c r="E18" s="320">
        <v>1.55284254891</v>
      </c>
      <c r="F18" s="318">
        <v>7.2780101808030002</v>
      </c>
      <c r="G18" s="319">
        <v>5.4585076356020004</v>
      </c>
      <c r="H18" s="321">
        <v>5.876E-2</v>
      </c>
      <c r="I18" s="318">
        <v>4.0906599999999997</v>
      </c>
      <c r="J18" s="319">
        <v>-1.367847635602</v>
      </c>
      <c r="K18" s="322">
        <v>0.56205747153100005</v>
      </c>
    </row>
    <row r="19" spans="1:11" ht="14.4" customHeight="1" thickBot="1" x14ac:dyDescent="0.35">
      <c r="A19" s="340" t="s">
        <v>194</v>
      </c>
      <c r="B19" s="318">
        <v>0</v>
      </c>
      <c r="C19" s="318">
        <v>0.18099999999999999</v>
      </c>
      <c r="D19" s="319">
        <v>0.18099999999999999</v>
      </c>
      <c r="E19" s="328" t="s">
        <v>178</v>
      </c>
      <c r="F19" s="318">
        <v>0.19923769720000001</v>
      </c>
      <c r="G19" s="319">
        <v>0.14942827289999999</v>
      </c>
      <c r="H19" s="321">
        <v>0</v>
      </c>
      <c r="I19" s="318">
        <v>0</v>
      </c>
      <c r="J19" s="319">
        <v>-0.14942827289999999</v>
      </c>
      <c r="K19" s="322">
        <v>0</v>
      </c>
    </row>
    <row r="20" spans="1:11" ht="14.4" customHeight="1" thickBot="1" x14ac:dyDescent="0.35">
      <c r="A20" s="340" t="s">
        <v>195</v>
      </c>
      <c r="B20" s="318">
        <v>177.999994393431</v>
      </c>
      <c r="C20" s="318">
        <v>149.80509000000001</v>
      </c>
      <c r="D20" s="319">
        <v>-28.194904393430999</v>
      </c>
      <c r="E20" s="320">
        <v>0.84160165572099999</v>
      </c>
      <c r="F20" s="318">
        <v>182.85581176229701</v>
      </c>
      <c r="G20" s="319">
        <v>137.14185882172299</v>
      </c>
      <c r="H20" s="321">
        <v>0</v>
      </c>
      <c r="I20" s="318">
        <v>100.82512</v>
      </c>
      <c r="J20" s="319">
        <v>-36.316738821721998</v>
      </c>
      <c r="K20" s="322">
        <v>0.55139138881200001</v>
      </c>
    </row>
    <row r="21" spans="1:11" ht="14.4" customHeight="1" thickBot="1" x14ac:dyDescent="0.35">
      <c r="A21" s="340" t="s">
        <v>196</v>
      </c>
      <c r="B21" s="318">
        <v>2.3764901385480002</v>
      </c>
      <c r="C21" s="318">
        <v>2.35345</v>
      </c>
      <c r="D21" s="319">
        <v>-2.3040138548000001E-2</v>
      </c>
      <c r="E21" s="320">
        <v>0.99030497195199996</v>
      </c>
      <c r="F21" s="318">
        <v>4.2506330407900004</v>
      </c>
      <c r="G21" s="319">
        <v>3.187974780592</v>
      </c>
      <c r="H21" s="321">
        <v>0.82382999999999995</v>
      </c>
      <c r="I21" s="318">
        <v>2.4718499999999999</v>
      </c>
      <c r="J21" s="319">
        <v>-0.71612478059200002</v>
      </c>
      <c r="K21" s="322">
        <v>0.58152514608500006</v>
      </c>
    </row>
    <row r="22" spans="1:11" ht="14.4" customHeight="1" thickBot="1" x14ac:dyDescent="0.35">
      <c r="A22" s="340" t="s">
        <v>197</v>
      </c>
      <c r="B22" s="318">
        <v>1.999999937004</v>
      </c>
      <c r="C22" s="318">
        <v>0.94394999999999996</v>
      </c>
      <c r="D22" s="319">
        <v>-1.056049937004</v>
      </c>
      <c r="E22" s="320">
        <v>0.47197501486600002</v>
      </c>
      <c r="F22" s="318">
        <v>0.62610664306200003</v>
      </c>
      <c r="G22" s="319">
        <v>0.46957998229699999</v>
      </c>
      <c r="H22" s="321">
        <v>0</v>
      </c>
      <c r="I22" s="318">
        <v>0.60365000000000002</v>
      </c>
      <c r="J22" s="319">
        <v>0.134070017702</v>
      </c>
      <c r="K22" s="322">
        <v>0.96413287846100004</v>
      </c>
    </row>
    <row r="23" spans="1:11" ht="14.4" customHeight="1" thickBot="1" x14ac:dyDescent="0.35">
      <c r="A23" s="339" t="s">
        <v>198</v>
      </c>
      <c r="B23" s="323">
        <v>0</v>
      </c>
      <c r="C23" s="323">
        <v>0.25413000000000002</v>
      </c>
      <c r="D23" s="324">
        <v>0.25413000000000002</v>
      </c>
      <c r="E23" s="325" t="s">
        <v>178</v>
      </c>
      <c r="F23" s="323">
        <v>0.295110016295</v>
      </c>
      <c r="G23" s="324">
        <v>0.22133251222100001</v>
      </c>
      <c r="H23" s="326">
        <v>4.1919999999999999E-2</v>
      </c>
      <c r="I23" s="323">
        <v>0.26991999999999999</v>
      </c>
      <c r="J23" s="324">
        <v>4.8587487778000003E-2</v>
      </c>
      <c r="K23" s="327">
        <v>0.91464194739299998</v>
      </c>
    </row>
    <row r="24" spans="1:11" ht="14.4" customHeight="1" thickBot="1" x14ac:dyDescent="0.35">
      <c r="A24" s="340" t="s">
        <v>199</v>
      </c>
      <c r="B24" s="318">
        <v>0</v>
      </c>
      <c r="C24" s="318">
        <v>0.25413000000000002</v>
      </c>
      <c r="D24" s="319">
        <v>0.25413000000000002</v>
      </c>
      <c r="E24" s="328" t="s">
        <v>178</v>
      </c>
      <c r="F24" s="318">
        <v>0.295110016295</v>
      </c>
      <c r="G24" s="319">
        <v>0.22133251222100001</v>
      </c>
      <c r="H24" s="321">
        <v>4.1919999999999999E-2</v>
      </c>
      <c r="I24" s="318">
        <v>0.26991999999999999</v>
      </c>
      <c r="J24" s="319">
        <v>4.8587487778000003E-2</v>
      </c>
      <c r="K24" s="322">
        <v>0.91464194739299998</v>
      </c>
    </row>
    <row r="25" spans="1:11" ht="14.4" customHeight="1" thickBot="1" x14ac:dyDescent="0.35">
      <c r="A25" s="339" t="s">
        <v>200</v>
      </c>
      <c r="B25" s="323">
        <v>0</v>
      </c>
      <c r="C25" s="323">
        <v>1.77122</v>
      </c>
      <c r="D25" s="324">
        <v>1.77122</v>
      </c>
      <c r="E25" s="325" t="s">
        <v>178</v>
      </c>
      <c r="F25" s="323">
        <v>1.5413901463969999</v>
      </c>
      <c r="G25" s="324">
        <v>1.1560426097980001</v>
      </c>
      <c r="H25" s="326">
        <v>0</v>
      </c>
      <c r="I25" s="323">
        <v>0.62436000000000003</v>
      </c>
      <c r="J25" s="324">
        <v>-0.53168260979799997</v>
      </c>
      <c r="K25" s="327">
        <v>0.40506292417799999</v>
      </c>
    </row>
    <row r="26" spans="1:11" ht="14.4" customHeight="1" thickBot="1" x14ac:dyDescent="0.35">
      <c r="A26" s="340" t="s">
        <v>201</v>
      </c>
      <c r="B26" s="318">
        <v>0</v>
      </c>
      <c r="C26" s="318">
        <v>1.56453</v>
      </c>
      <c r="D26" s="319">
        <v>1.56453</v>
      </c>
      <c r="E26" s="328" t="s">
        <v>178</v>
      </c>
      <c r="F26" s="318">
        <v>1.3378630735320001</v>
      </c>
      <c r="G26" s="319">
        <v>1.0033973051489999</v>
      </c>
      <c r="H26" s="321">
        <v>0</v>
      </c>
      <c r="I26" s="318">
        <v>0.62436000000000003</v>
      </c>
      <c r="J26" s="319">
        <v>-0.37903730514900003</v>
      </c>
      <c r="K26" s="322">
        <v>0.46668453024200002</v>
      </c>
    </row>
    <row r="27" spans="1:11" ht="14.4" customHeight="1" thickBot="1" x14ac:dyDescent="0.35">
      <c r="A27" s="340" t="s">
        <v>202</v>
      </c>
      <c r="B27" s="318">
        <v>0</v>
      </c>
      <c r="C27" s="318">
        <v>7.9640000000000002E-2</v>
      </c>
      <c r="D27" s="319">
        <v>7.9640000000000002E-2</v>
      </c>
      <c r="E27" s="328" t="s">
        <v>184</v>
      </c>
      <c r="F27" s="318">
        <v>7.9894707789E-2</v>
      </c>
      <c r="G27" s="319">
        <v>5.9921030841999998E-2</v>
      </c>
      <c r="H27" s="321">
        <v>0</v>
      </c>
      <c r="I27" s="318">
        <v>0</v>
      </c>
      <c r="J27" s="319">
        <v>-5.9921030841999998E-2</v>
      </c>
      <c r="K27" s="322">
        <v>0</v>
      </c>
    </row>
    <row r="28" spans="1:11" ht="14.4" customHeight="1" thickBot="1" x14ac:dyDescent="0.35">
      <c r="A28" s="340" t="s">
        <v>203</v>
      </c>
      <c r="B28" s="318">
        <v>0</v>
      </c>
      <c r="C28" s="318">
        <v>0.12705</v>
      </c>
      <c r="D28" s="319">
        <v>0.12705</v>
      </c>
      <c r="E28" s="328" t="s">
        <v>184</v>
      </c>
      <c r="F28" s="318">
        <v>0.123632365075</v>
      </c>
      <c r="G28" s="319">
        <v>9.2724273805999999E-2</v>
      </c>
      <c r="H28" s="321">
        <v>0</v>
      </c>
      <c r="I28" s="318">
        <v>0</v>
      </c>
      <c r="J28" s="319">
        <v>-9.2724273805999999E-2</v>
      </c>
      <c r="K28" s="322">
        <v>0</v>
      </c>
    </row>
    <row r="29" spans="1:11" ht="14.4" customHeight="1" thickBot="1" x14ac:dyDescent="0.35">
      <c r="A29" s="338" t="s">
        <v>26</v>
      </c>
      <c r="B29" s="318">
        <v>109.68402555148199</v>
      </c>
      <c r="C29" s="318">
        <v>96.953000000000003</v>
      </c>
      <c r="D29" s="319">
        <v>-12.731025551482</v>
      </c>
      <c r="E29" s="320">
        <v>0.88392999356500002</v>
      </c>
      <c r="F29" s="318">
        <v>95.881709880854999</v>
      </c>
      <c r="G29" s="319">
        <v>71.911282410640993</v>
      </c>
      <c r="H29" s="321">
        <v>3.871</v>
      </c>
      <c r="I29" s="318">
        <v>54.207999999999998</v>
      </c>
      <c r="J29" s="319">
        <v>-17.703282410640998</v>
      </c>
      <c r="K29" s="322">
        <v>0.56536330095999998</v>
      </c>
    </row>
    <row r="30" spans="1:11" ht="14.4" customHeight="1" thickBot="1" x14ac:dyDescent="0.35">
      <c r="A30" s="339" t="s">
        <v>204</v>
      </c>
      <c r="B30" s="323">
        <v>109.68402555148199</v>
      </c>
      <c r="C30" s="323">
        <v>96.953000000000003</v>
      </c>
      <c r="D30" s="324">
        <v>-12.731025551482</v>
      </c>
      <c r="E30" s="329">
        <v>0.88392999356500002</v>
      </c>
      <c r="F30" s="323">
        <v>95.881709880854999</v>
      </c>
      <c r="G30" s="324">
        <v>71.911282410640993</v>
      </c>
      <c r="H30" s="326">
        <v>3.871</v>
      </c>
      <c r="I30" s="323">
        <v>54.207999999999998</v>
      </c>
      <c r="J30" s="324">
        <v>-17.703282410640998</v>
      </c>
      <c r="K30" s="327">
        <v>0.56536330095999998</v>
      </c>
    </row>
    <row r="31" spans="1:11" ht="14.4" customHeight="1" thickBot="1" x14ac:dyDescent="0.35">
      <c r="A31" s="340" t="s">
        <v>205</v>
      </c>
      <c r="B31" s="318">
        <v>55</v>
      </c>
      <c r="C31" s="318">
        <v>42.222999999999999</v>
      </c>
      <c r="D31" s="319">
        <v>-12.776999999999999</v>
      </c>
      <c r="E31" s="320">
        <v>0.76769090909000004</v>
      </c>
      <c r="F31" s="318">
        <v>41.658870331895997</v>
      </c>
      <c r="G31" s="319">
        <v>31.244152748922001</v>
      </c>
      <c r="H31" s="321">
        <v>3.222</v>
      </c>
      <c r="I31" s="318">
        <v>28.503</v>
      </c>
      <c r="J31" s="319">
        <v>-2.7411527489209999</v>
      </c>
      <c r="K31" s="322">
        <v>0.68420002205800001</v>
      </c>
    </row>
    <row r="32" spans="1:11" ht="14.4" customHeight="1" thickBot="1" x14ac:dyDescent="0.35">
      <c r="A32" s="340" t="s">
        <v>206</v>
      </c>
      <c r="B32" s="318">
        <v>8.4357324226639996</v>
      </c>
      <c r="C32" s="318">
        <v>7.1429999999999998</v>
      </c>
      <c r="D32" s="319">
        <v>-1.292732422664</v>
      </c>
      <c r="E32" s="320">
        <v>0.84675516506500004</v>
      </c>
      <c r="F32" s="318">
        <v>7.2946743808649996</v>
      </c>
      <c r="G32" s="319">
        <v>5.4710057856479999</v>
      </c>
      <c r="H32" s="321">
        <v>0.64900000000000002</v>
      </c>
      <c r="I32" s="318">
        <v>5.6849999999999996</v>
      </c>
      <c r="J32" s="319">
        <v>0.213994214351</v>
      </c>
      <c r="K32" s="322">
        <v>0.77933567739599996</v>
      </c>
    </row>
    <row r="33" spans="1:11" ht="14.4" customHeight="1" thickBot="1" x14ac:dyDescent="0.35">
      <c r="A33" s="340" t="s">
        <v>207</v>
      </c>
      <c r="B33" s="318">
        <v>45.999998551110998</v>
      </c>
      <c r="C33" s="318">
        <v>47.587000000000003</v>
      </c>
      <c r="D33" s="319">
        <v>1.587001448888</v>
      </c>
      <c r="E33" s="320">
        <v>1.0345000325839999</v>
      </c>
      <c r="F33" s="318">
        <v>46.928165168093997</v>
      </c>
      <c r="G33" s="319">
        <v>35.196123876069997</v>
      </c>
      <c r="H33" s="321">
        <v>0</v>
      </c>
      <c r="I33" s="318">
        <v>20.02</v>
      </c>
      <c r="J33" s="319">
        <v>-15.176123876069999</v>
      </c>
      <c r="K33" s="322">
        <v>0.42660947702200003</v>
      </c>
    </row>
    <row r="34" spans="1:11" ht="14.4" customHeight="1" thickBot="1" x14ac:dyDescent="0.35">
      <c r="A34" s="340" t="s">
        <v>208</v>
      </c>
      <c r="B34" s="318">
        <v>0.248294577706</v>
      </c>
      <c r="C34" s="318">
        <v>0</v>
      </c>
      <c r="D34" s="319">
        <v>-0.248294577706</v>
      </c>
      <c r="E34" s="320">
        <v>0</v>
      </c>
      <c r="F34" s="318">
        <v>0</v>
      </c>
      <c r="G34" s="319">
        <v>0</v>
      </c>
      <c r="H34" s="321">
        <v>0</v>
      </c>
      <c r="I34" s="318">
        <v>0</v>
      </c>
      <c r="J34" s="319">
        <v>0</v>
      </c>
      <c r="K34" s="322">
        <v>9</v>
      </c>
    </row>
    <row r="35" spans="1:11" ht="14.4" customHeight="1" thickBot="1" x14ac:dyDescent="0.35">
      <c r="A35" s="341" t="s">
        <v>209</v>
      </c>
      <c r="B35" s="323">
        <v>189.421695593983</v>
      </c>
      <c r="C35" s="323">
        <v>206.61883</v>
      </c>
      <c r="D35" s="324">
        <v>17.197134406017</v>
      </c>
      <c r="E35" s="329">
        <v>1.090787564497</v>
      </c>
      <c r="F35" s="323">
        <v>234.16391219154599</v>
      </c>
      <c r="G35" s="324">
        <v>175.62293414365899</v>
      </c>
      <c r="H35" s="326">
        <v>15.893890000000001</v>
      </c>
      <c r="I35" s="323">
        <v>149.22031999999999</v>
      </c>
      <c r="J35" s="324">
        <v>-26.402614143659001</v>
      </c>
      <c r="K35" s="327">
        <v>0.63724729657699997</v>
      </c>
    </row>
    <row r="36" spans="1:11" ht="14.4" customHeight="1" thickBot="1" x14ac:dyDescent="0.35">
      <c r="A36" s="338" t="s">
        <v>29</v>
      </c>
      <c r="B36" s="318">
        <v>13.562344242715</v>
      </c>
      <c r="C36" s="318">
        <v>28.67568</v>
      </c>
      <c r="D36" s="319">
        <v>15.113335757284</v>
      </c>
      <c r="E36" s="320">
        <v>2.114360134709</v>
      </c>
      <c r="F36" s="318">
        <v>47.732521713368001</v>
      </c>
      <c r="G36" s="319">
        <v>35.799391285025997</v>
      </c>
      <c r="H36" s="321">
        <v>0.86380999999999997</v>
      </c>
      <c r="I36" s="318">
        <v>2.11768</v>
      </c>
      <c r="J36" s="319">
        <v>-33.681711285025997</v>
      </c>
      <c r="K36" s="322">
        <v>4.4365558825999997E-2</v>
      </c>
    </row>
    <row r="37" spans="1:11" ht="14.4" customHeight="1" thickBot="1" x14ac:dyDescent="0.35">
      <c r="A37" s="342" t="s">
        <v>210</v>
      </c>
      <c r="B37" s="318">
        <v>13.562344242715</v>
      </c>
      <c r="C37" s="318">
        <v>28.67568</v>
      </c>
      <c r="D37" s="319">
        <v>15.113335757284</v>
      </c>
      <c r="E37" s="320">
        <v>2.114360134709</v>
      </c>
      <c r="F37" s="318">
        <v>47.732521713368001</v>
      </c>
      <c r="G37" s="319">
        <v>35.799391285025997</v>
      </c>
      <c r="H37" s="321">
        <v>0.86380999999999997</v>
      </c>
      <c r="I37" s="318">
        <v>2.11768</v>
      </c>
      <c r="J37" s="319">
        <v>-33.681711285025997</v>
      </c>
      <c r="K37" s="322">
        <v>4.4365558825999997E-2</v>
      </c>
    </row>
    <row r="38" spans="1:11" ht="14.4" customHeight="1" thickBot="1" x14ac:dyDescent="0.35">
      <c r="A38" s="340" t="s">
        <v>211</v>
      </c>
      <c r="B38" s="318">
        <v>0</v>
      </c>
      <c r="C38" s="318">
        <v>27.225000000000001</v>
      </c>
      <c r="D38" s="319">
        <v>27.225000000000001</v>
      </c>
      <c r="E38" s="328" t="s">
        <v>184</v>
      </c>
      <c r="F38" s="318">
        <v>46.401899205451002</v>
      </c>
      <c r="G38" s="319">
        <v>34.801424404088003</v>
      </c>
      <c r="H38" s="321">
        <v>0</v>
      </c>
      <c r="I38" s="318">
        <v>0</v>
      </c>
      <c r="J38" s="319">
        <v>-34.801424404088003</v>
      </c>
      <c r="K38" s="322">
        <v>0</v>
      </c>
    </row>
    <row r="39" spans="1:11" ht="14.4" customHeight="1" thickBot="1" x14ac:dyDescent="0.35">
      <c r="A39" s="340" t="s">
        <v>212</v>
      </c>
      <c r="B39" s="318">
        <v>0</v>
      </c>
      <c r="C39" s="318">
        <v>0.93169999999999997</v>
      </c>
      <c r="D39" s="319">
        <v>0.93169999999999997</v>
      </c>
      <c r="E39" s="328" t="s">
        <v>178</v>
      </c>
      <c r="F39" s="318">
        <v>0.95754424446499997</v>
      </c>
      <c r="G39" s="319">
        <v>0.71815818334799997</v>
      </c>
      <c r="H39" s="321">
        <v>0</v>
      </c>
      <c r="I39" s="318">
        <v>0.94755</v>
      </c>
      <c r="J39" s="319">
        <v>0.229391816651</v>
      </c>
      <c r="K39" s="322">
        <v>0.98956262906500003</v>
      </c>
    </row>
    <row r="40" spans="1:11" ht="14.4" customHeight="1" thickBot="1" x14ac:dyDescent="0.35">
      <c r="A40" s="340" t="s">
        <v>213</v>
      </c>
      <c r="B40" s="318">
        <v>13.562344242715</v>
      </c>
      <c r="C40" s="318">
        <v>0.51898</v>
      </c>
      <c r="D40" s="319">
        <v>-13.043364242715001</v>
      </c>
      <c r="E40" s="320">
        <v>3.8266245916000002E-2</v>
      </c>
      <c r="F40" s="318">
        <v>0.37307826345099998</v>
      </c>
      <c r="G40" s="319">
        <v>0.27980869758799998</v>
      </c>
      <c r="H40" s="321">
        <v>0.86380999999999997</v>
      </c>
      <c r="I40" s="318">
        <v>1.1701299999999999</v>
      </c>
      <c r="J40" s="319">
        <v>0.89032130241100005</v>
      </c>
      <c r="K40" s="322">
        <v>3.1364196594410001</v>
      </c>
    </row>
    <row r="41" spans="1:11" ht="14.4" customHeight="1" thickBot="1" x14ac:dyDescent="0.35">
      <c r="A41" s="343" t="s">
        <v>30</v>
      </c>
      <c r="B41" s="323">
        <v>0</v>
      </c>
      <c r="C41" s="323">
        <v>14.35</v>
      </c>
      <c r="D41" s="324">
        <v>14.35</v>
      </c>
      <c r="E41" s="325" t="s">
        <v>178</v>
      </c>
      <c r="F41" s="323">
        <v>0</v>
      </c>
      <c r="G41" s="324">
        <v>0</v>
      </c>
      <c r="H41" s="326">
        <v>0.25</v>
      </c>
      <c r="I41" s="323">
        <v>9.9580000000000002</v>
      </c>
      <c r="J41" s="324">
        <v>9.9580000000000002</v>
      </c>
      <c r="K41" s="330" t="s">
        <v>178</v>
      </c>
    </row>
    <row r="42" spans="1:11" ht="14.4" customHeight="1" thickBot="1" x14ac:dyDescent="0.35">
      <c r="A42" s="339" t="s">
        <v>214</v>
      </c>
      <c r="B42" s="323">
        <v>0</v>
      </c>
      <c r="C42" s="323">
        <v>13.72</v>
      </c>
      <c r="D42" s="324">
        <v>13.72</v>
      </c>
      <c r="E42" s="325" t="s">
        <v>178</v>
      </c>
      <c r="F42" s="323">
        <v>0</v>
      </c>
      <c r="G42" s="324">
        <v>0</v>
      </c>
      <c r="H42" s="326">
        <v>0.25</v>
      </c>
      <c r="I42" s="323">
        <v>9.9580000000000002</v>
      </c>
      <c r="J42" s="324">
        <v>9.9580000000000002</v>
      </c>
      <c r="K42" s="330" t="s">
        <v>178</v>
      </c>
    </row>
    <row r="43" spans="1:11" ht="14.4" customHeight="1" thickBot="1" x14ac:dyDescent="0.35">
      <c r="A43" s="340" t="s">
        <v>215</v>
      </c>
      <c r="B43" s="318">
        <v>0</v>
      </c>
      <c r="C43" s="318">
        <v>12.18</v>
      </c>
      <c r="D43" s="319">
        <v>12.18</v>
      </c>
      <c r="E43" s="328" t="s">
        <v>178</v>
      </c>
      <c r="F43" s="318">
        <v>0</v>
      </c>
      <c r="G43" s="319">
        <v>0</v>
      </c>
      <c r="H43" s="321">
        <v>0.25</v>
      </c>
      <c r="I43" s="318">
        <v>8.298</v>
      </c>
      <c r="J43" s="319">
        <v>8.298</v>
      </c>
      <c r="K43" s="331" t="s">
        <v>178</v>
      </c>
    </row>
    <row r="44" spans="1:11" ht="14.4" customHeight="1" thickBot="1" x14ac:dyDescent="0.35">
      <c r="A44" s="340" t="s">
        <v>216</v>
      </c>
      <c r="B44" s="318">
        <v>0</v>
      </c>
      <c r="C44" s="318">
        <v>1.54</v>
      </c>
      <c r="D44" s="319">
        <v>1.54</v>
      </c>
      <c r="E44" s="328" t="s">
        <v>184</v>
      </c>
      <c r="F44" s="318">
        <v>0</v>
      </c>
      <c r="G44" s="319">
        <v>0</v>
      </c>
      <c r="H44" s="321">
        <v>0</v>
      </c>
      <c r="I44" s="318">
        <v>1.66</v>
      </c>
      <c r="J44" s="319">
        <v>1.66</v>
      </c>
      <c r="K44" s="331" t="s">
        <v>178</v>
      </c>
    </row>
    <row r="45" spans="1:11" ht="14.4" customHeight="1" thickBot="1" x14ac:dyDescent="0.35">
      <c r="A45" s="339" t="s">
        <v>217</v>
      </c>
      <c r="B45" s="323">
        <v>0</v>
      </c>
      <c r="C45" s="323">
        <v>0.63</v>
      </c>
      <c r="D45" s="324">
        <v>0.63</v>
      </c>
      <c r="E45" s="325" t="s">
        <v>184</v>
      </c>
      <c r="F45" s="323">
        <v>0</v>
      </c>
      <c r="G45" s="324">
        <v>0</v>
      </c>
      <c r="H45" s="326">
        <v>0</v>
      </c>
      <c r="I45" s="323">
        <v>0</v>
      </c>
      <c r="J45" s="324">
        <v>0</v>
      </c>
      <c r="K45" s="330" t="s">
        <v>178</v>
      </c>
    </row>
    <row r="46" spans="1:11" ht="14.4" customHeight="1" thickBot="1" x14ac:dyDescent="0.35">
      <c r="A46" s="340" t="s">
        <v>218</v>
      </c>
      <c r="B46" s="318">
        <v>0</v>
      </c>
      <c r="C46" s="318">
        <v>0.63</v>
      </c>
      <c r="D46" s="319">
        <v>0.63</v>
      </c>
      <c r="E46" s="328" t="s">
        <v>184</v>
      </c>
      <c r="F46" s="318">
        <v>0</v>
      </c>
      <c r="G46" s="319">
        <v>0</v>
      </c>
      <c r="H46" s="321">
        <v>0</v>
      </c>
      <c r="I46" s="318">
        <v>0</v>
      </c>
      <c r="J46" s="319">
        <v>0</v>
      </c>
      <c r="K46" s="331" t="s">
        <v>178</v>
      </c>
    </row>
    <row r="47" spans="1:11" ht="14.4" customHeight="1" thickBot="1" x14ac:dyDescent="0.35">
      <c r="A47" s="338" t="s">
        <v>31</v>
      </c>
      <c r="B47" s="318">
        <v>175.85935135126701</v>
      </c>
      <c r="C47" s="318">
        <v>163.59315000000001</v>
      </c>
      <c r="D47" s="319">
        <v>-12.266201351266</v>
      </c>
      <c r="E47" s="320">
        <v>0.93024993406900003</v>
      </c>
      <c r="F47" s="318">
        <v>186.43139047817701</v>
      </c>
      <c r="G47" s="319">
        <v>139.823542858633</v>
      </c>
      <c r="H47" s="321">
        <v>14.78008</v>
      </c>
      <c r="I47" s="318">
        <v>137.14464000000001</v>
      </c>
      <c r="J47" s="319">
        <v>-2.6789028586330002</v>
      </c>
      <c r="K47" s="322">
        <v>0.73563062340600005</v>
      </c>
    </row>
    <row r="48" spans="1:11" ht="14.4" customHeight="1" thickBot="1" x14ac:dyDescent="0.35">
      <c r="A48" s="339" t="s">
        <v>219</v>
      </c>
      <c r="B48" s="323">
        <v>7.6741094639060004</v>
      </c>
      <c r="C48" s="323">
        <v>12.54448</v>
      </c>
      <c r="D48" s="324">
        <v>4.8703705360929996</v>
      </c>
      <c r="E48" s="329">
        <v>1.6346496044909999</v>
      </c>
      <c r="F48" s="323">
        <v>13.846899152162999</v>
      </c>
      <c r="G48" s="324">
        <v>10.385174364121999</v>
      </c>
      <c r="H48" s="326">
        <v>0.80008999999999997</v>
      </c>
      <c r="I48" s="323">
        <v>8.1559799999999996</v>
      </c>
      <c r="J48" s="324">
        <v>-2.2291943641219998</v>
      </c>
      <c r="K48" s="327">
        <v>0.58901129490199999</v>
      </c>
    </row>
    <row r="49" spans="1:11" ht="14.4" customHeight="1" thickBot="1" x14ac:dyDescent="0.35">
      <c r="A49" s="340" t="s">
        <v>220</v>
      </c>
      <c r="B49" s="318">
        <v>4.2467717947000001E-2</v>
      </c>
      <c r="C49" s="318">
        <v>0.1416</v>
      </c>
      <c r="D49" s="319">
        <v>9.9132282052000004E-2</v>
      </c>
      <c r="E49" s="320">
        <v>3.3342973637859998</v>
      </c>
      <c r="F49" s="318">
        <v>0.104713913428</v>
      </c>
      <c r="G49" s="319">
        <v>7.8535435070999998E-2</v>
      </c>
      <c r="H49" s="321">
        <v>9.4999999999999998E-3</v>
      </c>
      <c r="I49" s="318">
        <v>0.1389</v>
      </c>
      <c r="J49" s="319">
        <v>6.0364564927999999E-2</v>
      </c>
      <c r="K49" s="322">
        <v>1.3264712916550001</v>
      </c>
    </row>
    <row r="50" spans="1:11" ht="14.4" customHeight="1" thickBot="1" x14ac:dyDescent="0.35">
      <c r="A50" s="340" t="s">
        <v>221</v>
      </c>
      <c r="B50" s="318">
        <v>7.6316417459580004</v>
      </c>
      <c r="C50" s="318">
        <v>12.40288</v>
      </c>
      <c r="D50" s="319">
        <v>4.7712382540410001</v>
      </c>
      <c r="E50" s="320">
        <v>1.6251915921710001</v>
      </c>
      <c r="F50" s="318">
        <v>13.742185238734001</v>
      </c>
      <c r="G50" s="319">
        <v>10.306638929049999</v>
      </c>
      <c r="H50" s="321">
        <v>0.79059000000000001</v>
      </c>
      <c r="I50" s="318">
        <v>8.01708</v>
      </c>
      <c r="J50" s="319">
        <v>-2.28955892905</v>
      </c>
      <c r="K50" s="322">
        <v>0.58339193226700004</v>
      </c>
    </row>
    <row r="51" spans="1:11" ht="14.4" customHeight="1" thickBot="1" x14ac:dyDescent="0.35">
      <c r="A51" s="339" t="s">
        <v>222</v>
      </c>
      <c r="B51" s="323">
        <v>1.279806242204</v>
      </c>
      <c r="C51" s="323">
        <v>0.54</v>
      </c>
      <c r="D51" s="324">
        <v>-0.73980624220400004</v>
      </c>
      <c r="E51" s="329">
        <v>0.42193887026900001</v>
      </c>
      <c r="F51" s="323">
        <v>0.99999840846400001</v>
      </c>
      <c r="G51" s="324">
        <v>0.74999880634799998</v>
      </c>
      <c r="H51" s="326">
        <v>0</v>
      </c>
      <c r="I51" s="323">
        <v>0.40500000000000003</v>
      </c>
      <c r="J51" s="324">
        <v>-0.34499880634800001</v>
      </c>
      <c r="K51" s="327">
        <v>0.40500064457200002</v>
      </c>
    </row>
    <row r="52" spans="1:11" ht="14.4" customHeight="1" thickBot="1" x14ac:dyDescent="0.35">
      <c r="A52" s="340" t="s">
        <v>223</v>
      </c>
      <c r="B52" s="318">
        <v>1.279806242204</v>
      </c>
      <c r="C52" s="318">
        <v>0.54</v>
      </c>
      <c r="D52" s="319">
        <v>-0.73980624220400004</v>
      </c>
      <c r="E52" s="320">
        <v>0.42193887026900001</v>
      </c>
      <c r="F52" s="318">
        <v>0.99999840846400001</v>
      </c>
      <c r="G52" s="319">
        <v>0.74999880634799998</v>
      </c>
      <c r="H52" s="321">
        <v>0</v>
      </c>
      <c r="I52" s="318">
        <v>0.40500000000000003</v>
      </c>
      <c r="J52" s="319">
        <v>-0.34499880634800001</v>
      </c>
      <c r="K52" s="322">
        <v>0.40500064457200002</v>
      </c>
    </row>
    <row r="53" spans="1:11" ht="14.4" customHeight="1" thickBot="1" x14ac:dyDescent="0.35">
      <c r="A53" s="339" t="s">
        <v>224</v>
      </c>
      <c r="B53" s="323">
        <v>33.29999823875</v>
      </c>
      <c r="C53" s="323">
        <v>34.75759</v>
      </c>
      <c r="D53" s="324">
        <v>1.4575917612489999</v>
      </c>
      <c r="E53" s="329">
        <v>1.0437715266759999</v>
      </c>
      <c r="F53" s="323">
        <v>32.861592169601998</v>
      </c>
      <c r="G53" s="324">
        <v>24.646194127202001</v>
      </c>
      <c r="H53" s="326">
        <v>2.4199899999999999</v>
      </c>
      <c r="I53" s="323">
        <v>23.582229999999999</v>
      </c>
      <c r="J53" s="324">
        <v>-1.063964127202</v>
      </c>
      <c r="K53" s="327">
        <v>0.71762286739699999</v>
      </c>
    </row>
    <row r="54" spans="1:11" ht="14.4" customHeight="1" thickBot="1" x14ac:dyDescent="0.35">
      <c r="A54" s="340" t="s">
        <v>225</v>
      </c>
      <c r="B54" s="318">
        <v>19.223769626088</v>
      </c>
      <c r="C54" s="318">
        <v>17.876280000000001</v>
      </c>
      <c r="D54" s="319">
        <v>-1.347489626088</v>
      </c>
      <c r="E54" s="320">
        <v>0.92990502631299998</v>
      </c>
      <c r="F54" s="318">
        <v>18.301082131855999</v>
      </c>
      <c r="G54" s="319">
        <v>13.725811598891999</v>
      </c>
      <c r="H54" s="321">
        <v>1.28979</v>
      </c>
      <c r="I54" s="318">
        <v>12.54111</v>
      </c>
      <c r="J54" s="319">
        <v>-1.184701598892</v>
      </c>
      <c r="K54" s="322">
        <v>0.68526603561699995</v>
      </c>
    </row>
    <row r="55" spans="1:11" ht="14.4" customHeight="1" thickBot="1" x14ac:dyDescent="0.35">
      <c r="A55" s="340" t="s">
        <v>226</v>
      </c>
      <c r="B55" s="318">
        <v>14.076228612661</v>
      </c>
      <c r="C55" s="318">
        <v>16.881309999999999</v>
      </c>
      <c r="D55" s="319">
        <v>2.8050813873379998</v>
      </c>
      <c r="E55" s="320">
        <v>1.199277907778</v>
      </c>
      <c r="F55" s="318">
        <v>14.560510037746001</v>
      </c>
      <c r="G55" s="319">
        <v>10.920382528309</v>
      </c>
      <c r="H55" s="321">
        <v>1.1302000000000001</v>
      </c>
      <c r="I55" s="318">
        <v>11.041119999999999</v>
      </c>
      <c r="J55" s="319">
        <v>0.12073747169</v>
      </c>
      <c r="K55" s="322">
        <v>0.75829211829599996</v>
      </c>
    </row>
    <row r="56" spans="1:11" ht="14.4" customHeight="1" thickBot="1" x14ac:dyDescent="0.35">
      <c r="A56" s="339" t="s">
        <v>227</v>
      </c>
      <c r="B56" s="323">
        <v>63.605439611234999</v>
      </c>
      <c r="C56" s="323">
        <v>65.033079999999998</v>
      </c>
      <c r="D56" s="324">
        <v>1.4276403887639999</v>
      </c>
      <c r="E56" s="329">
        <v>1.0224452562149999</v>
      </c>
      <c r="F56" s="323">
        <v>55.103205567407002</v>
      </c>
      <c r="G56" s="324">
        <v>41.327404175555003</v>
      </c>
      <c r="H56" s="326">
        <v>10.406000000000001</v>
      </c>
      <c r="I56" s="323">
        <v>53.474429999999998</v>
      </c>
      <c r="J56" s="324">
        <v>12.147025824444</v>
      </c>
      <c r="K56" s="327">
        <v>0.97044136451499996</v>
      </c>
    </row>
    <row r="57" spans="1:11" ht="14.4" customHeight="1" thickBot="1" x14ac:dyDescent="0.35">
      <c r="A57" s="340" t="s">
        <v>228</v>
      </c>
      <c r="B57" s="318">
        <v>0</v>
      </c>
      <c r="C57" s="318">
        <v>0.96799999999999997</v>
      </c>
      <c r="D57" s="319">
        <v>0.96799999999999997</v>
      </c>
      <c r="E57" s="328" t="s">
        <v>184</v>
      </c>
      <c r="F57" s="318">
        <v>2.999995225393</v>
      </c>
      <c r="G57" s="319">
        <v>2.2499964190449999</v>
      </c>
      <c r="H57" s="321">
        <v>0</v>
      </c>
      <c r="I57" s="318">
        <v>0</v>
      </c>
      <c r="J57" s="319">
        <v>-2.2499964190449999</v>
      </c>
      <c r="K57" s="322">
        <v>0</v>
      </c>
    </row>
    <row r="58" spans="1:11" ht="14.4" customHeight="1" thickBot="1" x14ac:dyDescent="0.35">
      <c r="A58" s="340" t="s">
        <v>229</v>
      </c>
      <c r="B58" s="318">
        <v>27.936828018530001</v>
      </c>
      <c r="C58" s="318">
        <v>11.362</v>
      </c>
      <c r="D58" s="319">
        <v>-16.574828018529999</v>
      </c>
      <c r="E58" s="320">
        <v>0.40670329474900002</v>
      </c>
      <c r="F58" s="318">
        <v>10.686596694457</v>
      </c>
      <c r="G58" s="319">
        <v>8.014947520842</v>
      </c>
      <c r="H58" s="321">
        <v>0</v>
      </c>
      <c r="I58" s="318">
        <v>15.186</v>
      </c>
      <c r="J58" s="319">
        <v>7.1710524791569998</v>
      </c>
      <c r="K58" s="322">
        <v>1.4210323860980001</v>
      </c>
    </row>
    <row r="59" spans="1:11" ht="14.4" customHeight="1" thickBot="1" x14ac:dyDescent="0.35">
      <c r="A59" s="340" t="s">
        <v>230</v>
      </c>
      <c r="B59" s="318">
        <v>35.668611592704998</v>
      </c>
      <c r="C59" s="318">
        <v>52.70308</v>
      </c>
      <c r="D59" s="319">
        <v>17.034468407294</v>
      </c>
      <c r="E59" s="320">
        <v>1.4775758754449999</v>
      </c>
      <c r="F59" s="318">
        <v>41.416613647557</v>
      </c>
      <c r="G59" s="319">
        <v>31.062460235667999</v>
      </c>
      <c r="H59" s="321">
        <v>10.406000000000001</v>
      </c>
      <c r="I59" s="318">
        <v>38.288429999999998</v>
      </c>
      <c r="J59" s="319">
        <v>7.2259697643319996</v>
      </c>
      <c r="K59" s="322">
        <v>0.92447031825899995</v>
      </c>
    </row>
    <row r="60" spans="1:11" ht="14.4" customHeight="1" thickBot="1" x14ac:dyDescent="0.35">
      <c r="A60" s="339" t="s">
        <v>231</v>
      </c>
      <c r="B60" s="323">
        <v>69.999997795168994</v>
      </c>
      <c r="C60" s="323">
        <v>50.718000000000004</v>
      </c>
      <c r="D60" s="324">
        <v>-19.281997795169001</v>
      </c>
      <c r="E60" s="329">
        <v>0.72454287996400002</v>
      </c>
      <c r="F60" s="323">
        <v>83.619695180538997</v>
      </c>
      <c r="G60" s="324">
        <v>62.714771385403999</v>
      </c>
      <c r="H60" s="326">
        <v>1.1539999999999999</v>
      </c>
      <c r="I60" s="323">
        <v>51.527000000000001</v>
      </c>
      <c r="J60" s="324">
        <v>-11.187771385404</v>
      </c>
      <c r="K60" s="327">
        <v>0.616206503608</v>
      </c>
    </row>
    <row r="61" spans="1:11" ht="14.4" customHeight="1" thickBot="1" x14ac:dyDescent="0.35">
      <c r="A61" s="340" t="s">
        <v>232</v>
      </c>
      <c r="B61" s="318">
        <v>0</v>
      </c>
      <c r="C61" s="318">
        <v>1.8759999999999999</v>
      </c>
      <c r="D61" s="319">
        <v>1.8759999999999999</v>
      </c>
      <c r="E61" s="328" t="s">
        <v>184</v>
      </c>
      <c r="F61" s="318">
        <v>0.98448469295899999</v>
      </c>
      <c r="G61" s="319">
        <v>0.73836351971900005</v>
      </c>
      <c r="H61" s="321">
        <v>0</v>
      </c>
      <c r="I61" s="318">
        <v>0</v>
      </c>
      <c r="J61" s="319">
        <v>-0.73836351971900005</v>
      </c>
      <c r="K61" s="322">
        <v>0</v>
      </c>
    </row>
    <row r="62" spans="1:11" ht="14.4" customHeight="1" thickBot="1" x14ac:dyDescent="0.35">
      <c r="A62" s="340" t="s">
        <v>233</v>
      </c>
      <c r="B62" s="318">
        <v>29.999999055071999</v>
      </c>
      <c r="C62" s="318">
        <v>25.068000000000001</v>
      </c>
      <c r="D62" s="319">
        <v>-4.9319990550719996</v>
      </c>
      <c r="E62" s="320">
        <v>0.83560002631899999</v>
      </c>
      <c r="F62" s="318">
        <v>30.183894459967998</v>
      </c>
      <c r="G62" s="319">
        <v>22.637920844976001</v>
      </c>
      <c r="H62" s="321">
        <v>1.1539999999999999</v>
      </c>
      <c r="I62" s="318">
        <v>20.774000000000001</v>
      </c>
      <c r="J62" s="319">
        <v>-1.8639208449760001</v>
      </c>
      <c r="K62" s="322">
        <v>0.68824783453799998</v>
      </c>
    </row>
    <row r="63" spans="1:11" ht="14.4" customHeight="1" thickBot="1" x14ac:dyDescent="0.35">
      <c r="A63" s="340" t="s">
        <v>234</v>
      </c>
      <c r="B63" s="318">
        <v>39.999998740095997</v>
      </c>
      <c r="C63" s="318">
        <v>23.774000000000001</v>
      </c>
      <c r="D63" s="319">
        <v>-16.225998740095999</v>
      </c>
      <c r="E63" s="320">
        <v>0.59435001872000004</v>
      </c>
      <c r="F63" s="318">
        <v>52.451316027611</v>
      </c>
      <c r="G63" s="319">
        <v>39.338487020708001</v>
      </c>
      <c r="H63" s="321">
        <v>0</v>
      </c>
      <c r="I63" s="318">
        <v>0</v>
      </c>
      <c r="J63" s="319">
        <v>-39.338487020708001</v>
      </c>
      <c r="K63" s="322">
        <v>0</v>
      </c>
    </row>
    <row r="64" spans="1:11" ht="14.4" customHeight="1" thickBot="1" x14ac:dyDescent="0.35">
      <c r="A64" s="340" t="s">
        <v>235</v>
      </c>
      <c r="B64" s="318">
        <v>0</v>
      </c>
      <c r="C64" s="318">
        <v>0</v>
      </c>
      <c r="D64" s="319">
        <v>0</v>
      </c>
      <c r="E64" s="320">
        <v>1</v>
      </c>
      <c r="F64" s="318">
        <v>0</v>
      </c>
      <c r="G64" s="319">
        <v>0</v>
      </c>
      <c r="H64" s="321">
        <v>0</v>
      </c>
      <c r="I64" s="318">
        <v>30.753</v>
      </c>
      <c r="J64" s="319">
        <v>30.753</v>
      </c>
      <c r="K64" s="331" t="s">
        <v>184</v>
      </c>
    </row>
    <row r="65" spans="1:11" ht="14.4" customHeight="1" thickBot="1" x14ac:dyDescent="0.35">
      <c r="A65" s="337" t="s">
        <v>32</v>
      </c>
      <c r="B65" s="318">
        <v>2564.9999192087198</v>
      </c>
      <c r="C65" s="318">
        <v>2877.91023</v>
      </c>
      <c r="D65" s="319">
        <v>312.91031079128402</v>
      </c>
      <c r="E65" s="320">
        <v>1.1219923277370001</v>
      </c>
      <c r="F65" s="318">
        <v>2831.0002555812498</v>
      </c>
      <c r="G65" s="319">
        <v>2123.2501916859301</v>
      </c>
      <c r="H65" s="321">
        <v>231.99339000000001</v>
      </c>
      <c r="I65" s="318">
        <v>2190.5878400000001</v>
      </c>
      <c r="J65" s="319">
        <v>67.337648314066001</v>
      </c>
      <c r="K65" s="322">
        <v>0.77378581498900001</v>
      </c>
    </row>
    <row r="66" spans="1:11" ht="14.4" customHeight="1" thickBot="1" x14ac:dyDescent="0.35">
      <c r="A66" s="343" t="s">
        <v>236</v>
      </c>
      <c r="B66" s="323">
        <v>1915.99993965064</v>
      </c>
      <c r="C66" s="323">
        <v>2132.232</v>
      </c>
      <c r="D66" s="324">
        <v>216.232060349357</v>
      </c>
      <c r="E66" s="329">
        <v>1.1128559849470001</v>
      </c>
      <c r="F66" s="323">
        <v>2106.00019012861</v>
      </c>
      <c r="G66" s="324">
        <v>1579.5001425964599</v>
      </c>
      <c r="H66" s="326">
        <v>171.26900000000001</v>
      </c>
      <c r="I66" s="323">
        <v>1617.1690000000001</v>
      </c>
      <c r="J66" s="324">
        <v>37.668857403540002</v>
      </c>
      <c r="K66" s="327">
        <v>0.76788644539499995</v>
      </c>
    </row>
    <row r="67" spans="1:11" ht="14.4" customHeight="1" thickBot="1" x14ac:dyDescent="0.35">
      <c r="A67" s="339" t="s">
        <v>237</v>
      </c>
      <c r="B67" s="323">
        <v>1849.99994172948</v>
      </c>
      <c r="C67" s="323">
        <v>2072.232</v>
      </c>
      <c r="D67" s="324">
        <v>222.232058270517</v>
      </c>
      <c r="E67" s="329">
        <v>1.120125440686</v>
      </c>
      <c r="F67" s="323">
        <v>2040.0001841701701</v>
      </c>
      <c r="G67" s="324">
        <v>1530.00013812763</v>
      </c>
      <c r="H67" s="326">
        <v>166.26900000000001</v>
      </c>
      <c r="I67" s="323">
        <v>1572.1690000000001</v>
      </c>
      <c r="J67" s="324">
        <v>42.168861872374997</v>
      </c>
      <c r="K67" s="327">
        <v>0.77067100885499995</v>
      </c>
    </row>
    <row r="68" spans="1:11" ht="14.4" customHeight="1" thickBot="1" x14ac:dyDescent="0.35">
      <c r="A68" s="340" t="s">
        <v>238</v>
      </c>
      <c r="B68" s="318">
        <v>1849.99994172948</v>
      </c>
      <c r="C68" s="318">
        <v>2072.232</v>
      </c>
      <c r="D68" s="319">
        <v>222.232058270517</v>
      </c>
      <c r="E68" s="320">
        <v>1.120125440686</v>
      </c>
      <c r="F68" s="318">
        <v>2040.0001841701701</v>
      </c>
      <c r="G68" s="319">
        <v>1530.00013812763</v>
      </c>
      <c r="H68" s="321">
        <v>166.26900000000001</v>
      </c>
      <c r="I68" s="318">
        <v>1572.1690000000001</v>
      </c>
      <c r="J68" s="319">
        <v>42.168861872374997</v>
      </c>
      <c r="K68" s="322">
        <v>0.77067100885499995</v>
      </c>
    </row>
    <row r="69" spans="1:11" ht="14.4" customHeight="1" thickBot="1" x14ac:dyDescent="0.35">
      <c r="A69" s="339" t="s">
        <v>239</v>
      </c>
      <c r="B69" s="323">
        <v>59.999998110145</v>
      </c>
      <c r="C69" s="323">
        <v>60</v>
      </c>
      <c r="D69" s="324">
        <v>1.8898546016998801E-6</v>
      </c>
      <c r="E69" s="329">
        <v>1.0000000314969999</v>
      </c>
      <c r="F69" s="323">
        <v>60.000005416769</v>
      </c>
      <c r="G69" s="324">
        <v>45.000004062576998</v>
      </c>
      <c r="H69" s="326">
        <v>5</v>
      </c>
      <c r="I69" s="323">
        <v>45</v>
      </c>
      <c r="J69" s="324">
        <v>-4.0625772044222702E-6</v>
      </c>
      <c r="K69" s="327">
        <v>0.74999993228999995</v>
      </c>
    </row>
    <row r="70" spans="1:11" ht="14.4" customHeight="1" thickBot="1" x14ac:dyDescent="0.35">
      <c r="A70" s="340" t="s">
        <v>240</v>
      </c>
      <c r="B70" s="318">
        <v>59.999998110145</v>
      </c>
      <c r="C70" s="318">
        <v>60</v>
      </c>
      <c r="D70" s="319">
        <v>1.8898546016998801E-6</v>
      </c>
      <c r="E70" s="320">
        <v>1.0000000314969999</v>
      </c>
      <c r="F70" s="318">
        <v>60.000005416769</v>
      </c>
      <c r="G70" s="319">
        <v>45.000004062576998</v>
      </c>
      <c r="H70" s="321">
        <v>5</v>
      </c>
      <c r="I70" s="318">
        <v>45</v>
      </c>
      <c r="J70" s="319">
        <v>-4.0625772044222702E-6</v>
      </c>
      <c r="K70" s="322">
        <v>0.74999993228999995</v>
      </c>
    </row>
    <row r="71" spans="1:11" ht="14.4" customHeight="1" thickBot="1" x14ac:dyDescent="0.35">
      <c r="A71" s="339" t="s">
        <v>241</v>
      </c>
      <c r="B71" s="323">
        <v>5.9999998110139998</v>
      </c>
      <c r="C71" s="323">
        <v>0</v>
      </c>
      <c r="D71" s="324">
        <v>-5.9999998110139998</v>
      </c>
      <c r="E71" s="329">
        <v>0</v>
      </c>
      <c r="F71" s="323">
        <v>6.0000005416760001</v>
      </c>
      <c r="G71" s="324">
        <v>4.5000004062569996</v>
      </c>
      <c r="H71" s="326">
        <v>0</v>
      </c>
      <c r="I71" s="323">
        <v>0</v>
      </c>
      <c r="J71" s="324">
        <v>-4.5000004062569996</v>
      </c>
      <c r="K71" s="327">
        <v>0</v>
      </c>
    </row>
    <row r="72" spans="1:11" ht="14.4" customHeight="1" thickBot="1" x14ac:dyDescent="0.35">
      <c r="A72" s="340" t="s">
        <v>242</v>
      </c>
      <c r="B72" s="318">
        <v>5.9999998110139998</v>
      </c>
      <c r="C72" s="318">
        <v>0</v>
      </c>
      <c r="D72" s="319">
        <v>-5.9999998110139998</v>
      </c>
      <c r="E72" s="320">
        <v>0</v>
      </c>
      <c r="F72" s="318">
        <v>6.0000005416760001</v>
      </c>
      <c r="G72" s="319">
        <v>4.5000004062569996</v>
      </c>
      <c r="H72" s="321">
        <v>0</v>
      </c>
      <c r="I72" s="318">
        <v>0</v>
      </c>
      <c r="J72" s="319">
        <v>-4.5000004062569996</v>
      </c>
      <c r="K72" s="322">
        <v>0</v>
      </c>
    </row>
    <row r="73" spans="1:11" ht="14.4" customHeight="1" thickBot="1" x14ac:dyDescent="0.35">
      <c r="A73" s="338" t="s">
        <v>243</v>
      </c>
      <c r="B73" s="318">
        <v>629.99998015652704</v>
      </c>
      <c r="C73" s="318">
        <v>724.95730000000003</v>
      </c>
      <c r="D73" s="319">
        <v>94.957319843473002</v>
      </c>
      <c r="E73" s="320">
        <v>1.15072590926</v>
      </c>
      <c r="F73" s="318">
        <v>694.00006265396905</v>
      </c>
      <c r="G73" s="319">
        <v>520.50004699047599</v>
      </c>
      <c r="H73" s="321">
        <v>58.23115</v>
      </c>
      <c r="I73" s="318">
        <v>549.83771000000002</v>
      </c>
      <c r="J73" s="319">
        <v>29.337663009522998</v>
      </c>
      <c r="K73" s="322">
        <v>0.79227328582199996</v>
      </c>
    </row>
    <row r="74" spans="1:11" ht="14.4" customHeight="1" thickBot="1" x14ac:dyDescent="0.35">
      <c r="A74" s="339" t="s">
        <v>244</v>
      </c>
      <c r="B74" s="323">
        <v>166.99999473990499</v>
      </c>
      <c r="C74" s="323">
        <v>191.89926</v>
      </c>
      <c r="D74" s="324">
        <v>24.899265260095</v>
      </c>
      <c r="E74" s="329">
        <v>1.149097401463</v>
      </c>
      <c r="F74" s="323">
        <v>184.00001661142699</v>
      </c>
      <c r="G74" s="324">
        <v>138.00001245857001</v>
      </c>
      <c r="H74" s="326">
        <v>15.4139</v>
      </c>
      <c r="I74" s="323">
        <v>145.54543000000001</v>
      </c>
      <c r="J74" s="324">
        <v>7.5454175414289999</v>
      </c>
      <c r="K74" s="327">
        <v>0.79100770032699996</v>
      </c>
    </row>
    <row r="75" spans="1:11" ht="14.4" customHeight="1" thickBot="1" x14ac:dyDescent="0.35">
      <c r="A75" s="340" t="s">
        <v>245</v>
      </c>
      <c r="B75" s="318">
        <v>166.99999473990499</v>
      </c>
      <c r="C75" s="318">
        <v>191.89926</v>
      </c>
      <c r="D75" s="319">
        <v>24.899265260095</v>
      </c>
      <c r="E75" s="320">
        <v>1.149097401463</v>
      </c>
      <c r="F75" s="318">
        <v>184.00001661142699</v>
      </c>
      <c r="G75" s="319">
        <v>138.00001245857001</v>
      </c>
      <c r="H75" s="321">
        <v>15.4139</v>
      </c>
      <c r="I75" s="318">
        <v>145.54543000000001</v>
      </c>
      <c r="J75" s="319">
        <v>7.5454175414289999</v>
      </c>
      <c r="K75" s="322">
        <v>0.79100770032699996</v>
      </c>
    </row>
    <row r="76" spans="1:11" ht="14.4" customHeight="1" thickBot="1" x14ac:dyDescent="0.35">
      <c r="A76" s="339" t="s">
        <v>246</v>
      </c>
      <c r="B76" s="323">
        <v>462.999985416622</v>
      </c>
      <c r="C76" s="323">
        <v>533.05804000000001</v>
      </c>
      <c r="D76" s="324">
        <v>70.058054583377995</v>
      </c>
      <c r="E76" s="329">
        <v>1.151313297602</v>
      </c>
      <c r="F76" s="323">
        <v>510.00004604254201</v>
      </c>
      <c r="G76" s="324">
        <v>382.50003453190601</v>
      </c>
      <c r="H76" s="326">
        <v>42.817250000000001</v>
      </c>
      <c r="I76" s="323">
        <v>404.29228000000001</v>
      </c>
      <c r="J76" s="324">
        <v>21.792245468093</v>
      </c>
      <c r="K76" s="327">
        <v>0.79272988921700005</v>
      </c>
    </row>
    <row r="77" spans="1:11" ht="14.4" customHeight="1" thickBot="1" x14ac:dyDescent="0.35">
      <c r="A77" s="340" t="s">
        <v>247</v>
      </c>
      <c r="B77" s="318">
        <v>462.999985416622</v>
      </c>
      <c r="C77" s="318">
        <v>533.05804000000001</v>
      </c>
      <c r="D77" s="319">
        <v>70.058054583377995</v>
      </c>
      <c r="E77" s="320">
        <v>1.151313297602</v>
      </c>
      <c r="F77" s="318">
        <v>510.00004604254201</v>
      </c>
      <c r="G77" s="319">
        <v>382.50003453190601</v>
      </c>
      <c r="H77" s="321">
        <v>42.817250000000001</v>
      </c>
      <c r="I77" s="318">
        <v>404.29228000000001</v>
      </c>
      <c r="J77" s="319">
        <v>21.792245468093</v>
      </c>
      <c r="K77" s="322">
        <v>0.79272988921700005</v>
      </c>
    </row>
    <row r="78" spans="1:11" ht="14.4" customHeight="1" thickBot="1" x14ac:dyDescent="0.35">
      <c r="A78" s="338" t="s">
        <v>248</v>
      </c>
      <c r="B78" s="318">
        <v>18.999999401545999</v>
      </c>
      <c r="C78" s="318">
        <v>20.720929999999999</v>
      </c>
      <c r="D78" s="319">
        <v>1.7209305984529999</v>
      </c>
      <c r="E78" s="320">
        <v>1.0905752975080001</v>
      </c>
      <c r="F78" s="318">
        <v>31.000002798663999</v>
      </c>
      <c r="G78" s="319">
        <v>23.250002098997999</v>
      </c>
      <c r="H78" s="321">
        <v>2.4932400000000001</v>
      </c>
      <c r="I78" s="318">
        <v>23.581130000000002</v>
      </c>
      <c r="J78" s="319">
        <v>0.33112790100099998</v>
      </c>
      <c r="K78" s="322">
        <v>0.76068154422900003</v>
      </c>
    </row>
    <row r="79" spans="1:11" ht="14.4" customHeight="1" thickBot="1" x14ac:dyDescent="0.35">
      <c r="A79" s="339" t="s">
        <v>249</v>
      </c>
      <c r="B79" s="323">
        <v>18.999999401545999</v>
      </c>
      <c r="C79" s="323">
        <v>20.720929999999999</v>
      </c>
      <c r="D79" s="324">
        <v>1.7209305984529999</v>
      </c>
      <c r="E79" s="329">
        <v>1.0905752975080001</v>
      </c>
      <c r="F79" s="323">
        <v>31.000002798663999</v>
      </c>
      <c r="G79" s="324">
        <v>23.250002098997999</v>
      </c>
      <c r="H79" s="326">
        <v>2.4932400000000001</v>
      </c>
      <c r="I79" s="323">
        <v>23.581130000000002</v>
      </c>
      <c r="J79" s="324">
        <v>0.33112790100099998</v>
      </c>
      <c r="K79" s="327">
        <v>0.76068154422900003</v>
      </c>
    </row>
    <row r="80" spans="1:11" ht="14.4" customHeight="1" thickBot="1" x14ac:dyDescent="0.35">
      <c r="A80" s="340" t="s">
        <v>250</v>
      </c>
      <c r="B80" s="318">
        <v>18.999999401545999</v>
      </c>
      <c r="C80" s="318">
        <v>20.720929999999999</v>
      </c>
      <c r="D80" s="319">
        <v>1.7209305984529999</v>
      </c>
      <c r="E80" s="320">
        <v>1.0905752975080001</v>
      </c>
      <c r="F80" s="318">
        <v>31.000002798663999</v>
      </c>
      <c r="G80" s="319">
        <v>23.250002098997999</v>
      </c>
      <c r="H80" s="321">
        <v>2.4932400000000001</v>
      </c>
      <c r="I80" s="318">
        <v>23.581130000000002</v>
      </c>
      <c r="J80" s="319">
        <v>0.33112790100099998</v>
      </c>
      <c r="K80" s="322">
        <v>0.76068154422900003</v>
      </c>
    </row>
    <row r="81" spans="1:11" ht="14.4" customHeight="1" thickBot="1" x14ac:dyDescent="0.35">
      <c r="A81" s="337" t="s">
        <v>251</v>
      </c>
      <c r="B81" s="318">
        <v>0</v>
      </c>
      <c r="C81" s="318">
        <v>7.95</v>
      </c>
      <c r="D81" s="319">
        <v>7.95</v>
      </c>
      <c r="E81" s="328" t="s">
        <v>178</v>
      </c>
      <c r="F81" s="318">
        <v>0</v>
      </c>
      <c r="G81" s="319">
        <v>0</v>
      </c>
      <c r="H81" s="321">
        <v>2.2000000000000002</v>
      </c>
      <c r="I81" s="318">
        <v>10.0472</v>
      </c>
      <c r="J81" s="319">
        <v>10.0472</v>
      </c>
      <c r="K81" s="331" t="s">
        <v>178</v>
      </c>
    </row>
    <row r="82" spans="1:11" ht="14.4" customHeight="1" thickBot="1" x14ac:dyDescent="0.35">
      <c r="A82" s="338" t="s">
        <v>252</v>
      </c>
      <c r="B82" s="318">
        <v>0</v>
      </c>
      <c r="C82" s="318">
        <v>7.95</v>
      </c>
      <c r="D82" s="319">
        <v>7.95</v>
      </c>
      <c r="E82" s="328" t="s">
        <v>178</v>
      </c>
      <c r="F82" s="318">
        <v>0</v>
      </c>
      <c r="G82" s="319">
        <v>0</v>
      </c>
      <c r="H82" s="321">
        <v>2.2000000000000002</v>
      </c>
      <c r="I82" s="318">
        <v>10.0472</v>
      </c>
      <c r="J82" s="319">
        <v>10.0472</v>
      </c>
      <c r="K82" s="331" t="s">
        <v>178</v>
      </c>
    </row>
    <row r="83" spans="1:11" ht="14.4" customHeight="1" thickBot="1" x14ac:dyDescent="0.35">
      <c r="A83" s="339" t="s">
        <v>253</v>
      </c>
      <c r="B83" s="323">
        <v>0</v>
      </c>
      <c r="C83" s="323">
        <v>5.2</v>
      </c>
      <c r="D83" s="324">
        <v>5.2</v>
      </c>
      <c r="E83" s="325" t="s">
        <v>178</v>
      </c>
      <c r="F83" s="323">
        <v>0</v>
      </c>
      <c r="G83" s="324">
        <v>0</v>
      </c>
      <c r="H83" s="326">
        <v>2.2000000000000002</v>
      </c>
      <c r="I83" s="323">
        <v>8.5972000000000008</v>
      </c>
      <c r="J83" s="324">
        <v>8.5972000000000008</v>
      </c>
      <c r="K83" s="330" t="s">
        <v>178</v>
      </c>
    </row>
    <row r="84" spans="1:11" ht="14.4" customHeight="1" thickBot="1" x14ac:dyDescent="0.35">
      <c r="A84" s="340" t="s">
        <v>254</v>
      </c>
      <c r="B84" s="318">
        <v>0</v>
      </c>
      <c r="C84" s="318">
        <v>0</v>
      </c>
      <c r="D84" s="319">
        <v>0</v>
      </c>
      <c r="E84" s="320">
        <v>1</v>
      </c>
      <c r="F84" s="318">
        <v>0</v>
      </c>
      <c r="G84" s="319">
        <v>0</v>
      </c>
      <c r="H84" s="321">
        <v>0</v>
      </c>
      <c r="I84" s="318">
        <v>0.38719999999999999</v>
      </c>
      <c r="J84" s="319">
        <v>0.38719999999999999</v>
      </c>
      <c r="K84" s="331" t="s">
        <v>184</v>
      </c>
    </row>
    <row r="85" spans="1:11" ht="14.4" customHeight="1" thickBot="1" x14ac:dyDescent="0.35">
      <c r="A85" s="340" t="s">
        <v>255</v>
      </c>
      <c r="B85" s="318">
        <v>0</v>
      </c>
      <c r="C85" s="318">
        <v>0.6</v>
      </c>
      <c r="D85" s="319">
        <v>0.6</v>
      </c>
      <c r="E85" s="328" t="s">
        <v>184</v>
      </c>
      <c r="F85" s="318">
        <v>0</v>
      </c>
      <c r="G85" s="319">
        <v>0</v>
      </c>
      <c r="H85" s="321">
        <v>0</v>
      </c>
      <c r="I85" s="318">
        <v>0</v>
      </c>
      <c r="J85" s="319">
        <v>0</v>
      </c>
      <c r="K85" s="331" t="s">
        <v>178</v>
      </c>
    </row>
    <row r="86" spans="1:11" ht="14.4" customHeight="1" thickBot="1" x14ac:dyDescent="0.35">
      <c r="A86" s="340" t="s">
        <v>256</v>
      </c>
      <c r="B86" s="318">
        <v>0</v>
      </c>
      <c r="C86" s="318">
        <v>4.5</v>
      </c>
      <c r="D86" s="319">
        <v>4.5</v>
      </c>
      <c r="E86" s="328" t="s">
        <v>184</v>
      </c>
      <c r="F86" s="318">
        <v>0</v>
      </c>
      <c r="G86" s="319">
        <v>0</v>
      </c>
      <c r="H86" s="321">
        <v>2.2000000000000002</v>
      </c>
      <c r="I86" s="318">
        <v>7.88</v>
      </c>
      <c r="J86" s="319">
        <v>7.88</v>
      </c>
      <c r="K86" s="331" t="s">
        <v>178</v>
      </c>
    </row>
    <row r="87" spans="1:11" ht="14.4" customHeight="1" thickBot="1" x14ac:dyDescent="0.35">
      <c r="A87" s="340" t="s">
        <v>257</v>
      </c>
      <c r="B87" s="318">
        <v>0</v>
      </c>
      <c r="C87" s="318">
        <v>0.1</v>
      </c>
      <c r="D87" s="319">
        <v>0.1</v>
      </c>
      <c r="E87" s="328" t="s">
        <v>178</v>
      </c>
      <c r="F87" s="318">
        <v>0</v>
      </c>
      <c r="G87" s="319">
        <v>0</v>
      </c>
      <c r="H87" s="321">
        <v>0</v>
      </c>
      <c r="I87" s="318">
        <v>0.33</v>
      </c>
      <c r="J87" s="319">
        <v>0.33</v>
      </c>
      <c r="K87" s="331" t="s">
        <v>178</v>
      </c>
    </row>
    <row r="88" spans="1:11" ht="14.4" customHeight="1" thickBot="1" x14ac:dyDescent="0.35">
      <c r="A88" s="342" t="s">
        <v>258</v>
      </c>
      <c r="B88" s="318">
        <v>0</v>
      </c>
      <c r="C88" s="318">
        <v>1.9</v>
      </c>
      <c r="D88" s="319">
        <v>1.9</v>
      </c>
      <c r="E88" s="328" t="s">
        <v>184</v>
      </c>
      <c r="F88" s="318">
        <v>0</v>
      </c>
      <c r="G88" s="319">
        <v>0</v>
      </c>
      <c r="H88" s="321">
        <v>0</v>
      </c>
      <c r="I88" s="318">
        <v>1.45</v>
      </c>
      <c r="J88" s="319">
        <v>1.45</v>
      </c>
      <c r="K88" s="331" t="s">
        <v>178</v>
      </c>
    </row>
    <row r="89" spans="1:11" ht="14.4" customHeight="1" thickBot="1" x14ac:dyDescent="0.35">
      <c r="A89" s="340" t="s">
        <v>259</v>
      </c>
      <c r="B89" s="318">
        <v>0</v>
      </c>
      <c r="C89" s="318">
        <v>1.9</v>
      </c>
      <c r="D89" s="319">
        <v>1.9</v>
      </c>
      <c r="E89" s="328" t="s">
        <v>184</v>
      </c>
      <c r="F89" s="318">
        <v>0</v>
      </c>
      <c r="G89" s="319">
        <v>0</v>
      </c>
      <c r="H89" s="321">
        <v>0</v>
      </c>
      <c r="I89" s="318">
        <v>1.45</v>
      </c>
      <c r="J89" s="319">
        <v>1.45</v>
      </c>
      <c r="K89" s="331" t="s">
        <v>178</v>
      </c>
    </row>
    <row r="90" spans="1:11" ht="14.4" customHeight="1" thickBot="1" x14ac:dyDescent="0.35">
      <c r="A90" s="342" t="s">
        <v>260</v>
      </c>
      <c r="B90" s="318">
        <v>0</v>
      </c>
      <c r="C90" s="318">
        <v>0.85</v>
      </c>
      <c r="D90" s="319">
        <v>0.85</v>
      </c>
      <c r="E90" s="328" t="s">
        <v>178</v>
      </c>
      <c r="F90" s="318">
        <v>0</v>
      </c>
      <c r="G90" s="319">
        <v>0</v>
      </c>
      <c r="H90" s="321">
        <v>0</v>
      </c>
      <c r="I90" s="318">
        <v>0</v>
      </c>
      <c r="J90" s="319">
        <v>0</v>
      </c>
      <c r="K90" s="331" t="s">
        <v>178</v>
      </c>
    </row>
    <row r="91" spans="1:11" ht="14.4" customHeight="1" thickBot="1" x14ac:dyDescent="0.35">
      <c r="A91" s="340" t="s">
        <v>261</v>
      </c>
      <c r="B91" s="318">
        <v>0</v>
      </c>
      <c r="C91" s="318">
        <v>0.85</v>
      </c>
      <c r="D91" s="319">
        <v>0.85</v>
      </c>
      <c r="E91" s="328" t="s">
        <v>178</v>
      </c>
      <c r="F91" s="318">
        <v>0</v>
      </c>
      <c r="G91" s="319">
        <v>0</v>
      </c>
      <c r="H91" s="321">
        <v>0</v>
      </c>
      <c r="I91" s="318">
        <v>0</v>
      </c>
      <c r="J91" s="319">
        <v>0</v>
      </c>
      <c r="K91" s="331" t="s">
        <v>178</v>
      </c>
    </row>
    <row r="92" spans="1:11" ht="14.4" customHeight="1" thickBot="1" x14ac:dyDescent="0.35">
      <c r="A92" s="337" t="s">
        <v>262</v>
      </c>
      <c r="B92" s="318">
        <v>74.999997637679996</v>
      </c>
      <c r="C92" s="318">
        <v>75.012</v>
      </c>
      <c r="D92" s="319">
        <v>1.2002362319000001E-2</v>
      </c>
      <c r="E92" s="320">
        <v>1.0001600315020001</v>
      </c>
      <c r="F92" s="318">
        <v>72.000166266695004</v>
      </c>
      <c r="G92" s="319">
        <v>54.000124700020997</v>
      </c>
      <c r="H92" s="321">
        <v>5.9379999999999997</v>
      </c>
      <c r="I92" s="318">
        <v>53.442</v>
      </c>
      <c r="J92" s="319">
        <v>-0.55812470002100001</v>
      </c>
      <c r="K92" s="322">
        <v>0.74224828595500003</v>
      </c>
    </row>
    <row r="93" spans="1:11" ht="14.4" customHeight="1" thickBot="1" x14ac:dyDescent="0.35">
      <c r="A93" s="338" t="s">
        <v>263</v>
      </c>
      <c r="B93" s="318">
        <v>74.999997637679996</v>
      </c>
      <c r="C93" s="318">
        <v>75.012</v>
      </c>
      <c r="D93" s="319">
        <v>1.2002362319000001E-2</v>
      </c>
      <c r="E93" s="320">
        <v>1.0001600315020001</v>
      </c>
      <c r="F93" s="318">
        <v>72.000166266695004</v>
      </c>
      <c r="G93" s="319">
        <v>54.000124700020997</v>
      </c>
      <c r="H93" s="321">
        <v>5.9379999999999997</v>
      </c>
      <c r="I93" s="318">
        <v>53.442</v>
      </c>
      <c r="J93" s="319">
        <v>-0.55812470002100001</v>
      </c>
      <c r="K93" s="322">
        <v>0.74224828595500003</v>
      </c>
    </row>
    <row r="94" spans="1:11" ht="14.4" customHeight="1" thickBot="1" x14ac:dyDescent="0.35">
      <c r="A94" s="339" t="s">
        <v>264</v>
      </c>
      <c r="B94" s="323">
        <v>74.999997637679996</v>
      </c>
      <c r="C94" s="323">
        <v>75.012</v>
      </c>
      <c r="D94" s="324">
        <v>1.2002362319000001E-2</v>
      </c>
      <c r="E94" s="329">
        <v>1.0001600315020001</v>
      </c>
      <c r="F94" s="323">
        <v>72.000166266695004</v>
      </c>
      <c r="G94" s="324">
        <v>54.000124700020997</v>
      </c>
      <c r="H94" s="326">
        <v>5.9379999999999997</v>
      </c>
      <c r="I94" s="323">
        <v>53.442</v>
      </c>
      <c r="J94" s="324">
        <v>-0.55812470002100001</v>
      </c>
      <c r="K94" s="327">
        <v>0.74224828595500003</v>
      </c>
    </row>
    <row r="95" spans="1:11" ht="14.4" customHeight="1" thickBot="1" x14ac:dyDescent="0.35">
      <c r="A95" s="340" t="s">
        <v>265</v>
      </c>
      <c r="B95" s="318">
        <v>14.999999527536</v>
      </c>
      <c r="C95" s="318">
        <v>14.58</v>
      </c>
      <c r="D95" s="319">
        <v>-0.41999952753600001</v>
      </c>
      <c r="E95" s="320">
        <v>0.97200003061499995</v>
      </c>
      <c r="F95" s="318">
        <v>15.000034638894</v>
      </c>
      <c r="G95" s="319">
        <v>11.250025979170999</v>
      </c>
      <c r="H95" s="321">
        <v>1.2150000000000001</v>
      </c>
      <c r="I95" s="318">
        <v>10.935</v>
      </c>
      <c r="J95" s="319">
        <v>-0.315025979171</v>
      </c>
      <c r="K95" s="322">
        <v>0.72899831655299996</v>
      </c>
    </row>
    <row r="96" spans="1:11" ht="14.4" customHeight="1" thickBot="1" x14ac:dyDescent="0.35">
      <c r="A96" s="340" t="s">
        <v>266</v>
      </c>
      <c r="B96" s="318">
        <v>59.999998110143999</v>
      </c>
      <c r="C96" s="318">
        <v>60.432000000000002</v>
      </c>
      <c r="D96" s="319">
        <v>0.43200188985499999</v>
      </c>
      <c r="E96" s="320">
        <v>1.007200031724</v>
      </c>
      <c r="F96" s="318">
        <v>57.000131627800002</v>
      </c>
      <c r="G96" s="319">
        <v>42.750098720849998</v>
      </c>
      <c r="H96" s="321">
        <v>4.7229999999999999</v>
      </c>
      <c r="I96" s="318">
        <v>42.506999999999998</v>
      </c>
      <c r="J96" s="319">
        <v>-0.24309872085000001</v>
      </c>
      <c r="K96" s="322">
        <v>0.745735120009</v>
      </c>
    </row>
    <row r="97" spans="1:11" ht="14.4" customHeight="1" thickBot="1" x14ac:dyDescent="0.35">
      <c r="A97" s="336" t="s">
        <v>267</v>
      </c>
      <c r="B97" s="318">
        <v>0</v>
      </c>
      <c r="C97" s="318">
        <v>103.08859</v>
      </c>
      <c r="D97" s="319">
        <v>103.08859</v>
      </c>
      <c r="E97" s="328" t="s">
        <v>178</v>
      </c>
      <c r="F97" s="318">
        <v>149.91698991823799</v>
      </c>
      <c r="G97" s="319">
        <v>112.437742438679</v>
      </c>
      <c r="H97" s="321">
        <v>0</v>
      </c>
      <c r="I97" s="318">
        <v>0.21</v>
      </c>
      <c r="J97" s="319">
        <v>-112.227742438679</v>
      </c>
      <c r="K97" s="322">
        <v>1.400775189E-3</v>
      </c>
    </row>
    <row r="98" spans="1:11" ht="14.4" customHeight="1" thickBot="1" x14ac:dyDescent="0.35">
      <c r="A98" s="337" t="s">
        <v>268</v>
      </c>
      <c r="B98" s="318">
        <v>0</v>
      </c>
      <c r="C98" s="318">
        <v>0</v>
      </c>
      <c r="D98" s="319">
        <v>0</v>
      </c>
      <c r="E98" s="328" t="s">
        <v>178</v>
      </c>
      <c r="F98" s="318">
        <v>0.70850209533200004</v>
      </c>
      <c r="G98" s="319">
        <v>0.53137657149899997</v>
      </c>
      <c r="H98" s="321">
        <v>0</v>
      </c>
      <c r="I98" s="318">
        <v>0</v>
      </c>
      <c r="J98" s="319">
        <v>-0.53137657149899997</v>
      </c>
      <c r="K98" s="322">
        <v>0</v>
      </c>
    </row>
    <row r="99" spans="1:11" ht="14.4" customHeight="1" thickBot="1" x14ac:dyDescent="0.35">
      <c r="A99" s="338" t="s">
        <v>269</v>
      </c>
      <c r="B99" s="318">
        <v>0</v>
      </c>
      <c r="C99" s="318">
        <v>0</v>
      </c>
      <c r="D99" s="319">
        <v>0</v>
      </c>
      <c r="E99" s="328" t="s">
        <v>178</v>
      </c>
      <c r="F99" s="318">
        <v>0.70850209533200004</v>
      </c>
      <c r="G99" s="319">
        <v>0.53137657149899997</v>
      </c>
      <c r="H99" s="321">
        <v>0</v>
      </c>
      <c r="I99" s="318">
        <v>0</v>
      </c>
      <c r="J99" s="319">
        <v>-0.53137657149899997</v>
      </c>
      <c r="K99" s="322">
        <v>0</v>
      </c>
    </row>
    <row r="100" spans="1:11" ht="14.4" customHeight="1" thickBot="1" x14ac:dyDescent="0.35">
      <c r="A100" s="339" t="s">
        <v>270</v>
      </c>
      <c r="B100" s="323">
        <v>0</v>
      </c>
      <c r="C100" s="323">
        <v>0</v>
      </c>
      <c r="D100" s="324">
        <v>0</v>
      </c>
      <c r="E100" s="329">
        <v>1</v>
      </c>
      <c r="F100" s="323">
        <v>0.70850209533200004</v>
      </c>
      <c r="G100" s="324">
        <v>0.53137657149899997</v>
      </c>
      <c r="H100" s="326">
        <v>0</v>
      </c>
      <c r="I100" s="323">
        <v>0</v>
      </c>
      <c r="J100" s="324">
        <v>-0.53137657149899997</v>
      </c>
      <c r="K100" s="327">
        <v>0</v>
      </c>
    </row>
    <row r="101" spans="1:11" ht="14.4" customHeight="1" thickBot="1" x14ac:dyDescent="0.35">
      <c r="A101" s="340" t="s">
        <v>271</v>
      </c>
      <c r="B101" s="318">
        <v>0</v>
      </c>
      <c r="C101" s="318">
        <v>0</v>
      </c>
      <c r="D101" s="319">
        <v>0</v>
      </c>
      <c r="E101" s="320">
        <v>1</v>
      </c>
      <c r="F101" s="318">
        <v>0.70850209533200004</v>
      </c>
      <c r="G101" s="319">
        <v>0.53137657149899997</v>
      </c>
      <c r="H101" s="321">
        <v>0</v>
      </c>
      <c r="I101" s="318">
        <v>0</v>
      </c>
      <c r="J101" s="319">
        <v>-0.53137657149899997</v>
      </c>
      <c r="K101" s="322">
        <v>0</v>
      </c>
    </row>
    <row r="102" spans="1:11" ht="14.4" customHeight="1" thickBot="1" x14ac:dyDescent="0.35">
      <c r="A102" s="337" t="s">
        <v>272</v>
      </c>
      <c r="B102" s="318">
        <v>0</v>
      </c>
      <c r="C102" s="318">
        <v>103.08859</v>
      </c>
      <c r="D102" s="319">
        <v>103.08859</v>
      </c>
      <c r="E102" s="328" t="s">
        <v>178</v>
      </c>
      <c r="F102" s="318">
        <v>149.20848782290599</v>
      </c>
      <c r="G102" s="319">
        <v>111.90636586718</v>
      </c>
      <c r="H102" s="321">
        <v>0</v>
      </c>
      <c r="I102" s="318">
        <v>0.21</v>
      </c>
      <c r="J102" s="319">
        <v>-111.69636586718001</v>
      </c>
      <c r="K102" s="322">
        <v>1.4074266350000001E-3</v>
      </c>
    </row>
    <row r="103" spans="1:11" ht="14.4" customHeight="1" thickBot="1" x14ac:dyDescent="0.35">
      <c r="A103" s="343" t="s">
        <v>273</v>
      </c>
      <c r="B103" s="323">
        <v>0</v>
      </c>
      <c r="C103" s="323">
        <v>103.08859</v>
      </c>
      <c r="D103" s="324">
        <v>103.08859</v>
      </c>
      <c r="E103" s="325" t="s">
        <v>178</v>
      </c>
      <c r="F103" s="323">
        <v>149.20848782290599</v>
      </c>
      <c r="G103" s="324">
        <v>111.90636586718</v>
      </c>
      <c r="H103" s="326">
        <v>0</v>
      </c>
      <c r="I103" s="323">
        <v>0.21</v>
      </c>
      <c r="J103" s="324">
        <v>-111.69636586718001</v>
      </c>
      <c r="K103" s="327">
        <v>1.4074266350000001E-3</v>
      </c>
    </row>
    <row r="104" spans="1:11" ht="14.4" customHeight="1" thickBot="1" x14ac:dyDescent="0.35">
      <c r="A104" s="339" t="s">
        <v>274</v>
      </c>
      <c r="B104" s="323">
        <v>0</v>
      </c>
      <c r="C104" s="323">
        <v>-5.0000000000000002E-5</v>
      </c>
      <c r="D104" s="324">
        <v>-5.0000000000000002E-5</v>
      </c>
      <c r="E104" s="325" t="s">
        <v>178</v>
      </c>
      <c r="F104" s="323">
        <v>0</v>
      </c>
      <c r="G104" s="324">
        <v>0</v>
      </c>
      <c r="H104" s="326">
        <v>0</v>
      </c>
      <c r="I104" s="323">
        <v>0</v>
      </c>
      <c r="J104" s="324">
        <v>0</v>
      </c>
      <c r="K104" s="330" t="s">
        <v>178</v>
      </c>
    </row>
    <row r="105" spans="1:11" ht="14.4" customHeight="1" thickBot="1" x14ac:dyDescent="0.35">
      <c r="A105" s="340" t="s">
        <v>275</v>
      </c>
      <c r="B105" s="318">
        <v>0</v>
      </c>
      <c r="C105" s="318">
        <v>-5.0000000000000002E-5</v>
      </c>
      <c r="D105" s="319">
        <v>-5.0000000000000002E-5</v>
      </c>
      <c r="E105" s="328" t="s">
        <v>184</v>
      </c>
      <c r="F105" s="318">
        <v>0</v>
      </c>
      <c r="G105" s="319">
        <v>0</v>
      </c>
      <c r="H105" s="321">
        <v>0</v>
      </c>
      <c r="I105" s="318">
        <v>0</v>
      </c>
      <c r="J105" s="319">
        <v>0</v>
      </c>
      <c r="K105" s="331" t="s">
        <v>178</v>
      </c>
    </row>
    <row r="106" spans="1:11" ht="14.4" customHeight="1" thickBot="1" x14ac:dyDescent="0.35">
      <c r="A106" s="339" t="s">
        <v>276</v>
      </c>
      <c r="B106" s="323">
        <v>0</v>
      </c>
      <c r="C106" s="323">
        <v>103.08864</v>
      </c>
      <c r="D106" s="324">
        <v>103.08864</v>
      </c>
      <c r="E106" s="325" t="s">
        <v>178</v>
      </c>
      <c r="F106" s="323">
        <v>149.20848782290599</v>
      </c>
      <c r="G106" s="324">
        <v>111.90636586718</v>
      </c>
      <c r="H106" s="326">
        <v>0</v>
      </c>
      <c r="I106" s="323">
        <v>0.21</v>
      </c>
      <c r="J106" s="324">
        <v>-111.69636586718001</v>
      </c>
      <c r="K106" s="327">
        <v>1.4074266350000001E-3</v>
      </c>
    </row>
    <row r="107" spans="1:11" ht="14.4" customHeight="1" thickBot="1" x14ac:dyDescent="0.35">
      <c r="A107" s="340" t="s">
        <v>277</v>
      </c>
      <c r="B107" s="318">
        <v>0</v>
      </c>
      <c r="C107" s="318">
        <v>0.94499999999999995</v>
      </c>
      <c r="D107" s="319">
        <v>0.94499999999999995</v>
      </c>
      <c r="E107" s="328" t="s">
        <v>178</v>
      </c>
      <c r="F107" s="318">
        <v>0.80962967675099995</v>
      </c>
      <c r="G107" s="319">
        <v>0.60722225756299997</v>
      </c>
      <c r="H107" s="321">
        <v>0</v>
      </c>
      <c r="I107" s="318">
        <v>0.21</v>
      </c>
      <c r="J107" s="319">
        <v>-0.397222257563</v>
      </c>
      <c r="K107" s="322">
        <v>0.25937784400699998</v>
      </c>
    </row>
    <row r="108" spans="1:11" ht="14.4" customHeight="1" thickBot="1" x14ac:dyDescent="0.35">
      <c r="A108" s="340" t="s">
        <v>278</v>
      </c>
      <c r="B108" s="318">
        <v>0</v>
      </c>
      <c r="C108" s="318">
        <v>102.14364</v>
      </c>
      <c r="D108" s="319">
        <v>102.14364</v>
      </c>
      <c r="E108" s="328" t="s">
        <v>184</v>
      </c>
      <c r="F108" s="318">
        <v>148.39885814615499</v>
      </c>
      <c r="G108" s="319">
        <v>111.299143609616</v>
      </c>
      <c r="H108" s="321">
        <v>0</v>
      </c>
      <c r="I108" s="318">
        <v>0</v>
      </c>
      <c r="J108" s="319">
        <v>-111.299143609616</v>
      </c>
      <c r="K108" s="322">
        <v>0</v>
      </c>
    </row>
    <row r="109" spans="1:11" ht="14.4" customHeight="1" thickBot="1" x14ac:dyDescent="0.35">
      <c r="A109" s="336" t="s">
        <v>279</v>
      </c>
      <c r="B109" s="318">
        <v>445.20804666328701</v>
      </c>
      <c r="C109" s="318">
        <v>453.70206000000002</v>
      </c>
      <c r="D109" s="319">
        <v>8.4940133367129995</v>
      </c>
      <c r="E109" s="320">
        <v>1.0190787507100001</v>
      </c>
      <c r="F109" s="318">
        <v>501.42696791205799</v>
      </c>
      <c r="G109" s="319">
        <v>376.07022593404298</v>
      </c>
      <c r="H109" s="321">
        <v>44.223140000000001</v>
      </c>
      <c r="I109" s="318">
        <v>353.53012999999999</v>
      </c>
      <c r="J109" s="319">
        <v>-22.540095934042998</v>
      </c>
      <c r="K109" s="322">
        <v>0.70504809797500001</v>
      </c>
    </row>
    <row r="110" spans="1:11" ht="14.4" customHeight="1" thickBot="1" x14ac:dyDescent="0.35">
      <c r="A110" s="341" t="s">
        <v>280</v>
      </c>
      <c r="B110" s="323">
        <v>445.20804666328701</v>
      </c>
      <c r="C110" s="323">
        <v>453.70206000000002</v>
      </c>
      <c r="D110" s="324">
        <v>8.4940133367129995</v>
      </c>
      <c r="E110" s="329">
        <v>1.0190787507100001</v>
      </c>
      <c r="F110" s="323">
        <v>501.42696791205799</v>
      </c>
      <c r="G110" s="324">
        <v>376.07022593404298</v>
      </c>
      <c r="H110" s="326">
        <v>44.223140000000001</v>
      </c>
      <c r="I110" s="323">
        <v>353.53012999999999</v>
      </c>
      <c r="J110" s="324">
        <v>-22.540095934042998</v>
      </c>
      <c r="K110" s="327">
        <v>0.70504809797500001</v>
      </c>
    </row>
    <row r="111" spans="1:11" ht="14.4" customHeight="1" thickBot="1" x14ac:dyDescent="0.35">
      <c r="A111" s="343" t="s">
        <v>38</v>
      </c>
      <c r="B111" s="323">
        <v>445.20804666328701</v>
      </c>
      <c r="C111" s="323">
        <v>453.70206000000002</v>
      </c>
      <c r="D111" s="324">
        <v>8.4940133367129995</v>
      </c>
      <c r="E111" s="329">
        <v>1.0190787507100001</v>
      </c>
      <c r="F111" s="323">
        <v>501.42696791205799</v>
      </c>
      <c r="G111" s="324">
        <v>376.07022593404298</v>
      </c>
      <c r="H111" s="326">
        <v>44.223140000000001</v>
      </c>
      <c r="I111" s="323">
        <v>353.53012999999999</v>
      </c>
      <c r="J111" s="324">
        <v>-22.540095934042998</v>
      </c>
      <c r="K111" s="327">
        <v>0.70504809797500001</v>
      </c>
    </row>
    <row r="112" spans="1:11" ht="14.4" customHeight="1" thickBot="1" x14ac:dyDescent="0.35">
      <c r="A112" s="339" t="s">
        <v>281</v>
      </c>
      <c r="B112" s="323">
        <v>31.672897196261001</v>
      </c>
      <c r="C112" s="323">
        <v>17.665700000000001</v>
      </c>
      <c r="D112" s="324">
        <v>-14.007197196261</v>
      </c>
      <c r="E112" s="329">
        <v>0.55775447034500003</v>
      </c>
      <c r="F112" s="323">
        <v>42.601398573247003</v>
      </c>
      <c r="G112" s="324">
        <v>31.951048929934998</v>
      </c>
      <c r="H112" s="326">
        <v>0</v>
      </c>
      <c r="I112" s="323">
        <v>9.7621000000000002</v>
      </c>
      <c r="J112" s="324">
        <v>-22.188948929934998</v>
      </c>
      <c r="K112" s="327">
        <v>0.22914975392600001</v>
      </c>
    </row>
    <row r="113" spans="1:11" ht="14.4" customHeight="1" thickBot="1" x14ac:dyDescent="0.35">
      <c r="A113" s="340" t="s">
        <v>282</v>
      </c>
      <c r="B113" s="318">
        <v>31.672897196261001</v>
      </c>
      <c r="C113" s="318">
        <v>16.857199999999999</v>
      </c>
      <c r="D113" s="319">
        <v>-14.815697196261</v>
      </c>
      <c r="E113" s="320">
        <v>0.53222791383800006</v>
      </c>
      <c r="F113" s="318">
        <v>41.832161039033998</v>
      </c>
      <c r="G113" s="319">
        <v>31.374120779276002</v>
      </c>
      <c r="H113" s="321">
        <v>0</v>
      </c>
      <c r="I113" s="318">
        <v>9.3946000000000005</v>
      </c>
      <c r="J113" s="319">
        <v>-21.979520779276001</v>
      </c>
      <c r="K113" s="322">
        <v>0.22457840490700001</v>
      </c>
    </row>
    <row r="114" spans="1:11" ht="14.4" customHeight="1" thickBot="1" x14ac:dyDescent="0.35">
      <c r="A114" s="340" t="s">
        <v>283</v>
      </c>
      <c r="B114" s="318">
        <v>0</v>
      </c>
      <c r="C114" s="318">
        <v>0.8085</v>
      </c>
      <c r="D114" s="319">
        <v>0.8085</v>
      </c>
      <c r="E114" s="328" t="s">
        <v>184</v>
      </c>
      <c r="F114" s="318">
        <v>0.76923753421200003</v>
      </c>
      <c r="G114" s="319">
        <v>0.57692815065900005</v>
      </c>
      <c r="H114" s="321">
        <v>0</v>
      </c>
      <c r="I114" s="318">
        <v>0.36749999999999999</v>
      </c>
      <c r="J114" s="319">
        <v>-0.209428150659</v>
      </c>
      <c r="K114" s="322">
        <v>0.47774579847499998</v>
      </c>
    </row>
    <row r="115" spans="1:11" ht="14.4" customHeight="1" thickBot="1" x14ac:dyDescent="0.35">
      <c r="A115" s="339" t="s">
        <v>284</v>
      </c>
      <c r="B115" s="323">
        <v>5.6595209004399996</v>
      </c>
      <c r="C115" s="323">
        <v>6.1051799999999998</v>
      </c>
      <c r="D115" s="324">
        <v>0.44565909955900002</v>
      </c>
      <c r="E115" s="329">
        <v>1.078745022308</v>
      </c>
      <c r="F115" s="323">
        <v>5.3832688803610003</v>
      </c>
      <c r="G115" s="324">
        <v>4.0374516602710004</v>
      </c>
      <c r="H115" s="326">
        <v>0.4642</v>
      </c>
      <c r="I115" s="323">
        <v>4.1940999999999997</v>
      </c>
      <c r="J115" s="324">
        <v>0.15664833972799999</v>
      </c>
      <c r="K115" s="327">
        <v>0.77909911119200004</v>
      </c>
    </row>
    <row r="116" spans="1:11" ht="14.4" customHeight="1" thickBot="1" x14ac:dyDescent="0.35">
      <c r="A116" s="340" t="s">
        <v>285</v>
      </c>
      <c r="B116" s="318">
        <v>5.6595209004399996</v>
      </c>
      <c r="C116" s="318">
        <v>6.1051799999999998</v>
      </c>
      <c r="D116" s="319">
        <v>0.44565909955900002</v>
      </c>
      <c r="E116" s="320">
        <v>1.078745022308</v>
      </c>
      <c r="F116" s="318">
        <v>5.3832688803610003</v>
      </c>
      <c r="G116" s="319">
        <v>4.0374516602710004</v>
      </c>
      <c r="H116" s="321">
        <v>0.4642</v>
      </c>
      <c r="I116" s="318">
        <v>4.1940999999999997</v>
      </c>
      <c r="J116" s="319">
        <v>0.15664833972799999</v>
      </c>
      <c r="K116" s="322">
        <v>0.77909911119200004</v>
      </c>
    </row>
    <row r="117" spans="1:11" ht="14.4" customHeight="1" thickBot="1" x14ac:dyDescent="0.35">
      <c r="A117" s="339" t="s">
        <v>286</v>
      </c>
      <c r="B117" s="323">
        <v>125</v>
      </c>
      <c r="C117" s="323">
        <v>114.29792999999999</v>
      </c>
      <c r="D117" s="324">
        <v>-10.702069999999001</v>
      </c>
      <c r="E117" s="329">
        <v>0.91438344000000005</v>
      </c>
      <c r="F117" s="323">
        <v>152.30162555027701</v>
      </c>
      <c r="G117" s="324">
        <v>114.22621916270801</v>
      </c>
      <c r="H117" s="326">
        <v>12.349259999999999</v>
      </c>
      <c r="I117" s="323">
        <v>102.08481</v>
      </c>
      <c r="J117" s="324">
        <v>-12.141409162707999</v>
      </c>
      <c r="K117" s="327">
        <v>0.67028050180700005</v>
      </c>
    </row>
    <row r="118" spans="1:11" ht="14.4" customHeight="1" thickBot="1" x14ac:dyDescent="0.35">
      <c r="A118" s="340" t="s">
        <v>287</v>
      </c>
      <c r="B118" s="318">
        <v>125</v>
      </c>
      <c r="C118" s="318">
        <v>114.29792999999999</v>
      </c>
      <c r="D118" s="319">
        <v>-10.702069999999001</v>
      </c>
      <c r="E118" s="320">
        <v>0.91438344000000005</v>
      </c>
      <c r="F118" s="318">
        <v>152.30162555027701</v>
      </c>
      <c r="G118" s="319">
        <v>114.22621916270801</v>
      </c>
      <c r="H118" s="321">
        <v>12.349259999999999</v>
      </c>
      <c r="I118" s="318">
        <v>102.08481</v>
      </c>
      <c r="J118" s="319">
        <v>-12.141409162707999</v>
      </c>
      <c r="K118" s="322">
        <v>0.67028050180700005</v>
      </c>
    </row>
    <row r="119" spans="1:11" ht="14.4" customHeight="1" thickBot="1" x14ac:dyDescent="0.35">
      <c r="A119" s="339" t="s">
        <v>288</v>
      </c>
      <c r="B119" s="323">
        <v>0</v>
      </c>
      <c r="C119" s="323">
        <v>12.738</v>
      </c>
      <c r="D119" s="324">
        <v>12.738</v>
      </c>
      <c r="E119" s="325" t="s">
        <v>178</v>
      </c>
      <c r="F119" s="323">
        <v>0</v>
      </c>
      <c r="G119" s="324">
        <v>0</v>
      </c>
      <c r="H119" s="326">
        <v>6.7389999999999999</v>
      </c>
      <c r="I119" s="323">
        <v>10.776</v>
      </c>
      <c r="J119" s="324">
        <v>10.776</v>
      </c>
      <c r="K119" s="330" t="s">
        <v>184</v>
      </c>
    </row>
    <row r="120" spans="1:11" ht="14.4" customHeight="1" thickBot="1" x14ac:dyDescent="0.35">
      <c r="A120" s="340" t="s">
        <v>289</v>
      </c>
      <c r="B120" s="318">
        <v>0</v>
      </c>
      <c r="C120" s="318">
        <v>12.738</v>
      </c>
      <c r="D120" s="319">
        <v>12.738</v>
      </c>
      <c r="E120" s="328" t="s">
        <v>178</v>
      </c>
      <c r="F120" s="318">
        <v>0</v>
      </c>
      <c r="G120" s="319">
        <v>0</v>
      </c>
      <c r="H120" s="321">
        <v>6.7389999999999999</v>
      </c>
      <c r="I120" s="318">
        <v>10.776</v>
      </c>
      <c r="J120" s="319">
        <v>10.776</v>
      </c>
      <c r="K120" s="331" t="s">
        <v>184</v>
      </c>
    </row>
    <row r="121" spans="1:11" ht="14.4" customHeight="1" thickBot="1" x14ac:dyDescent="0.35">
      <c r="A121" s="339" t="s">
        <v>290</v>
      </c>
      <c r="B121" s="323">
        <v>282.87562856658502</v>
      </c>
      <c r="C121" s="323">
        <v>302.89524999999998</v>
      </c>
      <c r="D121" s="324">
        <v>20.019621433415001</v>
      </c>
      <c r="E121" s="329">
        <v>1.0707718142239999</v>
      </c>
      <c r="F121" s="323">
        <v>301.14067490817098</v>
      </c>
      <c r="G121" s="324">
        <v>225.85550618112899</v>
      </c>
      <c r="H121" s="326">
        <v>24.670680000000001</v>
      </c>
      <c r="I121" s="323">
        <v>226.71312</v>
      </c>
      <c r="J121" s="324">
        <v>0.85761381887099997</v>
      </c>
      <c r="K121" s="327">
        <v>0.75284788436200001</v>
      </c>
    </row>
    <row r="122" spans="1:11" ht="14.4" customHeight="1" thickBot="1" x14ac:dyDescent="0.35">
      <c r="A122" s="340" t="s">
        <v>291</v>
      </c>
      <c r="B122" s="318">
        <v>282.87562856658502</v>
      </c>
      <c r="C122" s="318">
        <v>302.89524999999998</v>
      </c>
      <c r="D122" s="319">
        <v>20.019621433415001</v>
      </c>
      <c r="E122" s="320">
        <v>1.0707718142239999</v>
      </c>
      <c r="F122" s="318">
        <v>301.14067490817098</v>
      </c>
      <c r="G122" s="319">
        <v>225.85550618112899</v>
      </c>
      <c r="H122" s="321">
        <v>24.670680000000001</v>
      </c>
      <c r="I122" s="318">
        <v>226.71312</v>
      </c>
      <c r="J122" s="319">
        <v>0.85761381887099997</v>
      </c>
      <c r="K122" s="322">
        <v>0.75284788436200001</v>
      </c>
    </row>
    <row r="123" spans="1:11" ht="14.4" customHeight="1" thickBot="1" x14ac:dyDescent="0.35">
      <c r="A123" s="344"/>
      <c r="B123" s="318">
        <v>-3647.72597376871</v>
      </c>
      <c r="C123" s="318">
        <v>-3832.6509599999999</v>
      </c>
      <c r="D123" s="319">
        <v>-184.92498623129501</v>
      </c>
      <c r="E123" s="320">
        <v>1.0506959644339999</v>
      </c>
      <c r="F123" s="318">
        <v>-3854.9659547394499</v>
      </c>
      <c r="G123" s="319">
        <v>-2891.2244660545898</v>
      </c>
      <c r="H123" s="321">
        <v>-308.53492999999997</v>
      </c>
      <c r="I123" s="318">
        <v>-2970.8256299999998</v>
      </c>
      <c r="J123" s="319">
        <v>-79.601163945409994</v>
      </c>
      <c r="K123" s="322">
        <v>0.77064899272200005</v>
      </c>
    </row>
    <row r="124" spans="1:11" ht="14.4" customHeight="1" thickBot="1" x14ac:dyDescent="0.35">
      <c r="A124" s="345" t="s">
        <v>50</v>
      </c>
      <c r="B124" s="332">
        <v>-3647.72597376871</v>
      </c>
      <c r="C124" s="332">
        <v>-3832.6509599999999</v>
      </c>
      <c r="D124" s="333">
        <v>-184.92498623129501</v>
      </c>
      <c r="E124" s="334" t="s">
        <v>178</v>
      </c>
      <c r="F124" s="332">
        <v>-3854.9659547394499</v>
      </c>
      <c r="G124" s="333">
        <v>-2891.2244660545898</v>
      </c>
      <c r="H124" s="332">
        <v>-308.53492999999997</v>
      </c>
      <c r="I124" s="332">
        <v>-2970.8256299999998</v>
      </c>
      <c r="J124" s="333">
        <v>-79.601163945408999</v>
      </c>
      <c r="K124" s="335">
        <v>0.77064899272200005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77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292</v>
      </c>
      <c r="B5" s="347" t="s">
        <v>293</v>
      </c>
      <c r="C5" s="348" t="s">
        <v>294</v>
      </c>
      <c r="D5" s="348" t="s">
        <v>294</v>
      </c>
      <c r="E5" s="348"/>
      <c r="F5" s="348" t="s">
        <v>294</v>
      </c>
      <c r="G5" s="348" t="s">
        <v>294</v>
      </c>
      <c r="H5" s="348" t="s">
        <v>294</v>
      </c>
      <c r="I5" s="349" t="s">
        <v>294</v>
      </c>
      <c r="J5" s="350" t="s">
        <v>53</v>
      </c>
    </row>
    <row r="6" spans="1:10" ht="14.4" customHeight="1" x14ac:dyDescent="0.3">
      <c r="A6" s="346" t="s">
        <v>292</v>
      </c>
      <c r="B6" s="347" t="s">
        <v>185</v>
      </c>
      <c r="C6" s="348">
        <v>0</v>
      </c>
      <c r="D6" s="348">
        <v>0.40909000000000001</v>
      </c>
      <c r="E6" s="348"/>
      <c r="F6" s="348">
        <v>0.45740999999999998</v>
      </c>
      <c r="G6" s="348">
        <v>3.7499993048392497</v>
      </c>
      <c r="H6" s="348">
        <v>-3.2925893048392498</v>
      </c>
      <c r="I6" s="349">
        <v>0.12197602261145157</v>
      </c>
      <c r="J6" s="350" t="s">
        <v>1</v>
      </c>
    </row>
    <row r="7" spans="1:10" ht="14.4" customHeight="1" x14ac:dyDescent="0.3">
      <c r="A7" s="346" t="s">
        <v>292</v>
      </c>
      <c r="B7" s="347" t="s">
        <v>295</v>
      </c>
      <c r="C7" s="348">
        <v>0</v>
      </c>
      <c r="D7" s="348">
        <v>0.40909000000000001</v>
      </c>
      <c r="E7" s="348"/>
      <c r="F7" s="348">
        <v>0.45740999999999998</v>
      </c>
      <c r="G7" s="348">
        <v>3.7499993048392497</v>
      </c>
      <c r="H7" s="348">
        <v>-3.2925893048392498</v>
      </c>
      <c r="I7" s="349">
        <v>0.12197602261145157</v>
      </c>
      <c r="J7" s="350" t="s">
        <v>296</v>
      </c>
    </row>
    <row r="9" spans="1:10" ht="14.4" customHeight="1" x14ac:dyDescent="0.3">
      <c r="A9" s="346" t="s">
        <v>292</v>
      </c>
      <c r="B9" s="347" t="s">
        <v>293</v>
      </c>
      <c r="C9" s="348" t="s">
        <v>294</v>
      </c>
      <c r="D9" s="348" t="s">
        <v>294</v>
      </c>
      <c r="E9" s="348"/>
      <c r="F9" s="348" t="s">
        <v>294</v>
      </c>
      <c r="G9" s="348" t="s">
        <v>294</v>
      </c>
      <c r="H9" s="348" t="s">
        <v>294</v>
      </c>
      <c r="I9" s="349" t="s">
        <v>294</v>
      </c>
      <c r="J9" s="350" t="s">
        <v>53</v>
      </c>
    </row>
    <row r="10" spans="1:10" ht="14.4" customHeight="1" x14ac:dyDescent="0.3">
      <c r="A10" s="346" t="s">
        <v>297</v>
      </c>
      <c r="B10" s="347" t="s">
        <v>293</v>
      </c>
      <c r="C10" s="348" t="s">
        <v>294</v>
      </c>
      <c r="D10" s="348" t="s">
        <v>294</v>
      </c>
      <c r="E10" s="348"/>
      <c r="F10" s="348" t="s">
        <v>294</v>
      </c>
      <c r="G10" s="348" t="s">
        <v>294</v>
      </c>
      <c r="H10" s="348" t="s">
        <v>294</v>
      </c>
      <c r="I10" s="349" t="s">
        <v>294</v>
      </c>
      <c r="J10" s="350" t="s">
        <v>0</v>
      </c>
    </row>
    <row r="11" spans="1:10" ht="14.4" customHeight="1" x14ac:dyDescent="0.3">
      <c r="A11" s="346" t="s">
        <v>297</v>
      </c>
      <c r="B11" s="347" t="s">
        <v>185</v>
      </c>
      <c r="C11" s="348">
        <v>0</v>
      </c>
      <c r="D11" s="348">
        <v>0.40909000000000001</v>
      </c>
      <c r="E11" s="348"/>
      <c r="F11" s="348">
        <v>0.45740999999999998</v>
      </c>
      <c r="G11" s="348">
        <v>3.7499993048392497</v>
      </c>
      <c r="H11" s="348">
        <v>-3.2925893048392498</v>
      </c>
      <c r="I11" s="349">
        <v>0.12197602261145157</v>
      </c>
      <c r="J11" s="350" t="s">
        <v>1</v>
      </c>
    </row>
    <row r="12" spans="1:10" ht="14.4" customHeight="1" x14ac:dyDescent="0.3">
      <c r="A12" s="346" t="s">
        <v>297</v>
      </c>
      <c r="B12" s="347" t="s">
        <v>295</v>
      </c>
      <c r="C12" s="348">
        <v>0</v>
      </c>
      <c r="D12" s="348">
        <v>0.40909000000000001</v>
      </c>
      <c r="E12" s="348"/>
      <c r="F12" s="348">
        <v>0.45740999999999998</v>
      </c>
      <c r="G12" s="348">
        <v>3.7499993048392497</v>
      </c>
      <c r="H12" s="348">
        <v>-3.2925893048392498</v>
      </c>
      <c r="I12" s="349">
        <v>0.12197602261145157</v>
      </c>
      <c r="J12" s="350" t="s">
        <v>298</v>
      </c>
    </row>
    <row r="13" spans="1:10" ht="14.4" customHeight="1" x14ac:dyDescent="0.3">
      <c r="A13" s="346" t="s">
        <v>294</v>
      </c>
      <c r="B13" s="347" t="s">
        <v>294</v>
      </c>
      <c r="C13" s="348" t="s">
        <v>294</v>
      </c>
      <c r="D13" s="348" t="s">
        <v>294</v>
      </c>
      <c r="E13" s="348"/>
      <c r="F13" s="348" t="s">
        <v>294</v>
      </c>
      <c r="G13" s="348" t="s">
        <v>294</v>
      </c>
      <c r="H13" s="348" t="s">
        <v>294</v>
      </c>
      <c r="I13" s="349" t="s">
        <v>294</v>
      </c>
      <c r="J13" s="350" t="s">
        <v>299</v>
      </c>
    </row>
    <row r="14" spans="1:10" ht="14.4" customHeight="1" x14ac:dyDescent="0.3">
      <c r="A14" s="346" t="s">
        <v>292</v>
      </c>
      <c r="B14" s="347" t="s">
        <v>295</v>
      </c>
      <c r="C14" s="348">
        <v>0</v>
      </c>
      <c r="D14" s="348">
        <v>0.40909000000000001</v>
      </c>
      <c r="E14" s="348"/>
      <c r="F14" s="348">
        <v>0.45740999999999998</v>
      </c>
      <c r="G14" s="348">
        <v>3.7499993048392497</v>
      </c>
      <c r="H14" s="348">
        <v>-3.2925893048392498</v>
      </c>
      <c r="I14" s="349">
        <v>0.12197602261145157</v>
      </c>
      <c r="J14" s="350" t="s">
        <v>296</v>
      </c>
    </row>
  </sheetData>
  <mergeCells count="3">
    <mergeCell ref="F3:I3"/>
    <mergeCell ref="C4:D4"/>
    <mergeCell ref="A1:I1"/>
  </mergeCells>
  <conditionalFormatting sqref="F8 F15:F65537">
    <cfRule type="cellIs" dxfId="40" priority="18" stopIfTrue="1" operator="greaterThan">
      <formula>1</formula>
    </cfRule>
  </conditionalFormatting>
  <conditionalFormatting sqref="H5:H7">
    <cfRule type="expression" dxfId="39" priority="14">
      <formula>$H5&gt;0</formula>
    </cfRule>
  </conditionalFormatting>
  <conditionalFormatting sqref="I5:I7">
    <cfRule type="expression" dxfId="38" priority="15">
      <formula>$I5&gt;1</formula>
    </cfRule>
  </conditionalFormatting>
  <conditionalFormatting sqref="B5:B7">
    <cfRule type="expression" dxfId="37" priority="11">
      <formula>OR($J5="NS",$J5="SumaNS",$J5="Účet")</formula>
    </cfRule>
  </conditionalFormatting>
  <conditionalFormatting sqref="B5:D7 F5:I7">
    <cfRule type="expression" dxfId="36" priority="17">
      <formula>AND($J5&lt;&gt;"",$J5&lt;&gt;"mezeraKL")</formula>
    </cfRule>
  </conditionalFormatting>
  <conditionalFormatting sqref="B5:D7 F5:I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4" priority="13">
      <formula>OR($J5="SumaNS",$J5="NS")</formula>
    </cfRule>
  </conditionalFormatting>
  <conditionalFormatting sqref="A5:A7">
    <cfRule type="expression" dxfId="33" priority="9">
      <formula>AND($J5&lt;&gt;"mezeraKL",$J5&lt;&gt;"")</formula>
    </cfRule>
  </conditionalFormatting>
  <conditionalFormatting sqref="A5:A7">
    <cfRule type="expression" dxfId="32" priority="10">
      <formula>AND($J5&lt;&gt;"",$J5&lt;&gt;"mezeraKL")</formula>
    </cfRule>
  </conditionalFormatting>
  <conditionalFormatting sqref="H9:H14">
    <cfRule type="expression" dxfId="31" priority="5">
      <formula>$H9&gt;0</formula>
    </cfRule>
  </conditionalFormatting>
  <conditionalFormatting sqref="A9:A14">
    <cfRule type="expression" dxfId="30" priority="2">
      <formula>AND($J9&lt;&gt;"mezeraKL",$J9&lt;&gt;"")</formula>
    </cfRule>
  </conditionalFormatting>
  <conditionalFormatting sqref="I9:I14">
    <cfRule type="expression" dxfId="29" priority="6">
      <formula>$I9&gt;1</formula>
    </cfRule>
  </conditionalFormatting>
  <conditionalFormatting sqref="B9:B14">
    <cfRule type="expression" dxfId="28" priority="1">
      <formula>OR($J9="NS",$J9="SumaNS",$J9="Účet")</formula>
    </cfRule>
  </conditionalFormatting>
  <conditionalFormatting sqref="A9:D14 F9:I14">
    <cfRule type="expression" dxfId="27" priority="8">
      <formula>AND($J9&lt;&gt;"",$J9&lt;&gt;"mezeraKL")</formula>
    </cfRule>
  </conditionalFormatting>
  <conditionalFormatting sqref="B9:D14 F9:I14">
    <cfRule type="expression" dxfId="2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6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307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303"/>
      <c r="D3" s="304"/>
      <c r="E3" s="304"/>
      <c r="F3" s="304"/>
      <c r="G3" s="304"/>
      <c r="H3" s="304"/>
      <c r="I3" s="304"/>
      <c r="J3" s="305" t="s">
        <v>75</v>
      </c>
      <c r="K3" s="306"/>
      <c r="L3" s="71">
        <f>IF(M3&lt;&gt;0,N3/M3,0)</f>
        <v>65.343767184639759</v>
      </c>
      <c r="M3" s="71">
        <f>SUBTOTAL(9,M5:M1048576)</f>
        <v>7</v>
      </c>
      <c r="N3" s="72">
        <f>SUBTOTAL(9,N5:N1048576)</f>
        <v>457.4063702924783</v>
      </c>
    </row>
    <row r="4" spans="1:14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7</v>
      </c>
      <c r="H4" s="352" t="s">
        <v>8</v>
      </c>
      <c r="I4" s="352" t="s">
        <v>9</v>
      </c>
      <c r="J4" s="353" t="s">
        <v>10</v>
      </c>
      <c r="K4" s="353" t="s">
        <v>11</v>
      </c>
      <c r="L4" s="354" t="s">
        <v>81</v>
      </c>
      <c r="M4" s="354" t="s">
        <v>12</v>
      </c>
      <c r="N4" s="355" t="s">
        <v>89</v>
      </c>
    </row>
    <row r="5" spans="1:14" ht="14.4" customHeight="1" x14ac:dyDescent="0.3">
      <c r="A5" s="356" t="s">
        <v>292</v>
      </c>
      <c r="B5" s="357" t="s">
        <v>293</v>
      </c>
      <c r="C5" s="358" t="s">
        <v>297</v>
      </c>
      <c r="D5" s="359" t="s">
        <v>307</v>
      </c>
      <c r="E5" s="358" t="s">
        <v>300</v>
      </c>
      <c r="F5" s="359" t="s">
        <v>308</v>
      </c>
      <c r="G5" s="358" t="s">
        <v>301</v>
      </c>
      <c r="H5" s="358" t="s">
        <v>302</v>
      </c>
      <c r="I5" s="358" t="s">
        <v>303</v>
      </c>
      <c r="J5" s="358" t="s">
        <v>304</v>
      </c>
      <c r="K5" s="358"/>
      <c r="L5" s="360">
        <v>76.395099113475368</v>
      </c>
      <c r="M5" s="360">
        <v>4</v>
      </c>
      <c r="N5" s="361">
        <v>305.58039645390147</v>
      </c>
    </row>
    <row r="6" spans="1:14" ht="14.4" customHeight="1" thickBot="1" x14ac:dyDescent="0.35">
      <c r="A6" s="362" t="s">
        <v>292</v>
      </c>
      <c r="B6" s="363" t="s">
        <v>293</v>
      </c>
      <c r="C6" s="364" t="s">
        <v>297</v>
      </c>
      <c r="D6" s="365" t="s">
        <v>307</v>
      </c>
      <c r="E6" s="364" t="s">
        <v>300</v>
      </c>
      <c r="F6" s="365" t="s">
        <v>308</v>
      </c>
      <c r="G6" s="364" t="s">
        <v>301</v>
      </c>
      <c r="H6" s="364" t="s">
        <v>305</v>
      </c>
      <c r="I6" s="364" t="s">
        <v>303</v>
      </c>
      <c r="J6" s="364" t="s">
        <v>306</v>
      </c>
      <c r="K6" s="364"/>
      <c r="L6" s="366">
        <v>50.608657946192274</v>
      </c>
      <c r="M6" s="366">
        <v>3</v>
      </c>
      <c r="N6" s="367">
        <v>151.82597383857683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3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308" t="s">
        <v>138</v>
      </c>
      <c r="B1" s="308"/>
      <c r="C1" s="308"/>
      <c r="D1" s="308"/>
      <c r="E1" s="308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74" t="s">
        <v>177</v>
      </c>
      <c r="B2" s="169"/>
      <c r="C2" s="169"/>
      <c r="D2" s="169"/>
      <c r="E2" s="169"/>
    </row>
    <row r="3" spans="1:17" ht="14.4" customHeight="1" thickBot="1" x14ac:dyDescent="0.35">
      <c r="A3" s="252" t="s">
        <v>2</v>
      </c>
      <c r="B3" s="256">
        <f>SUM(B6:B1048576)</f>
        <v>13</v>
      </c>
      <c r="C3" s="257">
        <f>SUM(C6:C1048576)</f>
        <v>0</v>
      </c>
      <c r="D3" s="257">
        <f>SUM(D6:D1048576)</f>
        <v>0</v>
      </c>
      <c r="E3" s="258">
        <f>SUM(E6:E1048576)</f>
        <v>0</v>
      </c>
      <c r="F3" s="255">
        <f>IF(SUM($B3:$E3)=0,"",B3/SUM($B3:$E3))</f>
        <v>1</v>
      </c>
      <c r="G3" s="253">
        <f t="shared" ref="G3:I3" si="0">IF(SUM($B3:$E3)=0,"",C3/SUM($B3:$E3))</f>
        <v>0</v>
      </c>
      <c r="H3" s="253">
        <f t="shared" si="0"/>
        <v>0</v>
      </c>
      <c r="I3" s="254">
        <f t="shared" si="0"/>
        <v>0</v>
      </c>
      <c r="J3" s="257">
        <f>SUM(J6:J1048576)</f>
        <v>9</v>
      </c>
      <c r="K3" s="257">
        <f>SUM(K6:K1048576)</f>
        <v>0</v>
      </c>
      <c r="L3" s="257">
        <f>SUM(L6:L1048576)</f>
        <v>0</v>
      </c>
      <c r="M3" s="258">
        <f>SUM(M6:M1048576)</f>
        <v>0</v>
      </c>
      <c r="N3" s="255">
        <f>IF(SUM($J3:$M3)=0,"",J3/SUM($J3:$M3))</f>
        <v>1</v>
      </c>
      <c r="O3" s="253">
        <f t="shared" ref="O3:Q3" si="1">IF(SUM($J3:$M3)=0,"",K3/SUM($J3:$M3))</f>
        <v>0</v>
      </c>
      <c r="P3" s="253">
        <f t="shared" si="1"/>
        <v>0</v>
      </c>
      <c r="Q3" s="254">
        <f t="shared" si="1"/>
        <v>0</v>
      </c>
    </row>
    <row r="4" spans="1:17" ht="14.4" customHeight="1" thickBot="1" x14ac:dyDescent="0.35">
      <c r="A4" s="251"/>
      <c r="B4" s="312" t="s">
        <v>140</v>
      </c>
      <c r="C4" s="313"/>
      <c r="D4" s="313"/>
      <c r="E4" s="314"/>
      <c r="F4" s="309" t="s">
        <v>145</v>
      </c>
      <c r="G4" s="310"/>
      <c r="H4" s="310"/>
      <c r="I4" s="311"/>
      <c r="J4" s="312" t="s">
        <v>146</v>
      </c>
      <c r="K4" s="313"/>
      <c r="L4" s="313"/>
      <c r="M4" s="314"/>
      <c r="N4" s="309" t="s">
        <v>147</v>
      </c>
      <c r="O4" s="310"/>
      <c r="P4" s="310"/>
      <c r="Q4" s="311"/>
    </row>
    <row r="5" spans="1:17" ht="14.4" customHeight="1" thickBot="1" x14ac:dyDescent="0.35">
      <c r="A5" s="368" t="s">
        <v>139</v>
      </c>
      <c r="B5" s="369" t="s">
        <v>141</v>
      </c>
      <c r="C5" s="369" t="s">
        <v>142</v>
      </c>
      <c r="D5" s="369" t="s">
        <v>143</v>
      </c>
      <c r="E5" s="370" t="s">
        <v>144</v>
      </c>
      <c r="F5" s="371" t="s">
        <v>141</v>
      </c>
      <c r="G5" s="372" t="s">
        <v>142</v>
      </c>
      <c r="H5" s="372" t="s">
        <v>143</v>
      </c>
      <c r="I5" s="373" t="s">
        <v>144</v>
      </c>
      <c r="J5" s="369" t="s">
        <v>141</v>
      </c>
      <c r="K5" s="369" t="s">
        <v>142</v>
      </c>
      <c r="L5" s="369" t="s">
        <v>143</v>
      </c>
      <c r="M5" s="370" t="s">
        <v>144</v>
      </c>
      <c r="N5" s="371" t="s">
        <v>141</v>
      </c>
      <c r="O5" s="372" t="s">
        <v>142</v>
      </c>
      <c r="P5" s="372" t="s">
        <v>143</v>
      </c>
      <c r="Q5" s="373" t="s">
        <v>144</v>
      </c>
    </row>
    <row r="6" spans="1:17" ht="14.4" customHeight="1" x14ac:dyDescent="0.3">
      <c r="A6" s="378" t="s">
        <v>309</v>
      </c>
      <c r="B6" s="382"/>
      <c r="C6" s="360"/>
      <c r="D6" s="360"/>
      <c r="E6" s="361"/>
      <c r="F6" s="380"/>
      <c r="G6" s="374"/>
      <c r="H6" s="374"/>
      <c r="I6" s="384"/>
      <c r="J6" s="382"/>
      <c r="K6" s="360"/>
      <c r="L6" s="360"/>
      <c r="M6" s="361"/>
      <c r="N6" s="380"/>
      <c r="O6" s="374"/>
      <c r="P6" s="374"/>
      <c r="Q6" s="375"/>
    </row>
    <row r="7" spans="1:17" ht="14.4" customHeight="1" thickBot="1" x14ac:dyDescent="0.35">
      <c r="A7" s="379" t="s">
        <v>310</v>
      </c>
      <c r="B7" s="383">
        <v>13</v>
      </c>
      <c r="C7" s="366"/>
      <c r="D7" s="366"/>
      <c r="E7" s="367"/>
      <c r="F7" s="381">
        <v>1</v>
      </c>
      <c r="G7" s="376">
        <v>0</v>
      </c>
      <c r="H7" s="376">
        <v>0</v>
      </c>
      <c r="I7" s="385">
        <v>0</v>
      </c>
      <c r="J7" s="383">
        <v>9</v>
      </c>
      <c r="K7" s="366"/>
      <c r="L7" s="366"/>
      <c r="M7" s="367"/>
      <c r="N7" s="381">
        <v>1</v>
      </c>
      <c r="O7" s="376">
        <v>0</v>
      </c>
      <c r="P7" s="376">
        <v>0</v>
      </c>
      <c r="Q7" s="377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78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292</v>
      </c>
      <c r="B5" s="347" t="s">
        <v>293</v>
      </c>
      <c r="C5" s="348" t="s">
        <v>294</v>
      </c>
      <c r="D5" s="348" t="s">
        <v>294</v>
      </c>
      <c r="E5" s="348"/>
      <c r="F5" s="348" t="s">
        <v>294</v>
      </c>
      <c r="G5" s="348" t="s">
        <v>294</v>
      </c>
      <c r="H5" s="348" t="s">
        <v>294</v>
      </c>
      <c r="I5" s="349" t="s">
        <v>294</v>
      </c>
      <c r="J5" s="350" t="s">
        <v>53</v>
      </c>
    </row>
    <row r="6" spans="1:10" ht="14.4" customHeight="1" x14ac:dyDescent="0.3">
      <c r="A6" s="346" t="s">
        <v>292</v>
      </c>
      <c r="B6" s="347" t="s">
        <v>187</v>
      </c>
      <c r="C6" s="348">
        <v>49.822360000000003</v>
      </c>
      <c r="D6" s="348">
        <v>42.66872</v>
      </c>
      <c r="E6" s="348"/>
      <c r="F6" s="348">
        <v>44.422959999999996</v>
      </c>
      <c r="G6" s="348">
        <v>47.25000426570525</v>
      </c>
      <c r="H6" s="348">
        <v>-2.8270442657052541</v>
      </c>
      <c r="I6" s="349">
        <v>0.94016838073055653</v>
      </c>
      <c r="J6" s="350" t="s">
        <v>1</v>
      </c>
    </row>
    <row r="7" spans="1:10" ht="14.4" customHeight="1" x14ac:dyDescent="0.3">
      <c r="A7" s="346" t="s">
        <v>292</v>
      </c>
      <c r="B7" s="347" t="s">
        <v>188</v>
      </c>
      <c r="C7" s="348">
        <v>2.6619999999999999</v>
      </c>
      <c r="D7" s="348">
        <v>2.6520999999999999</v>
      </c>
      <c r="E7" s="348"/>
      <c r="F7" s="348">
        <v>2.42</v>
      </c>
      <c r="G7" s="348">
        <v>3.00000027083775</v>
      </c>
      <c r="H7" s="348">
        <v>-0.58000027083775008</v>
      </c>
      <c r="I7" s="349">
        <v>0.80666659384141159</v>
      </c>
      <c r="J7" s="350" t="s">
        <v>1</v>
      </c>
    </row>
    <row r="8" spans="1:10" ht="14.4" customHeight="1" x14ac:dyDescent="0.3">
      <c r="A8" s="346" t="s">
        <v>292</v>
      </c>
      <c r="B8" s="347" t="s">
        <v>189</v>
      </c>
      <c r="C8" s="348">
        <v>0.14599999999999999</v>
      </c>
      <c r="D8" s="348">
        <v>0.14199999999999999</v>
      </c>
      <c r="E8" s="348"/>
      <c r="F8" s="348">
        <v>0</v>
      </c>
      <c r="G8" s="348">
        <v>0.10650000961424999</v>
      </c>
      <c r="H8" s="348">
        <v>-0.10650000961424999</v>
      </c>
      <c r="I8" s="349">
        <v>0</v>
      </c>
      <c r="J8" s="350" t="s">
        <v>1</v>
      </c>
    </row>
    <row r="9" spans="1:10" ht="14.4" customHeight="1" x14ac:dyDescent="0.3">
      <c r="A9" s="346" t="s">
        <v>292</v>
      </c>
      <c r="B9" s="347" t="s">
        <v>295</v>
      </c>
      <c r="C9" s="348">
        <v>52.630360000000003</v>
      </c>
      <c r="D9" s="348">
        <v>45.462820000000001</v>
      </c>
      <c r="E9" s="348"/>
      <c r="F9" s="348">
        <v>46.842959999999998</v>
      </c>
      <c r="G9" s="348">
        <v>50.356504546157254</v>
      </c>
      <c r="H9" s="348">
        <v>-3.5135445461572559</v>
      </c>
      <c r="I9" s="349">
        <v>0.93022659976455058</v>
      </c>
      <c r="J9" s="350" t="s">
        <v>296</v>
      </c>
    </row>
    <row r="11" spans="1:10" ht="14.4" customHeight="1" x14ac:dyDescent="0.3">
      <c r="A11" s="346" t="s">
        <v>292</v>
      </c>
      <c r="B11" s="347" t="s">
        <v>293</v>
      </c>
      <c r="C11" s="348" t="s">
        <v>294</v>
      </c>
      <c r="D11" s="348" t="s">
        <v>294</v>
      </c>
      <c r="E11" s="348"/>
      <c r="F11" s="348" t="s">
        <v>294</v>
      </c>
      <c r="G11" s="348" t="s">
        <v>294</v>
      </c>
      <c r="H11" s="348" t="s">
        <v>294</v>
      </c>
      <c r="I11" s="349" t="s">
        <v>294</v>
      </c>
      <c r="J11" s="350" t="s">
        <v>53</v>
      </c>
    </row>
    <row r="12" spans="1:10" ht="14.4" customHeight="1" x14ac:dyDescent="0.3">
      <c r="A12" s="346" t="s">
        <v>297</v>
      </c>
      <c r="B12" s="347" t="s">
        <v>293</v>
      </c>
      <c r="C12" s="348" t="s">
        <v>294</v>
      </c>
      <c r="D12" s="348" t="s">
        <v>294</v>
      </c>
      <c r="E12" s="348"/>
      <c r="F12" s="348" t="s">
        <v>294</v>
      </c>
      <c r="G12" s="348" t="s">
        <v>294</v>
      </c>
      <c r="H12" s="348" t="s">
        <v>294</v>
      </c>
      <c r="I12" s="349" t="s">
        <v>294</v>
      </c>
      <c r="J12" s="350" t="s">
        <v>0</v>
      </c>
    </row>
    <row r="13" spans="1:10" ht="14.4" customHeight="1" x14ac:dyDescent="0.3">
      <c r="A13" s="346" t="s">
        <v>297</v>
      </c>
      <c r="B13" s="347" t="s">
        <v>187</v>
      </c>
      <c r="C13" s="348">
        <v>49.822360000000003</v>
      </c>
      <c r="D13" s="348">
        <v>42.66872</v>
      </c>
      <c r="E13" s="348"/>
      <c r="F13" s="348">
        <v>44.422959999999996</v>
      </c>
      <c r="G13" s="348">
        <v>47.25000426570525</v>
      </c>
      <c r="H13" s="348">
        <v>-2.8270442657052541</v>
      </c>
      <c r="I13" s="349">
        <v>0.94016838073055653</v>
      </c>
      <c r="J13" s="350" t="s">
        <v>1</v>
      </c>
    </row>
    <row r="14" spans="1:10" ht="14.4" customHeight="1" x14ac:dyDescent="0.3">
      <c r="A14" s="346" t="s">
        <v>297</v>
      </c>
      <c r="B14" s="347" t="s">
        <v>188</v>
      </c>
      <c r="C14" s="348">
        <v>2.6619999999999999</v>
      </c>
      <c r="D14" s="348">
        <v>2.6520999999999999</v>
      </c>
      <c r="E14" s="348"/>
      <c r="F14" s="348">
        <v>2.42</v>
      </c>
      <c r="G14" s="348">
        <v>3.00000027083775</v>
      </c>
      <c r="H14" s="348">
        <v>-0.58000027083775008</v>
      </c>
      <c r="I14" s="349">
        <v>0.80666659384141159</v>
      </c>
      <c r="J14" s="350" t="s">
        <v>1</v>
      </c>
    </row>
    <row r="15" spans="1:10" ht="14.4" customHeight="1" x14ac:dyDescent="0.3">
      <c r="A15" s="346" t="s">
        <v>297</v>
      </c>
      <c r="B15" s="347" t="s">
        <v>189</v>
      </c>
      <c r="C15" s="348">
        <v>0.14599999999999999</v>
      </c>
      <c r="D15" s="348">
        <v>0.14199999999999999</v>
      </c>
      <c r="E15" s="348"/>
      <c r="F15" s="348">
        <v>0</v>
      </c>
      <c r="G15" s="348">
        <v>0.10650000961424999</v>
      </c>
      <c r="H15" s="348">
        <v>-0.10650000961424999</v>
      </c>
      <c r="I15" s="349">
        <v>0</v>
      </c>
      <c r="J15" s="350" t="s">
        <v>1</v>
      </c>
    </row>
    <row r="16" spans="1:10" ht="14.4" customHeight="1" x14ac:dyDescent="0.3">
      <c r="A16" s="346" t="s">
        <v>297</v>
      </c>
      <c r="B16" s="347" t="s">
        <v>295</v>
      </c>
      <c r="C16" s="348">
        <v>52.630360000000003</v>
      </c>
      <c r="D16" s="348">
        <v>45.462820000000001</v>
      </c>
      <c r="E16" s="348"/>
      <c r="F16" s="348">
        <v>46.842959999999998</v>
      </c>
      <c r="G16" s="348">
        <v>50.356504546157254</v>
      </c>
      <c r="H16" s="348">
        <v>-3.5135445461572559</v>
      </c>
      <c r="I16" s="349">
        <v>0.93022659976455058</v>
      </c>
      <c r="J16" s="350" t="s">
        <v>298</v>
      </c>
    </row>
    <row r="17" spans="1:10" ht="14.4" customHeight="1" x14ac:dyDescent="0.3">
      <c r="A17" s="346" t="s">
        <v>294</v>
      </c>
      <c r="B17" s="347" t="s">
        <v>294</v>
      </c>
      <c r="C17" s="348" t="s">
        <v>294</v>
      </c>
      <c r="D17" s="348" t="s">
        <v>294</v>
      </c>
      <c r="E17" s="348"/>
      <c r="F17" s="348" t="s">
        <v>294</v>
      </c>
      <c r="G17" s="348" t="s">
        <v>294</v>
      </c>
      <c r="H17" s="348" t="s">
        <v>294</v>
      </c>
      <c r="I17" s="349" t="s">
        <v>294</v>
      </c>
      <c r="J17" s="350" t="s">
        <v>299</v>
      </c>
    </row>
    <row r="18" spans="1:10" ht="14.4" customHeight="1" x14ac:dyDescent="0.3">
      <c r="A18" s="346" t="s">
        <v>292</v>
      </c>
      <c r="B18" s="347" t="s">
        <v>295</v>
      </c>
      <c r="C18" s="348">
        <v>52.630360000000003</v>
      </c>
      <c r="D18" s="348">
        <v>45.462820000000001</v>
      </c>
      <c r="E18" s="348"/>
      <c r="F18" s="348">
        <v>46.842959999999998</v>
      </c>
      <c r="G18" s="348">
        <v>50.356504546157254</v>
      </c>
      <c r="H18" s="348">
        <v>-3.5135445461572559</v>
      </c>
      <c r="I18" s="349">
        <v>0.93022659976455058</v>
      </c>
      <c r="J18" s="350" t="s">
        <v>296</v>
      </c>
    </row>
  </sheetData>
  <mergeCells count="3">
    <mergeCell ref="A1:I1"/>
    <mergeCell ref="F3:I3"/>
    <mergeCell ref="C4:D4"/>
  </mergeCells>
  <conditionalFormatting sqref="F10 F19:F65537">
    <cfRule type="cellIs" dxfId="23" priority="18" stopIfTrue="1" operator="greaterThan">
      <formula>1</formula>
    </cfRule>
  </conditionalFormatting>
  <conditionalFormatting sqref="H5:H9">
    <cfRule type="expression" dxfId="22" priority="14">
      <formula>$H5&gt;0</formula>
    </cfRule>
  </conditionalFormatting>
  <conditionalFormatting sqref="I5:I9">
    <cfRule type="expression" dxfId="21" priority="15">
      <formula>$I5&gt;1</formula>
    </cfRule>
  </conditionalFormatting>
  <conditionalFormatting sqref="B5:B9">
    <cfRule type="expression" dxfId="20" priority="11">
      <formula>OR($J5="NS",$J5="SumaNS",$J5="Účet")</formula>
    </cfRule>
  </conditionalFormatting>
  <conditionalFormatting sqref="F5:I9 B5:D9">
    <cfRule type="expression" dxfId="19" priority="17">
      <formula>AND($J5&lt;&gt;"",$J5&lt;&gt;"mezeraKL")</formula>
    </cfRule>
  </conditionalFormatting>
  <conditionalFormatting sqref="B5:D9 F5:I9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7" priority="13">
      <formula>OR($J5="SumaNS",$J5="NS")</formula>
    </cfRule>
  </conditionalFormatting>
  <conditionalFormatting sqref="A5:A9">
    <cfRule type="expression" dxfId="16" priority="9">
      <formula>AND($J5&lt;&gt;"mezeraKL",$J5&lt;&gt;"")</formula>
    </cfRule>
  </conditionalFormatting>
  <conditionalFormatting sqref="A5:A9">
    <cfRule type="expression" dxfId="15" priority="10">
      <formula>AND($J5&lt;&gt;"",$J5&lt;&gt;"mezeraKL")</formula>
    </cfRule>
  </conditionalFormatting>
  <conditionalFormatting sqref="H11:H18">
    <cfRule type="expression" dxfId="14" priority="5">
      <formula>$H11&gt;0</formula>
    </cfRule>
  </conditionalFormatting>
  <conditionalFormatting sqref="A11:A18">
    <cfRule type="expression" dxfId="13" priority="2">
      <formula>AND($J11&lt;&gt;"mezeraKL",$J11&lt;&gt;"")</formula>
    </cfRule>
  </conditionalFormatting>
  <conditionalFormatting sqref="I11:I18">
    <cfRule type="expression" dxfId="12" priority="6">
      <formula>$I11&gt;1</formula>
    </cfRule>
  </conditionalFormatting>
  <conditionalFormatting sqref="B11:B18">
    <cfRule type="expression" dxfId="11" priority="1">
      <formula>OR($J11="NS",$J11="SumaNS",$J11="Účet")</formula>
    </cfRule>
  </conditionalFormatting>
  <conditionalFormatting sqref="A11:D18 F11:I18">
    <cfRule type="expression" dxfId="10" priority="8">
      <formula>AND($J11&lt;&gt;"",$J11&lt;&gt;"mezeraKL")</formula>
    </cfRule>
  </conditionalFormatting>
  <conditionalFormatting sqref="B11:D18 F11:I18">
    <cfRule type="expression" dxfId="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2016-10-25T15:25:59Z</dcterms:modified>
</cp:coreProperties>
</file>