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C26" i="419" l="1"/>
  <c r="I26" i="419" l="1"/>
  <c r="I25" i="419"/>
  <c r="E26" i="419"/>
  <c r="I28" i="419" l="1"/>
  <c r="I27" i="419"/>
  <c r="E25" i="419"/>
  <c r="C25" i="419"/>
  <c r="I20" i="419"/>
  <c r="H20" i="419"/>
  <c r="I19" i="419"/>
  <c r="H19" i="419"/>
  <c r="I17" i="419"/>
  <c r="H17" i="419"/>
  <c r="I16" i="419"/>
  <c r="H16" i="419"/>
  <c r="I14" i="419"/>
  <c r="H14" i="419"/>
  <c r="I13" i="419"/>
  <c r="H13" i="419"/>
  <c r="I12" i="419"/>
  <c r="H12" i="419"/>
  <c r="I11" i="419"/>
  <c r="H11" i="419"/>
  <c r="AW3" i="418"/>
  <c r="AV3" i="418"/>
  <c r="AU3" i="418"/>
  <c r="AT3" i="418"/>
  <c r="AS3" i="418"/>
  <c r="AR3" i="418"/>
  <c r="AQ3" i="418"/>
  <c r="AP3" i="418"/>
  <c r="H18" i="419" l="1"/>
  <c r="I18" i="419"/>
  <c r="B25" i="419"/>
  <c r="E27" i="419" l="1"/>
  <c r="B26" i="419"/>
  <c r="B27" i="419" s="1"/>
  <c r="E28" i="419"/>
  <c r="A8" i="414"/>
  <c r="A7" i="414"/>
  <c r="G21" i="419" l="1"/>
  <c r="G22" i="419" s="1"/>
  <c r="F21" i="419"/>
  <c r="F22" i="419" s="1"/>
  <c r="E21" i="419"/>
  <c r="G20" i="419"/>
  <c r="F20" i="419"/>
  <c r="E20" i="419"/>
  <c r="G19" i="419"/>
  <c r="F19" i="419"/>
  <c r="E19" i="419"/>
  <c r="G17" i="419"/>
  <c r="F17" i="419"/>
  <c r="E17" i="419"/>
  <c r="G16" i="419"/>
  <c r="F16" i="419"/>
  <c r="E16" i="419"/>
  <c r="G14" i="419"/>
  <c r="F14" i="419"/>
  <c r="E14" i="419"/>
  <c r="G13" i="419"/>
  <c r="F13" i="419"/>
  <c r="E13" i="419"/>
  <c r="G12" i="419"/>
  <c r="F12" i="419"/>
  <c r="E12" i="419"/>
  <c r="G11" i="419"/>
  <c r="F11" i="419"/>
  <c r="E11" i="419"/>
  <c r="E18" i="419" l="1"/>
  <c r="E23" i="419"/>
  <c r="F18" i="419"/>
  <c r="G18" i="419"/>
  <c r="F23" i="419"/>
  <c r="G23" i="419"/>
  <c r="E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C23" i="419"/>
  <c r="D23" i="419"/>
  <c r="B21" i="419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I6" i="419"/>
  <c r="G6" i="419"/>
  <c r="E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3" i="414"/>
  <c r="D16" i="414"/>
  <c r="C16" i="414"/>
  <c r="D13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<sst xmlns="http://schemas.openxmlformats.org/spreadsheetml/2006/main" count="630" uniqueCount="321">
  <si>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</si>
  <si>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</si>
  <si>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</si>
  <si>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</si>
  <si>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</si>
  <si>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</si>
  <si>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</si>
  <si>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</si>
  <si>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</si>
  <si>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</si>
  <si>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</si>
  <si>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</si>
  <si>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</si>
  <si>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</si>
  <si>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</si>
  <si>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</si>
  <si>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</si>
  <si>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</si>
  <si>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</si>
  <si>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</si>
  <si>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</si>
  <si>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</si>
  <si>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</si>
  <si>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</si>
  <si>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</si>
  <si>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</si>
  <si>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</si>
  <si>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</si>
  <si>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</si>
  <si>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</si>
  <si>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</si>
  <si>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</si>
  <si>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</si>
  <si>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</si>
  <si>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</si>
  <si>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</si>
  <si>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</si>
  <si>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</si>
  <si>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</si>
  <si>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</si>
  <si>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</si>
  <si>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</si>
  <si>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</si>
  <si>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</si>
  <si>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</si>
  <si>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</si>
  <si>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</si>
  <si>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</si>
  <si>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</si>
  <si>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</si>
  <si>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</si>
  <si>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</si>
  <si>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</si>
  <si>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</si>
  <si>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</si>
  <si>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</si>
  <si>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</si>
  <si>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</si>
  <si>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</si>
  <si>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</si>
  <si>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</si>
  <si>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</si>
  <si>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</si>
  <si>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</si>
  <si>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</si>
  <si>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</si>
  <si>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</si>
  <si>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</si>
  <si>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</si>
  <si>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</si>
  <si>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</si>
  <si>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</si>
  <si>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</si>
  <si>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</si>
  <si>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</si>
  <si>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</si>
  <si>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</si>
  <si>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</si>
  <si>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</si>
  <si>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</si>
  <si>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</si>
  <si>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</si>
  <si>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</si>
  <si>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</si>
  <si>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</si>
  <si>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</si>
  <si>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</si>
  <si>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</si>
  <si>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</si>
  <si>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</si>
  <si>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</si>
  <si>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</si>
  <si>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</si>
  <si>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</si>
  <si>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</si>
  <si>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</si>
  <si>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</si>
  <si>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</si>
  <si>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</si>
  <si>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</si>
  <si>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</si>
  <si>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</si>
  <si>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</si>
  <si>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</si>
  <si>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</si>
  <si>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</si>
  <si>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</si>
  <si>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</si>
  <si>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</si>
  <si>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</si>
  <si>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</si>
  <si>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</si>
  <si>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</si>
  <si>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</si>
  <si>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</si>
  <si>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</si>
  <si>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</si>
  <si>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</si>
  <si>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</si>
  <si>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</si>
  <si>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</si>
  <si>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</si>
  <si>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</si>
  <si>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</si>
  <si>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</si>
  <si>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</si>
  <si>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</si>
  <si>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</si>
  <si>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</si>
  <si>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</si>
  <si>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</si>
  <si>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</si>
  <si>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</si>
  <si>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</si>
  <si>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</si>
  <si>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abs. stud. oboru přirodověd. zaměření</t>
  </si>
  <si>
    <t>odb. pracovníci v ochraně veřejného zdraví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</si>
  <si>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</si>
  <si>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</si>
  <si>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</si>
  <si>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</si>
  <si>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</si>
  <si>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</si>
  <si>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</si>
  <si>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</si>
  <si>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</si>
  <si>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</si>
  <si>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</si>
  <si>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</si>
  <si>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</si>
  <si>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</si>
  <si>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</si>
  <si>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</si>
  <si>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</si>
  <si>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</si>
  <si>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</si>
  <si>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</si>
  <si>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</si>
  <si>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</si>
  <si>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</si>
  <si>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</si>
  <si>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</si>
  <si>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</si>
  <si>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</si>
  <si>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</si>
  <si>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</si>
  <si>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</si>
  <si>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</si>
  <si>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</si>
  <si>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</si>
  <si>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</si>
  <si>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</si>
  <si>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</si>
  <si>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</si>
  <si>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</si>
  <si>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</si>
  <si>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</si>
  <si>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1.-3.měsíc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</si>
  <si>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</si>
  <si>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</si>
  <si>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</si>
  <si>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</si>
  <si>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</si>
  <si>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</si>
  <si>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</si>
  <si>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</si>
  <si>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</si>
  <si>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</si>
  <si>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</si>
  <si>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</si>
  <si>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50117     Všeobecný materiál</t>
  </si>
  <si>
    <t>50117001     všeobecný materiál (N524,525,P35,49,T13,V26,31,32,34,35,37,47,111,Z510)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</si>
  <si>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</si>
  <si>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</si>
  <si>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</si>
  <si>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</si>
  <si>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</si>
  <si>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</si>
  <si>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</si>
  <si>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</si>
  <si>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</si>
  <si>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</si>
  <si>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</si>
  <si>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</si>
  <si>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</si>
  <si>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</si>
  <si>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</si>
  <si>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</si>
  <si>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</si>
  <si>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</si>
  <si>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</si>
  <si>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</si>
  <si>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</si>
  <si>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</si>
  <si>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</si>
  <si>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</si>
  <si>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</si>
  <si>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</si>
  <si>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</si>
  <si>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</si>
  <si>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</si>
  <si>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</si>
  <si>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</si>
  <si>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</si>
  <si>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</si>
  <si>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</si>
  <si>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</si>
  <si>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</si>
  <si>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</si>
  <si>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</si>
  <si>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</si>
  <si>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</si>
  <si>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</si>
  <si>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</si>
  <si>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</si>
  <si>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</si>
  <si>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</si>
  <si>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</si>
  <si>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</si>
  <si>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</si>
  <si>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</si>
  <si>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</si>
  <si>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</si>
  <si>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</si>
  <si>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</si>
  <si>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</si>
  <si>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</si>
  <si>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</si>
  <si>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</si>
  <si>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</si>
  <si>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</si>
  <si>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</si>
  <si>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</si>
  <si>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</si>
  <si>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</si>
  <si>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</si>
  <si>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</si>
  <si>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</si>
  <si>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</si>
  <si>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</si>
  <si>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</si>
  <si>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</si>
  <si>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</si>
  <si>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</si>
  <si>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</si>
  <si>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</si>
  <si>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</si>
  <si>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</si>
  <si>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</si>
  <si>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</si>
  <si>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60228191     výkony za cizince (mimo EHS)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</si>
  <si>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</si>
  <si>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</si>
  <si>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</si>
  <si>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</si>
  <si>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</si>
  <si>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</si>
  <si>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</si>
  <si>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</si>
  <si>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</si>
  <si>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</si>
  <si>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</si>
  <si>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</si>
  <si>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</si>
  <si>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</si>
  <si>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</si>
  <si>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</si>
  <si>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</si>
  <si>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</si>
  <si>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</si>
  <si>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</si>
  <si>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</si>
  <si>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</si>
  <si>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</si>
  <si>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</si>
  <si>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</si>
  <si>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</si>
  <si>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</si>
  <si>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</si>
  <si>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</si>
  <si>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</si>
  <si>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500979</t>
  </si>
  <si>
    <t>0</t>
  </si>
  <si>
    <t>KL MS HYDROG.PEROX. 3% 500g</t>
  </si>
  <si>
    <t>Lékárna - léčiva</t>
  </si>
  <si>
    <t>54 - Oddělení nemocniční hygieny</t>
  </si>
  <si>
    <t>5498 - Oddělení nemocniční hygieny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</si>
  <si>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</si>
  <si>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</si>
  <si>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</si>
  <si>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</si>
  <si>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</si>
  <si>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</si>
  <si>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</si>
  <si>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</si>
  <si>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DD558</t>
  </si>
  <si>
    <t>ENDO AGAR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</si>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</sst>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1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6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9" xfId="0" applyFont="1" applyBorder="1"/>
    <xf numFmtId="3" fontId="32" fillId="0" borderId="79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8" xfId="0" applyNumberFormat="1" applyFont="1" applyFill="1" applyBorder="1" applyAlignment="1">
      <alignment horizontal="center" vertical="center"/>
    </xf>
    <xf numFmtId="3" fontId="53" fillId="2" borderId="76" xfId="0" applyNumberFormat="1" applyFont="1" applyFill="1" applyBorder="1" applyAlignment="1">
      <alignment horizontal="center" vertical="center" wrapText="1"/>
    </xf>
    <xf numFmtId="173" fontId="39" fillId="4" borderId="62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4" xfId="0" applyNumberFormat="1" applyFont="1" applyBorder="1"/>
    <xf numFmtId="173" fontId="32" fillId="0" borderId="68" xfId="0" applyNumberFormat="1" applyFont="1" applyBorder="1"/>
    <xf numFmtId="173" fontId="32" fillId="0" borderId="66" xfId="0" applyNumberFormat="1" applyFont="1" applyBorder="1"/>
    <xf numFmtId="173" fontId="32" fillId="0" borderId="67" xfId="0" applyNumberFormat="1" applyFont="1" applyBorder="1"/>
    <xf numFmtId="173" fontId="39" fillId="0" borderId="75" xfId="0" applyNumberFormat="1" applyFont="1" applyBorder="1"/>
    <xf numFmtId="173" fontId="32" fillId="0" borderId="76" xfId="0" applyNumberFormat="1" applyFont="1" applyBorder="1"/>
    <xf numFmtId="173" fontId="32" fillId="0" borderId="59" xfId="0" applyNumberFormat="1" applyFont="1" applyBorder="1"/>
    <xf numFmtId="173" fontId="32" fillId="0" borderId="60" xfId="0" applyNumberFormat="1" applyFont="1" applyBorder="1"/>
    <xf numFmtId="173" fontId="39" fillId="2" borderId="77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0" xfId="0" applyNumberFormat="1" applyFont="1" applyBorder="1"/>
    <xf numFmtId="173" fontId="32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2" xfId="0" applyNumberFormat="1" applyFont="1" applyBorder="1"/>
    <xf numFmtId="173" fontId="32" fillId="0" borderId="78" xfId="0" applyNumberFormat="1" applyFont="1" applyBorder="1"/>
    <xf numFmtId="173" fontId="32" fillId="0" borderId="56" xfId="0" applyNumberFormat="1" applyFont="1" applyBorder="1"/>
    <xf numFmtId="173" fontId="32" fillId="0" borderId="57" xfId="0" applyNumberFormat="1" applyFont="1" applyBorder="1"/>
    <xf numFmtId="174" fontId="39" fillId="2" borderId="62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4" xfId="0" applyNumberFormat="1" applyFont="1" applyBorder="1"/>
    <xf numFmtId="174" fontId="32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8" xfId="0" applyNumberFormat="1" applyFont="1" applyBorder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2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4" xfId="0" applyNumberFormat="1" applyFont="1" applyBorder="1"/>
    <xf numFmtId="9" fontId="32" fillId="0" borderId="68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0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4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8" xfId="0" applyNumberFormat="1" applyFont="1" applyFill="1" applyBorder="1" applyAlignment="1">
      <alignment horizontal="right" vertical="top"/>
    </xf>
    <xf numFmtId="3" fontId="33" fillId="9" borderId="89" xfId="0" applyNumberFormat="1" applyFont="1" applyFill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3" fillId="0" borderId="88" xfId="0" applyNumberFormat="1" applyFont="1" applyBorder="1" applyAlignment="1">
      <alignment horizontal="right" vertical="top"/>
    </xf>
    <xf numFmtId="176" fontId="33" fillId="9" borderId="91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3" fontId="35" fillId="9" borderId="94" xfId="0" applyNumberFormat="1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5" fillId="9" borderId="96" xfId="0" applyFont="1" applyFill="1" applyBorder="1" applyAlignment="1">
      <alignment horizontal="right" vertical="top"/>
    </xf>
    <xf numFmtId="0" fontId="33" fillId="9" borderId="91" xfId="0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0" fontId="35" fillId="0" borderId="99" xfId="0" applyFont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7" fillId="10" borderId="87" xfId="0" applyFont="1" applyFill="1" applyBorder="1" applyAlignment="1">
      <alignment vertical="top"/>
    </xf>
    <xf numFmtId="0" fontId="37" fillId="10" borderId="87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4"/>
    </xf>
    <xf numFmtId="0" fontId="38" fillId="10" borderId="92" xfId="0" applyFont="1" applyFill="1" applyBorder="1" applyAlignment="1">
      <alignment vertical="top" indent="6"/>
    </xf>
    <xf numFmtId="0" fontId="37" fillId="10" borderId="87" xfId="0" applyFont="1" applyFill="1" applyBorder="1" applyAlignment="1">
      <alignment vertical="top" indent="8"/>
    </xf>
    <xf numFmtId="0" fontId="38" fillId="10" borderId="92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6"/>
    </xf>
    <xf numFmtId="0" fontId="38" fillId="10" borderId="92" xfId="0" applyFont="1" applyFill="1" applyBorder="1" applyAlignment="1">
      <alignment vertical="top" indent="4"/>
    </xf>
    <xf numFmtId="0" fontId="32" fillId="10" borderId="87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1" xfId="53" applyNumberFormat="1" applyFont="1" applyFill="1" applyBorder="1" applyAlignment="1">
      <alignment horizontal="left"/>
    </xf>
    <xf numFmtId="164" fontId="31" fillId="2" borderId="102" xfId="53" applyNumberFormat="1" applyFont="1" applyFill="1" applyBorder="1" applyAlignment="1">
      <alignment horizontal="left"/>
    </xf>
    <xf numFmtId="164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18" xfId="0" applyFont="1" applyFill="1" applyBorder="1"/>
    <xf numFmtId="0" fontId="32" fillId="0" borderId="26" xfId="0" applyFont="1" applyFill="1" applyBorder="1"/>
    <xf numFmtId="164" fontId="32" fillId="0" borderId="26" xfId="0" applyNumberFormat="1" applyFont="1" applyFill="1" applyBorder="1"/>
    <xf numFmtId="164" fontId="32" fillId="0" borderId="26" xfId="0" applyNumberFormat="1" applyFont="1" applyFill="1" applyBorder="1" applyAlignment="1">
      <alignment horizontal="right"/>
    </xf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3" fillId="2" borderId="101" xfId="79" applyFont="1" applyFill="1" applyBorder="1" applyAlignment="1">
      <alignment horizontal="left"/>
    </xf>
    <xf numFmtId="3" fontId="3" fillId="2" borderId="72" xfId="80" applyNumberFormat="1" applyFont="1" applyFill="1" applyBorder="1"/>
    <xf numFmtId="3" fontId="3" fillId="2" borderId="73" xfId="80" applyNumberFormat="1" applyFont="1" applyFill="1" applyBorder="1"/>
    <xf numFmtId="9" fontId="3" fillId="2" borderId="71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3" fontId="32" fillId="0" borderId="56" xfId="0" applyNumberFormat="1" applyFont="1" applyFill="1" applyBorder="1"/>
    <xf numFmtId="9" fontId="32" fillId="0" borderId="56" xfId="0" applyNumberFormat="1" applyFont="1" applyFill="1" applyBorder="1"/>
    <xf numFmtId="9" fontId="32" fillId="0" borderId="57" xfId="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78" xfId="0" applyNumberFormat="1" applyFont="1" applyFill="1" applyBorder="1"/>
    <xf numFmtId="9" fontId="32" fillId="0" borderId="76" xfId="0" applyNumberFormat="1" applyFont="1" applyFill="1" applyBorder="1"/>
    <xf numFmtId="3" fontId="32" fillId="0" borderId="55" xfId="0" applyNumberFormat="1" applyFont="1" applyFill="1" applyBorder="1"/>
    <xf numFmtId="3" fontId="32" fillId="0" borderId="58" xfId="0" applyNumberFormat="1" applyFont="1" applyFill="1" applyBorder="1"/>
    <xf numFmtId="3" fontId="32" fillId="0" borderId="57" xfId="0" applyNumberFormat="1" applyFont="1" applyFill="1" applyBorder="1"/>
    <xf numFmtId="3" fontId="32" fillId="0" borderId="60" xfId="0" applyNumberFormat="1" applyFont="1" applyFill="1" applyBorder="1"/>
    <xf numFmtId="9" fontId="32" fillId="0" borderId="81" xfId="0" applyNumberFormat="1" applyFont="1" applyFill="1" applyBorder="1"/>
    <xf numFmtId="9" fontId="32" fillId="0" borderId="80" xfId="0" applyNumberFormat="1" applyFont="1" applyFill="1" applyBorder="1"/>
    <xf numFmtId="0" fontId="32" fillId="0" borderId="55" xfId="0" applyFont="1" applyFill="1" applyBorder="1"/>
    <xf numFmtId="0" fontId="32" fillId="0" borderId="56" xfId="0" applyFont="1" applyFill="1" applyBorder="1"/>
    <xf numFmtId="164" fontId="32" fillId="0" borderId="56" xfId="0" applyNumberFormat="1" applyFont="1" applyFill="1" applyBorder="1"/>
    <xf numFmtId="164" fontId="32" fillId="0" borderId="56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0" fillId="0" borderId="103" xfId="0" applyBorder="1" applyAlignment="1"/>
    <xf numFmtId="173" fontId="39" fillId="4" borderId="104" xfId="0" applyNumberFormat="1" applyFont="1" applyFill="1" applyBorder="1" applyAlignment="1">
      <alignment horizontal="center"/>
    </xf>
    <xf numFmtId="0" fontId="0" fillId="0" borderId="104" xfId="0" applyBorder="1" applyAlignment="1">
      <alignment horizontal="center"/>
    </xf>
    <xf numFmtId="173" fontId="39" fillId="4" borderId="104" xfId="0" applyNumberFormat="1" applyFont="1" applyFill="1" applyBorder="1" applyAlignment="1">
      <alignment horizontal="center"/>
    </xf>
    <xf numFmtId="0" fontId="0" fillId="0" borderId="105" xfId="0" applyBorder="1"/>
    <xf numFmtId="0" fontId="0" fillId="0" borderId="106" xfId="0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0" fontId="0" fillId="0" borderId="107" xfId="0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173" fontId="32" fillId="0" borderId="107" xfId="0" applyNumberFormat="1" applyFont="1" applyBorder="1" applyAlignment="1">
      <alignment horizontal="right" wrapText="1"/>
    </xf>
    <xf numFmtId="0" fontId="0" fillId="0" borderId="107" xfId="0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7" xfId="0" applyNumberFormat="1" applyFont="1" applyBorder="1" applyAlignment="1">
      <alignment horizontal="right"/>
    </xf>
    <xf numFmtId="0" fontId="0" fillId="0" borderId="108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09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11" xfId="0" applyBorder="1"/>
    <xf numFmtId="0" fontId="0" fillId="0" borderId="110" xfId="0" applyBorder="1"/>
    <xf numFmtId="173" fontId="39" fillId="4" borderId="61" xfId="0" applyNumberFormat="1" applyFont="1" applyFill="1" applyBorder="1" applyAlignment="1">
      <alignment horizontal="center"/>
    </xf>
    <xf numFmtId="173" fontId="32" fillId="0" borderId="63" xfId="0" applyNumberFormat="1" applyFont="1" applyBorder="1" applyAlignment="1">
      <alignment horizontal="right"/>
    </xf>
    <xf numFmtId="175" fontId="32" fillId="0" borderId="63" xfId="0" applyNumberFormat="1" applyFont="1" applyBorder="1" applyAlignment="1">
      <alignment horizontal="right"/>
    </xf>
    <xf numFmtId="173" fontId="32" fillId="0" borderId="74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71" t="s">
        <v>63</v>
      </c>
      <c r="B1" s="271"/>
    </row>
    <row r="2" spans="1:3" ht="14.4" customHeight="1" thickBot="1" x14ac:dyDescent="0.35">
      <c r="A2" s="174" t="s">
        <v>177</v>
      </c>
      <c r="B2" s="41"/>
    </row>
    <row r="3" spans="1:3" ht="14.4" customHeight="1" thickBot="1" x14ac:dyDescent="0.35">
      <c r="A3" s="267" t="s">
        <v>79</v>
      </c>
      <c r="B3" s="26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179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69" t="s">
        <v>64</v>
      </c>
      <c r="B9" s="26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59" t="s">
        <v>138</v>
      </c>
      <c r="C12" s="42" t="s">
        <v>148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319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70" t="s">
        <v>65</v>
      </c>
      <c r="B17" s="26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9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307" t="s">
        <v>319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4.4" customHeight="1" thickBot="1" x14ac:dyDescent="0.35">
      <c r="A2" s="174" t="s">
        <v>177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303"/>
      <c r="D3" s="304"/>
      <c r="E3" s="304"/>
      <c r="F3" s="304"/>
      <c r="G3" s="304"/>
      <c r="H3" s="108" t="s">
        <v>75</v>
      </c>
      <c r="I3" s="71">
        <f>IF(J3&lt;&gt;0,K3/J3,0)</f>
        <v>15.501066666666668</v>
      </c>
      <c r="J3" s="71">
        <f>SUBTOTAL(9,J5:J1048576)</f>
        <v>900</v>
      </c>
      <c r="K3" s="72">
        <f>SUBTOTAL(9,K5:K1048576)</f>
        <v>13950.960000000001</v>
      </c>
    </row>
    <row r="4" spans="1:11" s="163" customFormat="1" ht="14.4" customHeight="1" thickBot="1" x14ac:dyDescent="0.35">
      <c r="A4" s="351" t="s">
        <v>3</v>
      </c>
      <c r="B4" s="352" t="s">
        <v>4</v>
      </c>
      <c r="C4" s="352" t="s">
        <v>0</v>
      </c>
      <c r="D4" s="352" t="s">
        <v>5</v>
      </c>
      <c r="E4" s="352" t="s">
        <v>6</v>
      </c>
      <c r="F4" s="352" t="s">
        <v>1</v>
      </c>
      <c r="G4" s="352" t="s">
        <v>54</v>
      </c>
      <c r="H4" s="353" t="s">
        <v>10</v>
      </c>
      <c r="I4" s="354" t="s">
        <v>81</v>
      </c>
      <c r="J4" s="354" t="s">
        <v>12</v>
      </c>
      <c r="K4" s="355" t="s">
        <v>89</v>
      </c>
    </row>
    <row r="5" spans="1:11" ht="14.4" customHeight="1" x14ac:dyDescent="0.3">
      <c r="A5" s="384" t="s">
        <v>291</v>
      </c>
      <c r="B5" s="385" t="s">
        <v>292</v>
      </c>
      <c r="C5" s="386" t="s">
        <v>296</v>
      </c>
      <c r="D5" s="387" t="s">
        <v>292</v>
      </c>
      <c r="E5" s="386" t="s">
        <v>317</v>
      </c>
      <c r="F5" s="387" t="s">
        <v>318</v>
      </c>
      <c r="G5" s="386" t="s">
        <v>307</v>
      </c>
      <c r="H5" s="386" t="s">
        <v>308</v>
      </c>
      <c r="I5" s="368">
        <v>12.307500000000001</v>
      </c>
      <c r="J5" s="368">
        <v>140</v>
      </c>
      <c r="K5" s="380">
        <v>1722.7200000000003</v>
      </c>
    </row>
    <row r="6" spans="1:11" ht="14.4" customHeight="1" x14ac:dyDescent="0.3">
      <c r="A6" s="388" t="s">
        <v>291</v>
      </c>
      <c r="B6" s="389" t="s">
        <v>292</v>
      </c>
      <c r="C6" s="390" t="s">
        <v>296</v>
      </c>
      <c r="D6" s="391" t="s">
        <v>292</v>
      </c>
      <c r="E6" s="390" t="s">
        <v>317</v>
      </c>
      <c r="F6" s="391" t="s">
        <v>318</v>
      </c>
      <c r="G6" s="390" t="s">
        <v>309</v>
      </c>
      <c r="H6" s="390" t="s">
        <v>310</v>
      </c>
      <c r="I6" s="392">
        <v>17.54</v>
      </c>
      <c r="J6" s="392">
        <v>100</v>
      </c>
      <c r="K6" s="393">
        <v>1754.4499999999998</v>
      </c>
    </row>
    <row r="7" spans="1:11" ht="14.4" customHeight="1" x14ac:dyDescent="0.3">
      <c r="A7" s="388" t="s">
        <v>291</v>
      </c>
      <c r="B7" s="389" t="s">
        <v>292</v>
      </c>
      <c r="C7" s="390" t="s">
        <v>296</v>
      </c>
      <c r="D7" s="391" t="s">
        <v>292</v>
      </c>
      <c r="E7" s="390" t="s">
        <v>317</v>
      </c>
      <c r="F7" s="391" t="s">
        <v>318</v>
      </c>
      <c r="G7" s="390" t="s">
        <v>311</v>
      </c>
      <c r="H7" s="390" t="s">
        <v>312</v>
      </c>
      <c r="I7" s="392">
        <v>18.149999999999999</v>
      </c>
      <c r="J7" s="392">
        <v>20</v>
      </c>
      <c r="K7" s="393">
        <v>363</v>
      </c>
    </row>
    <row r="8" spans="1:11" ht="14.4" customHeight="1" x14ac:dyDescent="0.3">
      <c r="A8" s="388" t="s">
        <v>291</v>
      </c>
      <c r="B8" s="389" t="s">
        <v>292</v>
      </c>
      <c r="C8" s="390" t="s">
        <v>296</v>
      </c>
      <c r="D8" s="391" t="s">
        <v>292</v>
      </c>
      <c r="E8" s="390" t="s">
        <v>317</v>
      </c>
      <c r="F8" s="391" t="s">
        <v>318</v>
      </c>
      <c r="G8" s="390" t="s">
        <v>313</v>
      </c>
      <c r="H8" s="390" t="s">
        <v>314</v>
      </c>
      <c r="I8" s="392">
        <v>15.81</v>
      </c>
      <c r="J8" s="392">
        <v>600</v>
      </c>
      <c r="K8" s="393">
        <v>9488.85</v>
      </c>
    </row>
    <row r="9" spans="1:11" ht="14.4" customHeight="1" thickBot="1" x14ac:dyDescent="0.35">
      <c r="A9" s="394" t="s">
        <v>291</v>
      </c>
      <c r="B9" s="395" t="s">
        <v>292</v>
      </c>
      <c r="C9" s="396" t="s">
        <v>296</v>
      </c>
      <c r="D9" s="397" t="s">
        <v>292</v>
      </c>
      <c r="E9" s="396" t="s">
        <v>317</v>
      </c>
      <c r="F9" s="397" t="s">
        <v>318</v>
      </c>
      <c r="G9" s="396" t="s">
        <v>315</v>
      </c>
      <c r="H9" s="396" t="s">
        <v>316</v>
      </c>
      <c r="I9" s="371">
        <v>15.55</v>
      </c>
      <c r="J9" s="371">
        <v>40</v>
      </c>
      <c r="K9" s="381">
        <v>621.94000000000005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  <col min="9" max="9" width="13.109375" hidden="1" customWidth="1"/>
  </cols>
  <sheetData>
    <row r="1" spans="1:46" ht="18.600000000000001" thickBot="1" x14ac:dyDescent="0.4">
      <c r="A1" s="317" t="s">
        <v>61</v>
      </c>
      <c r="B1" s="302"/>
      <c r="C1" s="302"/>
      <c r="D1" s="302"/>
      <c r="E1" s="302"/>
      <c r="F1" s="302"/>
      <c r="G1" s="302"/>
      <c r="H1" s="302"/>
      <c r="I1" s="302"/>
    </row>
    <row r="2" spans="1:46" ht="15" thickBot="1" x14ac:dyDescent="0.35">
      <c r="A2" s="174" t="s">
        <v>177</v>
      </c>
      <c r="B2" s="175"/>
      <c r="C2" s="175"/>
      <c r="D2" s="175"/>
      <c r="E2" s="175"/>
      <c r="F2" s="175"/>
      <c r="G2" s="175"/>
    </row>
    <row r="3" spans="1:46" x14ac:dyDescent="0.3">
      <c r="A3" s="195" t="s">
        <v>125</v>
      </c>
      <c r="B3" s="315" t="s">
        <v>108</v>
      </c>
      <c r="C3" s="176">
        <v>0</v>
      </c>
      <c r="D3" s="198">
        <v>101</v>
      </c>
      <c r="E3" s="198">
        <v>302</v>
      </c>
      <c r="F3" s="198">
        <v>409</v>
      </c>
      <c r="G3" s="177">
        <v>528</v>
      </c>
      <c r="H3" s="177">
        <v>746</v>
      </c>
      <c r="I3" s="178">
        <v>930</v>
      </c>
      <c r="AT3" s="416"/>
    </row>
    <row r="4" spans="1:46" ht="36.6" outlineLevel="1" thickBot="1" x14ac:dyDescent="0.35">
      <c r="A4" s="196">
        <v>2016</v>
      </c>
      <c r="B4" s="316"/>
      <c r="C4" s="179" t="s">
        <v>109</v>
      </c>
      <c r="D4" s="199" t="s">
        <v>151</v>
      </c>
      <c r="E4" s="199" t="s">
        <v>152</v>
      </c>
      <c r="F4" s="199" t="s">
        <v>134</v>
      </c>
      <c r="G4" s="180" t="s">
        <v>136</v>
      </c>
      <c r="H4" s="180" t="s">
        <v>135</v>
      </c>
      <c r="I4" s="181" t="s">
        <v>127</v>
      </c>
      <c r="AT4" s="416"/>
    </row>
    <row r="5" spans="1:46" x14ac:dyDescent="0.3">
      <c r="A5" s="182" t="s">
        <v>110</v>
      </c>
      <c r="B5" s="224"/>
      <c r="C5" s="225"/>
      <c r="D5" s="226"/>
      <c r="E5" s="226"/>
      <c r="F5" s="226"/>
      <c r="G5" s="226"/>
      <c r="H5" s="226"/>
      <c r="I5" s="227"/>
      <c r="AT5" s="416"/>
    </row>
    <row r="6" spans="1:46" ht="15" collapsed="1" thickBot="1" x14ac:dyDescent="0.35">
      <c r="A6" s="183" t="s">
        <v>55</v>
      </c>
      <c r="B6" s="228">
        <f xml:space="preserve">
TRUNC(IF($A$4&lt;=12,SUMIFS('ON Data'!F:F,'ON Data'!$D:$D,$A$4,'ON Data'!$E:$E,1),SUMIFS('ON Data'!F:F,'ON Data'!$E:$E,1)/'ON Data'!$D$3),1)</f>
        <v>4</v>
      </c>
      <c r="C6" s="229">
        <f xml:space="preserve">
TRUNC(IF($A$4&lt;=12,SUMIFS('ON Data'!G:G,'ON Data'!$D:$D,$A$4,'ON Data'!$E:$E,1),SUMIFS('ON Data'!G:G,'ON Data'!$E:$E,1)/'ON Data'!$D$3),1)</f>
        <v>0</v>
      </c>
      <c r="D6" s="230">
        <f xml:space="preserve">
TRUNC(IF($A$4&lt;=12,SUMIFS('ON Data'!K:K,'ON Data'!$D:$D,$A$4,'ON Data'!$E:$E,1),SUMIFS('ON Data'!K:K,'ON Data'!$E:$E,1)/'ON Data'!$D$3),1)</f>
        <v>2</v>
      </c>
      <c r="E6" s="230">
        <f xml:space="preserve">
TRUNC(IF($A$4&lt;=12,SUMIFS('ON Data'!O:O,'ON Data'!$D:$D,$A$4,'ON Data'!$E:$E,1),SUMIFS('ON Data'!O:O,'ON Data'!$E:$E,1)/'ON Data'!$D$3),1)</f>
        <v>0</v>
      </c>
      <c r="F6" s="230">
        <f xml:space="preserve">
TRUNC(IF($A$4&lt;=12,SUMIFS('ON Data'!V:V,'ON Data'!$D:$D,$A$4,'ON Data'!$E:$E,1),SUMIFS('ON Data'!V:V,'ON Data'!$E:$E,1)/'ON Data'!$D$3),1)</f>
        <v>1</v>
      </c>
      <c r="G6" s="230">
        <f xml:space="preserve">
TRUNC(IF($A$4&lt;=12,SUMIFS('ON Data'!AL:AL,'ON Data'!$D:$D,$A$4,'ON Data'!$E:$E,1),SUMIFS('ON Data'!AL:AL,'ON Data'!$E:$E,1)/'ON Data'!$D$3),1)</f>
        <v>1</v>
      </c>
      <c r="H6" s="230">
        <f xml:space="preserve">
TRUNC(IF($A$4&lt;=12,SUMIFS('ON Data'!AU:AU,'ON Data'!$D:$D,$A$4,'ON Data'!$E:$E,1),SUMIFS('ON Data'!AU:AU,'ON Data'!$E:$E,1)/'ON Data'!$D$3),1)</f>
        <v>0</v>
      </c>
      <c r="I6" s="231">
        <f xml:space="preserve">
TRUNC(IF($A$4&lt;=12,SUMIFS('ON Data'!AW:AW,'ON Data'!$D:$D,$A$4,'ON Data'!$E:$E,1),SUMIFS('ON Data'!AW:AW,'ON Data'!$E:$E,1)/'ON Data'!$D$3),1)</f>
        <v>0</v>
      </c>
      <c r="AT6" s="416"/>
    </row>
    <row r="7" spans="1:46" ht="15" hidden="1" outlineLevel="1" thickBot="1" x14ac:dyDescent="0.35">
      <c r="A7" s="183" t="s">
        <v>62</v>
      </c>
      <c r="B7" s="228"/>
      <c r="C7" s="232"/>
      <c r="D7" s="230"/>
      <c r="E7" s="230"/>
      <c r="F7" s="230"/>
      <c r="G7" s="230"/>
      <c r="H7" s="230"/>
      <c r="I7" s="231"/>
      <c r="AT7" s="416"/>
    </row>
    <row r="8" spans="1:46" ht="15" hidden="1" outlineLevel="1" thickBot="1" x14ac:dyDescent="0.35">
      <c r="A8" s="183" t="s">
        <v>57</v>
      </c>
      <c r="B8" s="228"/>
      <c r="C8" s="232"/>
      <c r="D8" s="230"/>
      <c r="E8" s="230"/>
      <c r="F8" s="230"/>
      <c r="G8" s="230"/>
      <c r="H8" s="230"/>
      <c r="I8" s="231"/>
      <c r="AT8" s="416"/>
    </row>
    <row r="9" spans="1:46" ht="15" hidden="1" outlineLevel="1" thickBot="1" x14ac:dyDescent="0.35">
      <c r="A9" s="184" t="s">
        <v>52</v>
      </c>
      <c r="B9" s="233"/>
      <c r="C9" s="234"/>
      <c r="D9" s="235"/>
      <c r="E9" s="235"/>
      <c r="F9" s="235"/>
      <c r="G9" s="235"/>
      <c r="H9" s="235"/>
      <c r="I9" s="236"/>
      <c r="AT9" s="416"/>
    </row>
    <row r="10" spans="1:46" x14ac:dyDescent="0.3">
      <c r="A10" s="185" t="s">
        <v>111</v>
      </c>
      <c r="B10" s="200"/>
      <c r="C10" s="201"/>
      <c r="D10" s="202"/>
      <c r="E10" s="202"/>
      <c r="F10" s="202"/>
      <c r="G10" s="202"/>
      <c r="H10" s="202"/>
      <c r="I10" s="203"/>
      <c r="AT10" s="416"/>
    </row>
    <row r="11" spans="1:46" x14ac:dyDescent="0.3">
      <c r="A11" s="186" t="s">
        <v>112</v>
      </c>
      <c r="B11" s="204">
        <f xml:space="preserve">
IF($A$4&lt;=12,SUMIFS('ON Data'!F:F,'ON Data'!$D:$D,$A$4,'ON Data'!$E:$E,2),SUMIFS('ON Data'!F:F,'ON Data'!$E:$E,2))</f>
        <v>1936</v>
      </c>
      <c r="C11" s="205">
        <f xml:space="preserve">
IF($A$4&lt;=12,SUMIFS('ON Data'!G:G,'ON Data'!$D:$D,$A$4,'ON Data'!$E:$E,2),SUMIFS('ON Data'!G:G,'ON Data'!$E:$E,2))</f>
        <v>0</v>
      </c>
      <c r="D11" s="206">
        <f xml:space="preserve">
IF($A$4&lt;=12,SUMIFS('ON Data'!K:K,'ON Data'!$D:$D,$A$4,'ON Data'!$E:$E,2),SUMIFS('ON Data'!K:K,'ON Data'!$E:$E,2))</f>
        <v>1016</v>
      </c>
      <c r="E11" s="206">
        <f xml:space="preserve">
IF($A$4&lt;=12,SUMIFS('ON Data'!O:O,'ON Data'!$D:$D,$A$4,'ON Data'!$E:$E,2),SUMIFS('ON Data'!O:O,'ON Data'!$E:$E,2))</f>
        <v>0</v>
      </c>
      <c r="F11" s="206">
        <f xml:space="preserve">
IF($A$4&lt;=12,SUMIFS('ON Data'!V:V,'ON Data'!$D:$D,$A$4,'ON Data'!$E:$E,2),SUMIFS('ON Data'!V:V,'ON Data'!$E:$E,2))</f>
        <v>480</v>
      </c>
      <c r="G11" s="206">
        <f xml:space="preserve">
IF($A$4&lt;=12,SUMIFS('ON Data'!AL:AL,'ON Data'!$D:$D,$A$4,'ON Data'!$E:$E,2),SUMIFS('ON Data'!AL:AL,'ON Data'!$E:$E,2))</f>
        <v>440</v>
      </c>
      <c r="H11" s="206">
        <f xml:space="preserve">
IF($A$4&lt;=12,SUMIFS('ON Data'!AU:AU,'ON Data'!$D:$D,$A$4,'ON Data'!$E:$E,2),SUMIFS('ON Data'!AU:AU,'ON Data'!$E:$E,2))</f>
        <v>0</v>
      </c>
      <c r="I11" s="207">
        <f xml:space="preserve">
IF($A$4&lt;=12,SUMIFS('ON Data'!AW:AW,'ON Data'!$D:$D,$A$4,'ON Data'!$E:$E,2),SUMIFS('ON Data'!AW:AW,'ON Data'!$E:$E,2))</f>
        <v>0</v>
      </c>
      <c r="AT11" s="416"/>
    </row>
    <row r="12" spans="1:46" x14ac:dyDescent="0.3">
      <c r="A12" s="186" t="s">
        <v>113</v>
      </c>
      <c r="B12" s="204">
        <f xml:space="preserve">
IF($A$4&lt;=12,SUMIFS('ON Data'!F:F,'ON Data'!$D:$D,$A$4,'ON Data'!$E:$E,3),SUMIFS('ON Data'!F:F,'ON Data'!$E:$E,3))</f>
        <v>0</v>
      </c>
      <c r="C12" s="205">
        <f xml:space="preserve">
IF($A$4&lt;=12,SUMIFS('ON Data'!G:G,'ON Data'!$D:$D,$A$4,'ON Data'!$E:$E,3),SUMIFS('ON Data'!G:G,'ON Data'!$E:$E,3))</f>
        <v>0</v>
      </c>
      <c r="D12" s="206">
        <f xml:space="preserve">
IF($A$4&lt;=12,SUMIFS('ON Data'!K:K,'ON Data'!$D:$D,$A$4,'ON Data'!$E:$E,3),SUMIFS('ON Data'!K:K,'ON Data'!$E:$E,3))</f>
        <v>0</v>
      </c>
      <c r="E12" s="206">
        <f xml:space="preserve">
IF($A$4&lt;=12,SUMIFS('ON Data'!O:O,'ON Data'!$D:$D,$A$4,'ON Data'!$E:$E,3),SUMIFS('ON Data'!O:O,'ON Data'!$E:$E,3))</f>
        <v>0</v>
      </c>
      <c r="F12" s="206">
        <f xml:space="preserve">
IF($A$4&lt;=12,SUMIFS('ON Data'!V:V,'ON Data'!$D:$D,$A$4,'ON Data'!$E:$E,3),SUMIFS('ON Data'!V:V,'ON Data'!$E:$E,3))</f>
        <v>0</v>
      </c>
      <c r="G12" s="206">
        <f xml:space="preserve">
IF($A$4&lt;=12,SUMIFS('ON Data'!AL:AL,'ON Data'!$D:$D,$A$4,'ON Data'!$E:$E,3),SUMIFS('ON Data'!AL:AL,'ON Data'!$E:$E,3))</f>
        <v>0</v>
      </c>
      <c r="H12" s="206">
        <f xml:space="preserve">
IF($A$4&lt;=12,SUMIFS('ON Data'!AU:AU,'ON Data'!$D:$D,$A$4,'ON Data'!$E:$E,3),SUMIFS('ON Data'!AU:AU,'ON Data'!$E:$E,3))</f>
        <v>0</v>
      </c>
      <c r="I12" s="207">
        <f xml:space="preserve">
IF($A$4&lt;=12,SUMIFS('ON Data'!AW:AW,'ON Data'!$D:$D,$A$4,'ON Data'!$E:$E,3),SUMIFS('ON Data'!AW:AW,'ON Data'!$E:$E,3))</f>
        <v>0</v>
      </c>
      <c r="AT12" s="416"/>
    </row>
    <row r="13" spans="1:46" x14ac:dyDescent="0.3">
      <c r="A13" s="186" t="s">
        <v>120</v>
      </c>
      <c r="B13" s="204">
        <f xml:space="preserve">
IF($A$4&lt;=12,SUMIFS('ON Data'!F:F,'ON Data'!$D:$D,$A$4,'ON Data'!$E:$E,4),SUMIFS('ON Data'!F:F,'ON Data'!$E:$E,4))</f>
        <v>0</v>
      </c>
      <c r="C13" s="205">
        <f xml:space="preserve">
IF($A$4&lt;=12,SUMIFS('ON Data'!G:G,'ON Data'!$D:$D,$A$4,'ON Data'!$E:$E,4),SUMIFS('ON Data'!G:G,'ON Data'!$E:$E,4))</f>
        <v>0</v>
      </c>
      <c r="D13" s="206">
        <f xml:space="preserve">
IF($A$4&lt;=12,SUMIFS('ON Data'!K:K,'ON Data'!$D:$D,$A$4,'ON Data'!$E:$E,4),SUMIFS('ON Data'!K:K,'ON Data'!$E:$E,4))</f>
        <v>0</v>
      </c>
      <c r="E13" s="206">
        <f xml:space="preserve">
IF($A$4&lt;=12,SUMIFS('ON Data'!O:O,'ON Data'!$D:$D,$A$4,'ON Data'!$E:$E,4),SUMIFS('ON Data'!O:O,'ON Data'!$E:$E,4))</f>
        <v>0</v>
      </c>
      <c r="F13" s="206">
        <f xml:space="preserve">
IF($A$4&lt;=12,SUMIFS('ON Data'!V:V,'ON Data'!$D:$D,$A$4,'ON Data'!$E:$E,4),SUMIFS('ON Data'!V:V,'ON Data'!$E:$E,4))</f>
        <v>0</v>
      </c>
      <c r="G13" s="206">
        <f xml:space="preserve">
IF($A$4&lt;=12,SUMIFS('ON Data'!AL:AL,'ON Data'!$D:$D,$A$4,'ON Data'!$E:$E,4),SUMIFS('ON Data'!AL:AL,'ON Data'!$E:$E,4))</f>
        <v>0</v>
      </c>
      <c r="H13" s="206">
        <f xml:space="preserve">
IF($A$4&lt;=12,SUMIFS('ON Data'!AU:AU,'ON Data'!$D:$D,$A$4,'ON Data'!$E:$E,4),SUMIFS('ON Data'!AU:AU,'ON Data'!$E:$E,4))</f>
        <v>0</v>
      </c>
      <c r="I13" s="207">
        <f xml:space="preserve">
IF($A$4&lt;=12,SUMIFS('ON Data'!AW:AW,'ON Data'!$D:$D,$A$4,'ON Data'!$E:$E,4),SUMIFS('ON Data'!AW:AW,'ON Data'!$E:$E,4))</f>
        <v>0</v>
      </c>
      <c r="AT13" s="416"/>
    </row>
    <row r="14" spans="1:46" ht="15" thickBot="1" x14ac:dyDescent="0.35">
      <c r="A14" s="187" t="s">
        <v>114</v>
      </c>
      <c r="B14" s="208">
        <f xml:space="preserve">
IF($A$4&lt;=12,SUMIFS('ON Data'!F:F,'ON Data'!$D:$D,$A$4,'ON Data'!$E:$E,5),SUMIFS('ON Data'!F:F,'ON Data'!$E:$E,5))</f>
        <v>60</v>
      </c>
      <c r="C14" s="209">
        <f xml:space="preserve">
IF($A$4&lt;=12,SUMIFS('ON Data'!G:G,'ON Data'!$D:$D,$A$4,'ON Data'!$E:$E,5),SUMIFS('ON Data'!G:G,'ON Data'!$E:$E,5))</f>
        <v>60</v>
      </c>
      <c r="D14" s="210">
        <f xml:space="preserve">
IF($A$4&lt;=12,SUMIFS('ON Data'!K:K,'ON Data'!$D:$D,$A$4,'ON Data'!$E:$E,5),SUMIFS('ON Data'!K:K,'ON Data'!$E:$E,5))</f>
        <v>0</v>
      </c>
      <c r="E14" s="210">
        <f xml:space="preserve">
IF($A$4&lt;=12,SUMIFS('ON Data'!O:O,'ON Data'!$D:$D,$A$4,'ON Data'!$E:$E,5),SUMIFS('ON Data'!O:O,'ON Data'!$E:$E,5))</f>
        <v>0</v>
      </c>
      <c r="F14" s="210">
        <f xml:space="preserve">
IF($A$4&lt;=12,SUMIFS('ON Data'!V:V,'ON Data'!$D:$D,$A$4,'ON Data'!$E:$E,5),SUMIFS('ON Data'!V:V,'ON Data'!$E:$E,5))</f>
        <v>0</v>
      </c>
      <c r="G14" s="210">
        <f xml:space="preserve">
IF($A$4&lt;=12,SUMIFS('ON Data'!AL:AL,'ON Data'!$D:$D,$A$4,'ON Data'!$E:$E,5),SUMIFS('ON Data'!AL:AL,'ON Data'!$E:$E,5))</f>
        <v>0</v>
      </c>
      <c r="H14" s="210">
        <f xml:space="preserve">
IF($A$4&lt;=12,SUMIFS('ON Data'!AU:AU,'ON Data'!$D:$D,$A$4,'ON Data'!$E:$E,5),SUMIFS('ON Data'!AU:AU,'ON Data'!$E:$E,5))</f>
        <v>0</v>
      </c>
      <c r="I14" s="211">
        <f xml:space="preserve">
IF($A$4&lt;=12,SUMIFS('ON Data'!AW:AW,'ON Data'!$D:$D,$A$4,'ON Data'!$E:$E,5),SUMIFS('ON Data'!AW:AW,'ON Data'!$E:$E,5))</f>
        <v>0</v>
      </c>
      <c r="AT14" s="416"/>
    </row>
    <row r="15" spans="1:46" x14ac:dyDescent="0.3">
      <c r="A15" s="126" t="s">
        <v>124</v>
      </c>
      <c r="B15" s="212"/>
      <c r="C15" s="213"/>
      <c r="D15" s="214"/>
      <c r="E15" s="214"/>
      <c r="F15" s="214"/>
      <c r="G15" s="214"/>
      <c r="H15" s="214"/>
      <c r="I15" s="215"/>
      <c r="AT15" s="416"/>
    </row>
    <row r="16" spans="1:46" x14ac:dyDescent="0.3">
      <c r="A16" s="188" t="s">
        <v>115</v>
      </c>
      <c r="B16" s="204">
        <f xml:space="preserve">
IF($A$4&lt;=12,SUMIFS('ON Data'!F:F,'ON Data'!$D:$D,$A$4,'ON Data'!$E:$E,7),SUMIFS('ON Data'!F:F,'ON Data'!$E:$E,7))</f>
        <v>0</v>
      </c>
      <c r="C16" s="205">
        <f xml:space="preserve">
IF($A$4&lt;=12,SUMIFS('ON Data'!G:G,'ON Data'!$D:$D,$A$4,'ON Data'!$E:$E,7),SUMIFS('ON Data'!G:G,'ON Data'!$E:$E,7))</f>
        <v>0</v>
      </c>
      <c r="D16" s="206">
        <f xml:space="preserve">
IF($A$4&lt;=12,SUMIFS('ON Data'!K:K,'ON Data'!$D:$D,$A$4,'ON Data'!$E:$E,7),SUMIFS('ON Data'!K:K,'ON Data'!$E:$E,7))</f>
        <v>0</v>
      </c>
      <c r="E16" s="206">
        <f xml:space="preserve">
IF($A$4&lt;=12,SUMIFS('ON Data'!O:O,'ON Data'!$D:$D,$A$4,'ON Data'!$E:$E,7),SUMIFS('ON Data'!O:O,'ON Data'!$E:$E,7))</f>
        <v>0</v>
      </c>
      <c r="F16" s="206">
        <f xml:space="preserve">
IF($A$4&lt;=12,SUMIFS('ON Data'!V:V,'ON Data'!$D:$D,$A$4,'ON Data'!$E:$E,7),SUMIFS('ON Data'!V:V,'ON Data'!$E:$E,7))</f>
        <v>0</v>
      </c>
      <c r="G16" s="206">
        <f xml:space="preserve">
IF($A$4&lt;=12,SUMIFS('ON Data'!AL:AL,'ON Data'!$D:$D,$A$4,'ON Data'!$E:$E,7),SUMIFS('ON Data'!AL:AL,'ON Data'!$E:$E,7))</f>
        <v>0</v>
      </c>
      <c r="H16" s="206">
        <f xml:space="preserve">
IF($A$4&lt;=12,SUMIFS('ON Data'!AU:AU,'ON Data'!$D:$D,$A$4,'ON Data'!$E:$E,7),SUMIFS('ON Data'!AU:AU,'ON Data'!$E:$E,7))</f>
        <v>0</v>
      </c>
      <c r="I16" s="207">
        <f xml:space="preserve">
IF($A$4&lt;=12,SUMIFS('ON Data'!AW:AW,'ON Data'!$D:$D,$A$4,'ON Data'!$E:$E,7),SUMIFS('ON Data'!AW:AW,'ON Data'!$E:$E,7))</f>
        <v>0</v>
      </c>
      <c r="AT16" s="416"/>
    </row>
    <row r="17" spans="1:46" x14ac:dyDescent="0.3">
      <c r="A17" s="188" t="s">
        <v>116</v>
      </c>
      <c r="B17" s="204">
        <f xml:space="preserve">
IF($A$4&lt;=12,SUMIFS('ON Data'!F:F,'ON Data'!$D:$D,$A$4,'ON Data'!$E:$E,8),SUMIFS('ON Data'!F:F,'ON Data'!$E:$E,8))</f>
        <v>0</v>
      </c>
      <c r="C17" s="205">
        <f xml:space="preserve">
IF($A$4&lt;=12,SUMIFS('ON Data'!G:G,'ON Data'!$D:$D,$A$4,'ON Data'!$E:$E,8),SUMIFS('ON Data'!G:G,'ON Data'!$E:$E,8))</f>
        <v>0</v>
      </c>
      <c r="D17" s="206">
        <f xml:space="preserve">
IF($A$4&lt;=12,SUMIFS('ON Data'!K:K,'ON Data'!$D:$D,$A$4,'ON Data'!$E:$E,8),SUMIFS('ON Data'!K:K,'ON Data'!$E:$E,8))</f>
        <v>0</v>
      </c>
      <c r="E17" s="206">
        <f xml:space="preserve">
IF($A$4&lt;=12,SUMIFS('ON Data'!O:O,'ON Data'!$D:$D,$A$4,'ON Data'!$E:$E,8),SUMIFS('ON Data'!O:O,'ON Data'!$E:$E,8))</f>
        <v>0</v>
      </c>
      <c r="F17" s="206">
        <f xml:space="preserve">
IF($A$4&lt;=12,SUMIFS('ON Data'!V:V,'ON Data'!$D:$D,$A$4,'ON Data'!$E:$E,8),SUMIFS('ON Data'!V:V,'ON Data'!$E:$E,8))</f>
        <v>0</v>
      </c>
      <c r="G17" s="206">
        <f xml:space="preserve">
IF($A$4&lt;=12,SUMIFS('ON Data'!AL:AL,'ON Data'!$D:$D,$A$4,'ON Data'!$E:$E,8),SUMIFS('ON Data'!AL:AL,'ON Data'!$E:$E,8))</f>
        <v>0</v>
      </c>
      <c r="H17" s="206">
        <f xml:space="preserve">
IF($A$4&lt;=12,SUMIFS('ON Data'!AU:AU,'ON Data'!$D:$D,$A$4,'ON Data'!$E:$E,8),SUMIFS('ON Data'!AU:AU,'ON Data'!$E:$E,8))</f>
        <v>0</v>
      </c>
      <c r="I17" s="207">
        <f xml:space="preserve">
IF($A$4&lt;=12,SUMIFS('ON Data'!AW:AW,'ON Data'!$D:$D,$A$4,'ON Data'!$E:$E,8),SUMIFS('ON Data'!AW:AW,'ON Data'!$E:$E,8))</f>
        <v>0</v>
      </c>
      <c r="AT17" s="416"/>
    </row>
    <row r="18" spans="1:46" x14ac:dyDescent="0.3">
      <c r="A18" s="188" t="s">
        <v>117</v>
      </c>
      <c r="B18" s="204">
        <f xml:space="preserve">
B19-B16-B17</f>
        <v>0</v>
      </c>
      <c r="C18" s="205">
        <f t="shared" ref="C18:D18" si="0" xml:space="preserve">
C19-C16-C17</f>
        <v>0</v>
      </c>
      <c r="D18" s="206">
        <f t="shared" si="0"/>
        <v>0</v>
      </c>
      <c r="E18" s="206">
        <f t="shared" ref="E18:G18" si="1" xml:space="preserve">
E19-E16-E17</f>
        <v>0</v>
      </c>
      <c r="F18" s="206">
        <f t="shared" si="1"/>
        <v>0</v>
      </c>
      <c r="G18" s="206">
        <f t="shared" si="1"/>
        <v>0</v>
      </c>
      <c r="H18" s="206">
        <f t="shared" ref="H18:I18" si="2" xml:space="preserve">
H19-H16-H17</f>
        <v>0</v>
      </c>
      <c r="I18" s="207">
        <f t="shared" si="2"/>
        <v>0</v>
      </c>
      <c r="AT18" s="416"/>
    </row>
    <row r="19" spans="1:46" ht="15" thickBot="1" x14ac:dyDescent="0.35">
      <c r="A19" s="189" t="s">
        <v>118</v>
      </c>
      <c r="B19" s="216">
        <f xml:space="preserve">
IF($A$4&lt;=12,SUMIFS('ON Data'!F:F,'ON Data'!$D:$D,$A$4,'ON Data'!$E:$E,9),SUMIFS('ON Data'!F:F,'ON Data'!$E:$E,9))</f>
        <v>0</v>
      </c>
      <c r="C19" s="217">
        <f xml:space="preserve">
IF($A$4&lt;=12,SUMIFS('ON Data'!G:G,'ON Data'!$D:$D,$A$4,'ON Data'!$E:$E,9),SUMIFS('ON Data'!G:G,'ON Data'!$E:$E,9))</f>
        <v>0</v>
      </c>
      <c r="D19" s="218">
        <f xml:space="preserve">
IF($A$4&lt;=12,SUMIFS('ON Data'!K:K,'ON Data'!$D:$D,$A$4,'ON Data'!$E:$E,9),SUMIFS('ON Data'!K:K,'ON Data'!$E:$E,9))</f>
        <v>0</v>
      </c>
      <c r="E19" s="218">
        <f xml:space="preserve">
IF($A$4&lt;=12,SUMIFS('ON Data'!O:O,'ON Data'!$D:$D,$A$4,'ON Data'!$E:$E,9),SUMIFS('ON Data'!O:O,'ON Data'!$E:$E,9))</f>
        <v>0</v>
      </c>
      <c r="F19" s="218">
        <f xml:space="preserve">
IF($A$4&lt;=12,SUMIFS('ON Data'!V:V,'ON Data'!$D:$D,$A$4,'ON Data'!$E:$E,9),SUMIFS('ON Data'!V:V,'ON Data'!$E:$E,9))</f>
        <v>0</v>
      </c>
      <c r="G19" s="218">
        <f xml:space="preserve">
IF($A$4&lt;=12,SUMIFS('ON Data'!AL:AL,'ON Data'!$D:$D,$A$4,'ON Data'!$E:$E,9),SUMIFS('ON Data'!AL:AL,'ON Data'!$E:$E,9))</f>
        <v>0</v>
      </c>
      <c r="H19" s="218">
        <f xml:space="preserve">
IF($A$4&lt;=12,SUMIFS('ON Data'!AU:AU,'ON Data'!$D:$D,$A$4,'ON Data'!$E:$E,9),SUMIFS('ON Data'!AU:AU,'ON Data'!$E:$E,9))</f>
        <v>0</v>
      </c>
      <c r="I19" s="219">
        <f xml:space="preserve">
IF($A$4&lt;=12,SUMIFS('ON Data'!AW:AW,'ON Data'!$D:$D,$A$4,'ON Data'!$E:$E,9),SUMIFS('ON Data'!AW:AW,'ON Data'!$E:$E,9))</f>
        <v>0</v>
      </c>
      <c r="AT19" s="416"/>
    </row>
    <row r="20" spans="1:46" ht="15" collapsed="1" thickBot="1" x14ac:dyDescent="0.35">
      <c r="A20" s="190" t="s">
        <v>55</v>
      </c>
      <c r="B20" s="220">
        <f xml:space="preserve">
IF($A$4&lt;=12,SUMIFS('ON Data'!F:F,'ON Data'!$D:$D,$A$4,'ON Data'!$E:$E,6),SUMIFS('ON Data'!F:F,'ON Data'!$E:$E,6))</f>
        <v>504042</v>
      </c>
      <c r="C20" s="221">
        <f xml:space="preserve">
IF($A$4&lt;=12,SUMIFS('ON Data'!G:G,'ON Data'!$D:$D,$A$4,'ON Data'!$E:$E,6),SUMIFS('ON Data'!G:G,'ON Data'!$E:$E,6))</f>
        <v>15000</v>
      </c>
      <c r="D20" s="222">
        <f xml:space="preserve">
IF($A$4&lt;=12,SUMIFS('ON Data'!K:K,'ON Data'!$D:$D,$A$4,'ON Data'!$E:$E,6),SUMIFS('ON Data'!K:K,'ON Data'!$E:$E,6))</f>
        <v>332562</v>
      </c>
      <c r="E20" s="222">
        <f xml:space="preserve">
IF($A$4&lt;=12,SUMIFS('ON Data'!O:O,'ON Data'!$D:$D,$A$4,'ON Data'!$E:$E,6),SUMIFS('ON Data'!O:O,'ON Data'!$E:$E,6))</f>
        <v>0</v>
      </c>
      <c r="F20" s="222">
        <f xml:space="preserve">
IF($A$4&lt;=12,SUMIFS('ON Data'!V:V,'ON Data'!$D:$D,$A$4,'ON Data'!$E:$E,6),SUMIFS('ON Data'!V:V,'ON Data'!$E:$E,6))</f>
        <v>80871</v>
      </c>
      <c r="G20" s="222">
        <f xml:space="preserve">
IF($A$4&lt;=12,SUMIFS('ON Data'!AL:AL,'ON Data'!$D:$D,$A$4,'ON Data'!$E:$E,6),SUMIFS('ON Data'!AL:AL,'ON Data'!$E:$E,6))</f>
        <v>73895</v>
      </c>
      <c r="H20" s="222">
        <f xml:space="preserve">
IF($A$4&lt;=12,SUMIFS('ON Data'!AU:AU,'ON Data'!$D:$D,$A$4,'ON Data'!$E:$E,6),SUMIFS('ON Data'!AU:AU,'ON Data'!$E:$E,6))</f>
        <v>1714</v>
      </c>
      <c r="I20" s="223">
        <f xml:space="preserve">
IF($A$4&lt;=12,SUMIFS('ON Data'!AW:AW,'ON Data'!$D:$D,$A$4,'ON Data'!$E:$E,6),SUMIFS('ON Data'!AW:AW,'ON Data'!$E:$E,6))</f>
        <v>0</v>
      </c>
      <c r="AT20" s="416"/>
    </row>
    <row r="21" spans="1:46" ht="15" hidden="1" outlineLevel="1" thickBot="1" x14ac:dyDescent="0.35">
      <c r="A21" s="183" t="s">
        <v>62</v>
      </c>
      <c r="B21" s="204">
        <f xml:space="preserve">
IF($A$4&lt;=12,SUMIFS('ON Data'!F:F,'ON Data'!$D:$D,$A$4,'ON Data'!$E:$E,12),SUMIFS('ON Data'!F:F,'ON Data'!$E:$E,12))</f>
        <v>0</v>
      </c>
      <c r="C21" s="205">
        <f xml:space="preserve">
IF($A$4&lt;=12,SUMIFS('ON Data'!G:G,'ON Data'!$D:$D,$A$4,'ON Data'!$E:$E,12),SUMIFS('ON Data'!G:G,'ON Data'!$E:$E,12))</f>
        <v>0</v>
      </c>
      <c r="D21" s="206">
        <f xml:space="preserve">
IF($A$4&lt;=12,SUMIFS('ON Data'!K:K,'ON Data'!$D:$D,$A$4,'ON Data'!$E:$E,12),SUMIFS('ON Data'!K:K,'ON Data'!$E:$E,12))</f>
        <v>0</v>
      </c>
      <c r="E21" s="206">
        <f xml:space="preserve">
IF($A$4&lt;=12,SUMIFS('ON Data'!O:O,'ON Data'!$D:$D,$A$4,'ON Data'!$E:$E,12),SUMIFS('ON Data'!O:O,'ON Data'!$E:$E,12))</f>
        <v>0</v>
      </c>
      <c r="F21" s="206">
        <f xml:space="preserve">
IF($A$4&lt;=12,SUMIFS('ON Data'!V:V,'ON Data'!$D:$D,$A$4,'ON Data'!$E:$E,12),SUMIFS('ON Data'!V:V,'ON Data'!$E:$E,12))</f>
        <v>0</v>
      </c>
      <c r="G21" s="206">
        <f xml:space="preserve">
IF($A$4&lt;=12,SUMIFS('ON Data'!AL:AL,'ON Data'!$D:$D,$A$4,'ON Data'!$E:$E,12),SUMIFS('ON Data'!AL:AL,'ON Data'!$E:$E,12))</f>
        <v>0</v>
      </c>
      <c r="AT21" s="416"/>
    </row>
    <row r="22" spans="1:46" ht="15" hidden="1" outlineLevel="1" thickBot="1" x14ac:dyDescent="0.35">
      <c r="A22" s="183" t="s">
        <v>57</v>
      </c>
      <c r="B22" s="264" t="str">
        <f xml:space="preserve">
IF(OR(B21="",B21=0),"",B20/B21)</f>
        <v/>
      </c>
      <c r="C22" s="265" t="str">
        <f t="shared" ref="C22:D22" si="3" xml:space="preserve">
IF(OR(C21="",C21=0),"",C20/C21)</f>
        <v/>
      </c>
      <c r="D22" s="266" t="str">
        <f t="shared" si="3"/>
        <v/>
      </c>
      <c r="E22" s="266" t="str">
        <f t="shared" ref="E22:G22" si="4" xml:space="preserve">
IF(OR(E21="",E21=0),"",E20/E21)</f>
        <v/>
      </c>
      <c r="F22" s="266" t="str">
        <f t="shared" si="4"/>
        <v/>
      </c>
      <c r="G22" s="266" t="str">
        <f t="shared" si="4"/>
        <v/>
      </c>
      <c r="AT22" s="416"/>
    </row>
    <row r="23" spans="1:46" ht="15" hidden="1" outlineLevel="1" thickBot="1" x14ac:dyDescent="0.35">
      <c r="A23" s="191" t="s">
        <v>52</v>
      </c>
      <c r="B23" s="208">
        <f xml:space="preserve">
IF(B21="","",B20-B21)</f>
        <v>504042</v>
      </c>
      <c r="C23" s="209">
        <f t="shared" ref="C23:D23" si="5" xml:space="preserve">
IF(C21="","",C20-C21)</f>
        <v>15000</v>
      </c>
      <c r="D23" s="210">
        <f t="shared" si="5"/>
        <v>332562</v>
      </c>
      <c r="E23" s="210">
        <f t="shared" ref="E23:G23" si="6" xml:space="preserve">
IF(E21="","",E20-E21)</f>
        <v>0</v>
      </c>
      <c r="F23" s="210">
        <f t="shared" si="6"/>
        <v>80871</v>
      </c>
      <c r="G23" s="210">
        <f t="shared" si="6"/>
        <v>73895</v>
      </c>
      <c r="AT23" s="416"/>
    </row>
    <row r="24" spans="1:46" x14ac:dyDescent="0.3">
      <c r="A24" s="185" t="s">
        <v>119</v>
      </c>
      <c r="B24" s="241" t="s">
        <v>2</v>
      </c>
      <c r="C24" s="417" t="s">
        <v>130</v>
      </c>
      <c r="D24" s="398"/>
      <c r="E24" s="399" t="s">
        <v>131</v>
      </c>
      <c r="F24" s="400"/>
      <c r="G24" s="400"/>
      <c r="H24" s="400"/>
      <c r="I24" s="401" t="s">
        <v>132</v>
      </c>
      <c r="J24" s="402"/>
      <c r="K24" s="402"/>
      <c r="L24" s="402"/>
      <c r="M24" s="402"/>
      <c r="N24" s="402"/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  <c r="AA24" s="402"/>
      <c r="AB24" s="402"/>
      <c r="AC24" s="402"/>
      <c r="AD24" s="402"/>
      <c r="AE24" s="402"/>
      <c r="AF24" s="402"/>
      <c r="AG24" s="402"/>
      <c r="AH24" s="402"/>
      <c r="AI24" s="402"/>
      <c r="AJ24" s="402"/>
      <c r="AK24" s="402"/>
      <c r="AL24" s="402"/>
      <c r="AM24" s="402"/>
      <c r="AN24" s="402"/>
      <c r="AO24" s="402"/>
      <c r="AP24" s="402"/>
      <c r="AQ24" s="402"/>
      <c r="AR24" s="402"/>
      <c r="AS24" s="415"/>
      <c r="AT24" s="416"/>
    </row>
    <row r="25" spans="1:46" x14ac:dyDescent="0.3">
      <c r="A25" s="186" t="s">
        <v>55</v>
      </c>
      <c r="B25" s="204">
        <f xml:space="preserve">
SUM(C25:I25)</f>
        <v>2980</v>
      </c>
      <c r="C25" s="418">
        <f xml:space="preserve">
IF($A$4&lt;=12,SUMIFS('ON Data'!J:J,'ON Data'!$D:$D,$A$4,'ON Data'!$E:$E,10),SUMIFS('ON Data'!J:J,'ON Data'!$E:$E,10))</f>
        <v>1780</v>
      </c>
      <c r="D25" s="403"/>
      <c r="E25" s="404">
        <f xml:space="preserve">
IF($A$4&lt;=12,SUMIFS('ON Data'!O:O,'ON Data'!$D:$D,$A$4,'ON Data'!$E:$E,10),SUMIFS('ON Data'!O:O,'ON Data'!$E:$E,10))</f>
        <v>1200</v>
      </c>
      <c r="F25" s="405"/>
      <c r="G25" s="405"/>
      <c r="H25" s="405"/>
      <c r="I25" s="406">
        <f xml:space="preserve">
IF($A$4&lt;=12,SUMIFS('ON Data'!AW:AW,'ON Data'!$D:$D,$A$4,'ON Data'!$E:$E,10),SUMIFS('ON Data'!AW:AW,'ON Data'!$E:$E,10))</f>
        <v>0</v>
      </c>
      <c r="J25" s="402"/>
      <c r="K25" s="402"/>
      <c r="L25" s="402"/>
      <c r="M25" s="402"/>
      <c r="N25" s="402"/>
      <c r="O25" s="402"/>
      <c r="P25" s="402"/>
      <c r="Q25" s="402"/>
      <c r="R25" s="402"/>
      <c r="S25" s="402"/>
      <c r="T25" s="402"/>
      <c r="U25" s="402"/>
      <c r="V25" s="402"/>
      <c r="W25" s="402"/>
      <c r="X25" s="402"/>
      <c r="Y25" s="402"/>
      <c r="Z25" s="402"/>
      <c r="AA25" s="402"/>
      <c r="AB25" s="402"/>
      <c r="AC25" s="402"/>
      <c r="AD25" s="402"/>
      <c r="AE25" s="402"/>
      <c r="AF25" s="402"/>
      <c r="AG25" s="402"/>
      <c r="AH25" s="402"/>
      <c r="AI25" s="402"/>
      <c r="AJ25" s="402"/>
      <c r="AK25" s="402"/>
      <c r="AL25" s="402"/>
      <c r="AM25" s="402"/>
      <c r="AN25" s="402"/>
      <c r="AO25" s="402"/>
      <c r="AP25" s="402"/>
      <c r="AQ25" s="402"/>
      <c r="AR25" s="402"/>
      <c r="AS25" s="415"/>
      <c r="AT25" s="416"/>
    </row>
    <row r="26" spans="1:46" x14ac:dyDescent="0.3">
      <c r="A26" s="192" t="s">
        <v>129</v>
      </c>
      <c r="B26" s="216">
        <f xml:space="preserve">
SUM(C26:I26)</f>
        <v>3717.5572519083971</v>
      </c>
      <c r="C26" s="418">
        <f xml:space="preserve">
IF($A$4&lt;=12,SUMIFS('ON Data'!J:J,'ON Data'!$D:$D,$A$4,'ON Data'!$E:$E,11),SUMIFS('ON Data'!J:J,'ON Data'!$E:$E,11))</f>
        <v>1717.5572519083971</v>
      </c>
      <c r="D26" s="403"/>
      <c r="E26" s="407">
        <f xml:space="preserve">
IF($A$4&lt;=12,SUMIFS('ON Data'!O:O,'ON Data'!$D:$D,$A$4,'ON Data'!$E:$E,11),SUMIFS('ON Data'!O:O,'ON Data'!$E:$E,11))</f>
        <v>2000</v>
      </c>
      <c r="F26" s="408"/>
      <c r="G26" s="408"/>
      <c r="H26" s="408"/>
      <c r="I26" s="406">
        <f xml:space="preserve">
IF($A$4&lt;=12,SUMIFS('ON Data'!AW:AW,'ON Data'!$D:$D,$A$4,'ON Data'!$E:$E,11),SUMIFS('ON Data'!AW:AW,'ON Data'!$E:$E,11))</f>
        <v>0</v>
      </c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  <c r="AB26" s="402"/>
      <c r="AC26" s="402"/>
      <c r="AD26" s="402"/>
      <c r="AE26" s="402"/>
      <c r="AF26" s="402"/>
      <c r="AG26" s="402"/>
      <c r="AH26" s="402"/>
      <c r="AI26" s="402"/>
      <c r="AJ26" s="402"/>
      <c r="AK26" s="402"/>
      <c r="AL26" s="402"/>
      <c r="AM26" s="402"/>
      <c r="AN26" s="402"/>
      <c r="AO26" s="402"/>
      <c r="AP26" s="402"/>
      <c r="AQ26" s="402"/>
      <c r="AR26" s="402"/>
      <c r="AS26" s="415"/>
      <c r="AT26" s="416"/>
    </row>
    <row r="27" spans="1:46" x14ac:dyDescent="0.3">
      <c r="A27" s="192" t="s">
        <v>57</v>
      </c>
      <c r="B27" s="242">
        <f xml:space="preserve">
IF(B26=0,0,B25/B26)</f>
        <v>0.8016016427104723</v>
      </c>
      <c r="C27" s="419">
        <f xml:space="preserve">
IF(C26=0,0,C25/C26)</f>
        <v>1.0363555555555555</v>
      </c>
      <c r="D27" s="403"/>
      <c r="E27" s="409">
        <f xml:space="preserve">
IF(E26=0,0,E25/E26)</f>
        <v>0.6</v>
      </c>
      <c r="F27" s="405"/>
      <c r="G27" s="405"/>
      <c r="H27" s="405"/>
      <c r="I27" s="410">
        <f xml:space="preserve">
IF(I26=0,0,I25/I26)</f>
        <v>0</v>
      </c>
      <c r="J27" s="402"/>
      <c r="K27" s="402"/>
      <c r="L27" s="402"/>
      <c r="M27" s="402"/>
      <c r="N27" s="402"/>
      <c r="O27" s="402"/>
      <c r="P27" s="402"/>
      <c r="Q27" s="402"/>
      <c r="R27" s="402"/>
      <c r="S27" s="402"/>
      <c r="T27" s="402"/>
      <c r="U27" s="402"/>
      <c r="V27" s="402"/>
      <c r="W27" s="402"/>
      <c r="X27" s="402"/>
      <c r="Y27" s="402"/>
      <c r="Z27" s="402"/>
      <c r="AA27" s="402"/>
      <c r="AB27" s="402"/>
      <c r="AC27" s="402"/>
      <c r="AD27" s="402"/>
      <c r="AE27" s="402"/>
      <c r="AF27" s="402"/>
      <c r="AG27" s="402"/>
      <c r="AH27" s="402"/>
      <c r="AI27" s="402"/>
      <c r="AJ27" s="402"/>
      <c r="AK27" s="402"/>
      <c r="AL27" s="402"/>
      <c r="AM27" s="402"/>
      <c r="AN27" s="402"/>
      <c r="AO27" s="402"/>
      <c r="AP27" s="402"/>
      <c r="AQ27" s="402"/>
      <c r="AR27" s="402"/>
      <c r="AS27" s="415"/>
      <c r="AT27" s="416"/>
    </row>
    <row r="28" spans="1:46" ht="15" thickBot="1" x14ac:dyDescent="0.35">
      <c r="A28" s="192" t="s">
        <v>128</v>
      </c>
      <c r="B28" s="216">
        <f xml:space="preserve">
SUM(C28:I28)</f>
        <v>737.55725190839712</v>
      </c>
      <c r="C28" s="420">
        <f xml:space="preserve">
C26-C25</f>
        <v>-62.44274809160288</v>
      </c>
      <c r="D28" s="411"/>
      <c r="E28" s="412">
        <f xml:space="preserve">
E26-E25</f>
        <v>800</v>
      </c>
      <c r="F28" s="413"/>
      <c r="G28" s="413"/>
      <c r="H28" s="413"/>
      <c r="I28" s="414">
        <f xml:space="preserve">
I26-I25</f>
        <v>0</v>
      </c>
      <c r="J28" s="402"/>
      <c r="K28" s="402"/>
      <c r="L28" s="402"/>
      <c r="M28" s="402"/>
      <c r="N28" s="402"/>
      <c r="O28" s="402"/>
      <c r="P28" s="402"/>
      <c r="Q28" s="402"/>
      <c r="R28" s="402"/>
      <c r="S28" s="402"/>
      <c r="T28" s="402"/>
      <c r="U28" s="402"/>
      <c r="V28" s="402"/>
      <c r="W28" s="402"/>
      <c r="X28" s="402"/>
      <c r="Y28" s="402"/>
      <c r="Z28" s="402"/>
      <c r="AA28" s="402"/>
      <c r="AB28" s="402"/>
      <c r="AC28" s="402"/>
      <c r="AD28" s="402"/>
      <c r="AE28" s="402"/>
      <c r="AF28" s="402"/>
      <c r="AG28" s="402"/>
      <c r="AH28" s="402"/>
      <c r="AI28" s="402"/>
      <c r="AJ28" s="402"/>
      <c r="AK28" s="402"/>
      <c r="AL28" s="402"/>
      <c r="AM28" s="402"/>
      <c r="AN28" s="402"/>
      <c r="AO28" s="402"/>
      <c r="AP28" s="402"/>
      <c r="AQ28" s="402"/>
      <c r="AR28" s="402"/>
      <c r="AS28" s="415"/>
      <c r="AT28" s="416"/>
    </row>
    <row r="29" spans="1:46" x14ac:dyDescent="0.3">
      <c r="A29" s="193"/>
      <c r="B29" s="193"/>
      <c r="C29" s="194"/>
      <c r="D29" s="194"/>
      <c r="E29" s="194"/>
      <c r="F29" s="194"/>
      <c r="G29" s="193"/>
    </row>
    <row r="30" spans="1:46" x14ac:dyDescent="0.3">
      <c r="A30" s="79" t="s">
        <v>90</v>
      </c>
      <c r="B30" s="96"/>
      <c r="C30" s="96"/>
      <c r="D30" s="96"/>
      <c r="E30" s="96"/>
      <c r="F30" s="96"/>
      <c r="G30" s="96"/>
    </row>
    <row r="31" spans="1:46" x14ac:dyDescent="0.3">
      <c r="A31" s="80" t="s">
        <v>126</v>
      </c>
      <c r="B31" s="96"/>
      <c r="C31" s="96"/>
      <c r="D31" s="96"/>
      <c r="E31" s="96"/>
      <c r="F31" s="96"/>
      <c r="G31" s="96"/>
    </row>
    <row r="32" spans="1:46" ht="14.4" customHeight="1" x14ac:dyDescent="0.3">
      <c r="A32" s="238" t="s">
        <v>123</v>
      </c>
      <c r="B32" s="239"/>
      <c r="C32" s="239"/>
      <c r="D32" s="239"/>
      <c r="E32" s="239"/>
      <c r="F32" s="239"/>
      <c r="G32" s="239"/>
    </row>
    <row r="33" spans="1:1" x14ac:dyDescent="0.3">
      <c r="A33" s="240" t="s">
        <v>153</v>
      </c>
    </row>
    <row r="34" spans="1:1" x14ac:dyDescent="0.3">
      <c r="A34" s="240" t="s">
        <v>154</v>
      </c>
    </row>
    <row r="35" spans="1:1" x14ac:dyDescent="0.3">
      <c r="A35" s="240" t="s">
        <v>155</v>
      </c>
    </row>
    <row r="36" spans="1:1" x14ac:dyDescent="0.3">
      <c r="A36" s="240" t="s">
        <v>133</v>
      </c>
    </row>
  </sheetData>
  <mergeCells count="12">
    <mergeCell ref="B3:B4"/>
    <mergeCell ref="A1:I1"/>
    <mergeCell ref="C27:D27"/>
    <mergeCell ref="C28:D28"/>
    <mergeCell ref="E27:H27"/>
    <mergeCell ref="E28:H28"/>
    <mergeCell ref="C24:D24"/>
    <mergeCell ref="C25:D25"/>
    <mergeCell ref="C26:D26"/>
    <mergeCell ref="E24:H24"/>
    <mergeCell ref="E25:H25"/>
    <mergeCell ref="E26:H26"/>
  </mergeCells>
  <conditionalFormatting sqref="C27">
    <cfRule type="cellIs" dxfId="7" priority="8" operator="greaterThan">
      <formula>1</formula>
    </cfRule>
  </conditionalFormatting>
  <conditionalFormatting sqref="C28">
    <cfRule type="cellIs" dxfId="6" priority="7" operator="lessThan">
      <formula>0</formula>
    </cfRule>
  </conditionalFormatting>
  <conditionalFormatting sqref="B22:G22">
    <cfRule type="cellIs" dxfId="5" priority="6" operator="greaterThan">
      <formula>1</formula>
    </cfRule>
  </conditionalFormatting>
  <conditionalFormatting sqref="B23:G23">
    <cfRule type="cellIs" dxfId="4" priority="5" operator="greaterThan">
      <formula>0</formula>
    </cfRule>
  </conditionalFormatting>
  <conditionalFormatting sqref="I27">
    <cfRule type="cellIs" dxfId="3" priority="4" operator="greaterThan">
      <formula>1</formula>
    </cfRule>
  </conditionalFormatting>
  <conditionalFormatting sqref="I28">
    <cfRule type="cellIs" dxfId="2" priority="3" operator="lessThan">
      <formula>0</formula>
    </cfRule>
  </conditionalFormatting>
  <conditionalFormatting sqref="E28">
    <cfRule type="cellIs" dxfId="1" priority="1" operator="lessThan">
      <formula>0</formula>
    </cfRule>
  </conditionalFormatting>
  <conditionalFormatting sqref="E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0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9" x14ac:dyDescent="0.3">
      <c r="A1" s="170" t="s">
        <v>320</v>
      </c>
    </row>
    <row r="2" spans="1:49" x14ac:dyDescent="0.3">
      <c r="A2" s="174" t="s">
        <v>177</v>
      </c>
    </row>
    <row r="3" spans="1:49" x14ac:dyDescent="0.3">
      <c r="A3" s="170" t="s">
        <v>95</v>
      </c>
      <c r="B3" s="197">
        <v>2016</v>
      </c>
      <c r="D3" s="171">
        <f>MAX(D5:D1048576)</f>
        <v>3</v>
      </c>
      <c r="F3" s="171">
        <f>SUMIF($E5:$E1048576,"&lt;10",F5:F1048576)</f>
        <v>506050</v>
      </c>
      <c r="G3" s="171">
        <f t="shared" ref="G3:AW3" si="0">SUMIF($E5:$E1048576,"&lt;10",G5:G1048576)</f>
        <v>15060</v>
      </c>
      <c r="H3" s="171">
        <f t="shared" si="0"/>
        <v>0</v>
      </c>
      <c r="I3" s="171">
        <f t="shared" si="0"/>
        <v>0</v>
      </c>
      <c r="J3" s="171">
        <f t="shared" si="0"/>
        <v>0</v>
      </c>
      <c r="K3" s="171">
        <f t="shared" si="0"/>
        <v>333584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81354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74338</v>
      </c>
      <c r="AM3" s="171">
        <f t="shared" si="0"/>
        <v>0</v>
      </c>
      <c r="AN3" s="171">
        <f t="shared" si="0"/>
        <v>0</v>
      </c>
      <c r="AO3" s="171">
        <f t="shared" si="0"/>
        <v>0</v>
      </c>
      <c r="AP3" s="171">
        <f t="shared" si="0"/>
        <v>0</v>
      </c>
      <c r="AQ3" s="171">
        <f t="shared" si="0"/>
        <v>0</v>
      </c>
      <c r="AR3" s="171">
        <f t="shared" si="0"/>
        <v>0</v>
      </c>
      <c r="AS3" s="171">
        <f t="shared" si="0"/>
        <v>0</v>
      </c>
      <c r="AT3" s="171">
        <f t="shared" si="0"/>
        <v>0</v>
      </c>
      <c r="AU3" s="171">
        <f t="shared" si="0"/>
        <v>1714</v>
      </c>
      <c r="AV3" s="171">
        <f t="shared" si="0"/>
        <v>0</v>
      </c>
      <c r="AW3" s="171">
        <f t="shared" si="0"/>
        <v>0</v>
      </c>
    </row>
    <row r="4" spans="1:49" x14ac:dyDescent="0.3">
      <c r="A4" s="170" t="s">
        <v>96</v>
      </c>
      <c r="B4" s="197">
        <v>1</v>
      </c>
      <c r="C4" s="172" t="s">
        <v>4</v>
      </c>
      <c r="D4" s="173" t="s">
        <v>51</v>
      </c>
      <c r="E4" s="173" t="s">
        <v>94</v>
      </c>
      <c r="F4" s="173" t="s">
        <v>2</v>
      </c>
      <c r="G4" s="173">
        <v>0</v>
      </c>
      <c r="H4" s="173">
        <v>25</v>
      </c>
      <c r="I4" s="173">
        <v>99</v>
      </c>
      <c r="J4" s="173">
        <v>100</v>
      </c>
      <c r="K4" s="173">
        <v>101</v>
      </c>
      <c r="L4" s="173">
        <v>102</v>
      </c>
      <c r="M4" s="173">
        <v>103</v>
      </c>
      <c r="N4" s="173">
        <v>203</v>
      </c>
      <c r="O4" s="173">
        <v>302</v>
      </c>
      <c r="P4" s="173">
        <v>303</v>
      </c>
      <c r="Q4" s="173">
        <v>304</v>
      </c>
      <c r="R4" s="173">
        <v>305</v>
      </c>
      <c r="S4" s="173">
        <v>306</v>
      </c>
      <c r="T4" s="173">
        <v>407</v>
      </c>
      <c r="U4" s="173">
        <v>408</v>
      </c>
      <c r="V4" s="173">
        <v>409</v>
      </c>
      <c r="W4" s="173">
        <v>410</v>
      </c>
      <c r="X4" s="173">
        <v>415</v>
      </c>
      <c r="Y4" s="173">
        <v>416</v>
      </c>
      <c r="Z4" s="173">
        <v>418</v>
      </c>
      <c r="AA4" s="173">
        <v>419</v>
      </c>
      <c r="AB4" s="173">
        <v>420</v>
      </c>
      <c r="AC4" s="173">
        <v>421</v>
      </c>
      <c r="AD4" s="173">
        <v>520</v>
      </c>
      <c r="AE4" s="173">
        <v>521</v>
      </c>
      <c r="AF4" s="173">
        <v>522</v>
      </c>
      <c r="AG4" s="173">
        <v>523</v>
      </c>
      <c r="AH4" s="173">
        <v>524</v>
      </c>
      <c r="AI4" s="173">
        <v>525</v>
      </c>
      <c r="AJ4" s="173">
        <v>526</v>
      </c>
      <c r="AK4" s="173">
        <v>527</v>
      </c>
      <c r="AL4" s="173">
        <v>528</v>
      </c>
      <c r="AM4" s="173">
        <v>629</v>
      </c>
      <c r="AN4" s="173">
        <v>630</v>
      </c>
      <c r="AO4" s="173">
        <v>636</v>
      </c>
      <c r="AP4" s="173">
        <v>637</v>
      </c>
      <c r="AQ4" s="173">
        <v>640</v>
      </c>
      <c r="AR4" s="173">
        <v>642</v>
      </c>
      <c r="AS4" s="173">
        <v>743</v>
      </c>
      <c r="AT4" s="173">
        <v>745</v>
      </c>
      <c r="AU4" s="173">
        <v>746</v>
      </c>
      <c r="AV4" s="173">
        <v>747</v>
      </c>
      <c r="AW4" s="173">
        <v>930</v>
      </c>
    </row>
    <row r="5" spans="1:49" x14ac:dyDescent="0.3">
      <c r="A5" s="170" t="s">
        <v>97</v>
      </c>
      <c r="B5" s="197">
        <v>2</v>
      </c>
      <c r="C5" s="170">
        <v>54</v>
      </c>
      <c r="D5" s="170">
        <v>1</v>
      </c>
      <c r="E5" s="170">
        <v>1</v>
      </c>
      <c r="F5" s="170">
        <v>4</v>
      </c>
      <c r="G5" s="170">
        <v>0</v>
      </c>
      <c r="H5" s="170">
        <v>0</v>
      </c>
      <c r="I5" s="170">
        <v>0</v>
      </c>
      <c r="J5" s="170">
        <v>0</v>
      </c>
      <c r="K5" s="170">
        <v>2</v>
      </c>
      <c r="L5" s="170">
        <v>0</v>
      </c>
      <c r="M5" s="170">
        <v>0</v>
      </c>
      <c r="N5" s="170">
        <v>0</v>
      </c>
      <c r="O5" s="170">
        <v>0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1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1</v>
      </c>
      <c r="AM5" s="170">
        <v>0</v>
      </c>
      <c r="AN5" s="170">
        <v>0</v>
      </c>
      <c r="AO5" s="170">
        <v>0</v>
      </c>
      <c r="AP5" s="170">
        <v>0</v>
      </c>
      <c r="AQ5" s="170">
        <v>0</v>
      </c>
      <c r="AR5" s="170">
        <v>0</v>
      </c>
      <c r="AS5" s="170">
        <v>0</v>
      </c>
      <c r="AT5" s="170">
        <v>0</v>
      </c>
      <c r="AU5" s="170">
        <v>0</v>
      </c>
      <c r="AV5" s="170">
        <v>0</v>
      </c>
      <c r="AW5" s="170">
        <v>0</v>
      </c>
    </row>
    <row r="6" spans="1:49" x14ac:dyDescent="0.3">
      <c r="A6" s="170" t="s">
        <v>98</v>
      </c>
      <c r="B6" s="197">
        <v>3</v>
      </c>
      <c r="C6" s="170">
        <v>54</v>
      </c>
      <c r="D6" s="170">
        <v>1</v>
      </c>
      <c r="E6" s="170">
        <v>2</v>
      </c>
      <c r="F6" s="170">
        <v>632</v>
      </c>
      <c r="G6" s="170">
        <v>0</v>
      </c>
      <c r="H6" s="170">
        <v>0</v>
      </c>
      <c r="I6" s="170">
        <v>0</v>
      </c>
      <c r="J6" s="170">
        <v>0</v>
      </c>
      <c r="K6" s="170">
        <v>336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160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136</v>
      </c>
      <c r="AM6" s="170">
        <v>0</v>
      </c>
      <c r="AN6" s="170">
        <v>0</v>
      </c>
      <c r="AO6" s="170">
        <v>0</v>
      </c>
      <c r="AP6" s="170">
        <v>0</v>
      </c>
      <c r="AQ6" s="170">
        <v>0</v>
      </c>
      <c r="AR6" s="170">
        <v>0</v>
      </c>
      <c r="AS6" s="170">
        <v>0</v>
      </c>
      <c r="AT6" s="170">
        <v>0</v>
      </c>
      <c r="AU6" s="170">
        <v>0</v>
      </c>
      <c r="AV6" s="170">
        <v>0</v>
      </c>
      <c r="AW6" s="170">
        <v>0</v>
      </c>
    </row>
    <row r="7" spans="1:49" x14ac:dyDescent="0.3">
      <c r="A7" s="170" t="s">
        <v>99</v>
      </c>
      <c r="B7" s="197">
        <v>4</v>
      </c>
      <c r="C7" s="170">
        <v>54</v>
      </c>
      <c r="D7" s="170">
        <v>1</v>
      </c>
      <c r="E7" s="170">
        <v>5</v>
      </c>
      <c r="F7" s="170">
        <v>20</v>
      </c>
      <c r="G7" s="170">
        <v>20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  <c r="AO7" s="170">
        <v>0</v>
      </c>
      <c r="AP7" s="170">
        <v>0</v>
      </c>
      <c r="AQ7" s="170">
        <v>0</v>
      </c>
      <c r="AR7" s="170">
        <v>0</v>
      </c>
      <c r="AS7" s="170">
        <v>0</v>
      </c>
      <c r="AT7" s="170">
        <v>0</v>
      </c>
      <c r="AU7" s="170">
        <v>0</v>
      </c>
      <c r="AV7" s="170">
        <v>0</v>
      </c>
      <c r="AW7" s="170">
        <v>0</v>
      </c>
    </row>
    <row r="8" spans="1:49" x14ac:dyDescent="0.3">
      <c r="A8" s="170" t="s">
        <v>100</v>
      </c>
      <c r="B8" s="197">
        <v>5</v>
      </c>
      <c r="C8" s="170">
        <v>54</v>
      </c>
      <c r="D8" s="170">
        <v>1</v>
      </c>
      <c r="E8" s="170">
        <v>6</v>
      </c>
      <c r="F8" s="170">
        <v>167691</v>
      </c>
      <c r="G8" s="170">
        <v>5000</v>
      </c>
      <c r="H8" s="170">
        <v>0</v>
      </c>
      <c r="I8" s="170">
        <v>0</v>
      </c>
      <c r="J8" s="170">
        <v>0</v>
      </c>
      <c r="K8" s="170">
        <v>110710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26816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24651</v>
      </c>
      <c r="AM8" s="170">
        <v>0</v>
      </c>
      <c r="AN8" s="170">
        <v>0</v>
      </c>
      <c r="AO8" s="170">
        <v>0</v>
      </c>
      <c r="AP8" s="170">
        <v>0</v>
      </c>
      <c r="AQ8" s="170">
        <v>0</v>
      </c>
      <c r="AR8" s="170">
        <v>0</v>
      </c>
      <c r="AS8" s="170">
        <v>0</v>
      </c>
      <c r="AT8" s="170">
        <v>0</v>
      </c>
      <c r="AU8" s="170">
        <v>514</v>
      </c>
      <c r="AV8" s="170">
        <v>0</v>
      </c>
      <c r="AW8" s="170">
        <v>0</v>
      </c>
    </row>
    <row r="9" spans="1:49" x14ac:dyDescent="0.3">
      <c r="A9" s="170" t="s">
        <v>101</v>
      </c>
      <c r="B9" s="197">
        <v>6</v>
      </c>
      <c r="C9" s="170">
        <v>54</v>
      </c>
      <c r="D9" s="170">
        <v>1</v>
      </c>
      <c r="E9" s="170">
        <v>11</v>
      </c>
      <c r="F9" s="170">
        <v>1239.1857506361323</v>
      </c>
      <c r="G9" s="170">
        <v>0</v>
      </c>
      <c r="H9" s="170">
        <v>0</v>
      </c>
      <c r="I9" s="170">
        <v>0</v>
      </c>
      <c r="J9" s="170">
        <v>572.51908396946567</v>
      </c>
      <c r="K9" s="170">
        <v>0</v>
      </c>
      <c r="L9" s="170">
        <v>0</v>
      </c>
      <c r="M9" s="170">
        <v>0</v>
      </c>
      <c r="N9" s="170">
        <v>0</v>
      </c>
      <c r="O9" s="170">
        <v>666.66666666666663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  <c r="AO9" s="170">
        <v>0</v>
      </c>
      <c r="AP9" s="170">
        <v>0</v>
      </c>
      <c r="AQ9" s="170">
        <v>0</v>
      </c>
      <c r="AR9" s="170">
        <v>0</v>
      </c>
      <c r="AS9" s="170">
        <v>0</v>
      </c>
      <c r="AT9" s="170">
        <v>0</v>
      </c>
      <c r="AU9" s="170">
        <v>0</v>
      </c>
      <c r="AV9" s="170">
        <v>0</v>
      </c>
      <c r="AW9" s="170">
        <v>0</v>
      </c>
    </row>
    <row r="10" spans="1:49" x14ac:dyDescent="0.3">
      <c r="A10" s="170" t="s">
        <v>102</v>
      </c>
      <c r="B10" s="197">
        <v>7</v>
      </c>
      <c r="C10" s="170">
        <v>54</v>
      </c>
      <c r="D10" s="170">
        <v>2</v>
      </c>
      <c r="E10" s="170">
        <v>1</v>
      </c>
      <c r="F10" s="170">
        <v>4</v>
      </c>
      <c r="G10" s="170">
        <v>0</v>
      </c>
      <c r="H10" s="170">
        <v>0</v>
      </c>
      <c r="I10" s="170">
        <v>0</v>
      </c>
      <c r="J10" s="170">
        <v>0</v>
      </c>
      <c r="K10" s="170">
        <v>2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1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1</v>
      </c>
      <c r="AM10" s="170">
        <v>0</v>
      </c>
      <c r="AN10" s="170">
        <v>0</v>
      </c>
      <c r="AO10" s="170">
        <v>0</v>
      </c>
      <c r="AP10" s="170">
        <v>0</v>
      </c>
      <c r="AQ10" s="170">
        <v>0</v>
      </c>
      <c r="AR10" s="170">
        <v>0</v>
      </c>
      <c r="AS10" s="170">
        <v>0</v>
      </c>
      <c r="AT10" s="170">
        <v>0</v>
      </c>
      <c r="AU10" s="170">
        <v>0</v>
      </c>
      <c r="AV10" s="170">
        <v>0</v>
      </c>
      <c r="AW10" s="170">
        <v>0</v>
      </c>
    </row>
    <row r="11" spans="1:49" x14ac:dyDescent="0.3">
      <c r="A11" s="170" t="s">
        <v>103</v>
      </c>
      <c r="B11" s="197">
        <v>8</v>
      </c>
      <c r="C11" s="170">
        <v>54</v>
      </c>
      <c r="D11" s="170">
        <v>2</v>
      </c>
      <c r="E11" s="170">
        <v>2</v>
      </c>
      <c r="F11" s="170">
        <v>608</v>
      </c>
      <c r="G11" s="170">
        <v>0</v>
      </c>
      <c r="H11" s="170">
        <v>0</v>
      </c>
      <c r="I11" s="170">
        <v>0</v>
      </c>
      <c r="J11" s="170">
        <v>0</v>
      </c>
      <c r="K11" s="170">
        <v>320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160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128</v>
      </c>
      <c r="AM11" s="170">
        <v>0</v>
      </c>
      <c r="AN11" s="170">
        <v>0</v>
      </c>
      <c r="AO11" s="170">
        <v>0</v>
      </c>
      <c r="AP11" s="170">
        <v>0</v>
      </c>
      <c r="AQ11" s="170">
        <v>0</v>
      </c>
      <c r="AR11" s="170">
        <v>0</v>
      </c>
      <c r="AS11" s="170">
        <v>0</v>
      </c>
      <c r="AT11" s="170">
        <v>0</v>
      </c>
      <c r="AU11" s="170">
        <v>0</v>
      </c>
      <c r="AV11" s="170">
        <v>0</v>
      </c>
      <c r="AW11" s="170">
        <v>0</v>
      </c>
    </row>
    <row r="12" spans="1:49" x14ac:dyDescent="0.3">
      <c r="A12" s="170" t="s">
        <v>104</v>
      </c>
      <c r="B12" s="197">
        <v>9</v>
      </c>
      <c r="C12" s="170">
        <v>54</v>
      </c>
      <c r="D12" s="170">
        <v>2</v>
      </c>
      <c r="E12" s="170">
        <v>5</v>
      </c>
      <c r="F12" s="170">
        <v>20</v>
      </c>
      <c r="G12" s="170">
        <v>20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0</v>
      </c>
      <c r="AN12" s="170">
        <v>0</v>
      </c>
      <c r="AO12" s="170">
        <v>0</v>
      </c>
      <c r="AP12" s="170">
        <v>0</v>
      </c>
      <c r="AQ12" s="170">
        <v>0</v>
      </c>
      <c r="AR12" s="170">
        <v>0</v>
      </c>
      <c r="AS12" s="170">
        <v>0</v>
      </c>
      <c r="AT12" s="170">
        <v>0</v>
      </c>
      <c r="AU12" s="170">
        <v>0</v>
      </c>
      <c r="AV12" s="170">
        <v>0</v>
      </c>
      <c r="AW12" s="170">
        <v>0</v>
      </c>
    </row>
    <row r="13" spans="1:49" x14ac:dyDescent="0.3">
      <c r="A13" s="170" t="s">
        <v>105</v>
      </c>
      <c r="B13" s="197">
        <v>10</v>
      </c>
      <c r="C13" s="170">
        <v>54</v>
      </c>
      <c r="D13" s="170">
        <v>2</v>
      </c>
      <c r="E13" s="170">
        <v>6</v>
      </c>
      <c r="F13" s="170">
        <v>168030</v>
      </c>
      <c r="G13" s="170">
        <v>5000</v>
      </c>
      <c r="H13" s="170">
        <v>0</v>
      </c>
      <c r="I13" s="170">
        <v>0</v>
      </c>
      <c r="J13" s="170">
        <v>0</v>
      </c>
      <c r="K13" s="170">
        <v>110882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26816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24732</v>
      </c>
      <c r="AM13" s="170">
        <v>0</v>
      </c>
      <c r="AN13" s="170">
        <v>0</v>
      </c>
      <c r="AO13" s="170">
        <v>0</v>
      </c>
      <c r="AP13" s="170">
        <v>0</v>
      </c>
      <c r="AQ13" s="170">
        <v>0</v>
      </c>
      <c r="AR13" s="170">
        <v>0</v>
      </c>
      <c r="AS13" s="170">
        <v>0</v>
      </c>
      <c r="AT13" s="170">
        <v>0</v>
      </c>
      <c r="AU13" s="170">
        <v>600</v>
      </c>
      <c r="AV13" s="170">
        <v>0</v>
      </c>
      <c r="AW13" s="170">
        <v>0</v>
      </c>
    </row>
    <row r="14" spans="1:49" x14ac:dyDescent="0.3">
      <c r="A14" s="170" t="s">
        <v>106</v>
      </c>
      <c r="B14" s="197">
        <v>11</v>
      </c>
      <c r="C14" s="170">
        <v>54</v>
      </c>
      <c r="D14" s="170">
        <v>2</v>
      </c>
      <c r="E14" s="170">
        <v>11</v>
      </c>
      <c r="F14" s="170">
        <v>1239.1857506361323</v>
      </c>
      <c r="G14" s="170">
        <v>0</v>
      </c>
      <c r="H14" s="170">
        <v>0</v>
      </c>
      <c r="I14" s="170">
        <v>0</v>
      </c>
      <c r="J14" s="170">
        <v>572.51908396946567</v>
      </c>
      <c r="K14" s="170">
        <v>0</v>
      </c>
      <c r="L14" s="170">
        <v>0</v>
      </c>
      <c r="M14" s="170">
        <v>0</v>
      </c>
      <c r="N14" s="170">
        <v>0</v>
      </c>
      <c r="O14" s="170">
        <v>666.66666666666663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  <c r="AO14" s="170">
        <v>0</v>
      </c>
      <c r="AP14" s="170">
        <v>0</v>
      </c>
      <c r="AQ14" s="170">
        <v>0</v>
      </c>
      <c r="AR14" s="170">
        <v>0</v>
      </c>
      <c r="AS14" s="170">
        <v>0</v>
      </c>
      <c r="AT14" s="170">
        <v>0</v>
      </c>
      <c r="AU14" s="170">
        <v>0</v>
      </c>
      <c r="AV14" s="170">
        <v>0</v>
      </c>
      <c r="AW14" s="170">
        <v>0</v>
      </c>
    </row>
    <row r="15" spans="1:49" x14ac:dyDescent="0.3">
      <c r="A15" s="170" t="s">
        <v>107</v>
      </c>
      <c r="B15" s="197">
        <v>12</v>
      </c>
      <c r="C15" s="170">
        <v>54</v>
      </c>
      <c r="D15" s="170">
        <v>3</v>
      </c>
      <c r="E15" s="170">
        <v>1</v>
      </c>
      <c r="F15" s="170">
        <v>4</v>
      </c>
      <c r="G15" s="170">
        <v>0</v>
      </c>
      <c r="H15" s="170">
        <v>0</v>
      </c>
      <c r="I15" s="170">
        <v>0</v>
      </c>
      <c r="J15" s="170">
        <v>0</v>
      </c>
      <c r="K15" s="170">
        <v>2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1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1</v>
      </c>
      <c r="AM15" s="170">
        <v>0</v>
      </c>
      <c r="AN15" s="170">
        <v>0</v>
      </c>
      <c r="AO15" s="170">
        <v>0</v>
      </c>
      <c r="AP15" s="170">
        <v>0</v>
      </c>
      <c r="AQ15" s="170">
        <v>0</v>
      </c>
      <c r="AR15" s="170">
        <v>0</v>
      </c>
      <c r="AS15" s="170">
        <v>0</v>
      </c>
      <c r="AT15" s="170">
        <v>0</v>
      </c>
      <c r="AU15" s="170">
        <v>0</v>
      </c>
      <c r="AV15" s="170">
        <v>0</v>
      </c>
      <c r="AW15" s="170">
        <v>0</v>
      </c>
    </row>
    <row r="16" spans="1:49" x14ac:dyDescent="0.3">
      <c r="A16" s="170" t="s">
        <v>95</v>
      </c>
      <c r="B16" s="197">
        <v>2016</v>
      </c>
      <c r="C16" s="170">
        <v>54</v>
      </c>
      <c r="D16" s="170">
        <v>3</v>
      </c>
      <c r="E16" s="170">
        <v>2</v>
      </c>
      <c r="F16" s="170">
        <v>696</v>
      </c>
      <c r="G16" s="170">
        <v>0</v>
      </c>
      <c r="H16" s="170">
        <v>0</v>
      </c>
      <c r="I16" s="170">
        <v>0</v>
      </c>
      <c r="J16" s="170">
        <v>0</v>
      </c>
      <c r="K16" s="170">
        <v>360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160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176</v>
      </c>
      <c r="AM16" s="170">
        <v>0</v>
      </c>
      <c r="AN16" s="170">
        <v>0</v>
      </c>
      <c r="AO16" s="170">
        <v>0</v>
      </c>
      <c r="AP16" s="170">
        <v>0</v>
      </c>
      <c r="AQ16" s="170">
        <v>0</v>
      </c>
      <c r="AR16" s="170">
        <v>0</v>
      </c>
      <c r="AS16" s="170">
        <v>0</v>
      </c>
      <c r="AT16" s="170">
        <v>0</v>
      </c>
      <c r="AU16" s="170">
        <v>0</v>
      </c>
      <c r="AV16" s="170">
        <v>0</v>
      </c>
      <c r="AW16" s="170">
        <v>0</v>
      </c>
    </row>
    <row r="17" spans="3:49" x14ac:dyDescent="0.3">
      <c r="C17" s="170">
        <v>54</v>
      </c>
      <c r="D17" s="170">
        <v>3</v>
      </c>
      <c r="E17" s="170">
        <v>5</v>
      </c>
      <c r="F17" s="170">
        <v>20</v>
      </c>
      <c r="G17" s="170">
        <v>20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0</v>
      </c>
      <c r="AN17" s="170">
        <v>0</v>
      </c>
      <c r="AO17" s="170">
        <v>0</v>
      </c>
      <c r="AP17" s="170">
        <v>0</v>
      </c>
      <c r="AQ17" s="170">
        <v>0</v>
      </c>
      <c r="AR17" s="170">
        <v>0</v>
      </c>
      <c r="AS17" s="170">
        <v>0</v>
      </c>
      <c r="AT17" s="170">
        <v>0</v>
      </c>
      <c r="AU17" s="170">
        <v>0</v>
      </c>
      <c r="AV17" s="170">
        <v>0</v>
      </c>
      <c r="AW17" s="170">
        <v>0</v>
      </c>
    </row>
    <row r="18" spans="3:49" x14ac:dyDescent="0.3">
      <c r="C18" s="170">
        <v>54</v>
      </c>
      <c r="D18" s="170">
        <v>3</v>
      </c>
      <c r="E18" s="170">
        <v>6</v>
      </c>
      <c r="F18" s="170">
        <v>168321</v>
      </c>
      <c r="G18" s="170">
        <v>5000</v>
      </c>
      <c r="H18" s="170">
        <v>0</v>
      </c>
      <c r="I18" s="170">
        <v>0</v>
      </c>
      <c r="J18" s="170">
        <v>0</v>
      </c>
      <c r="K18" s="170">
        <v>110970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27239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24512</v>
      </c>
      <c r="AM18" s="170">
        <v>0</v>
      </c>
      <c r="AN18" s="170">
        <v>0</v>
      </c>
      <c r="AO18" s="170">
        <v>0</v>
      </c>
      <c r="AP18" s="170">
        <v>0</v>
      </c>
      <c r="AQ18" s="170">
        <v>0</v>
      </c>
      <c r="AR18" s="170">
        <v>0</v>
      </c>
      <c r="AS18" s="170">
        <v>0</v>
      </c>
      <c r="AT18" s="170">
        <v>0</v>
      </c>
      <c r="AU18" s="170">
        <v>600</v>
      </c>
      <c r="AV18" s="170">
        <v>0</v>
      </c>
      <c r="AW18" s="170">
        <v>0</v>
      </c>
    </row>
    <row r="19" spans="3:49" x14ac:dyDescent="0.3">
      <c r="C19" s="170">
        <v>54</v>
      </c>
      <c r="D19" s="170">
        <v>3</v>
      </c>
      <c r="E19" s="170">
        <v>10</v>
      </c>
      <c r="F19" s="170">
        <v>2980</v>
      </c>
      <c r="G19" s="170">
        <v>0</v>
      </c>
      <c r="H19" s="170">
        <v>0</v>
      </c>
      <c r="I19" s="170">
        <v>0</v>
      </c>
      <c r="J19" s="170">
        <v>1780</v>
      </c>
      <c r="K19" s="170">
        <v>0</v>
      </c>
      <c r="L19" s="170">
        <v>0</v>
      </c>
      <c r="M19" s="170">
        <v>0</v>
      </c>
      <c r="N19" s="170">
        <v>0</v>
      </c>
      <c r="O19" s="170">
        <v>1200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  <c r="AO19" s="170">
        <v>0</v>
      </c>
      <c r="AP19" s="170">
        <v>0</v>
      </c>
      <c r="AQ19" s="170">
        <v>0</v>
      </c>
      <c r="AR19" s="170">
        <v>0</v>
      </c>
      <c r="AS19" s="170">
        <v>0</v>
      </c>
      <c r="AT19" s="170">
        <v>0</v>
      </c>
      <c r="AU19" s="170">
        <v>0</v>
      </c>
      <c r="AV19" s="170">
        <v>0</v>
      </c>
      <c r="AW19" s="170">
        <v>0</v>
      </c>
    </row>
    <row r="20" spans="3:49" x14ac:dyDescent="0.3">
      <c r="C20" s="170">
        <v>54</v>
      </c>
      <c r="D20" s="170">
        <v>3</v>
      </c>
      <c r="E20" s="170">
        <v>11</v>
      </c>
      <c r="F20" s="170">
        <v>1239.1857506361323</v>
      </c>
      <c r="G20" s="170">
        <v>0</v>
      </c>
      <c r="H20" s="170">
        <v>0</v>
      </c>
      <c r="I20" s="170">
        <v>0</v>
      </c>
      <c r="J20" s="170">
        <v>572.51908396946567</v>
      </c>
      <c r="K20" s="170">
        <v>0</v>
      </c>
      <c r="L20" s="170">
        <v>0</v>
      </c>
      <c r="M20" s="170">
        <v>0</v>
      </c>
      <c r="N20" s="170">
        <v>0</v>
      </c>
      <c r="O20" s="170">
        <v>666.66666666666663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  <c r="AO20" s="170">
        <v>0</v>
      </c>
      <c r="AP20" s="170">
        <v>0</v>
      </c>
      <c r="AQ20" s="170">
        <v>0</v>
      </c>
      <c r="AR20" s="170">
        <v>0</v>
      </c>
      <c r="AS20" s="170">
        <v>0</v>
      </c>
      <c r="AT20" s="170">
        <v>0</v>
      </c>
      <c r="AU20" s="170">
        <v>0</v>
      </c>
      <c r="AV20" s="170">
        <v>0</v>
      </c>
      <c r="AW20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71" t="s">
        <v>73</v>
      </c>
      <c r="B1" s="271"/>
      <c r="C1" s="272"/>
      <c r="D1" s="272"/>
      <c r="E1" s="272"/>
    </row>
    <row r="2" spans="1:5" ht="14.4" customHeight="1" thickBot="1" x14ac:dyDescent="0.35">
      <c r="A2" s="174" t="s">
        <v>177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878.95812699712496</v>
      </c>
      <c r="D4" s="124">
        <f ca="1">IF(ISERROR(VLOOKUP("Náklady celkem",INDIRECT("HI!$A:$G"),5,0)),0,VLOOKUP("Náklady celkem",INDIRECT("HI!$A:$G"),5,0))</f>
        <v>830.80929000000015</v>
      </c>
      <c r="E4" s="125">
        <f ca="1">IF(C4=0,0,D4/C4)</f>
        <v>0.94522055656778481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6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1.25</v>
      </c>
      <c r="D7" s="132">
        <f>IF(ISERROR(HI!E5),"",HI!E5)</f>
        <v>0.15182999999999999</v>
      </c>
      <c r="E7" s="129">
        <f t="shared" ref="E7:E12" si="0">IF(C7=0,0,D7/C7)</f>
        <v>0.12146399999999999</v>
      </c>
    </row>
    <row r="8" spans="1:5" ht="14.4" customHeight="1" x14ac:dyDescent="0.3">
      <c r="A8" s="262" t="str">
        <f>HYPERLINK("#'LŽ Statim'!A1","Podíl statimových žádanek (max. 30%)")</f>
        <v>Podíl statimových žádanek (max. 30%)</v>
      </c>
      <c r="B8" s="260" t="s">
        <v>148</v>
      </c>
      <c r="C8" s="261">
        <v>0.3</v>
      </c>
      <c r="D8" s="26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16.785504627018248</v>
      </c>
      <c r="D12" s="132">
        <f>IF(ISERROR(HI!E6),"",HI!E6)</f>
        <v>13.950959999999998</v>
      </c>
      <c r="E12" s="129">
        <f t="shared" si="0"/>
        <v>0.83113140236155214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707.7501950953075</v>
      </c>
      <c r="D13" s="128">
        <f ca="1">IF(ISERROR(VLOOKUP("Osobní náklady (Kč) *",INDIRECT("HI!$A:$G"),5,0)),0,VLOOKUP("Osobní náklady (Kč) *",INDIRECT("HI!$A:$G"),5,0))</f>
        <v>682.75252999999998</v>
      </c>
      <c r="E13" s="129">
        <f ca="1">IF(C13=0,0,D13/C13)</f>
        <v>0.96468010144180705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20" operator="lessThan">
      <formula>1</formula>
    </cfRule>
  </conditionalFormatting>
  <conditionalFormatting sqref="E8">
    <cfRule type="cellIs" dxfId="4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5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71" t="s">
        <v>76</v>
      </c>
      <c r="B1" s="271"/>
      <c r="C1" s="271"/>
      <c r="D1" s="271"/>
      <c r="E1" s="271"/>
      <c r="F1" s="271"/>
      <c r="G1" s="272"/>
      <c r="H1" s="272"/>
    </row>
    <row r="2" spans="1:8" ht="14.4" customHeight="1" thickBot="1" x14ac:dyDescent="0.35">
      <c r="A2" s="174" t="s">
        <v>177</v>
      </c>
      <c r="B2" s="77"/>
      <c r="C2" s="77"/>
      <c r="D2" s="77"/>
      <c r="E2" s="77"/>
      <c r="F2" s="77"/>
    </row>
    <row r="3" spans="1:8" ht="14.4" customHeight="1" x14ac:dyDescent="0.3">
      <c r="A3" s="273"/>
      <c r="B3" s="73">
        <v>2014</v>
      </c>
      <c r="C3" s="40">
        <v>2015</v>
      </c>
      <c r="D3" s="7"/>
      <c r="E3" s="277">
        <v>2016</v>
      </c>
      <c r="F3" s="278"/>
      <c r="G3" s="278"/>
      <c r="H3" s="279"/>
    </row>
    <row r="4" spans="1:8" ht="14.4" customHeight="1" thickBot="1" x14ac:dyDescent="0.35">
      <c r="A4" s="274"/>
      <c r="B4" s="275" t="s">
        <v>55</v>
      </c>
      <c r="C4" s="27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0.40909000000000001</v>
      </c>
      <c r="D5" s="8"/>
      <c r="E5" s="83">
        <v>0.15182999999999999</v>
      </c>
      <c r="F5" s="28">
        <v>1.25</v>
      </c>
      <c r="G5" s="82">
        <f>E5-F5</f>
        <v>-1.0981700000000001</v>
      </c>
      <c r="H5" s="88">
        <f>IF(F5&lt;0.00000001,"",E5/F5)</f>
        <v>0.12146399999999999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14.653099999999998</v>
      </c>
      <c r="C6" s="31">
        <v>16.31419</v>
      </c>
      <c r="D6" s="8"/>
      <c r="E6" s="84">
        <v>13.950959999999998</v>
      </c>
      <c r="F6" s="30">
        <v>16.785504627018248</v>
      </c>
      <c r="G6" s="85">
        <f>E6-F6</f>
        <v>-2.8345446270182499</v>
      </c>
      <c r="H6" s="89">
        <f>IF(F6&lt;0.00000001,"",E6/F6)</f>
        <v>0.83113140236155214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558.51154000000099</v>
      </c>
      <c r="C7" s="31">
        <v>646.16332000000102</v>
      </c>
      <c r="D7" s="8"/>
      <c r="E7" s="84">
        <v>682.75252999999998</v>
      </c>
      <c r="F7" s="30">
        <v>707.7501950953075</v>
      </c>
      <c r="G7" s="85">
        <f>E7-F7</f>
        <v>-24.997665095307525</v>
      </c>
      <c r="H7" s="89">
        <f>IF(F7&lt;0.00000001,"",E7/F7)</f>
        <v>0.96468010144180705</v>
      </c>
    </row>
    <row r="8" spans="1:8" ht="14.4" customHeight="1" thickBot="1" x14ac:dyDescent="0.35">
      <c r="A8" s="1" t="s">
        <v>58</v>
      </c>
      <c r="B8" s="11">
        <v>178.43282999999997</v>
      </c>
      <c r="C8" s="33">
        <v>154.69729000000001</v>
      </c>
      <c r="D8" s="8"/>
      <c r="E8" s="86">
        <v>133.95397000000017</v>
      </c>
      <c r="F8" s="32">
        <v>153.17242727479922</v>
      </c>
      <c r="G8" s="87">
        <f>E8-F8</f>
        <v>-19.21845727479905</v>
      </c>
      <c r="H8" s="90">
        <f>IF(F8&lt;0.00000001,"",E8/F8)</f>
        <v>0.87453056913226201</v>
      </c>
    </row>
    <row r="9" spans="1:8" ht="14.4" customHeight="1" thickBot="1" x14ac:dyDescent="0.35">
      <c r="A9" s="2" t="s">
        <v>59</v>
      </c>
      <c r="B9" s="3">
        <v>751.59747000000095</v>
      </c>
      <c r="C9" s="35">
        <v>817.58389000000102</v>
      </c>
      <c r="D9" s="8"/>
      <c r="E9" s="3">
        <v>830.80929000000015</v>
      </c>
      <c r="F9" s="34">
        <v>878.95812699712496</v>
      </c>
      <c r="G9" s="34">
        <f>E9-F9</f>
        <v>-48.148836997124818</v>
      </c>
      <c r="H9" s="91">
        <f>IF(F9&lt;0.00000001,"",E9/F9)</f>
        <v>0.94522055656778481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38" t="s">
        <v>122</v>
      </c>
      <c r="B18" s="239"/>
      <c r="C18" s="239"/>
      <c r="D18" s="239"/>
      <c r="E18" s="239"/>
      <c r="F18" s="239"/>
      <c r="G18" s="239"/>
      <c r="H18" s="239"/>
    </row>
    <row r="19" spans="1:8" x14ac:dyDescent="0.3">
      <c r="A19" s="237" t="s">
        <v>121</v>
      </c>
      <c r="B19" s="239"/>
      <c r="C19" s="239"/>
      <c r="D19" s="239"/>
      <c r="E19" s="239"/>
      <c r="F19" s="239"/>
      <c r="G19" s="239"/>
      <c r="H19" s="239"/>
    </row>
    <row r="20" spans="1:8" ht="14.4" customHeight="1" x14ac:dyDescent="0.3">
      <c r="A20" s="80" t="s">
        <v>149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176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4" operator="greaterThan">
      <formula>0</formula>
    </cfRule>
  </conditionalFormatting>
  <conditionalFormatting sqref="G11:G13 G15">
    <cfRule type="cellIs" dxfId="43" priority="3" operator="lessThan">
      <formula>0</formula>
    </cfRule>
  </conditionalFormatting>
  <conditionalFormatting sqref="H5:H9">
    <cfRule type="cellIs" dxfId="42" priority="2" operator="greaterThan">
      <formula>1</formula>
    </cfRule>
  </conditionalFormatting>
  <conditionalFormatting sqref="H11:H13 H15">
    <cfRule type="cellIs" dxfId="4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80" t="s">
        <v>179</v>
      </c>
      <c r="B1" s="280"/>
      <c r="C1" s="280"/>
      <c r="D1" s="280"/>
      <c r="E1" s="280"/>
      <c r="F1" s="280"/>
      <c r="G1" s="280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s="159" customFormat="1" ht="14.4" customHeight="1" thickBot="1" x14ac:dyDescent="0.3">
      <c r="A2" s="174" t="s">
        <v>177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81" t="s">
        <v>13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156</v>
      </c>
      <c r="E4" s="95" t="s">
        <v>157</v>
      </c>
      <c r="F4" s="95" t="s">
        <v>158</v>
      </c>
      <c r="G4" s="95" t="s">
        <v>159</v>
      </c>
      <c r="H4" s="95" t="s">
        <v>160</v>
      </c>
      <c r="I4" s="95" t="s">
        <v>161</v>
      </c>
      <c r="J4" s="95" t="s">
        <v>162</v>
      </c>
      <c r="K4" s="95" t="s">
        <v>163</v>
      </c>
      <c r="L4" s="95" t="s">
        <v>164</v>
      </c>
      <c r="M4" s="95" t="s">
        <v>165</v>
      </c>
      <c r="N4" s="95" t="s">
        <v>166</v>
      </c>
      <c r="O4" s="95" t="s">
        <v>167</v>
      </c>
      <c r="P4" s="283" t="s">
        <v>2</v>
      </c>
      <c r="Q4" s="28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178</v>
      </c>
    </row>
    <row r="7" spans="1:17" ht="14.4" customHeight="1" x14ac:dyDescent="0.3">
      <c r="A7" s="15" t="s">
        <v>19</v>
      </c>
      <c r="B7" s="46">
        <v>5</v>
      </c>
      <c r="C7" s="47">
        <v>0.416666666666</v>
      </c>
      <c r="D7" s="47">
        <v>0.15182999999999999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0.15182999999999999</v>
      </c>
      <c r="Q7" s="68">
        <v>0.121464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178</v>
      </c>
    </row>
    <row r="9" spans="1:17" ht="14.4" customHeight="1" x14ac:dyDescent="0.3">
      <c r="A9" s="15" t="s">
        <v>21</v>
      </c>
      <c r="B9" s="46">
        <v>67.142018508072994</v>
      </c>
      <c r="C9" s="47">
        <v>5.5951682090060002</v>
      </c>
      <c r="D9" s="47">
        <v>4.0709200000000001</v>
      </c>
      <c r="E9" s="47">
        <v>4.68004</v>
      </c>
      <c r="F9" s="47">
        <v>5.2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13.95096</v>
      </c>
      <c r="Q9" s="68">
        <v>0.83113140236100003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178</v>
      </c>
    </row>
    <row r="11" spans="1:17" ht="14.4" customHeight="1" x14ac:dyDescent="0.3">
      <c r="A11" s="15" t="s">
        <v>23</v>
      </c>
      <c r="B11" s="46">
        <v>196.361962877455</v>
      </c>
      <c r="C11" s="47">
        <v>16.363496906453999</v>
      </c>
      <c r="D11" s="47">
        <v>0</v>
      </c>
      <c r="E11" s="47">
        <v>33.447119999999998</v>
      </c>
      <c r="F11" s="47">
        <v>4.2402300000000004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37.687350000000002</v>
      </c>
      <c r="Q11" s="68">
        <v>0.76771182051200004</v>
      </c>
    </row>
    <row r="12" spans="1:17" ht="14.4" customHeight="1" x14ac:dyDescent="0.3">
      <c r="A12" s="15" t="s">
        <v>24</v>
      </c>
      <c r="B12" s="46">
        <v>0.29511007100100001</v>
      </c>
      <c r="C12" s="47">
        <v>2.4592505915999999E-2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" customHeight="1" x14ac:dyDescent="0.3">
      <c r="A13" s="15" t="s">
        <v>25</v>
      </c>
      <c r="B13" s="46">
        <v>1.541390432134</v>
      </c>
      <c r="C13" s="47">
        <v>0.128449202677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8">
        <v>0</v>
      </c>
    </row>
    <row r="14" spans="1:17" ht="14.4" customHeight="1" x14ac:dyDescent="0.3">
      <c r="A14" s="15" t="s">
        <v>26</v>
      </c>
      <c r="B14" s="46">
        <v>95.886286879378005</v>
      </c>
      <c r="C14" s="47">
        <v>7.9905239066140004</v>
      </c>
      <c r="D14" s="47">
        <v>12.082000000000001</v>
      </c>
      <c r="E14" s="47">
        <v>9.4160000000000004</v>
      </c>
      <c r="F14" s="47">
        <v>9.9510000000000005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31.449000000000002</v>
      </c>
      <c r="Q14" s="68">
        <v>1.3119289952090001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178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178</v>
      </c>
    </row>
    <row r="17" spans="1:17" ht="14.4" customHeight="1" x14ac:dyDescent="0.3">
      <c r="A17" s="15" t="s">
        <v>29</v>
      </c>
      <c r="B17" s="46">
        <v>49.981251862370002</v>
      </c>
      <c r="C17" s="47">
        <v>4.1651043218639998</v>
      </c>
      <c r="D17" s="47">
        <v>0</v>
      </c>
      <c r="E17" s="47">
        <v>0.30631999999999998</v>
      </c>
      <c r="F17" s="47">
        <v>0.94755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1.25387</v>
      </c>
      <c r="Q17" s="68">
        <v>0.10034722647200001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0.94099999999999995</v>
      </c>
      <c r="E18" s="47">
        <v>7.0000000000000007E-2</v>
      </c>
      <c r="F18" s="47">
        <v>1.292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2.3029999999999999</v>
      </c>
      <c r="Q18" s="68" t="s">
        <v>178</v>
      </c>
    </row>
    <row r="19" spans="1:17" ht="14.4" customHeight="1" x14ac:dyDescent="0.3">
      <c r="A19" s="15" t="s">
        <v>31</v>
      </c>
      <c r="B19" s="46">
        <v>186.43173858178</v>
      </c>
      <c r="C19" s="47">
        <v>15.535978215148001</v>
      </c>
      <c r="D19" s="47">
        <v>3.2744499999999999</v>
      </c>
      <c r="E19" s="47">
        <v>27.11225</v>
      </c>
      <c r="F19" s="47">
        <v>11.492850000000001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41.879550000000002</v>
      </c>
      <c r="Q19" s="68">
        <v>0.89854979240300004</v>
      </c>
    </row>
    <row r="20" spans="1:17" ht="14.4" customHeight="1" x14ac:dyDescent="0.3">
      <c r="A20" s="15" t="s">
        <v>32</v>
      </c>
      <c r="B20" s="46">
        <v>2831.00078038123</v>
      </c>
      <c r="C20" s="47">
        <v>235.916731698436</v>
      </c>
      <c r="D20" s="47">
        <v>227.14662999999999</v>
      </c>
      <c r="E20" s="47">
        <v>227.60598999999999</v>
      </c>
      <c r="F20" s="47">
        <v>227.99991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682.75252999999998</v>
      </c>
      <c r="Q20" s="68">
        <v>0.96468010144100003</v>
      </c>
    </row>
    <row r="21" spans="1:17" ht="14.4" customHeight="1" x14ac:dyDescent="0.3">
      <c r="A21" s="16" t="s">
        <v>33</v>
      </c>
      <c r="B21" s="46">
        <v>72.000179613810005</v>
      </c>
      <c r="C21" s="47">
        <v>6.0000149678170001</v>
      </c>
      <c r="D21" s="47">
        <v>5.9379999999999997</v>
      </c>
      <c r="E21" s="47">
        <v>5.9379999999999997</v>
      </c>
      <c r="F21" s="47">
        <v>5.9379999999999997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17.814</v>
      </c>
      <c r="Q21" s="68">
        <v>0.98966419781399995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178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178</v>
      </c>
    </row>
    <row r="24" spans="1:17" ht="14.4" customHeight="1" x14ac:dyDescent="0.3">
      <c r="A24" s="16" t="s">
        <v>36</v>
      </c>
      <c r="B24" s="46">
        <v>10.191788781264</v>
      </c>
      <c r="C24" s="47">
        <v>0.84931573177200004</v>
      </c>
      <c r="D24" s="47">
        <v>0.38719999999999999</v>
      </c>
      <c r="E24" s="47">
        <v>0.85</v>
      </c>
      <c r="F24" s="47">
        <v>0.33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1.5671999999999999</v>
      </c>
      <c r="Q24" s="68">
        <v>0.61508339061299999</v>
      </c>
    </row>
    <row r="25" spans="1:17" ht="14.4" customHeight="1" x14ac:dyDescent="0.3">
      <c r="A25" s="17" t="s">
        <v>37</v>
      </c>
      <c r="B25" s="49">
        <v>3515.8325079884999</v>
      </c>
      <c r="C25" s="50">
        <v>292.98604233237501</v>
      </c>
      <c r="D25" s="50">
        <v>253.99203</v>
      </c>
      <c r="E25" s="50">
        <v>309.42572000000001</v>
      </c>
      <c r="F25" s="50">
        <v>267.39154000000002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830.80929000000003</v>
      </c>
      <c r="Q25" s="69">
        <v>0.94522055656699999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41.745440000000002</v>
      </c>
      <c r="E26" s="47">
        <v>31.823250000000002</v>
      </c>
      <c r="F26" s="47">
        <v>33.845379999999999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107.41407</v>
      </c>
      <c r="Q26" s="68" t="s">
        <v>178</v>
      </c>
    </row>
    <row r="27" spans="1:17" ht="14.4" customHeight="1" x14ac:dyDescent="0.3">
      <c r="A27" s="18" t="s">
        <v>39</v>
      </c>
      <c r="B27" s="49">
        <v>3515.8325079884999</v>
      </c>
      <c r="C27" s="50">
        <v>292.98604233237501</v>
      </c>
      <c r="D27" s="50">
        <v>295.73746999999997</v>
      </c>
      <c r="E27" s="50">
        <v>341.24896999999999</v>
      </c>
      <c r="F27" s="50">
        <v>301.23692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938.22335999999996</v>
      </c>
      <c r="Q27" s="69">
        <v>1.067426685279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12.5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178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10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178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168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80" t="s">
        <v>45</v>
      </c>
      <c r="B1" s="280"/>
      <c r="C1" s="280"/>
      <c r="D1" s="280"/>
      <c r="E1" s="280"/>
      <c r="F1" s="280"/>
      <c r="G1" s="280"/>
      <c r="H1" s="285"/>
      <c r="I1" s="285"/>
      <c r="J1" s="285"/>
      <c r="K1" s="285"/>
    </row>
    <row r="2" spans="1:11" s="55" customFormat="1" ht="14.4" customHeight="1" thickBot="1" x14ac:dyDescent="0.35">
      <c r="A2" s="174" t="s">
        <v>177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81" t="s">
        <v>46</v>
      </c>
      <c r="C3" s="282"/>
      <c r="D3" s="282"/>
      <c r="E3" s="282"/>
      <c r="F3" s="288" t="s">
        <v>47</v>
      </c>
      <c r="G3" s="282"/>
      <c r="H3" s="282"/>
      <c r="I3" s="282"/>
      <c r="J3" s="282"/>
      <c r="K3" s="289"/>
    </row>
    <row r="4" spans="1:11" ht="14.4" customHeight="1" x14ac:dyDescent="0.3">
      <c r="A4" s="59"/>
      <c r="B4" s="286"/>
      <c r="C4" s="287"/>
      <c r="D4" s="287"/>
      <c r="E4" s="287"/>
      <c r="F4" s="290" t="s">
        <v>173</v>
      </c>
      <c r="G4" s="292" t="s">
        <v>48</v>
      </c>
      <c r="H4" s="107" t="s">
        <v>80</v>
      </c>
      <c r="I4" s="290" t="s">
        <v>49</v>
      </c>
      <c r="J4" s="292" t="s">
        <v>150</v>
      </c>
      <c r="K4" s="293" t="s">
        <v>175</v>
      </c>
    </row>
    <row r="5" spans="1:11" ht="42" thickBot="1" x14ac:dyDescent="0.35">
      <c r="A5" s="60"/>
      <c r="B5" s="24" t="s">
        <v>169</v>
      </c>
      <c r="C5" s="25" t="s">
        <v>170</v>
      </c>
      <c r="D5" s="26" t="s">
        <v>171</v>
      </c>
      <c r="E5" s="26" t="s">
        <v>172</v>
      </c>
      <c r="F5" s="291"/>
      <c r="G5" s="291"/>
      <c r="H5" s="25" t="s">
        <v>174</v>
      </c>
      <c r="I5" s="291"/>
      <c r="J5" s="291"/>
      <c r="K5" s="294"/>
    </row>
    <row r="6" spans="1:11" ht="14.4" customHeight="1" thickBot="1" x14ac:dyDescent="0.35">
      <c r="A6" s="336" t="s">
        <v>180</v>
      </c>
      <c r="B6" s="318">
        <v>3202.5179271054199</v>
      </c>
      <c r="C6" s="318">
        <v>3482.0374900000002</v>
      </c>
      <c r="D6" s="319">
        <v>279.51956289458201</v>
      </c>
      <c r="E6" s="320">
        <v>1.0872811860089999</v>
      </c>
      <c r="F6" s="318">
        <v>3515.8325079884999</v>
      </c>
      <c r="G6" s="319">
        <v>878.95812699712496</v>
      </c>
      <c r="H6" s="321">
        <v>267.39154000000002</v>
      </c>
      <c r="I6" s="318">
        <v>830.80929000000003</v>
      </c>
      <c r="J6" s="319">
        <v>-48.148836997124</v>
      </c>
      <c r="K6" s="322">
        <v>0.23630513914099999</v>
      </c>
    </row>
    <row r="7" spans="1:11" ht="14.4" customHeight="1" thickBot="1" x14ac:dyDescent="0.35">
      <c r="A7" s="337" t="s">
        <v>181</v>
      </c>
      <c r="B7" s="318">
        <v>373.09631466503902</v>
      </c>
      <c r="C7" s="318">
        <v>314.54642999999999</v>
      </c>
      <c r="D7" s="319">
        <v>-58.549884665038</v>
      </c>
      <c r="E7" s="320">
        <v>0.84307032161999995</v>
      </c>
      <c r="F7" s="318">
        <v>366.22676876804297</v>
      </c>
      <c r="G7" s="319">
        <v>91.556692192010004</v>
      </c>
      <c r="H7" s="321">
        <v>19.39123</v>
      </c>
      <c r="I7" s="318">
        <v>83.239140000000006</v>
      </c>
      <c r="J7" s="319">
        <v>-8.31755219201</v>
      </c>
      <c r="K7" s="322">
        <v>0.227288519296</v>
      </c>
    </row>
    <row r="8" spans="1:11" ht="14.4" customHeight="1" thickBot="1" x14ac:dyDescent="0.35">
      <c r="A8" s="338" t="s">
        <v>182</v>
      </c>
      <c r="B8" s="318">
        <v>263.41228911355603</v>
      </c>
      <c r="C8" s="318">
        <v>217.59343000000001</v>
      </c>
      <c r="D8" s="319">
        <v>-45.818859113556002</v>
      </c>
      <c r="E8" s="320">
        <v>0.82605648632499995</v>
      </c>
      <c r="F8" s="318">
        <v>270.34048188866501</v>
      </c>
      <c r="G8" s="319">
        <v>67.585120472165997</v>
      </c>
      <c r="H8" s="321">
        <v>9.4402299999999997</v>
      </c>
      <c r="I8" s="318">
        <v>51.790140000000001</v>
      </c>
      <c r="J8" s="319">
        <v>-15.794980472165999</v>
      </c>
      <c r="K8" s="322">
        <v>0.19157375039800001</v>
      </c>
    </row>
    <row r="9" spans="1:11" ht="14.4" customHeight="1" thickBot="1" x14ac:dyDescent="0.35">
      <c r="A9" s="339" t="s">
        <v>183</v>
      </c>
      <c r="B9" s="323">
        <v>0</v>
      </c>
      <c r="C9" s="323">
        <v>0.40909000000000001</v>
      </c>
      <c r="D9" s="324">
        <v>0.40909000000000001</v>
      </c>
      <c r="E9" s="325" t="s">
        <v>184</v>
      </c>
      <c r="F9" s="323">
        <v>5</v>
      </c>
      <c r="G9" s="324">
        <v>1.25</v>
      </c>
      <c r="H9" s="326">
        <v>0</v>
      </c>
      <c r="I9" s="323">
        <v>0.15182999999999999</v>
      </c>
      <c r="J9" s="324">
        <v>-1.0981700000000001</v>
      </c>
      <c r="K9" s="327">
        <v>3.0366000000000001E-2</v>
      </c>
    </row>
    <row r="10" spans="1:11" ht="14.4" customHeight="1" thickBot="1" x14ac:dyDescent="0.35">
      <c r="A10" s="340" t="s">
        <v>185</v>
      </c>
      <c r="B10" s="318">
        <v>0</v>
      </c>
      <c r="C10" s="318">
        <v>0.40909000000000001</v>
      </c>
      <c r="D10" s="319">
        <v>0.40909000000000001</v>
      </c>
      <c r="E10" s="328" t="s">
        <v>184</v>
      </c>
      <c r="F10" s="318">
        <v>5</v>
      </c>
      <c r="G10" s="319">
        <v>1.25</v>
      </c>
      <c r="H10" s="321">
        <v>0</v>
      </c>
      <c r="I10" s="318">
        <v>0.15182999999999999</v>
      </c>
      <c r="J10" s="319">
        <v>-1.0981700000000001</v>
      </c>
      <c r="K10" s="322">
        <v>3.0366000000000001E-2</v>
      </c>
    </row>
    <row r="11" spans="1:11" ht="14.4" customHeight="1" thickBot="1" x14ac:dyDescent="0.35">
      <c r="A11" s="339" t="s">
        <v>186</v>
      </c>
      <c r="B11" s="323">
        <v>66.807997927206998</v>
      </c>
      <c r="C11" s="323">
        <v>54.455660000000002</v>
      </c>
      <c r="D11" s="324">
        <v>-12.352337927207</v>
      </c>
      <c r="E11" s="329">
        <v>0.81510689871700004</v>
      </c>
      <c r="F11" s="323">
        <v>67.142018508072994</v>
      </c>
      <c r="G11" s="324">
        <v>16.785504627018</v>
      </c>
      <c r="H11" s="326">
        <v>5.2</v>
      </c>
      <c r="I11" s="323">
        <v>13.95096</v>
      </c>
      <c r="J11" s="324">
        <v>-2.8345446270179999</v>
      </c>
      <c r="K11" s="327">
        <v>0.20778285059000001</v>
      </c>
    </row>
    <row r="12" spans="1:11" ht="14.4" customHeight="1" thickBot="1" x14ac:dyDescent="0.35">
      <c r="A12" s="340" t="s">
        <v>187</v>
      </c>
      <c r="B12" s="318">
        <v>62.999998015651997</v>
      </c>
      <c r="C12" s="318">
        <v>51.661560000000001</v>
      </c>
      <c r="D12" s="319">
        <v>-11.338438015652001</v>
      </c>
      <c r="E12" s="320">
        <v>0.82002478773300003</v>
      </c>
      <c r="F12" s="318">
        <v>63.000017366306999</v>
      </c>
      <c r="G12" s="319">
        <v>15.750004341576</v>
      </c>
      <c r="H12" s="321">
        <v>5.2</v>
      </c>
      <c r="I12" s="318">
        <v>13.95096</v>
      </c>
      <c r="J12" s="319">
        <v>-1.799044341576</v>
      </c>
      <c r="K12" s="322">
        <v>0.22144374848100001</v>
      </c>
    </row>
    <row r="13" spans="1:11" ht="14.4" customHeight="1" thickBot="1" x14ac:dyDescent="0.35">
      <c r="A13" s="340" t="s">
        <v>188</v>
      </c>
      <c r="B13" s="318">
        <v>3.6619999161529999</v>
      </c>
      <c r="C13" s="318">
        <v>2.6520999999999999</v>
      </c>
      <c r="D13" s="319">
        <v>-1.009899916153</v>
      </c>
      <c r="E13" s="320">
        <v>0.72422175333700001</v>
      </c>
      <c r="F13" s="318">
        <v>4.0000011026219999</v>
      </c>
      <c r="G13" s="319">
        <v>1.0000002756549999</v>
      </c>
      <c r="H13" s="321">
        <v>0</v>
      </c>
      <c r="I13" s="318">
        <v>0</v>
      </c>
      <c r="J13" s="319">
        <v>-1.0000002756549999</v>
      </c>
      <c r="K13" s="322">
        <v>0</v>
      </c>
    </row>
    <row r="14" spans="1:11" ht="14.4" customHeight="1" thickBot="1" x14ac:dyDescent="0.35">
      <c r="A14" s="340" t="s">
        <v>189</v>
      </c>
      <c r="B14" s="318">
        <v>0.145999995401</v>
      </c>
      <c r="C14" s="318">
        <v>0.14199999999999999</v>
      </c>
      <c r="D14" s="319">
        <v>-3.9999954009999998E-3</v>
      </c>
      <c r="E14" s="320">
        <v>0.97260277035999998</v>
      </c>
      <c r="F14" s="318">
        <v>0.142000039143</v>
      </c>
      <c r="G14" s="319">
        <v>3.5500009785000002E-2</v>
      </c>
      <c r="H14" s="321">
        <v>0</v>
      </c>
      <c r="I14" s="318">
        <v>0</v>
      </c>
      <c r="J14" s="319">
        <v>-3.5500009785000002E-2</v>
      </c>
      <c r="K14" s="322">
        <v>0</v>
      </c>
    </row>
    <row r="15" spans="1:11" ht="14.4" customHeight="1" thickBot="1" x14ac:dyDescent="0.35">
      <c r="A15" s="339" t="s">
        <v>190</v>
      </c>
      <c r="B15" s="323">
        <v>196.60429118634801</v>
      </c>
      <c r="C15" s="323">
        <v>160.70332999999999</v>
      </c>
      <c r="D15" s="324">
        <v>-35.900961186347999</v>
      </c>
      <c r="E15" s="329">
        <v>0.81739482404099995</v>
      </c>
      <c r="F15" s="323">
        <v>196.361962877455</v>
      </c>
      <c r="G15" s="324">
        <v>49.090490719362997</v>
      </c>
      <c r="H15" s="326">
        <v>4.2402300000000004</v>
      </c>
      <c r="I15" s="323">
        <v>37.687350000000002</v>
      </c>
      <c r="J15" s="324">
        <v>-11.403140719363</v>
      </c>
      <c r="K15" s="327">
        <v>0.19192795512800001</v>
      </c>
    </row>
    <row r="16" spans="1:11" ht="14.4" customHeight="1" thickBot="1" x14ac:dyDescent="0.35">
      <c r="A16" s="340" t="s">
        <v>191</v>
      </c>
      <c r="B16" s="318">
        <v>7.226520767657</v>
      </c>
      <c r="C16" s="318">
        <v>0</v>
      </c>
      <c r="D16" s="319">
        <v>-7.226520767657</v>
      </c>
      <c r="E16" s="320">
        <v>0</v>
      </c>
      <c r="F16" s="318">
        <v>0</v>
      </c>
      <c r="G16" s="319">
        <v>0</v>
      </c>
      <c r="H16" s="321">
        <v>0</v>
      </c>
      <c r="I16" s="318">
        <v>0</v>
      </c>
      <c r="J16" s="319">
        <v>0</v>
      </c>
      <c r="K16" s="322">
        <v>3</v>
      </c>
    </row>
    <row r="17" spans="1:11" ht="14.4" customHeight="1" thickBot="1" x14ac:dyDescent="0.35">
      <c r="A17" s="340" t="s">
        <v>192</v>
      </c>
      <c r="B17" s="318">
        <v>3.001286075696</v>
      </c>
      <c r="C17" s="318">
        <v>1.2084699999999999</v>
      </c>
      <c r="D17" s="319">
        <v>-1.7928160756960001</v>
      </c>
      <c r="E17" s="320">
        <v>0.40265072023100001</v>
      </c>
      <c r="F17" s="318">
        <v>1.22162843024</v>
      </c>
      <c r="G17" s="319">
        <v>0.30540710756</v>
      </c>
      <c r="H17" s="321">
        <v>1.0639099999999999</v>
      </c>
      <c r="I17" s="318">
        <v>1.0639099999999999</v>
      </c>
      <c r="J17" s="319">
        <v>0.75850289243900004</v>
      </c>
      <c r="K17" s="322">
        <v>0.87089492489099996</v>
      </c>
    </row>
    <row r="18" spans="1:11" ht="14.4" customHeight="1" thickBot="1" x14ac:dyDescent="0.35">
      <c r="A18" s="340" t="s">
        <v>193</v>
      </c>
      <c r="B18" s="318">
        <v>3.9999998740090001</v>
      </c>
      <c r="C18" s="318">
        <v>6.2113699999999996</v>
      </c>
      <c r="D18" s="319">
        <v>2.2113701259899998</v>
      </c>
      <c r="E18" s="320">
        <v>1.55284254891</v>
      </c>
      <c r="F18" s="318">
        <v>7.2780115299729999</v>
      </c>
      <c r="G18" s="319">
        <v>1.819502882493</v>
      </c>
      <c r="H18" s="321">
        <v>0</v>
      </c>
      <c r="I18" s="318">
        <v>0.94733000000000001</v>
      </c>
      <c r="J18" s="319">
        <v>-0.87217288249299996</v>
      </c>
      <c r="K18" s="322">
        <v>0.13016330025</v>
      </c>
    </row>
    <row r="19" spans="1:11" ht="14.4" customHeight="1" thickBot="1" x14ac:dyDescent="0.35">
      <c r="A19" s="340" t="s">
        <v>194</v>
      </c>
      <c r="B19" s="318">
        <v>0</v>
      </c>
      <c r="C19" s="318">
        <v>0.18099999999999999</v>
      </c>
      <c r="D19" s="319">
        <v>0.18099999999999999</v>
      </c>
      <c r="E19" s="328" t="s">
        <v>178</v>
      </c>
      <c r="F19" s="318">
        <v>0.19923773413400001</v>
      </c>
      <c r="G19" s="319">
        <v>4.9809433532999998E-2</v>
      </c>
      <c r="H19" s="321">
        <v>0</v>
      </c>
      <c r="I19" s="318">
        <v>0</v>
      </c>
      <c r="J19" s="319">
        <v>-4.9809433532999998E-2</v>
      </c>
      <c r="K19" s="322">
        <v>0</v>
      </c>
    </row>
    <row r="20" spans="1:11" ht="14.4" customHeight="1" thickBot="1" x14ac:dyDescent="0.35">
      <c r="A20" s="340" t="s">
        <v>195</v>
      </c>
      <c r="B20" s="318">
        <v>177.999994393431</v>
      </c>
      <c r="C20" s="318">
        <v>149.80509000000001</v>
      </c>
      <c r="D20" s="319">
        <v>-28.194904393430999</v>
      </c>
      <c r="E20" s="320">
        <v>0.84160165572099999</v>
      </c>
      <c r="F20" s="318">
        <v>182.78506856060901</v>
      </c>
      <c r="G20" s="319">
        <v>45.696267140152003</v>
      </c>
      <c r="H20" s="321">
        <v>3.17632</v>
      </c>
      <c r="I20" s="318">
        <v>34.57743</v>
      </c>
      <c r="J20" s="319">
        <v>-11.118837140151999</v>
      </c>
      <c r="K20" s="322">
        <v>0.189169882815</v>
      </c>
    </row>
    <row r="21" spans="1:11" ht="14.4" customHeight="1" thickBot="1" x14ac:dyDescent="0.35">
      <c r="A21" s="340" t="s">
        <v>196</v>
      </c>
      <c r="B21" s="318">
        <v>2.3764901385480002</v>
      </c>
      <c r="C21" s="318">
        <v>2.35345</v>
      </c>
      <c r="D21" s="319">
        <v>-2.3040138548000001E-2</v>
      </c>
      <c r="E21" s="320">
        <v>0.99030497195199996</v>
      </c>
      <c r="F21" s="318">
        <v>4.2519098633689998</v>
      </c>
      <c r="G21" s="319">
        <v>1.0629774658419999</v>
      </c>
      <c r="H21" s="321">
        <v>0</v>
      </c>
      <c r="I21" s="318">
        <v>1.0986800000000001</v>
      </c>
      <c r="J21" s="319">
        <v>3.5702534156999997E-2</v>
      </c>
      <c r="K21" s="322">
        <v>0.25839682291100002</v>
      </c>
    </row>
    <row r="22" spans="1:11" ht="14.4" customHeight="1" thickBot="1" x14ac:dyDescent="0.35">
      <c r="A22" s="340" t="s">
        <v>197</v>
      </c>
      <c r="B22" s="318">
        <v>1.999999937004</v>
      </c>
      <c r="C22" s="318">
        <v>0.94394999999999996</v>
      </c>
      <c r="D22" s="319">
        <v>-1.056049937004</v>
      </c>
      <c r="E22" s="320">
        <v>0.47197501486600002</v>
      </c>
      <c r="F22" s="318">
        <v>0.62610675912699998</v>
      </c>
      <c r="G22" s="319">
        <v>0.15652668978100001</v>
      </c>
      <c r="H22" s="321">
        <v>0</v>
      </c>
      <c r="I22" s="318">
        <v>0</v>
      </c>
      <c r="J22" s="319">
        <v>-0.15652668978100001</v>
      </c>
      <c r="K22" s="322">
        <v>0</v>
      </c>
    </row>
    <row r="23" spans="1:11" ht="14.4" customHeight="1" thickBot="1" x14ac:dyDescent="0.35">
      <c r="A23" s="339" t="s">
        <v>198</v>
      </c>
      <c r="B23" s="323">
        <v>0</v>
      </c>
      <c r="C23" s="323">
        <v>0.25413000000000002</v>
      </c>
      <c r="D23" s="324">
        <v>0.25413000000000002</v>
      </c>
      <c r="E23" s="325" t="s">
        <v>178</v>
      </c>
      <c r="F23" s="323">
        <v>0.29511007100100001</v>
      </c>
      <c r="G23" s="324">
        <v>7.3777517749999993E-2</v>
      </c>
      <c r="H23" s="326">
        <v>0</v>
      </c>
      <c r="I23" s="323">
        <v>0</v>
      </c>
      <c r="J23" s="324">
        <v>-7.3777517749999993E-2</v>
      </c>
      <c r="K23" s="327">
        <v>0</v>
      </c>
    </row>
    <row r="24" spans="1:11" ht="14.4" customHeight="1" thickBot="1" x14ac:dyDescent="0.35">
      <c r="A24" s="340" t="s">
        <v>199</v>
      </c>
      <c r="B24" s="318">
        <v>0</v>
      </c>
      <c r="C24" s="318">
        <v>0.25413000000000002</v>
      </c>
      <c r="D24" s="319">
        <v>0.25413000000000002</v>
      </c>
      <c r="E24" s="328" t="s">
        <v>178</v>
      </c>
      <c r="F24" s="318">
        <v>0.29511007100100001</v>
      </c>
      <c r="G24" s="319">
        <v>7.3777517749999993E-2</v>
      </c>
      <c r="H24" s="321">
        <v>0</v>
      </c>
      <c r="I24" s="318">
        <v>0</v>
      </c>
      <c r="J24" s="319">
        <v>-7.3777517749999993E-2</v>
      </c>
      <c r="K24" s="322">
        <v>0</v>
      </c>
    </row>
    <row r="25" spans="1:11" ht="14.4" customHeight="1" thickBot="1" x14ac:dyDescent="0.35">
      <c r="A25" s="339" t="s">
        <v>200</v>
      </c>
      <c r="B25" s="323">
        <v>0</v>
      </c>
      <c r="C25" s="323">
        <v>1.77122</v>
      </c>
      <c r="D25" s="324">
        <v>1.77122</v>
      </c>
      <c r="E25" s="325" t="s">
        <v>178</v>
      </c>
      <c r="F25" s="323">
        <v>1.541390432134</v>
      </c>
      <c r="G25" s="324">
        <v>0.385347608033</v>
      </c>
      <c r="H25" s="326">
        <v>0</v>
      </c>
      <c r="I25" s="323">
        <v>0</v>
      </c>
      <c r="J25" s="324">
        <v>-0.385347608033</v>
      </c>
      <c r="K25" s="327">
        <v>0</v>
      </c>
    </row>
    <row r="26" spans="1:11" ht="14.4" customHeight="1" thickBot="1" x14ac:dyDescent="0.35">
      <c r="A26" s="340" t="s">
        <v>201</v>
      </c>
      <c r="B26" s="318">
        <v>0</v>
      </c>
      <c r="C26" s="318">
        <v>1.56453</v>
      </c>
      <c r="D26" s="319">
        <v>1.56453</v>
      </c>
      <c r="E26" s="328" t="s">
        <v>178</v>
      </c>
      <c r="F26" s="318">
        <v>1.33786332154</v>
      </c>
      <c r="G26" s="319">
        <v>0.334465830385</v>
      </c>
      <c r="H26" s="321">
        <v>0</v>
      </c>
      <c r="I26" s="318">
        <v>0</v>
      </c>
      <c r="J26" s="319">
        <v>-0.334465830385</v>
      </c>
      <c r="K26" s="322">
        <v>0</v>
      </c>
    </row>
    <row r="27" spans="1:11" ht="14.4" customHeight="1" thickBot="1" x14ac:dyDescent="0.35">
      <c r="A27" s="340" t="s">
        <v>202</v>
      </c>
      <c r="B27" s="318">
        <v>0</v>
      </c>
      <c r="C27" s="318">
        <v>7.9640000000000002E-2</v>
      </c>
      <c r="D27" s="319">
        <v>7.9640000000000002E-2</v>
      </c>
      <c r="E27" s="328" t="s">
        <v>184</v>
      </c>
      <c r="F27" s="318">
        <v>7.9894722599999995E-2</v>
      </c>
      <c r="G27" s="319">
        <v>1.9973680649999999E-2</v>
      </c>
      <c r="H27" s="321">
        <v>0</v>
      </c>
      <c r="I27" s="318">
        <v>0</v>
      </c>
      <c r="J27" s="319">
        <v>-1.9973680649999999E-2</v>
      </c>
      <c r="K27" s="322">
        <v>0</v>
      </c>
    </row>
    <row r="28" spans="1:11" ht="14.4" customHeight="1" thickBot="1" x14ac:dyDescent="0.35">
      <c r="A28" s="340" t="s">
        <v>203</v>
      </c>
      <c r="B28" s="318">
        <v>0</v>
      </c>
      <c r="C28" s="318">
        <v>0.12705</v>
      </c>
      <c r="D28" s="319">
        <v>0.12705</v>
      </c>
      <c r="E28" s="328" t="s">
        <v>184</v>
      </c>
      <c r="F28" s="318">
        <v>0.123632387993</v>
      </c>
      <c r="G28" s="319">
        <v>3.0908096998000002E-2</v>
      </c>
      <c r="H28" s="321">
        <v>0</v>
      </c>
      <c r="I28" s="318">
        <v>0</v>
      </c>
      <c r="J28" s="319">
        <v>-3.0908096998000002E-2</v>
      </c>
      <c r="K28" s="322">
        <v>0</v>
      </c>
    </row>
    <row r="29" spans="1:11" ht="14.4" customHeight="1" thickBot="1" x14ac:dyDescent="0.35">
      <c r="A29" s="338" t="s">
        <v>26</v>
      </c>
      <c r="B29" s="318">
        <v>109.68402555148199</v>
      </c>
      <c r="C29" s="318">
        <v>96.953000000000003</v>
      </c>
      <c r="D29" s="319">
        <v>-12.731025551482</v>
      </c>
      <c r="E29" s="320">
        <v>0.88392999356500002</v>
      </c>
      <c r="F29" s="318">
        <v>95.886286879378005</v>
      </c>
      <c r="G29" s="319">
        <v>23.971571719844</v>
      </c>
      <c r="H29" s="321">
        <v>9.9510000000000005</v>
      </c>
      <c r="I29" s="318">
        <v>31.449000000000002</v>
      </c>
      <c r="J29" s="319">
        <v>7.4774282801550003</v>
      </c>
      <c r="K29" s="322">
        <v>0.327982248802</v>
      </c>
    </row>
    <row r="30" spans="1:11" ht="14.4" customHeight="1" thickBot="1" x14ac:dyDescent="0.35">
      <c r="A30" s="339" t="s">
        <v>204</v>
      </c>
      <c r="B30" s="323">
        <v>109.68402555148199</v>
      </c>
      <c r="C30" s="323">
        <v>96.953000000000003</v>
      </c>
      <c r="D30" s="324">
        <v>-12.731025551482</v>
      </c>
      <c r="E30" s="329">
        <v>0.88392999356500002</v>
      </c>
      <c r="F30" s="323">
        <v>95.886286879378005</v>
      </c>
      <c r="G30" s="324">
        <v>23.971571719844</v>
      </c>
      <c r="H30" s="326">
        <v>9.9510000000000005</v>
      </c>
      <c r="I30" s="323">
        <v>31.449000000000002</v>
      </c>
      <c r="J30" s="324">
        <v>7.4774282801550003</v>
      </c>
      <c r="K30" s="327">
        <v>0.327982248802</v>
      </c>
    </row>
    <row r="31" spans="1:11" ht="14.4" customHeight="1" thickBot="1" x14ac:dyDescent="0.35">
      <c r="A31" s="340" t="s">
        <v>205</v>
      </c>
      <c r="B31" s="318">
        <v>55</v>
      </c>
      <c r="C31" s="318">
        <v>42.222999999999999</v>
      </c>
      <c r="D31" s="319">
        <v>-12.776999999999999</v>
      </c>
      <c r="E31" s="320">
        <v>0.76769090909000004</v>
      </c>
      <c r="F31" s="318">
        <v>41.660858955046002</v>
      </c>
      <c r="G31" s="319">
        <v>10.415214738761</v>
      </c>
      <c r="H31" s="321">
        <v>3.137</v>
      </c>
      <c r="I31" s="318">
        <v>9.4220000000000006</v>
      </c>
      <c r="J31" s="319">
        <v>-0.99321473876099997</v>
      </c>
      <c r="K31" s="322">
        <v>0.22615952326200001</v>
      </c>
    </row>
    <row r="32" spans="1:11" ht="14.4" customHeight="1" thickBot="1" x14ac:dyDescent="0.35">
      <c r="A32" s="340" t="s">
        <v>206</v>
      </c>
      <c r="B32" s="318">
        <v>8.4357324226639996</v>
      </c>
      <c r="C32" s="318">
        <v>7.1429999999999998</v>
      </c>
      <c r="D32" s="319">
        <v>-1.292732422664</v>
      </c>
      <c r="E32" s="320">
        <v>0.84675516506500004</v>
      </c>
      <c r="F32" s="318">
        <v>7.2950225986210002</v>
      </c>
      <c r="G32" s="319">
        <v>1.823755649655</v>
      </c>
      <c r="H32" s="321">
        <v>0.69199999999999995</v>
      </c>
      <c r="I32" s="318">
        <v>2.0070000000000001</v>
      </c>
      <c r="J32" s="319">
        <v>0.183244350344</v>
      </c>
      <c r="K32" s="322">
        <v>0.27511909289699998</v>
      </c>
    </row>
    <row r="33" spans="1:11" ht="14.4" customHeight="1" thickBot="1" x14ac:dyDescent="0.35">
      <c r="A33" s="340" t="s">
        <v>207</v>
      </c>
      <c r="B33" s="318">
        <v>45.999998551110998</v>
      </c>
      <c r="C33" s="318">
        <v>47.587000000000003</v>
      </c>
      <c r="D33" s="319">
        <v>1.587001448888</v>
      </c>
      <c r="E33" s="320">
        <v>1.0345000325839999</v>
      </c>
      <c r="F33" s="318">
        <v>46.930405325709998</v>
      </c>
      <c r="G33" s="319">
        <v>11.732601331427</v>
      </c>
      <c r="H33" s="321">
        <v>6.1219999999999999</v>
      </c>
      <c r="I33" s="318">
        <v>20.02</v>
      </c>
      <c r="J33" s="319">
        <v>8.2873986685719991</v>
      </c>
      <c r="K33" s="322">
        <v>0.42658911341200001</v>
      </c>
    </row>
    <row r="34" spans="1:11" ht="14.4" customHeight="1" thickBot="1" x14ac:dyDescent="0.35">
      <c r="A34" s="340" t="s">
        <v>208</v>
      </c>
      <c r="B34" s="318">
        <v>0.248294577706</v>
      </c>
      <c r="C34" s="318">
        <v>0</v>
      </c>
      <c r="D34" s="319">
        <v>-0.248294577706</v>
      </c>
      <c r="E34" s="320">
        <v>0</v>
      </c>
      <c r="F34" s="318">
        <v>0</v>
      </c>
      <c r="G34" s="319">
        <v>0</v>
      </c>
      <c r="H34" s="321">
        <v>0</v>
      </c>
      <c r="I34" s="318">
        <v>0</v>
      </c>
      <c r="J34" s="319">
        <v>0</v>
      </c>
      <c r="K34" s="322">
        <v>3</v>
      </c>
    </row>
    <row r="35" spans="1:11" ht="14.4" customHeight="1" thickBot="1" x14ac:dyDescent="0.35">
      <c r="A35" s="341" t="s">
        <v>209</v>
      </c>
      <c r="B35" s="323">
        <v>189.421695593983</v>
      </c>
      <c r="C35" s="323">
        <v>206.61883</v>
      </c>
      <c r="D35" s="324">
        <v>17.197134406017</v>
      </c>
      <c r="E35" s="329">
        <v>1.090787564497</v>
      </c>
      <c r="F35" s="323">
        <v>236.41299044415001</v>
      </c>
      <c r="G35" s="324">
        <v>59.103247611036998</v>
      </c>
      <c r="H35" s="326">
        <v>13.7324</v>
      </c>
      <c r="I35" s="323">
        <v>45.436419999999998</v>
      </c>
      <c r="J35" s="324">
        <v>-13.666827611037</v>
      </c>
      <c r="K35" s="327">
        <v>0.192190877136</v>
      </c>
    </row>
    <row r="36" spans="1:11" ht="14.4" customHeight="1" thickBot="1" x14ac:dyDescent="0.35">
      <c r="A36" s="338" t="s">
        <v>29</v>
      </c>
      <c r="B36" s="318">
        <v>13.562344242715</v>
      </c>
      <c r="C36" s="318">
        <v>28.67568</v>
      </c>
      <c r="D36" s="319">
        <v>15.113335757284</v>
      </c>
      <c r="E36" s="320">
        <v>2.114360134709</v>
      </c>
      <c r="F36" s="318">
        <v>49.981251862370002</v>
      </c>
      <c r="G36" s="319">
        <v>12.495312965591999</v>
      </c>
      <c r="H36" s="321">
        <v>0.94755</v>
      </c>
      <c r="I36" s="318">
        <v>1.25387</v>
      </c>
      <c r="J36" s="319">
        <v>-11.241442965592</v>
      </c>
      <c r="K36" s="322">
        <v>2.5086806618000002E-2</v>
      </c>
    </row>
    <row r="37" spans="1:11" ht="14.4" customHeight="1" thickBot="1" x14ac:dyDescent="0.35">
      <c r="A37" s="342" t="s">
        <v>210</v>
      </c>
      <c r="B37" s="318">
        <v>13.562344242715</v>
      </c>
      <c r="C37" s="318">
        <v>28.67568</v>
      </c>
      <c r="D37" s="319">
        <v>15.113335757284</v>
      </c>
      <c r="E37" s="320">
        <v>2.114360134709</v>
      </c>
      <c r="F37" s="318">
        <v>49.981251862370002</v>
      </c>
      <c r="G37" s="319">
        <v>12.495312965591999</v>
      </c>
      <c r="H37" s="321">
        <v>0.94755</v>
      </c>
      <c r="I37" s="318">
        <v>1.25387</v>
      </c>
      <c r="J37" s="319">
        <v>-11.241442965592</v>
      </c>
      <c r="K37" s="322">
        <v>2.5086806618000002E-2</v>
      </c>
    </row>
    <row r="38" spans="1:11" ht="14.4" customHeight="1" thickBot="1" x14ac:dyDescent="0.35">
      <c r="A38" s="340" t="s">
        <v>211</v>
      </c>
      <c r="B38" s="318">
        <v>0</v>
      </c>
      <c r="C38" s="318">
        <v>27.225000000000001</v>
      </c>
      <c r="D38" s="319">
        <v>27.225000000000001</v>
      </c>
      <c r="E38" s="328" t="s">
        <v>184</v>
      </c>
      <c r="F38" s="318">
        <v>48.650717712033</v>
      </c>
      <c r="G38" s="319">
        <v>12.162679428008</v>
      </c>
      <c r="H38" s="321">
        <v>0</v>
      </c>
      <c r="I38" s="318">
        <v>0</v>
      </c>
      <c r="J38" s="319">
        <v>-12.162679428008</v>
      </c>
      <c r="K38" s="322">
        <v>0</v>
      </c>
    </row>
    <row r="39" spans="1:11" ht="14.4" customHeight="1" thickBot="1" x14ac:dyDescent="0.35">
      <c r="A39" s="340" t="s">
        <v>212</v>
      </c>
      <c r="B39" s="318">
        <v>0</v>
      </c>
      <c r="C39" s="318">
        <v>0.93169999999999997</v>
      </c>
      <c r="D39" s="319">
        <v>0.93169999999999997</v>
      </c>
      <c r="E39" s="328" t="s">
        <v>178</v>
      </c>
      <c r="F39" s="318">
        <v>0.95746003283199999</v>
      </c>
      <c r="G39" s="319">
        <v>0.239365008208</v>
      </c>
      <c r="H39" s="321">
        <v>0.94755</v>
      </c>
      <c r="I39" s="318">
        <v>0.94755</v>
      </c>
      <c r="J39" s="319">
        <v>0.70818499179100003</v>
      </c>
      <c r="K39" s="322">
        <v>0.98964966422300005</v>
      </c>
    </row>
    <row r="40" spans="1:11" ht="14.4" customHeight="1" thickBot="1" x14ac:dyDescent="0.35">
      <c r="A40" s="340" t="s">
        <v>213</v>
      </c>
      <c r="B40" s="318">
        <v>13.562344242715</v>
      </c>
      <c r="C40" s="318">
        <v>0.51898</v>
      </c>
      <c r="D40" s="319">
        <v>-13.043364242715001</v>
      </c>
      <c r="E40" s="320">
        <v>3.8266245916000002E-2</v>
      </c>
      <c r="F40" s="318">
        <v>0.37307411750399999</v>
      </c>
      <c r="G40" s="319">
        <v>9.3268529375999998E-2</v>
      </c>
      <c r="H40" s="321">
        <v>0</v>
      </c>
      <c r="I40" s="318">
        <v>0.30631999999999998</v>
      </c>
      <c r="J40" s="319">
        <v>0.21305147062300001</v>
      </c>
      <c r="K40" s="322">
        <v>0.82107009204600001</v>
      </c>
    </row>
    <row r="41" spans="1:11" ht="14.4" customHeight="1" thickBot="1" x14ac:dyDescent="0.35">
      <c r="A41" s="343" t="s">
        <v>30</v>
      </c>
      <c r="B41" s="323">
        <v>0</v>
      </c>
      <c r="C41" s="323">
        <v>14.35</v>
      </c>
      <c r="D41" s="324">
        <v>14.35</v>
      </c>
      <c r="E41" s="325" t="s">
        <v>178</v>
      </c>
      <c r="F41" s="323">
        <v>0</v>
      </c>
      <c r="G41" s="324">
        <v>0</v>
      </c>
      <c r="H41" s="326">
        <v>1.292</v>
      </c>
      <c r="I41" s="323">
        <v>2.3029999999999999</v>
      </c>
      <c r="J41" s="324">
        <v>2.3029999999999999</v>
      </c>
      <c r="K41" s="330" t="s">
        <v>178</v>
      </c>
    </row>
    <row r="42" spans="1:11" ht="14.4" customHeight="1" thickBot="1" x14ac:dyDescent="0.35">
      <c r="A42" s="339" t="s">
        <v>214</v>
      </c>
      <c r="B42" s="323">
        <v>0</v>
      </c>
      <c r="C42" s="323">
        <v>13.72</v>
      </c>
      <c r="D42" s="324">
        <v>13.72</v>
      </c>
      <c r="E42" s="325" t="s">
        <v>178</v>
      </c>
      <c r="F42" s="323">
        <v>0</v>
      </c>
      <c r="G42" s="324">
        <v>0</v>
      </c>
      <c r="H42" s="326">
        <v>1.292</v>
      </c>
      <c r="I42" s="323">
        <v>2.3029999999999999</v>
      </c>
      <c r="J42" s="324">
        <v>2.3029999999999999</v>
      </c>
      <c r="K42" s="330" t="s">
        <v>178</v>
      </c>
    </row>
    <row r="43" spans="1:11" ht="14.4" customHeight="1" thickBot="1" x14ac:dyDescent="0.35">
      <c r="A43" s="340" t="s">
        <v>215</v>
      </c>
      <c r="B43" s="318">
        <v>0</v>
      </c>
      <c r="C43" s="318">
        <v>12.18</v>
      </c>
      <c r="D43" s="319">
        <v>12.18</v>
      </c>
      <c r="E43" s="328" t="s">
        <v>178</v>
      </c>
      <c r="F43" s="318">
        <v>0</v>
      </c>
      <c r="G43" s="319">
        <v>0</v>
      </c>
      <c r="H43" s="321">
        <v>1.292</v>
      </c>
      <c r="I43" s="318">
        <v>2.3029999999999999</v>
      </c>
      <c r="J43" s="319">
        <v>2.3029999999999999</v>
      </c>
      <c r="K43" s="331" t="s">
        <v>178</v>
      </c>
    </row>
    <row r="44" spans="1:11" ht="14.4" customHeight="1" thickBot="1" x14ac:dyDescent="0.35">
      <c r="A44" s="340" t="s">
        <v>216</v>
      </c>
      <c r="B44" s="318">
        <v>0</v>
      </c>
      <c r="C44" s="318">
        <v>1.54</v>
      </c>
      <c r="D44" s="319">
        <v>1.54</v>
      </c>
      <c r="E44" s="328" t="s">
        <v>184</v>
      </c>
      <c r="F44" s="318">
        <v>0</v>
      </c>
      <c r="G44" s="319">
        <v>0</v>
      </c>
      <c r="H44" s="321">
        <v>0</v>
      </c>
      <c r="I44" s="318">
        <v>0</v>
      </c>
      <c r="J44" s="319">
        <v>0</v>
      </c>
      <c r="K44" s="331" t="s">
        <v>178</v>
      </c>
    </row>
    <row r="45" spans="1:11" ht="14.4" customHeight="1" thickBot="1" x14ac:dyDescent="0.35">
      <c r="A45" s="339" t="s">
        <v>217</v>
      </c>
      <c r="B45" s="323">
        <v>0</v>
      </c>
      <c r="C45" s="323">
        <v>0.63</v>
      </c>
      <c r="D45" s="324">
        <v>0.63</v>
      </c>
      <c r="E45" s="325" t="s">
        <v>184</v>
      </c>
      <c r="F45" s="323">
        <v>0</v>
      </c>
      <c r="G45" s="324">
        <v>0</v>
      </c>
      <c r="H45" s="326">
        <v>0</v>
      </c>
      <c r="I45" s="323">
        <v>0</v>
      </c>
      <c r="J45" s="324">
        <v>0</v>
      </c>
      <c r="K45" s="330" t="s">
        <v>178</v>
      </c>
    </row>
    <row r="46" spans="1:11" ht="14.4" customHeight="1" thickBot="1" x14ac:dyDescent="0.35">
      <c r="A46" s="340" t="s">
        <v>218</v>
      </c>
      <c r="B46" s="318">
        <v>0</v>
      </c>
      <c r="C46" s="318">
        <v>0.63</v>
      </c>
      <c r="D46" s="319">
        <v>0.63</v>
      </c>
      <c r="E46" s="328" t="s">
        <v>184</v>
      </c>
      <c r="F46" s="318">
        <v>0</v>
      </c>
      <c r="G46" s="319">
        <v>0</v>
      </c>
      <c r="H46" s="321">
        <v>0</v>
      </c>
      <c r="I46" s="318">
        <v>0</v>
      </c>
      <c r="J46" s="319">
        <v>0</v>
      </c>
      <c r="K46" s="331" t="s">
        <v>178</v>
      </c>
    </row>
    <row r="47" spans="1:11" ht="14.4" customHeight="1" thickBot="1" x14ac:dyDescent="0.35">
      <c r="A47" s="338" t="s">
        <v>31</v>
      </c>
      <c r="B47" s="318">
        <v>175.85935135126701</v>
      </c>
      <c r="C47" s="318">
        <v>163.59315000000001</v>
      </c>
      <c r="D47" s="319">
        <v>-12.266201351266</v>
      </c>
      <c r="E47" s="320">
        <v>0.93024993406900003</v>
      </c>
      <c r="F47" s="318">
        <v>186.43173858178</v>
      </c>
      <c r="G47" s="319">
        <v>46.607934645443997</v>
      </c>
      <c r="H47" s="321">
        <v>11.492850000000001</v>
      </c>
      <c r="I47" s="318">
        <v>41.879550000000002</v>
      </c>
      <c r="J47" s="319">
        <v>-4.7283846454439997</v>
      </c>
      <c r="K47" s="322">
        <v>0.2246374481</v>
      </c>
    </row>
    <row r="48" spans="1:11" ht="14.4" customHeight="1" thickBot="1" x14ac:dyDescent="0.35">
      <c r="A48" s="339" t="s">
        <v>219</v>
      </c>
      <c r="B48" s="323">
        <v>7.6741094639060004</v>
      </c>
      <c r="C48" s="323">
        <v>12.54448</v>
      </c>
      <c r="D48" s="324">
        <v>4.8703705360929996</v>
      </c>
      <c r="E48" s="329">
        <v>1.6346496044909999</v>
      </c>
      <c r="F48" s="323">
        <v>13.846925007012</v>
      </c>
      <c r="G48" s="324">
        <v>3.4617312517530001</v>
      </c>
      <c r="H48" s="326">
        <v>0.80237999999999998</v>
      </c>
      <c r="I48" s="323">
        <v>1.99674</v>
      </c>
      <c r="J48" s="324">
        <v>-1.4649912517529999</v>
      </c>
      <c r="K48" s="327">
        <v>0.14420096873400001</v>
      </c>
    </row>
    <row r="49" spans="1:11" ht="14.4" customHeight="1" thickBot="1" x14ac:dyDescent="0.35">
      <c r="A49" s="340" t="s">
        <v>220</v>
      </c>
      <c r="B49" s="318">
        <v>4.2467717947000001E-2</v>
      </c>
      <c r="C49" s="318">
        <v>0.1416</v>
      </c>
      <c r="D49" s="319">
        <v>9.9132282052000004E-2</v>
      </c>
      <c r="E49" s="320">
        <v>3.3342973637859998</v>
      </c>
      <c r="F49" s="318">
        <v>0.104714108949</v>
      </c>
      <c r="G49" s="319">
        <v>2.6178527237E-2</v>
      </c>
      <c r="H49" s="321">
        <v>9.4999999999999998E-3</v>
      </c>
      <c r="I49" s="318">
        <v>6.6500000000000004E-2</v>
      </c>
      <c r="J49" s="319">
        <v>4.0321472762000002E-2</v>
      </c>
      <c r="K49" s="322">
        <v>0.63506246356700002</v>
      </c>
    </row>
    <row r="50" spans="1:11" ht="14.4" customHeight="1" thickBot="1" x14ac:dyDescent="0.35">
      <c r="A50" s="340" t="s">
        <v>221</v>
      </c>
      <c r="B50" s="318">
        <v>7.6316417459580004</v>
      </c>
      <c r="C50" s="318">
        <v>12.40288</v>
      </c>
      <c r="D50" s="319">
        <v>4.7712382540410001</v>
      </c>
      <c r="E50" s="320">
        <v>1.6251915921710001</v>
      </c>
      <c r="F50" s="318">
        <v>13.742210898062</v>
      </c>
      <c r="G50" s="319">
        <v>3.4355527245149999</v>
      </c>
      <c r="H50" s="321">
        <v>0.79288000000000003</v>
      </c>
      <c r="I50" s="318">
        <v>1.93024</v>
      </c>
      <c r="J50" s="319">
        <v>-1.505312724515</v>
      </c>
      <c r="K50" s="322">
        <v>0.14046065908300001</v>
      </c>
    </row>
    <row r="51" spans="1:11" ht="14.4" customHeight="1" thickBot="1" x14ac:dyDescent="0.35">
      <c r="A51" s="339" t="s">
        <v>222</v>
      </c>
      <c r="B51" s="323">
        <v>1.279806242204</v>
      </c>
      <c r="C51" s="323">
        <v>0.54</v>
      </c>
      <c r="D51" s="324">
        <v>-0.73980624220400004</v>
      </c>
      <c r="E51" s="329">
        <v>0.42193887026900001</v>
      </c>
      <c r="F51" s="323">
        <v>1.0000002756549999</v>
      </c>
      <c r="G51" s="324">
        <v>0.25000006891299997</v>
      </c>
      <c r="H51" s="326">
        <v>0</v>
      </c>
      <c r="I51" s="323">
        <v>0.13500000000000001</v>
      </c>
      <c r="J51" s="324">
        <v>-0.11500006891300001</v>
      </c>
      <c r="K51" s="327">
        <v>0.13499996278599999</v>
      </c>
    </row>
    <row r="52" spans="1:11" ht="14.4" customHeight="1" thickBot="1" x14ac:dyDescent="0.35">
      <c r="A52" s="340" t="s">
        <v>223</v>
      </c>
      <c r="B52" s="318">
        <v>1.279806242204</v>
      </c>
      <c r="C52" s="318">
        <v>0.54</v>
      </c>
      <c r="D52" s="319">
        <v>-0.73980624220400004</v>
      </c>
      <c r="E52" s="320">
        <v>0.42193887026900001</v>
      </c>
      <c r="F52" s="318">
        <v>1.0000002756549999</v>
      </c>
      <c r="G52" s="319">
        <v>0.25000006891299997</v>
      </c>
      <c r="H52" s="321">
        <v>0</v>
      </c>
      <c r="I52" s="318">
        <v>0.13500000000000001</v>
      </c>
      <c r="J52" s="319">
        <v>-0.11500006891300001</v>
      </c>
      <c r="K52" s="322">
        <v>0.13499996278599999</v>
      </c>
    </row>
    <row r="53" spans="1:11" ht="14.4" customHeight="1" thickBot="1" x14ac:dyDescent="0.35">
      <c r="A53" s="339" t="s">
        <v>224</v>
      </c>
      <c r="B53" s="323">
        <v>33.29999823875</v>
      </c>
      <c r="C53" s="323">
        <v>34.75759</v>
      </c>
      <c r="D53" s="324">
        <v>1.4575917612489999</v>
      </c>
      <c r="E53" s="329">
        <v>1.0437715266759999</v>
      </c>
      <c r="F53" s="323">
        <v>32.861653528574998</v>
      </c>
      <c r="G53" s="324">
        <v>8.2154133821429998</v>
      </c>
      <c r="H53" s="326">
        <v>2.8684699999999999</v>
      </c>
      <c r="I53" s="323">
        <v>8.4079499999999996</v>
      </c>
      <c r="J53" s="324">
        <v>0.19253661785599999</v>
      </c>
      <c r="K53" s="327">
        <v>0.25585900577600001</v>
      </c>
    </row>
    <row r="54" spans="1:11" ht="14.4" customHeight="1" thickBot="1" x14ac:dyDescent="0.35">
      <c r="A54" s="340" t="s">
        <v>225</v>
      </c>
      <c r="B54" s="318">
        <v>19.223769626088</v>
      </c>
      <c r="C54" s="318">
        <v>17.876280000000001</v>
      </c>
      <c r="D54" s="319">
        <v>-1.347489626088</v>
      </c>
      <c r="E54" s="320">
        <v>0.92990502631299998</v>
      </c>
      <c r="F54" s="318">
        <v>18.301116303530002</v>
      </c>
      <c r="G54" s="319">
        <v>4.5752790758820003</v>
      </c>
      <c r="H54" s="321">
        <v>1.5230399999999999</v>
      </c>
      <c r="I54" s="318">
        <v>4.5691199999999998</v>
      </c>
      <c r="J54" s="319">
        <v>-6.1590758819999999E-3</v>
      </c>
      <c r="K54" s="322">
        <v>0.249663459005</v>
      </c>
    </row>
    <row r="55" spans="1:11" ht="14.4" customHeight="1" thickBot="1" x14ac:dyDescent="0.35">
      <c r="A55" s="340" t="s">
        <v>226</v>
      </c>
      <c r="B55" s="318">
        <v>14.076228612661</v>
      </c>
      <c r="C55" s="318">
        <v>16.881309999999999</v>
      </c>
      <c r="D55" s="319">
        <v>2.8050813873379998</v>
      </c>
      <c r="E55" s="320">
        <v>1.199277907778</v>
      </c>
      <c r="F55" s="318">
        <v>14.560537225045</v>
      </c>
      <c r="G55" s="319">
        <v>3.6401343062609999</v>
      </c>
      <c r="H55" s="321">
        <v>1.3454299999999999</v>
      </c>
      <c r="I55" s="318">
        <v>3.8388300000000002</v>
      </c>
      <c r="J55" s="319">
        <v>0.198695693738</v>
      </c>
      <c r="K55" s="322">
        <v>0.26364617875399998</v>
      </c>
    </row>
    <row r="56" spans="1:11" ht="14.4" customHeight="1" thickBot="1" x14ac:dyDescent="0.35">
      <c r="A56" s="339" t="s">
        <v>227</v>
      </c>
      <c r="B56" s="323">
        <v>63.605439611234999</v>
      </c>
      <c r="C56" s="323">
        <v>65.033079999999998</v>
      </c>
      <c r="D56" s="324">
        <v>1.4276403887639999</v>
      </c>
      <c r="E56" s="329">
        <v>1.0224452562149999</v>
      </c>
      <c r="F56" s="323">
        <v>55.103308455791002</v>
      </c>
      <c r="G56" s="324">
        <v>13.775827113947001</v>
      </c>
      <c r="H56" s="326">
        <v>0</v>
      </c>
      <c r="I56" s="323">
        <v>21.717860000000002</v>
      </c>
      <c r="J56" s="324">
        <v>7.942032886052</v>
      </c>
      <c r="K56" s="327">
        <v>0.394129873661</v>
      </c>
    </row>
    <row r="57" spans="1:11" ht="14.4" customHeight="1" thickBot="1" x14ac:dyDescent="0.35">
      <c r="A57" s="340" t="s">
        <v>228</v>
      </c>
      <c r="B57" s="318">
        <v>0</v>
      </c>
      <c r="C57" s="318">
        <v>0.96799999999999997</v>
      </c>
      <c r="D57" s="319">
        <v>0.96799999999999997</v>
      </c>
      <c r="E57" s="328" t="s">
        <v>184</v>
      </c>
      <c r="F57" s="318">
        <v>3.0000008269670002</v>
      </c>
      <c r="G57" s="319">
        <v>0.75000020674099999</v>
      </c>
      <c r="H57" s="321">
        <v>0</v>
      </c>
      <c r="I57" s="318">
        <v>0</v>
      </c>
      <c r="J57" s="319">
        <v>-0.75000020674099999</v>
      </c>
      <c r="K57" s="322">
        <v>0</v>
      </c>
    </row>
    <row r="58" spans="1:11" ht="14.4" customHeight="1" thickBot="1" x14ac:dyDescent="0.35">
      <c r="A58" s="340" t="s">
        <v>229</v>
      </c>
      <c r="B58" s="318">
        <v>27.936828018530001</v>
      </c>
      <c r="C58" s="318">
        <v>11.362</v>
      </c>
      <c r="D58" s="319">
        <v>-16.574828018529999</v>
      </c>
      <c r="E58" s="320">
        <v>0.40670329474900002</v>
      </c>
      <c r="F58" s="318">
        <v>10.686616648407</v>
      </c>
      <c r="G58" s="319">
        <v>2.6716541621009999</v>
      </c>
      <c r="H58" s="321">
        <v>0</v>
      </c>
      <c r="I58" s="318">
        <v>8.2279999999999998</v>
      </c>
      <c r="J58" s="319">
        <v>5.5563458378980002</v>
      </c>
      <c r="K58" s="322">
        <v>0.76993498229599999</v>
      </c>
    </row>
    <row r="59" spans="1:11" ht="14.4" customHeight="1" thickBot="1" x14ac:dyDescent="0.35">
      <c r="A59" s="340" t="s">
        <v>230</v>
      </c>
      <c r="B59" s="318">
        <v>35.668611592704998</v>
      </c>
      <c r="C59" s="318">
        <v>52.70308</v>
      </c>
      <c r="D59" s="319">
        <v>17.034468407294</v>
      </c>
      <c r="E59" s="320">
        <v>1.4775758754449999</v>
      </c>
      <c r="F59" s="318">
        <v>41.416690980416</v>
      </c>
      <c r="G59" s="319">
        <v>10.354172745104</v>
      </c>
      <c r="H59" s="321">
        <v>0</v>
      </c>
      <c r="I59" s="318">
        <v>13.48986</v>
      </c>
      <c r="J59" s="319">
        <v>3.1356872548950001</v>
      </c>
      <c r="K59" s="322">
        <v>0.32571071422300002</v>
      </c>
    </row>
    <row r="60" spans="1:11" ht="14.4" customHeight="1" thickBot="1" x14ac:dyDescent="0.35">
      <c r="A60" s="339" t="s">
        <v>231</v>
      </c>
      <c r="B60" s="323">
        <v>69.999997795168994</v>
      </c>
      <c r="C60" s="323">
        <v>50.718000000000004</v>
      </c>
      <c r="D60" s="324">
        <v>-19.281997795169001</v>
      </c>
      <c r="E60" s="329">
        <v>0.72454287996400002</v>
      </c>
      <c r="F60" s="323">
        <v>83.619851314743997</v>
      </c>
      <c r="G60" s="324">
        <v>20.904962828685999</v>
      </c>
      <c r="H60" s="326">
        <v>7.8220000000000001</v>
      </c>
      <c r="I60" s="323">
        <v>9.6219999999999999</v>
      </c>
      <c r="J60" s="324">
        <v>-11.282962828685999</v>
      </c>
      <c r="K60" s="327">
        <v>0.11506837011399999</v>
      </c>
    </row>
    <row r="61" spans="1:11" ht="14.4" customHeight="1" thickBot="1" x14ac:dyDescent="0.35">
      <c r="A61" s="340" t="s">
        <v>232</v>
      </c>
      <c r="B61" s="318">
        <v>0</v>
      </c>
      <c r="C61" s="318">
        <v>1.8759999999999999</v>
      </c>
      <c r="D61" s="319">
        <v>1.8759999999999999</v>
      </c>
      <c r="E61" s="328" t="s">
        <v>184</v>
      </c>
      <c r="F61" s="318">
        <v>0.984486531183</v>
      </c>
      <c r="G61" s="319">
        <v>0.24612163279499999</v>
      </c>
      <c r="H61" s="321">
        <v>0</v>
      </c>
      <c r="I61" s="318">
        <v>0</v>
      </c>
      <c r="J61" s="319">
        <v>-0.24612163279499999</v>
      </c>
      <c r="K61" s="322">
        <v>0</v>
      </c>
    </row>
    <row r="62" spans="1:11" ht="14.4" customHeight="1" thickBot="1" x14ac:dyDescent="0.35">
      <c r="A62" s="340" t="s">
        <v>233</v>
      </c>
      <c r="B62" s="318">
        <v>29.999999055071999</v>
      </c>
      <c r="C62" s="318">
        <v>25.068000000000001</v>
      </c>
      <c r="D62" s="319">
        <v>-4.9319990550719996</v>
      </c>
      <c r="E62" s="320">
        <v>0.83560002631899999</v>
      </c>
      <c r="F62" s="318">
        <v>30.183950819159001</v>
      </c>
      <c r="G62" s="319">
        <v>7.5459877047889998</v>
      </c>
      <c r="H62" s="321">
        <v>7.8220000000000001</v>
      </c>
      <c r="I62" s="318">
        <v>9.6219999999999999</v>
      </c>
      <c r="J62" s="319">
        <v>2.07601229521</v>
      </c>
      <c r="K62" s="322">
        <v>0.31877868002199999</v>
      </c>
    </row>
    <row r="63" spans="1:11" ht="14.4" customHeight="1" thickBot="1" x14ac:dyDescent="0.35">
      <c r="A63" s="340" t="s">
        <v>234</v>
      </c>
      <c r="B63" s="318">
        <v>39.999998740095997</v>
      </c>
      <c r="C63" s="318">
        <v>23.774000000000001</v>
      </c>
      <c r="D63" s="319">
        <v>-16.225998740095999</v>
      </c>
      <c r="E63" s="320">
        <v>0.59435001872000004</v>
      </c>
      <c r="F63" s="318">
        <v>52.451413964400999</v>
      </c>
      <c r="G63" s="319">
        <v>13.112853491099999</v>
      </c>
      <c r="H63" s="321">
        <v>0</v>
      </c>
      <c r="I63" s="318">
        <v>0</v>
      </c>
      <c r="J63" s="319">
        <v>-13.112853491099999</v>
      </c>
      <c r="K63" s="322">
        <v>0</v>
      </c>
    </row>
    <row r="64" spans="1:11" ht="14.4" customHeight="1" thickBot="1" x14ac:dyDescent="0.35">
      <c r="A64" s="337" t="s">
        <v>32</v>
      </c>
      <c r="B64" s="318">
        <v>2564.9999192087198</v>
      </c>
      <c r="C64" s="318">
        <v>2877.91023</v>
      </c>
      <c r="D64" s="319">
        <v>312.91031079128402</v>
      </c>
      <c r="E64" s="320">
        <v>1.1219923277370001</v>
      </c>
      <c r="F64" s="318">
        <v>2831.00078038123</v>
      </c>
      <c r="G64" s="319">
        <v>707.75019509530796</v>
      </c>
      <c r="H64" s="321">
        <v>227.99991</v>
      </c>
      <c r="I64" s="318">
        <v>682.75252999999998</v>
      </c>
      <c r="J64" s="319">
        <v>-24.997665095306999</v>
      </c>
      <c r="K64" s="322">
        <v>0.24117002536000001</v>
      </c>
    </row>
    <row r="65" spans="1:11" ht="14.4" customHeight="1" thickBot="1" x14ac:dyDescent="0.35">
      <c r="A65" s="343" t="s">
        <v>235</v>
      </c>
      <c r="B65" s="323">
        <v>1915.99993965064</v>
      </c>
      <c r="C65" s="323">
        <v>2132.232</v>
      </c>
      <c r="D65" s="324">
        <v>216.232060349357</v>
      </c>
      <c r="E65" s="329">
        <v>1.1128559849470001</v>
      </c>
      <c r="F65" s="323">
        <v>2106.0005805308601</v>
      </c>
      <c r="G65" s="324">
        <v>526.50014513271606</v>
      </c>
      <c r="H65" s="326">
        <v>168.321</v>
      </c>
      <c r="I65" s="323">
        <v>504.04199999999997</v>
      </c>
      <c r="J65" s="324">
        <v>-22.458145132715</v>
      </c>
      <c r="K65" s="327">
        <v>0.239336116361</v>
      </c>
    </row>
    <row r="66" spans="1:11" ht="14.4" customHeight="1" thickBot="1" x14ac:dyDescent="0.35">
      <c r="A66" s="339" t="s">
        <v>236</v>
      </c>
      <c r="B66" s="323">
        <v>1849.99994172948</v>
      </c>
      <c r="C66" s="323">
        <v>2072.232</v>
      </c>
      <c r="D66" s="324">
        <v>222.232058270517</v>
      </c>
      <c r="E66" s="329">
        <v>1.120125440686</v>
      </c>
      <c r="F66" s="323">
        <v>2040.0005623375901</v>
      </c>
      <c r="G66" s="324">
        <v>510.000140584397</v>
      </c>
      <c r="H66" s="326">
        <v>163.321</v>
      </c>
      <c r="I66" s="323">
        <v>489.04199999999997</v>
      </c>
      <c r="J66" s="324">
        <v>-20.958140584395998</v>
      </c>
      <c r="K66" s="327">
        <v>0.239726404506</v>
      </c>
    </row>
    <row r="67" spans="1:11" ht="14.4" customHeight="1" thickBot="1" x14ac:dyDescent="0.35">
      <c r="A67" s="340" t="s">
        <v>237</v>
      </c>
      <c r="B67" s="318">
        <v>1849.99994172948</v>
      </c>
      <c r="C67" s="318">
        <v>2072.232</v>
      </c>
      <c r="D67" s="319">
        <v>222.232058270517</v>
      </c>
      <c r="E67" s="320">
        <v>1.120125440686</v>
      </c>
      <c r="F67" s="318">
        <v>2040.0005623375901</v>
      </c>
      <c r="G67" s="319">
        <v>510.000140584397</v>
      </c>
      <c r="H67" s="321">
        <v>163.321</v>
      </c>
      <c r="I67" s="318">
        <v>489.04199999999997</v>
      </c>
      <c r="J67" s="319">
        <v>-20.958140584395998</v>
      </c>
      <c r="K67" s="322">
        <v>0.239726404506</v>
      </c>
    </row>
    <row r="68" spans="1:11" ht="14.4" customHeight="1" thickBot="1" x14ac:dyDescent="0.35">
      <c r="A68" s="339" t="s">
        <v>238</v>
      </c>
      <c r="B68" s="323">
        <v>59.999998110145</v>
      </c>
      <c r="C68" s="323">
        <v>60</v>
      </c>
      <c r="D68" s="324">
        <v>1.8898546016998801E-6</v>
      </c>
      <c r="E68" s="329">
        <v>1.0000000314969999</v>
      </c>
      <c r="F68" s="323">
        <v>60.000016539340002</v>
      </c>
      <c r="G68" s="324">
        <v>15.000004134835001</v>
      </c>
      <c r="H68" s="326">
        <v>5</v>
      </c>
      <c r="I68" s="323">
        <v>15</v>
      </c>
      <c r="J68" s="324">
        <v>-4.1348351995651498E-6</v>
      </c>
      <c r="K68" s="327">
        <v>0.24999993108599999</v>
      </c>
    </row>
    <row r="69" spans="1:11" ht="14.4" customHeight="1" thickBot="1" x14ac:dyDescent="0.35">
      <c r="A69" s="340" t="s">
        <v>239</v>
      </c>
      <c r="B69" s="318">
        <v>59.999998110145</v>
      </c>
      <c r="C69" s="318">
        <v>60</v>
      </c>
      <c r="D69" s="319">
        <v>1.8898546016998801E-6</v>
      </c>
      <c r="E69" s="320">
        <v>1.0000000314969999</v>
      </c>
      <c r="F69" s="318">
        <v>60.000016539340002</v>
      </c>
      <c r="G69" s="319">
        <v>15.000004134835001</v>
      </c>
      <c r="H69" s="321">
        <v>5</v>
      </c>
      <c r="I69" s="318">
        <v>15</v>
      </c>
      <c r="J69" s="319">
        <v>-4.1348351995651498E-6</v>
      </c>
      <c r="K69" s="322">
        <v>0.24999993108599999</v>
      </c>
    </row>
    <row r="70" spans="1:11" ht="14.4" customHeight="1" thickBot="1" x14ac:dyDescent="0.35">
      <c r="A70" s="339" t="s">
        <v>240</v>
      </c>
      <c r="B70" s="323">
        <v>5.9999998110139998</v>
      </c>
      <c r="C70" s="323">
        <v>0</v>
      </c>
      <c r="D70" s="324">
        <v>-5.9999998110139998</v>
      </c>
      <c r="E70" s="329">
        <v>0</v>
      </c>
      <c r="F70" s="323">
        <v>6.0000016539340004</v>
      </c>
      <c r="G70" s="324">
        <v>1.5000004134830001</v>
      </c>
      <c r="H70" s="326">
        <v>0</v>
      </c>
      <c r="I70" s="323">
        <v>0</v>
      </c>
      <c r="J70" s="324">
        <v>-1.5000004134830001</v>
      </c>
      <c r="K70" s="327">
        <v>0</v>
      </c>
    </row>
    <row r="71" spans="1:11" ht="14.4" customHeight="1" thickBot="1" x14ac:dyDescent="0.35">
      <c r="A71" s="340" t="s">
        <v>241</v>
      </c>
      <c r="B71" s="318">
        <v>5.9999998110139998</v>
      </c>
      <c r="C71" s="318">
        <v>0</v>
      </c>
      <c r="D71" s="319">
        <v>-5.9999998110139998</v>
      </c>
      <c r="E71" s="320">
        <v>0</v>
      </c>
      <c r="F71" s="318">
        <v>6.0000016539340004</v>
      </c>
      <c r="G71" s="319">
        <v>1.5000004134830001</v>
      </c>
      <c r="H71" s="321">
        <v>0</v>
      </c>
      <c r="I71" s="318">
        <v>0</v>
      </c>
      <c r="J71" s="319">
        <v>-1.5000004134830001</v>
      </c>
      <c r="K71" s="322">
        <v>0</v>
      </c>
    </row>
    <row r="72" spans="1:11" ht="14.4" customHeight="1" thickBot="1" x14ac:dyDescent="0.35">
      <c r="A72" s="338" t="s">
        <v>242</v>
      </c>
      <c r="B72" s="318">
        <v>629.99998015652704</v>
      </c>
      <c r="C72" s="318">
        <v>724.95730000000003</v>
      </c>
      <c r="D72" s="319">
        <v>94.957319843473002</v>
      </c>
      <c r="E72" s="320">
        <v>1.15072590926</v>
      </c>
      <c r="F72" s="318">
        <v>694.00019130504199</v>
      </c>
      <c r="G72" s="319">
        <v>173.50004782626101</v>
      </c>
      <c r="H72" s="321">
        <v>57.229239999999997</v>
      </c>
      <c r="I72" s="318">
        <v>171.37458000000001</v>
      </c>
      <c r="J72" s="319">
        <v>-2.12546782626</v>
      </c>
      <c r="K72" s="322">
        <v>0.24693736708799999</v>
      </c>
    </row>
    <row r="73" spans="1:11" ht="14.4" customHeight="1" thickBot="1" x14ac:dyDescent="0.35">
      <c r="A73" s="339" t="s">
        <v>243</v>
      </c>
      <c r="B73" s="323">
        <v>166.99999473990499</v>
      </c>
      <c r="C73" s="323">
        <v>191.89926</v>
      </c>
      <c r="D73" s="324">
        <v>24.899265260095</v>
      </c>
      <c r="E73" s="329">
        <v>1.149097401463</v>
      </c>
      <c r="F73" s="323">
        <v>184.00005072064499</v>
      </c>
      <c r="G73" s="324">
        <v>46.000012680160999</v>
      </c>
      <c r="H73" s="326">
        <v>15.14899</v>
      </c>
      <c r="I73" s="323">
        <v>45.364069999999998</v>
      </c>
      <c r="J73" s="324">
        <v>-0.63594268016099997</v>
      </c>
      <c r="K73" s="327">
        <v>0.24654379073400001</v>
      </c>
    </row>
    <row r="74" spans="1:11" ht="14.4" customHeight="1" thickBot="1" x14ac:dyDescent="0.35">
      <c r="A74" s="340" t="s">
        <v>244</v>
      </c>
      <c r="B74" s="318">
        <v>166.99999473990499</v>
      </c>
      <c r="C74" s="318">
        <v>191.89926</v>
      </c>
      <c r="D74" s="319">
        <v>24.899265260095</v>
      </c>
      <c r="E74" s="320">
        <v>1.149097401463</v>
      </c>
      <c r="F74" s="318">
        <v>184.00005072064499</v>
      </c>
      <c r="G74" s="319">
        <v>46.000012680160999</v>
      </c>
      <c r="H74" s="321">
        <v>15.14899</v>
      </c>
      <c r="I74" s="318">
        <v>45.364069999999998</v>
      </c>
      <c r="J74" s="319">
        <v>-0.63594268016099997</v>
      </c>
      <c r="K74" s="322">
        <v>0.24654379073400001</v>
      </c>
    </row>
    <row r="75" spans="1:11" ht="14.4" customHeight="1" thickBot="1" x14ac:dyDescent="0.35">
      <c r="A75" s="339" t="s">
        <v>245</v>
      </c>
      <c r="B75" s="323">
        <v>462.999985416622</v>
      </c>
      <c r="C75" s="323">
        <v>533.05804000000001</v>
      </c>
      <c r="D75" s="324">
        <v>70.058054583377995</v>
      </c>
      <c r="E75" s="329">
        <v>1.151313297602</v>
      </c>
      <c r="F75" s="323">
        <v>510.000140584397</v>
      </c>
      <c r="G75" s="324">
        <v>127.50003514609899</v>
      </c>
      <c r="H75" s="326">
        <v>42.080249999999999</v>
      </c>
      <c r="I75" s="323">
        <v>126.01051</v>
      </c>
      <c r="J75" s="324">
        <v>-1.489525146099</v>
      </c>
      <c r="K75" s="327">
        <v>0.24707936326300001</v>
      </c>
    </row>
    <row r="76" spans="1:11" ht="14.4" customHeight="1" thickBot="1" x14ac:dyDescent="0.35">
      <c r="A76" s="340" t="s">
        <v>246</v>
      </c>
      <c r="B76" s="318">
        <v>462.999985416622</v>
      </c>
      <c r="C76" s="318">
        <v>533.05804000000001</v>
      </c>
      <c r="D76" s="319">
        <v>70.058054583377995</v>
      </c>
      <c r="E76" s="320">
        <v>1.151313297602</v>
      </c>
      <c r="F76" s="318">
        <v>510.000140584397</v>
      </c>
      <c r="G76" s="319">
        <v>127.50003514609899</v>
      </c>
      <c r="H76" s="321">
        <v>42.080249999999999</v>
      </c>
      <c r="I76" s="318">
        <v>126.01051</v>
      </c>
      <c r="J76" s="319">
        <v>-1.489525146099</v>
      </c>
      <c r="K76" s="322">
        <v>0.24707936326300001</v>
      </c>
    </row>
    <row r="77" spans="1:11" ht="14.4" customHeight="1" thickBot="1" x14ac:dyDescent="0.35">
      <c r="A77" s="338" t="s">
        <v>247</v>
      </c>
      <c r="B77" s="318">
        <v>18.999999401545999</v>
      </c>
      <c r="C77" s="318">
        <v>20.720929999999999</v>
      </c>
      <c r="D77" s="319">
        <v>1.7209305984529999</v>
      </c>
      <c r="E77" s="320">
        <v>1.0905752975080001</v>
      </c>
      <c r="F77" s="318">
        <v>31.000008545326001</v>
      </c>
      <c r="G77" s="319">
        <v>7.7500021363310001</v>
      </c>
      <c r="H77" s="321">
        <v>2.4496699999999998</v>
      </c>
      <c r="I77" s="318">
        <v>7.3359500000000004</v>
      </c>
      <c r="J77" s="319">
        <v>-0.41405213633100002</v>
      </c>
      <c r="K77" s="322">
        <v>0.236643483154</v>
      </c>
    </row>
    <row r="78" spans="1:11" ht="14.4" customHeight="1" thickBot="1" x14ac:dyDescent="0.35">
      <c r="A78" s="339" t="s">
        <v>248</v>
      </c>
      <c r="B78" s="323">
        <v>18.999999401545999</v>
      </c>
      <c r="C78" s="323">
        <v>20.720929999999999</v>
      </c>
      <c r="D78" s="324">
        <v>1.7209305984529999</v>
      </c>
      <c r="E78" s="329">
        <v>1.0905752975080001</v>
      </c>
      <c r="F78" s="323">
        <v>31.000008545326001</v>
      </c>
      <c r="G78" s="324">
        <v>7.7500021363310001</v>
      </c>
      <c r="H78" s="326">
        <v>2.4496699999999998</v>
      </c>
      <c r="I78" s="323">
        <v>7.3359500000000004</v>
      </c>
      <c r="J78" s="324">
        <v>-0.41405213633100002</v>
      </c>
      <c r="K78" s="327">
        <v>0.236643483154</v>
      </c>
    </row>
    <row r="79" spans="1:11" ht="14.4" customHeight="1" thickBot="1" x14ac:dyDescent="0.35">
      <c r="A79" s="340" t="s">
        <v>249</v>
      </c>
      <c r="B79" s="318">
        <v>18.999999401545999</v>
      </c>
      <c r="C79" s="318">
        <v>20.720929999999999</v>
      </c>
      <c r="D79" s="319">
        <v>1.7209305984529999</v>
      </c>
      <c r="E79" s="320">
        <v>1.0905752975080001</v>
      </c>
      <c r="F79" s="318">
        <v>31.000008545326001</v>
      </c>
      <c r="G79" s="319">
        <v>7.7500021363310001</v>
      </c>
      <c r="H79" s="321">
        <v>2.4496699999999998</v>
      </c>
      <c r="I79" s="318">
        <v>7.3359500000000004</v>
      </c>
      <c r="J79" s="319">
        <v>-0.41405213633100002</v>
      </c>
      <c r="K79" s="322">
        <v>0.236643483154</v>
      </c>
    </row>
    <row r="80" spans="1:11" ht="14.4" customHeight="1" thickBot="1" x14ac:dyDescent="0.35">
      <c r="A80" s="337" t="s">
        <v>250</v>
      </c>
      <c r="B80" s="318">
        <v>0</v>
      </c>
      <c r="C80" s="318">
        <v>7.95</v>
      </c>
      <c r="D80" s="319">
        <v>7.95</v>
      </c>
      <c r="E80" s="328" t="s">
        <v>178</v>
      </c>
      <c r="F80" s="318">
        <v>10.191788781265</v>
      </c>
      <c r="G80" s="319">
        <v>2.547947195316</v>
      </c>
      <c r="H80" s="321">
        <v>0.33</v>
      </c>
      <c r="I80" s="318">
        <v>1.5671999999999999</v>
      </c>
      <c r="J80" s="319">
        <v>-0.98074719531599996</v>
      </c>
      <c r="K80" s="322">
        <v>0.153770847653</v>
      </c>
    </row>
    <row r="81" spans="1:11" ht="14.4" customHeight="1" thickBot="1" x14ac:dyDescent="0.35">
      <c r="A81" s="338" t="s">
        <v>251</v>
      </c>
      <c r="B81" s="318">
        <v>0</v>
      </c>
      <c r="C81" s="318">
        <v>7.95</v>
      </c>
      <c r="D81" s="319">
        <v>7.95</v>
      </c>
      <c r="E81" s="328" t="s">
        <v>178</v>
      </c>
      <c r="F81" s="318">
        <v>10.191788781265</v>
      </c>
      <c r="G81" s="319">
        <v>2.547947195316</v>
      </c>
      <c r="H81" s="321">
        <v>0.33</v>
      </c>
      <c r="I81" s="318">
        <v>1.5671999999999999</v>
      </c>
      <c r="J81" s="319">
        <v>-0.98074719531599996</v>
      </c>
      <c r="K81" s="322">
        <v>0.153770847653</v>
      </c>
    </row>
    <row r="82" spans="1:11" ht="14.4" customHeight="1" thickBot="1" x14ac:dyDescent="0.35">
      <c r="A82" s="339" t="s">
        <v>252</v>
      </c>
      <c r="B82" s="323">
        <v>0</v>
      </c>
      <c r="C82" s="323">
        <v>5.2</v>
      </c>
      <c r="D82" s="324">
        <v>5.2</v>
      </c>
      <c r="E82" s="325" t="s">
        <v>178</v>
      </c>
      <c r="F82" s="323">
        <v>8.1650327710470005</v>
      </c>
      <c r="G82" s="324">
        <v>2.0412581927610001</v>
      </c>
      <c r="H82" s="326">
        <v>0.33</v>
      </c>
      <c r="I82" s="323">
        <v>0.71719999999999995</v>
      </c>
      <c r="J82" s="324">
        <v>-1.324058192761</v>
      </c>
      <c r="K82" s="327">
        <v>8.7837981807000004E-2</v>
      </c>
    </row>
    <row r="83" spans="1:11" ht="14.4" customHeight="1" thickBot="1" x14ac:dyDescent="0.35">
      <c r="A83" s="340" t="s">
        <v>253</v>
      </c>
      <c r="B83" s="318">
        <v>0</v>
      </c>
      <c r="C83" s="318">
        <v>0</v>
      </c>
      <c r="D83" s="319">
        <v>0</v>
      </c>
      <c r="E83" s="320">
        <v>1</v>
      </c>
      <c r="F83" s="318">
        <v>0</v>
      </c>
      <c r="G83" s="319">
        <v>0</v>
      </c>
      <c r="H83" s="321">
        <v>0</v>
      </c>
      <c r="I83" s="318">
        <v>0.38719999999999999</v>
      </c>
      <c r="J83" s="319">
        <v>0.38719999999999999</v>
      </c>
      <c r="K83" s="331" t="s">
        <v>184</v>
      </c>
    </row>
    <row r="84" spans="1:11" ht="14.4" customHeight="1" thickBot="1" x14ac:dyDescent="0.35">
      <c r="A84" s="340" t="s">
        <v>254</v>
      </c>
      <c r="B84" s="318">
        <v>0</v>
      </c>
      <c r="C84" s="318">
        <v>0.6</v>
      </c>
      <c r="D84" s="319">
        <v>0.6</v>
      </c>
      <c r="E84" s="328" t="s">
        <v>184</v>
      </c>
      <c r="F84" s="318">
        <v>0.71743702036000001</v>
      </c>
      <c r="G84" s="319">
        <v>0.17935925509</v>
      </c>
      <c r="H84" s="321">
        <v>0</v>
      </c>
      <c r="I84" s="318">
        <v>0</v>
      </c>
      <c r="J84" s="319">
        <v>-0.17935925509</v>
      </c>
      <c r="K84" s="322">
        <v>0</v>
      </c>
    </row>
    <row r="85" spans="1:11" ht="14.4" customHeight="1" thickBot="1" x14ac:dyDescent="0.35">
      <c r="A85" s="340" t="s">
        <v>255</v>
      </c>
      <c r="B85" s="318">
        <v>0</v>
      </c>
      <c r="C85" s="318">
        <v>4.5</v>
      </c>
      <c r="D85" s="319">
        <v>4.5</v>
      </c>
      <c r="E85" s="328" t="s">
        <v>184</v>
      </c>
      <c r="F85" s="318">
        <v>7.3611518762139996</v>
      </c>
      <c r="G85" s="319">
        <v>1.8402879690530001</v>
      </c>
      <c r="H85" s="321">
        <v>0</v>
      </c>
      <c r="I85" s="318">
        <v>0</v>
      </c>
      <c r="J85" s="319">
        <v>-1.8402879690530001</v>
      </c>
      <c r="K85" s="322">
        <v>0</v>
      </c>
    </row>
    <row r="86" spans="1:11" ht="14.4" customHeight="1" thickBot="1" x14ac:dyDescent="0.35">
      <c r="A86" s="340" t="s">
        <v>256</v>
      </c>
      <c r="B86" s="318">
        <v>0</v>
      </c>
      <c r="C86" s="318">
        <v>0.1</v>
      </c>
      <c r="D86" s="319">
        <v>0.1</v>
      </c>
      <c r="E86" s="328" t="s">
        <v>178</v>
      </c>
      <c r="F86" s="318">
        <v>8.6443874471999999E-2</v>
      </c>
      <c r="G86" s="319">
        <v>2.1610968618E-2</v>
      </c>
      <c r="H86" s="321">
        <v>0.33</v>
      </c>
      <c r="I86" s="318">
        <v>0.33</v>
      </c>
      <c r="J86" s="319">
        <v>0.30838903138099999</v>
      </c>
      <c r="K86" s="322">
        <v>3.817505890539</v>
      </c>
    </row>
    <row r="87" spans="1:11" ht="14.4" customHeight="1" thickBot="1" x14ac:dyDescent="0.35">
      <c r="A87" s="342" t="s">
        <v>257</v>
      </c>
      <c r="B87" s="318">
        <v>0</v>
      </c>
      <c r="C87" s="318">
        <v>1.9</v>
      </c>
      <c r="D87" s="319">
        <v>1.9</v>
      </c>
      <c r="E87" s="328" t="s">
        <v>184</v>
      </c>
      <c r="F87" s="318">
        <v>1.5893297053069999</v>
      </c>
      <c r="G87" s="319">
        <v>0.39733242632600002</v>
      </c>
      <c r="H87" s="321">
        <v>0</v>
      </c>
      <c r="I87" s="318">
        <v>0.85</v>
      </c>
      <c r="J87" s="319">
        <v>0.45266757367299998</v>
      </c>
      <c r="K87" s="322">
        <v>0.53481665708600001</v>
      </c>
    </row>
    <row r="88" spans="1:11" ht="14.4" customHeight="1" thickBot="1" x14ac:dyDescent="0.35">
      <c r="A88" s="340" t="s">
        <v>258</v>
      </c>
      <c r="B88" s="318">
        <v>0</v>
      </c>
      <c r="C88" s="318">
        <v>1.9</v>
      </c>
      <c r="D88" s="319">
        <v>1.9</v>
      </c>
      <c r="E88" s="328" t="s">
        <v>184</v>
      </c>
      <c r="F88" s="318">
        <v>1.5893297053069999</v>
      </c>
      <c r="G88" s="319">
        <v>0.39733242632600002</v>
      </c>
      <c r="H88" s="321">
        <v>0</v>
      </c>
      <c r="I88" s="318">
        <v>0.85</v>
      </c>
      <c r="J88" s="319">
        <v>0.45266757367299998</v>
      </c>
      <c r="K88" s="322">
        <v>0.53481665708600001</v>
      </c>
    </row>
    <row r="89" spans="1:11" ht="14.4" customHeight="1" thickBot="1" x14ac:dyDescent="0.35">
      <c r="A89" s="342" t="s">
        <v>259</v>
      </c>
      <c r="B89" s="318">
        <v>0</v>
      </c>
      <c r="C89" s="318">
        <v>0.85</v>
      </c>
      <c r="D89" s="319">
        <v>0.85</v>
      </c>
      <c r="E89" s="328" t="s">
        <v>178</v>
      </c>
      <c r="F89" s="318">
        <v>0.43742630491000001</v>
      </c>
      <c r="G89" s="319">
        <v>0.109356576227</v>
      </c>
      <c r="H89" s="321">
        <v>0</v>
      </c>
      <c r="I89" s="318">
        <v>0</v>
      </c>
      <c r="J89" s="319">
        <v>-0.109356576227</v>
      </c>
      <c r="K89" s="322">
        <v>0</v>
      </c>
    </row>
    <row r="90" spans="1:11" ht="14.4" customHeight="1" thickBot="1" x14ac:dyDescent="0.35">
      <c r="A90" s="340" t="s">
        <v>260</v>
      </c>
      <c r="B90" s="318">
        <v>0</v>
      </c>
      <c r="C90" s="318">
        <v>0.85</v>
      </c>
      <c r="D90" s="319">
        <v>0.85</v>
      </c>
      <c r="E90" s="328" t="s">
        <v>178</v>
      </c>
      <c r="F90" s="318">
        <v>0.43742630491000001</v>
      </c>
      <c r="G90" s="319">
        <v>0.109356576227</v>
      </c>
      <c r="H90" s="321">
        <v>0</v>
      </c>
      <c r="I90" s="318">
        <v>0</v>
      </c>
      <c r="J90" s="319">
        <v>-0.109356576227</v>
      </c>
      <c r="K90" s="322">
        <v>0</v>
      </c>
    </row>
    <row r="91" spans="1:11" ht="14.4" customHeight="1" thickBot="1" x14ac:dyDescent="0.35">
      <c r="A91" s="337" t="s">
        <v>261</v>
      </c>
      <c r="B91" s="318">
        <v>74.999997637679996</v>
      </c>
      <c r="C91" s="318">
        <v>75.012</v>
      </c>
      <c r="D91" s="319">
        <v>1.2002362319000001E-2</v>
      </c>
      <c r="E91" s="320">
        <v>1.0001600315020001</v>
      </c>
      <c r="F91" s="318">
        <v>72.000179613810005</v>
      </c>
      <c r="G91" s="319">
        <v>18.000044903452</v>
      </c>
      <c r="H91" s="321">
        <v>5.9379999999999997</v>
      </c>
      <c r="I91" s="318">
        <v>17.814</v>
      </c>
      <c r="J91" s="319">
        <v>-0.186044903452</v>
      </c>
      <c r="K91" s="322">
        <v>0.247416049453</v>
      </c>
    </row>
    <row r="92" spans="1:11" ht="14.4" customHeight="1" thickBot="1" x14ac:dyDescent="0.35">
      <c r="A92" s="338" t="s">
        <v>262</v>
      </c>
      <c r="B92" s="318">
        <v>74.999997637679996</v>
      </c>
      <c r="C92" s="318">
        <v>75.012</v>
      </c>
      <c r="D92" s="319">
        <v>1.2002362319000001E-2</v>
      </c>
      <c r="E92" s="320">
        <v>1.0001600315020001</v>
      </c>
      <c r="F92" s="318">
        <v>72.000179613810005</v>
      </c>
      <c r="G92" s="319">
        <v>18.000044903452</v>
      </c>
      <c r="H92" s="321">
        <v>5.9379999999999997</v>
      </c>
      <c r="I92" s="318">
        <v>17.814</v>
      </c>
      <c r="J92" s="319">
        <v>-0.186044903452</v>
      </c>
      <c r="K92" s="322">
        <v>0.247416049453</v>
      </c>
    </row>
    <row r="93" spans="1:11" ht="14.4" customHeight="1" thickBot="1" x14ac:dyDescent="0.35">
      <c r="A93" s="339" t="s">
        <v>263</v>
      </c>
      <c r="B93" s="323">
        <v>74.999997637679996</v>
      </c>
      <c r="C93" s="323">
        <v>75.012</v>
      </c>
      <c r="D93" s="324">
        <v>1.2002362319000001E-2</v>
      </c>
      <c r="E93" s="329">
        <v>1.0001600315020001</v>
      </c>
      <c r="F93" s="323">
        <v>72.000179613810005</v>
      </c>
      <c r="G93" s="324">
        <v>18.000044903452</v>
      </c>
      <c r="H93" s="326">
        <v>5.9379999999999997</v>
      </c>
      <c r="I93" s="323">
        <v>17.814</v>
      </c>
      <c r="J93" s="324">
        <v>-0.186044903452</v>
      </c>
      <c r="K93" s="327">
        <v>0.247416049453</v>
      </c>
    </row>
    <row r="94" spans="1:11" ht="14.4" customHeight="1" thickBot="1" x14ac:dyDescent="0.35">
      <c r="A94" s="340" t="s">
        <v>264</v>
      </c>
      <c r="B94" s="318">
        <v>14.999999527536</v>
      </c>
      <c r="C94" s="318">
        <v>14.58</v>
      </c>
      <c r="D94" s="319">
        <v>-0.41999952753600001</v>
      </c>
      <c r="E94" s="320">
        <v>0.97200003061499995</v>
      </c>
      <c r="F94" s="318">
        <v>15.000037419543</v>
      </c>
      <c r="G94" s="319">
        <v>3.750009354885</v>
      </c>
      <c r="H94" s="321">
        <v>1.2150000000000001</v>
      </c>
      <c r="I94" s="318">
        <v>3.645</v>
      </c>
      <c r="J94" s="319">
        <v>-0.105009354885</v>
      </c>
      <c r="K94" s="322">
        <v>0.24299939380400001</v>
      </c>
    </row>
    <row r="95" spans="1:11" ht="14.4" customHeight="1" thickBot="1" x14ac:dyDescent="0.35">
      <c r="A95" s="340" t="s">
        <v>265</v>
      </c>
      <c r="B95" s="318">
        <v>59.999998110143999</v>
      </c>
      <c r="C95" s="318">
        <v>60.432000000000002</v>
      </c>
      <c r="D95" s="319">
        <v>0.43200188985499999</v>
      </c>
      <c r="E95" s="320">
        <v>1.007200031724</v>
      </c>
      <c r="F95" s="318">
        <v>57.000142194265997</v>
      </c>
      <c r="G95" s="319">
        <v>14.250035548566</v>
      </c>
      <c r="H95" s="321">
        <v>4.7229999999999999</v>
      </c>
      <c r="I95" s="318">
        <v>14.169</v>
      </c>
      <c r="J95" s="319">
        <v>-8.1035548565999996E-2</v>
      </c>
      <c r="K95" s="322">
        <v>0.24857832725500001</v>
      </c>
    </row>
    <row r="96" spans="1:11" ht="14.4" customHeight="1" thickBot="1" x14ac:dyDescent="0.35">
      <c r="A96" s="336" t="s">
        <v>266</v>
      </c>
      <c r="B96" s="318">
        <v>0</v>
      </c>
      <c r="C96" s="318">
        <v>103.08859</v>
      </c>
      <c r="D96" s="319">
        <v>103.08859</v>
      </c>
      <c r="E96" s="328" t="s">
        <v>178</v>
      </c>
      <c r="F96" s="318">
        <v>149.91698991823799</v>
      </c>
      <c r="G96" s="319">
        <v>37.479247479559</v>
      </c>
      <c r="H96" s="321">
        <v>0</v>
      </c>
      <c r="I96" s="318">
        <v>0.1</v>
      </c>
      <c r="J96" s="319">
        <v>-37.379247479558998</v>
      </c>
      <c r="K96" s="322">
        <v>6.67035804E-4</v>
      </c>
    </row>
    <row r="97" spans="1:11" ht="14.4" customHeight="1" thickBot="1" x14ac:dyDescent="0.35">
      <c r="A97" s="337" t="s">
        <v>267</v>
      </c>
      <c r="B97" s="318">
        <v>0</v>
      </c>
      <c r="C97" s="318">
        <v>0</v>
      </c>
      <c r="D97" s="319">
        <v>0</v>
      </c>
      <c r="E97" s="328" t="s">
        <v>178</v>
      </c>
      <c r="F97" s="318">
        <v>0.70850209533200004</v>
      </c>
      <c r="G97" s="319">
        <v>0.17712552383300001</v>
      </c>
      <c r="H97" s="321">
        <v>0</v>
      </c>
      <c r="I97" s="318">
        <v>0</v>
      </c>
      <c r="J97" s="319">
        <v>-0.17712552383300001</v>
      </c>
      <c r="K97" s="322">
        <v>0</v>
      </c>
    </row>
    <row r="98" spans="1:11" ht="14.4" customHeight="1" thickBot="1" x14ac:dyDescent="0.35">
      <c r="A98" s="338" t="s">
        <v>268</v>
      </c>
      <c r="B98" s="318">
        <v>0</v>
      </c>
      <c r="C98" s="318">
        <v>0</v>
      </c>
      <c r="D98" s="319">
        <v>0</v>
      </c>
      <c r="E98" s="328" t="s">
        <v>178</v>
      </c>
      <c r="F98" s="318">
        <v>0.70850209533200004</v>
      </c>
      <c r="G98" s="319">
        <v>0.17712552383300001</v>
      </c>
      <c r="H98" s="321">
        <v>0</v>
      </c>
      <c r="I98" s="318">
        <v>0</v>
      </c>
      <c r="J98" s="319">
        <v>-0.17712552383300001</v>
      </c>
      <c r="K98" s="322">
        <v>0</v>
      </c>
    </row>
    <row r="99" spans="1:11" ht="14.4" customHeight="1" thickBot="1" x14ac:dyDescent="0.35">
      <c r="A99" s="339" t="s">
        <v>269</v>
      </c>
      <c r="B99" s="323">
        <v>0</v>
      </c>
      <c r="C99" s="323">
        <v>0</v>
      </c>
      <c r="D99" s="324">
        <v>0</v>
      </c>
      <c r="E99" s="329">
        <v>1</v>
      </c>
      <c r="F99" s="323">
        <v>0.70850209533200004</v>
      </c>
      <c r="G99" s="324">
        <v>0.17712552383300001</v>
      </c>
      <c r="H99" s="326">
        <v>0</v>
      </c>
      <c r="I99" s="323">
        <v>0</v>
      </c>
      <c r="J99" s="324">
        <v>-0.17712552383300001</v>
      </c>
      <c r="K99" s="327">
        <v>0</v>
      </c>
    </row>
    <row r="100" spans="1:11" ht="14.4" customHeight="1" thickBot="1" x14ac:dyDescent="0.35">
      <c r="A100" s="340" t="s">
        <v>270</v>
      </c>
      <c r="B100" s="318">
        <v>0</v>
      </c>
      <c r="C100" s="318">
        <v>0</v>
      </c>
      <c r="D100" s="319">
        <v>0</v>
      </c>
      <c r="E100" s="320">
        <v>1</v>
      </c>
      <c r="F100" s="318">
        <v>0.70850209533200004</v>
      </c>
      <c r="G100" s="319">
        <v>0.17712552383300001</v>
      </c>
      <c r="H100" s="321">
        <v>0</v>
      </c>
      <c r="I100" s="318">
        <v>0</v>
      </c>
      <c r="J100" s="319">
        <v>-0.17712552383300001</v>
      </c>
      <c r="K100" s="322">
        <v>0</v>
      </c>
    </row>
    <row r="101" spans="1:11" ht="14.4" customHeight="1" thickBot="1" x14ac:dyDescent="0.35">
      <c r="A101" s="337" t="s">
        <v>271</v>
      </c>
      <c r="B101" s="318">
        <v>0</v>
      </c>
      <c r="C101" s="318">
        <v>103.08859</v>
      </c>
      <c r="D101" s="319">
        <v>103.08859</v>
      </c>
      <c r="E101" s="328" t="s">
        <v>178</v>
      </c>
      <c r="F101" s="318">
        <v>149.20848782290599</v>
      </c>
      <c r="G101" s="319">
        <v>37.302121955726001</v>
      </c>
      <c r="H101" s="321">
        <v>0</v>
      </c>
      <c r="I101" s="318">
        <v>0.1</v>
      </c>
      <c r="J101" s="319">
        <v>-37.202121955726</v>
      </c>
      <c r="K101" s="322">
        <v>6.7020315899999998E-4</v>
      </c>
    </row>
    <row r="102" spans="1:11" ht="14.4" customHeight="1" thickBot="1" x14ac:dyDescent="0.35">
      <c r="A102" s="343" t="s">
        <v>272</v>
      </c>
      <c r="B102" s="323">
        <v>0</v>
      </c>
      <c r="C102" s="323">
        <v>103.08859</v>
      </c>
      <c r="D102" s="324">
        <v>103.08859</v>
      </c>
      <c r="E102" s="325" t="s">
        <v>178</v>
      </c>
      <c r="F102" s="323">
        <v>149.20848782290599</v>
      </c>
      <c r="G102" s="324">
        <v>37.302121955726001</v>
      </c>
      <c r="H102" s="326">
        <v>0</v>
      </c>
      <c r="I102" s="323">
        <v>0.1</v>
      </c>
      <c r="J102" s="324">
        <v>-37.202121955726</v>
      </c>
      <c r="K102" s="327">
        <v>6.7020315899999998E-4</v>
      </c>
    </row>
    <row r="103" spans="1:11" ht="14.4" customHeight="1" thickBot="1" x14ac:dyDescent="0.35">
      <c r="A103" s="339" t="s">
        <v>273</v>
      </c>
      <c r="B103" s="323">
        <v>0</v>
      </c>
      <c r="C103" s="323">
        <v>-5.0000000000000002E-5</v>
      </c>
      <c r="D103" s="324">
        <v>-5.0000000000000002E-5</v>
      </c>
      <c r="E103" s="325" t="s">
        <v>178</v>
      </c>
      <c r="F103" s="323">
        <v>0</v>
      </c>
      <c r="G103" s="324">
        <v>0</v>
      </c>
      <c r="H103" s="326">
        <v>0</v>
      </c>
      <c r="I103" s="323">
        <v>0</v>
      </c>
      <c r="J103" s="324">
        <v>0</v>
      </c>
      <c r="K103" s="330" t="s">
        <v>178</v>
      </c>
    </row>
    <row r="104" spans="1:11" ht="14.4" customHeight="1" thickBot="1" x14ac:dyDescent="0.35">
      <c r="A104" s="340" t="s">
        <v>274</v>
      </c>
      <c r="B104" s="318">
        <v>0</v>
      </c>
      <c r="C104" s="318">
        <v>-5.0000000000000002E-5</v>
      </c>
      <c r="D104" s="319">
        <v>-5.0000000000000002E-5</v>
      </c>
      <c r="E104" s="328" t="s">
        <v>184</v>
      </c>
      <c r="F104" s="318">
        <v>0</v>
      </c>
      <c r="G104" s="319">
        <v>0</v>
      </c>
      <c r="H104" s="321">
        <v>0</v>
      </c>
      <c r="I104" s="318">
        <v>0</v>
      </c>
      <c r="J104" s="319">
        <v>0</v>
      </c>
      <c r="K104" s="331" t="s">
        <v>178</v>
      </c>
    </row>
    <row r="105" spans="1:11" ht="14.4" customHeight="1" thickBot="1" x14ac:dyDescent="0.35">
      <c r="A105" s="339" t="s">
        <v>275</v>
      </c>
      <c r="B105" s="323">
        <v>0</v>
      </c>
      <c r="C105" s="323">
        <v>103.08864</v>
      </c>
      <c r="D105" s="324">
        <v>103.08864</v>
      </c>
      <c r="E105" s="325" t="s">
        <v>178</v>
      </c>
      <c r="F105" s="323">
        <v>149.20848782290599</v>
      </c>
      <c r="G105" s="324">
        <v>37.302121955726001</v>
      </c>
      <c r="H105" s="326">
        <v>0</v>
      </c>
      <c r="I105" s="323">
        <v>0.1</v>
      </c>
      <c r="J105" s="324">
        <v>-37.202121955726</v>
      </c>
      <c r="K105" s="327">
        <v>6.7020315899999998E-4</v>
      </c>
    </row>
    <row r="106" spans="1:11" ht="14.4" customHeight="1" thickBot="1" x14ac:dyDescent="0.35">
      <c r="A106" s="340" t="s">
        <v>276</v>
      </c>
      <c r="B106" s="318">
        <v>0</v>
      </c>
      <c r="C106" s="318">
        <v>0.94499999999999995</v>
      </c>
      <c r="D106" s="319">
        <v>0.94499999999999995</v>
      </c>
      <c r="E106" s="328" t="s">
        <v>178</v>
      </c>
      <c r="F106" s="318">
        <v>0.80962967675099995</v>
      </c>
      <c r="G106" s="319">
        <v>0.202407419187</v>
      </c>
      <c r="H106" s="321">
        <v>0</v>
      </c>
      <c r="I106" s="318">
        <v>0.1</v>
      </c>
      <c r="J106" s="319">
        <v>-0.102407419187</v>
      </c>
      <c r="K106" s="322">
        <v>0.123513259051</v>
      </c>
    </row>
    <row r="107" spans="1:11" ht="14.4" customHeight="1" thickBot="1" x14ac:dyDescent="0.35">
      <c r="A107" s="340" t="s">
        <v>277</v>
      </c>
      <c r="B107" s="318">
        <v>0</v>
      </c>
      <c r="C107" s="318">
        <v>102.14364</v>
      </c>
      <c r="D107" s="319">
        <v>102.14364</v>
      </c>
      <c r="E107" s="328" t="s">
        <v>184</v>
      </c>
      <c r="F107" s="318">
        <v>148.39885814615499</v>
      </c>
      <c r="G107" s="319">
        <v>37.099714536538002</v>
      </c>
      <c r="H107" s="321">
        <v>0</v>
      </c>
      <c r="I107" s="318">
        <v>0</v>
      </c>
      <c r="J107" s="319">
        <v>-37.099714536538002</v>
      </c>
      <c r="K107" s="322">
        <v>0</v>
      </c>
    </row>
    <row r="108" spans="1:11" ht="14.4" customHeight="1" thickBot="1" x14ac:dyDescent="0.35">
      <c r="A108" s="336" t="s">
        <v>278</v>
      </c>
      <c r="B108" s="318">
        <v>445.20804666328701</v>
      </c>
      <c r="C108" s="318">
        <v>453.70206000000002</v>
      </c>
      <c r="D108" s="319">
        <v>8.4940133367129995</v>
      </c>
      <c r="E108" s="320">
        <v>1.0190787507100001</v>
      </c>
      <c r="F108" s="318">
        <v>0</v>
      </c>
      <c r="G108" s="319">
        <v>0</v>
      </c>
      <c r="H108" s="321">
        <v>33.845379999999999</v>
      </c>
      <c r="I108" s="318">
        <v>107.41407</v>
      </c>
      <c r="J108" s="319">
        <v>107.41407</v>
      </c>
      <c r="K108" s="331" t="s">
        <v>184</v>
      </c>
    </row>
    <row r="109" spans="1:11" ht="14.4" customHeight="1" thickBot="1" x14ac:dyDescent="0.35">
      <c r="A109" s="341" t="s">
        <v>279</v>
      </c>
      <c r="B109" s="323">
        <v>445.20804666328701</v>
      </c>
      <c r="C109" s="323">
        <v>453.70206000000002</v>
      </c>
      <c r="D109" s="324">
        <v>8.4940133367129995</v>
      </c>
      <c r="E109" s="329">
        <v>1.0190787507100001</v>
      </c>
      <c r="F109" s="323">
        <v>0</v>
      </c>
      <c r="G109" s="324">
        <v>0</v>
      </c>
      <c r="H109" s="326">
        <v>33.845379999999999</v>
      </c>
      <c r="I109" s="323">
        <v>107.41407</v>
      </c>
      <c r="J109" s="324">
        <v>107.41407</v>
      </c>
      <c r="K109" s="330" t="s">
        <v>184</v>
      </c>
    </row>
    <row r="110" spans="1:11" ht="14.4" customHeight="1" thickBot="1" x14ac:dyDescent="0.35">
      <c r="A110" s="343" t="s">
        <v>38</v>
      </c>
      <c r="B110" s="323">
        <v>445.20804666328701</v>
      </c>
      <c r="C110" s="323">
        <v>453.70206000000002</v>
      </c>
      <c r="D110" s="324">
        <v>8.4940133367129995</v>
      </c>
      <c r="E110" s="329">
        <v>1.0190787507100001</v>
      </c>
      <c r="F110" s="323">
        <v>0</v>
      </c>
      <c r="G110" s="324">
        <v>0</v>
      </c>
      <c r="H110" s="326">
        <v>33.845379999999999</v>
      </c>
      <c r="I110" s="323">
        <v>107.41407</v>
      </c>
      <c r="J110" s="324">
        <v>107.41407</v>
      </c>
      <c r="K110" s="330" t="s">
        <v>184</v>
      </c>
    </row>
    <row r="111" spans="1:11" ht="14.4" customHeight="1" thickBot="1" x14ac:dyDescent="0.35">
      <c r="A111" s="339" t="s">
        <v>280</v>
      </c>
      <c r="B111" s="323">
        <v>31.672897196261001</v>
      </c>
      <c r="C111" s="323">
        <v>17.665700000000001</v>
      </c>
      <c r="D111" s="324">
        <v>-14.007197196261</v>
      </c>
      <c r="E111" s="329">
        <v>0.55775447034500003</v>
      </c>
      <c r="F111" s="323">
        <v>0</v>
      </c>
      <c r="G111" s="324">
        <v>0</v>
      </c>
      <c r="H111" s="326">
        <v>0.14860000000000001</v>
      </c>
      <c r="I111" s="323">
        <v>7.3041999999999998</v>
      </c>
      <c r="J111" s="324">
        <v>7.3041999999999998</v>
      </c>
      <c r="K111" s="330" t="s">
        <v>184</v>
      </c>
    </row>
    <row r="112" spans="1:11" ht="14.4" customHeight="1" thickBot="1" x14ac:dyDescent="0.35">
      <c r="A112" s="340" t="s">
        <v>281</v>
      </c>
      <c r="B112" s="318">
        <v>31.672897196261001</v>
      </c>
      <c r="C112" s="318">
        <v>16.857199999999999</v>
      </c>
      <c r="D112" s="319">
        <v>-14.815697196261</v>
      </c>
      <c r="E112" s="320">
        <v>0.53222791383800006</v>
      </c>
      <c r="F112" s="318">
        <v>0</v>
      </c>
      <c r="G112" s="319">
        <v>0</v>
      </c>
      <c r="H112" s="321">
        <v>0.14860000000000001</v>
      </c>
      <c r="I112" s="318">
        <v>7.3041999999999998</v>
      </c>
      <c r="J112" s="319">
        <v>7.3041999999999998</v>
      </c>
      <c r="K112" s="331" t="s">
        <v>184</v>
      </c>
    </row>
    <row r="113" spans="1:11" ht="14.4" customHeight="1" thickBot="1" x14ac:dyDescent="0.35">
      <c r="A113" s="340" t="s">
        <v>282</v>
      </c>
      <c r="B113" s="318">
        <v>0</v>
      </c>
      <c r="C113" s="318">
        <v>0.8085</v>
      </c>
      <c r="D113" s="319">
        <v>0.8085</v>
      </c>
      <c r="E113" s="328" t="s">
        <v>184</v>
      </c>
      <c r="F113" s="318">
        <v>0</v>
      </c>
      <c r="G113" s="319">
        <v>0</v>
      </c>
      <c r="H113" s="321">
        <v>0</v>
      </c>
      <c r="I113" s="318">
        <v>0</v>
      </c>
      <c r="J113" s="319">
        <v>0</v>
      </c>
      <c r="K113" s="322">
        <v>3</v>
      </c>
    </row>
    <row r="114" spans="1:11" ht="14.4" customHeight="1" thickBot="1" x14ac:dyDescent="0.35">
      <c r="A114" s="339" t="s">
        <v>283</v>
      </c>
      <c r="B114" s="323">
        <v>5.6595209004399996</v>
      </c>
      <c r="C114" s="323">
        <v>6.1051799999999998</v>
      </c>
      <c r="D114" s="324">
        <v>0.44565909955900002</v>
      </c>
      <c r="E114" s="329">
        <v>1.078745022308</v>
      </c>
      <c r="F114" s="323">
        <v>0</v>
      </c>
      <c r="G114" s="324">
        <v>0</v>
      </c>
      <c r="H114" s="326">
        <v>0.53190000000000004</v>
      </c>
      <c r="I114" s="323">
        <v>1.361</v>
      </c>
      <c r="J114" s="324">
        <v>1.361</v>
      </c>
      <c r="K114" s="330" t="s">
        <v>184</v>
      </c>
    </row>
    <row r="115" spans="1:11" ht="14.4" customHeight="1" thickBot="1" x14ac:dyDescent="0.35">
      <c r="A115" s="340" t="s">
        <v>284</v>
      </c>
      <c r="B115" s="318">
        <v>5.6595209004399996</v>
      </c>
      <c r="C115" s="318">
        <v>6.1051799999999998</v>
      </c>
      <c r="D115" s="319">
        <v>0.44565909955900002</v>
      </c>
      <c r="E115" s="320">
        <v>1.078745022308</v>
      </c>
      <c r="F115" s="318">
        <v>0</v>
      </c>
      <c r="G115" s="319">
        <v>0</v>
      </c>
      <c r="H115" s="321">
        <v>0.53190000000000004</v>
      </c>
      <c r="I115" s="318">
        <v>1.361</v>
      </c>
      <c r="J115" s="319">
        <v>1.361</v>
      </c>
      <c r="K115" s="331" t="s">
        <v>184</v>
      </c>
    </row>
    <row r="116" spans="1:11" ht="14.4" customHeight="1" thickBot="1" x14ac:dyDescent="0.35">
      <c r="A116" s="339" t="s">
        <v>285</v>
      </c>
      <c r="B116" s="323">
        <v>125</v>
      </c>
      <c r="C116" s="323">
        <v>114.29792999999999</v>
      </c>
      <c r="D116" s="324">
        <v>-10.702069999999001</v>
      </c>
      <c r="E116" s="329">
        <v>0.91438344000000005</v>
      </c>
      <c r="F116" s="323">
        <v>0</v>
      </c>
      <c r="G116" s="324">
        <v>0</v>
      </c>
      <c r="H116" s="326">
        <v>8.61524</v>
      </c>
      <c r="I116" s="323">
        <v>29.643360000000001</v>
      </c>
      <c r="J116" s="324">
        <v>29.643360000000001</v>
      </c>
      <c r="K116" s="330" t="s">
        <v>184</v>
      </c>
    </row>
    <row r="117" spans="1:11" ht="14.4" customHeight="1" thickBot="1" x14ac:dyDescent="0.35">
      <c r="A117" s="340" t="s">
        <v>286</v>
      </c>
      <c r="B117" s="318">
        <v>125</v>
      </c>
      <c r="C117" s="318">
        <v>114.29792999999999</v>
      </c>
      <c r="D117" s="319">
        <v>-10.702069999999001</v>
      </c>
      <c r="E117" s="320">
        <v>0.91438344000000005</v>
      </c>
      <c r="F117" s="318">
        <v>0</v>
      </c>
      <c r="G117" s="319">
        <v>0</v>
      </c>
      <c r="H117" s="321">
        <v>8.61524</v>
      </c>
      <c r="I117" s="318">
        <v>29.643360000000001</v>
      </c>
      <c r="J117" s="319">
        <v>29.643360000000001</v>
      </c>
      <c r="K117" s="331" t="s">
        <v>184</v>
      </c>
    </row>
    <row r="118" spans="1:11" ht="14.4" customHeight="1" thickBot="1" x14ac:dyDescent="0.35">
      <c r="A118" s="339" t="s">
        <v>287</v>
      </c>
      <c r="B118" s="323">
        <v>0</v>
      </c>
      <c r="C118" s="323">
        <v>12.738</v>
      </c>
      <c r="D118" s="324">
        <v>12.738</v>
      </c>
      <c r="E118" s="325" t="s">
        <v>178</v>
      </c>
      <c r="F118" s="323">
        <v>0</v>
      </c>
      <c r="G118" s="324">
        <v>0</v>
      </c>
      <c r="H118" s="326">
        <v>0</v>
      </c>
      <c r="I118" s="323">
        <v>0</v>
      </c>
      <c r="J118" s="324">
        <v>0</v>
      </c>
      <c r="K118" s="327">
        <v>3</v>
      </c>
    </row>
    <row r="119" spans="1:11" ht="14.4" customHeight="1" thickBot="1" x14ac:dyDescent="0.35">
      <c r="A119" s="340" t="s">
        <v>288</v>
      </c>
      <c r="B119" s="318">
        <v>0</v>
      </c>
      <c r="C119" s="318">
        <v>12.738</v>
      </c>
      <c r="D119" s="319">
        <v>12.738</v>
      </c>
      <c r="E119" s="328" t="s">
        <v>178</v>
      </c>
      <c r="F119" s="318">
        <v>0</v>
      </c>
      <c r="G119" s="319">
        <v>0</v>
      </c>
      <c r="H119" s="321">
        <v>0</v>
      </c>
      <c r="I119" s="318">
        <v>0</v>
      </c>
      <c r="J119" s="319">
        <v>0</v>
      </c>
      <c r="K119" s="322">
        <v>3</v>
      </c>
    </row>
    <row r="120" spans="1:11" ht="14.4" customHeight="1" thickBot="1" x14ac:dyDescent="0.35">
      <c r="A120" s="339" t="s">
        <v>289</v>
      </c>
      <c r="B120" s="323">
        <v>282.87562856658502</v>
      </c>
      <c r="C120" s="323">
        <v>302.89524999999998</v>
      </c>
      <c r="D120" s="324">
        <v>20.019621433415001</v>
      </c>
      <c r="E120" s="329">
        <v>1.0707718142239999</v>
      </c>
      <c r="F120" s="323">
        <v>0</v>
      </c>
      <c r="G120" s="324">
        <v>0</v>
      </c>
      <c r="H120" s="326">
        <v>24.54964</v>
      </c>
      <c r="I120" s="323">
        <v>69.105509999999995</v>
      </c>
      <c r="J120" s="324">
        <v>69.105509999999995</v>
      </c>
      <c r="K120" s="330" t="s">
        <v>184</v>
      </c>
    </row>
    <row r="121" spans="1:11" ht="14.4" customHeight="1" thickBot="1" x14ac:dyDescent="0.35">
      <c r="A121" s="340" t="s">
        <v>290</v>
      </c>
      <c r="B121" s="318">
        <v>282.87562856658502</v>
      </c>
      <c r="C121" s="318">
        <v>302.89524999999998</v>
      </c>
      <c r="D121" s="319">
        <v>20.019621433415001</v>
      </c>
      <c r="E121" s="320">
        <v>1.0707718142239999</v>
      </c>
      <c r="F121" s="318">
        <v>0</v>
      </c>
      <c r="G121" s="319">
        <v>0</v>
      </c>
      <c r="H121" s="321">
        <v>24.54964</v>
      </c>
      <c r="I121" s="318">
        <v>69.105509999999995</v>
      </c>
      <c r="J121" s="319">
        <v>69.105509999999995</v>
      </c>
      <c r="K121" s="331" t="s">
        <v>184</v>
      </c>
    </row>
    <row r="122" spans="1:11" ht="14.4" customHeight="1" thickBot="1" x14ac:dyDescent="0.35">
      <c r="A122" s="344"/>
      <c r="B122" s="318">
        <v>-3647.72597376871</v>
      </c>
      <c r="C122" s="318">
        <v>-3832.6509599999999</v>
      </c>
      <c r="D122" s="319">
        <v>-184.92498623129501</v>
      </c>
      <c r="E122" s="320">
        <v>1.0506959644339999</v>
      </c>
      <c r="F122" s="318">
        <v>-3365.9155180702601</v>
      </c>
      <c r="G122" s="319">
        <v>-841.47887951756502</v>
      </c>
      <c r="H122" s="321">
        <v>-301.23692</v>
      </c>
      <c r="I122" s="318">
        <v>-938.12336000000005</v>
      </c>
      <c r="J122" s="319">
        <v>-96.644480482435</v>
      </c>
      <c r="K122" s="322">
        <v>0.27871268751799999</v>
      </c>
    </row>
    <row r="123" spans="1:11" ht="14.4" customHeight="1" thickBot="1" x14ac:dyDescent="0.35">
      <c r="A123" s="345" t="s">
        <v>50</v>
      </c>
      <c r="B123" s="332">
        <v>-3647.72597376871</v>
      </c>
      <c r="C123" s="332">
        <v>-3832.6509599999999</v>
      </c>
      <c r="D123" s="333">
        <v>-184.92498623129501</v>
      </c>
      <c r="E123" s="334" t="s">
        <v>178</v>
      </c>
      <c r="F123" s="332">
        <v>-3365.9155180702601</v>
      </c>
      <c r="G123" s="333">
        <v>-841.47887951756502</v>
      </c>
      <c r="H123" s="332">
        <v>-301.23692</v>
      </c>
      <c r="I123" s="332">
        <v>-938.12336000000005</v>
      </c>
      <c r="J123" s="333">
        <v>-96.644480482435</v>
      </c>
      <c r="K123" s="335">
        <v>0.27871268751799999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300" t="s">
        <v>77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74" t="s">
        <v>177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43">
        <v>2014</v>
      </c>
      <c r="D3" s="244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8" t="s">
        <v>0</v>
      </c>
      <c r="B4" s="249" t="s">
        <v>137</v>
      </c>
      <c r="C4" s="298" t="s">
        <v>55</v>
      </c>
      <c r="D4" s="299"/>
      <c r="E4" s="250"/>
      <c r="F4" s="245" t="s">
        <v>55</v>
      </c>
      <c r="G4" s="246" t="s">
        <v>56</v>
      </c>
      <c r="H4" s="246" t="s">
        <v>52</v>
      </c>
      <c r="I4" s="247" t="s">
        <v>57</v>
      </c>
    </row>
    <row r="5" spans="1:10" ht="14.4" customHeight="1" x14ac:dyDescent="0.3">
      <c r="A5" s="346" t="s">
        <v>291</v>
      </c>
      <c r="B5" s="347" t="s">
        <v>292</v>
      </c>
      <c r="C5" s="348" t="s">
        <v>293</v>
      </c>
      <c r="D5" s="348" t="s">
        <v>293</v>
      </c>
      <c r="E5" s="348"/>
      <c r="F5" s="348" t="s">
        <v>293</v>
      </c>
      <c r="G5" s="348" t="s">
        <v>293</v>
      </c>
      <c r="H5" s="348" t="s">
        <v>293</v>
      </c>
      <c r="I5" s="349" t="s">
        <v>293</v>
      </c>
      <c r="J5" s="350" t="s">
        <v>53</v>
      </c>
    </row>
    <row r="6" spans="1:10" ht="14.4" customHeight="1" x14ac:dyDescent="0.3">
      <c r="A6" s="346" t="s">
        <v>291</v>
      </c>
      <c r="B6" s="347" t="s">
        <v>185</v>
      </c>
      <c r="C6" s="348">
        <v>0</v>
      </c>
      <c r="D6" s="348">
        <v>0.40909000000000001</v>
      </c>
      <c r="E6" s="348"/>
      <c r="F6" s="348">
        <v>0.15182999999999999</v>
      </c>
      <c r="G6" s="348">
        <v>1.25</v>
      </c>
      <c r="H6" s="348">
        <v>-1.0981700000000001</v>
      </c>
      <c r="I6" s="349">
        <v>0.12146399999999999</v>
      </c>
      <c r="J6" s="350" t="s">
        <v>1</v>
      </c>
    </row>
    <row r="7" spans="1:10" ht="14.4" customHeight="1" x14ac:dyDescent="0.3">
      <c r="A7" s="346" t="s">
        <v>291</v>
      </c>
      <c r="B7" s="347" t="s">
        <v>294</v>
      </c>
      <c r="C7" s="348">
        <v>0</v>
      </c>
      <c r="D7" s="348">
        <v>0.40909000000000001</v>
      </c>
      <c r="E7" s="348"/>
      <c r="F7" s="348">
        <v>0.15182999999999999</v>
      </c>
      <c r="G7" s="348">
        <v>1.25</v>
      </c>
      <c r="H7" s="348">
        <v>-1.0981700000000001</v>
      </c>
      <c r="I7" s="349">
        <v>0.12146399999999999</v>
      </c>
      <c r="J7" s="350" t="s">
        <v>295</v>
      </c>
    </row>
    <row r="9" spans="1:10" ht="14.4" customHeight="1" x14ac:dyDescent="0.3">
      <c r="A9" s="346" t="s">
        <v>291</v>
      </c>
      <c r="B9" s="347" t="s">
        <v>292</v>
      </c>
      <c r="C9" s="348" t="s">
        <v>293</v>
      </c>
      <c r="D9" s="348" t="s">
        <v>293</v>
      </c>
      <c r="E9" s="348"/>
      <c r="F9" s="348" t="s">
        <v>293</v>
      </c>
      <c r="G9" s="348" t="s">
        <v>293</v>
      </c>
      <c r="H9" s="348" t="s">
        <v>293</v>
      </c>
      <c r="I9" s="349" t="s">
        <v>293</v>
      </c>
      <c r="J9" s="350" t="s">
        <v>53</v>
      </c>
    </row>
    <row r="10" spans="1:10" ht="14.4" customHeight="1" x14ac:dyDescent="0.3">
      <c r="A10" s="346" t="s">
        <v>296</v>
      </c>
      <c r="B10" s="347" t="s">
        <v>292</v>
      </c>
      <c r="C10" s="348" t="s">
        <v>293</v>
      </c>
      <c r="D10" s="348" t="s">
        <v>293</v>
      </c>
      <c r="E10" s="348"/>
      <c r="F10" s="348" t="s">
        <v>293</v>
      </c>
      <c r="G10" s="348" t="s">
        <v>293</v>
      </c>
      <c r="H10" s="348" t="s">
        <v>293</v>
      </c>
      <c r="I10" s="349" t="s">
        <v>293</v>
      </c>
      <c r="J10" s="350" t="s">
        <v>0</v>
      </c>
    </row>
    <row r="11" spans="1:10" ht="14.4" customHeight="1" x14ac:dyDescent="0.3">
      <c r="A11" s="346" t="s">
        <v>296</v>
      </c>
      <c r="B11" s="347" t="s">
        <v>185</v>
      </c>
      <c r="C11" s="348">
        <v>0</v>
      </c>
      <c r="D11" s="348">
        <v>0.40909000000000001</v>
      </c>
      <c r="E11" s="348"/>
      <c r="F11" s="348">
        <v>0.15182999999999999</v>
      </c>
      <c r="G11" s="348">
        <v>1.25</v>
      </c>
      <c r="H11" s="348">
        <v>-1.0981700000000001</v>
      </c>
      <c r="I11" s="349">
        <v>0.12146399999999999</v>
      </c>
      <c r="J11" s="350" t="s">
        <v>1</v>
      </c>
    </row>
    <row r="12" spans="1:10" ht="14.4" customHeight="1" x14ac:dyDescent="0.3">
      <c r="A12" s="346" t="s">
        <v>296</v>
      </c>
      <c r="B12" s="347" t="s">
        <v>294</v>
      </c>
      <c r="C12" s="348">
        <v>0</v>
      </c>
      <c r="D12" s="348">
        <v>0.40909000000000001</v>
      </c>
      <c r="E12" s="348"/>
      <c r="F12" s="348">
        <v>0.15182999999999999</v>
      </c>
      <c r="G12" s="348">
        <v>1.25</v>
      </c>
      <c r="H12" s="348">
        <v>-1.0981700000000001</v>
      </c>
      <c r="I12" s="349">
        <v>0.12146399999999999</v>
      </c>
      <c r="J12" s="350" t="s">
        <v>297</v>
      </c>
    </row>
    <row r="13" spans="1:10" ht="14.4" customHeight="1" x14ac:dyDescent="0.3">
      <c r="A13" s="346" t="s">
        <v>293</v>
      </c>
      <c r="B13" s="347" t="s">
        <v>293</v>
      </c>
      <c r="C13" s="348" t="s">
        <v>293</v>
      </c>
      <c r="D13" s="348" t="s">
        <v>293</v>
      </c>
      <c r="E13" s="348"/>
      <c r="F13" s="348" t="s">
        <v>293</v>
      </c>
      <c r="G13" s="348" t="s">
        <v>293</v>
      </c>
      <c r="H13" s="348" t="s">
        <v>293</v>
      </c>
      <c r="I13" s="349" t="s">
        <v>293</v>
      </c>
      <c r="J13" s="350" t="s">
        <v>298</v>
      </c>
    </row>
    <row r="14" spans="1:10" ht="14.4" customHeight="1" x14ac:dyDescent="0.3">
      <c r="A14" s="346" t="s">
        <v>291</v>
      </c>
      <c r="B14" s="347" t="s">
        <v>294</v>
      </c>
      <c r="C14" s="348">
        <v>0</v>
      </c>
      <c r="D14" s="348">
        <v>0.40909000000000001</v>
      </c>
      <c r="E14" s="348"/>
      <c r="F14" s="348">
        <v>0.15182999999999999</v>
      </c>
      <c r="G14" s="348">
        <v>1.25</v>
      </c>
      <c r="H14" s="348">
        <v>-1.0981700000000001</v>
      </c>
      <c r="I14" s="349">
        <v>0.12146399999999999</v>
      </c>
      <c r="J14" s="350" t="s">
        <v>295</v>
      </c>
    </row>
  </sheetData>
  <mergeCells count="3">
    <mergeCell ref="F3:I3"/>
    <mergeCell ref="C4:D4"/>
    <mergeCell ref="A1:I1"/>
  </mergeCells>
  <conditionalFormatting sqref="F8 F15:F65537">
    <cfRule type="cellIs" dxfId="40" priority="18" stopIfTrue="1" operator="greaterThan">
      <formula>1</formula>
    </cfRule>
  </conditionalFormatting>
  <conditionalFormatting sqref="H5:H7">
    <cfRule type="expression" dxfId="39" priority="14">
      <formula>$H5&gt;0</formula>
    </cfRule>
  </conditionalFormatting>
  <conditionalFormatting sqref="I5:I7">
    <cfRule type="expression" dxfId="38" priority="15">
      <formula>$I5&gt;1</formula>
    </cfRule>
  </conditionalFormatting>
  <conditionalFormatting sqref="B5:B7">
    <cfRule type="expression" dxfId="37" priority="11">
      <formula>OR($J5="NS",$J5="SumaNS",$J5="Účet")</formula>
    </cfRule>
  </conditionalFormatting>
  <conditionalFormatting sqref="B5:D7 F5:I7">
    <cfRule type="expression" dxfId="36" priority="17">
      <formula>AND($J5&lt;&gt;"",$J5&lt;&gt;"mezeraKL")</formula>
    </cfRule>
  </conditionalFormatting>
  <conditionalFormatting sqref="B5:D7 F5:I7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4" priority="13">
      <formula>OR($J5="SumaNS",$J5="NS")</formula>
    </cfRule>
  </conditionalFormatting>
  <conditionalFormatting sqref="A5:A7">
    <cfRule type="expression" dxfId="33" priority="9">
      <formula>AND($J5&lt;&gt;"mezeraKL",$J5&lt;&gt;"")</formula>
    </cfRule>
  </conditionalFormatting>
  <conditionalFormatting sqref="A5:A7">
    <cfRule type="expression" dxfId="32" priority="10">
      <formula>AND($J5&lt;&gt;"",$J5&lt;&gt;"mezeraKL")</formula>
    </cfRule>
  </conditionalFormatting>
  <conditionalFormatting sqref="H9:H14">
    <cfRule type="expression" dxfId="31" priority="5">
      <formula>$H9&gt;0</formula>
    </cfRule>
  </conditionalFormatting>
  <conditionalFormatting sqref="A9:A14">
    <cfRule type="expression" dxfId="30" priority="2">
      <formula>AND($J9&lt;&gt;"mezeraKL",$J9&lt;&gt;"")</formula>
    </cfRule>
  </conditionalFormatting>
  <conditionalFormatting sqref="I9:I14">
    <cfRule type="expression" dxfId="29" priority="6">
      <formula>$I9&gt;1</formula>
    </cfRule>
  </conditionalFormatting>
  <conditionalFormatting sqref="B9:B14">
    <cfRule type="expression" dxfId="28" priority="1">
      <formula>OR($J9="NS",$J9="SumaNS",$J9="Účet")</formula>
    </cfRule>
  </conditionalFormatting>
  <conditionalFormatting sqref="A9:D14 F9:I14">
    <cfRule type="expression" dxfId="27" priority="8">
      <formula>AND($J9&lt;&gt;"",$J9&lt;&gt;"mezeraKL")</formula>
    </cfRule>
  </conditionalFormatting>
  <conditionalFormatting sqref="B9:D14 F9:I14">
    <cfRule type="expression" dxfId="26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5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307" t="s">
        <v>93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14.4" customHeight="1" thickBot="1" x14ac:dyDescent="0.35">
      <c r="A2" s="174" t="s">
        <v>177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303"/>
      <c r="D3" s="304"/>
      <c r="E3" s="304"/>
      <c r="F3" s="304"/>
      <c r="G3" s="304"/>
      <c r="H3" s="304"/>
      <c r="I3" s="304"/>
      <c r="J3" s="305" t="s">
        <v>75</v>
      </c>
      <c r="K3" s="306"/>
      <c r="L3" s="71">
        <f>IF(M3&lt;&gt;0,N3/M3,0)</f>
        <v>50.608657946192274</v>
      </c>
      <c r="M3" s="71">
        <f>SUBTOTAL(9,M5:M1048576)</f>
        <v>3</v>
      </c>
      <c r="N3" s="72">
        <f>SUBTOTAL(9,N5:N1048576)</f>
        <v>151.82597383857683</v>
      </c>
    </row>
    <row r="4" spans="1:14" s="163" customFormat="1" ht="14.4" customHeight="1" thickBot="1" x14ac:dyDescent="0.35">
      <c r="A4" s="351" t="s">
        <v>3</v>
      </c>
      <c r="B4" s="352" t="s">
        <v>4</v>
      </c>
      <c r="C4" s="352" t="s">
        <v>0</v>
      </c>
      <c r="D4" s="352" t="s">
        <v>5</v>
      </c>
      <c r="E4" s="352" t="s">
        <v>6</v>
      </c>
      <c r="F4" s="352" t="s">
        <v>1</v>
      </c>
      <c r="G4" s="352" t="s">
        <v>7</v>
      </c>
      <c r="H4" s="352" t="s">
        <v>8</v>
      </c>
      <c r="I4" s="352" t="s">
        <v>9</v>
      </c>
      <c r="J4" s="353" t="s">
        <v>10</v>
      </c>
      <c r="K4" s="353" t="s">
        <v>11</v>
      </c>
      <c r="L4" s="354" t="s">
        <v>81</v>
      </c>
      <c r="M4" s="354" t="s">
        <v>12</v>
      </c>
      <c r="N4" s="355" t="s">
        <v>89</v>
      </c>
    </row>
    <row r="5" spans="1:14" ht="14.4" customHeight="1" thickBot="1" x14ac:dyDescent="0.35">
      <c r="A5" s="356" t="s">
        <v>291</v>
      </c>
      <c r="B5" s="357" t="s">
        <v>292</v>
      </c>
      <c r="C5" s="358" t="s">
        <v>296</v>
      </c>
      <c r="D5" s="359" t="s">
        <v>292</v>
      </c>
      <c r="E5" s="358" t="s">
        <v>299</v>
      </c>
      <c r="F5" s="359" t="s">
        <v>304</v>
      </c>
      <c r="G5" s="358" t="s">
        <v>300</v>
      </c>
      <c r="H5" s="358" t="s">
        <v>301</v>
      </c>
      <c r="I5" s="358" t="s">
        <v>302</v>
      </c>
      <c r="J5" s="358" t="s">
        <v>303</v>
      </c>
      <c r="K5" s="358"/>
      <c r="L5" s="360">
        <v>50.608657946192274</v>
      </c>
      <c r="M5" s="360">
        <v>3</v>
      </c>
      <c r="N5" s="361">
        <v>151.82597383857683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3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308" t="s">
        <v>138</v>
      </c>
      <c r="B1" s="308"/>
      <c r="C1" s="308"/>
      <c r="D1" s="308"/>
      <c r="E1" s="308"/>
      <c r="F1" s="272"/>
      <c r="G1" s="272"/>
      <c r="H1" s="272"/>
      <c r="I1" s="27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74" t="s">
        <v>177</v>
      </c>
      <c r="B2" s="169"/>
      <c r="C2" s="169"/>
      <c r="D2" s="169"/>
      <c r="E2" s="169"/>
    </row>
    <row r="3" spans="1:17" ht="14.4" customHeight="1" thickBot="1" x14ac:dyDescent="0.35">
      <c r="A3" s="252" t="s">
        <v>2</v>
      </c>
      <c r="B3" s="256">
        <f>SUM(B6:B1048576)</f>
        <v>5</v>
      </c>
      <c r="C3" s="257">
        <f>SUM(C6:C1048576)</f>
        <v>0</v>
      </c>
      <c r="D3" s="257">
        <f>SUM(D6:D1048576)</f>
        <v>0</v>
      </c>
      <c r="E3" s="258">
        <f>SUM(E6:E1048576)</f>
        <v>0</v>
      </c>
      <c r="F3" s="255">
        <f>IF(SUM($B3:$E3)=0,"",B3/SUM($B3:$E3))</f>
        <v>1</v>
      </c>
      <c r="G3" s="253">
        <f t="shared" ref="G3:I3" si="0">IF(SUM($B3:$E3)=0,"",C3/SUM($B3:$E3))</f>
        <v>0</v>
      </c>
      <c r="H3" s="253">
        <f t="shared" si="0"/>
        <v>0</v>
      </c>
      <c r="I3" s="254">
        <f t="shared" si="0"/>
        <v>0</v>
      </c>
      <c r="J3" s="257">
        <f>SUM(J6:J1048576)</f>
        <v>3</v>
      </c>
      <c r="K3" s="257">
        <f>SUM(K6:K1048576)</f>
        <v>0</v>
      </c>
      <c r="L3" s="257">
        <f>SUM(L6:L1048576)</f>
        <v>0</v>
      </c>
      <c r="M3" s="258">
        <f>SUM(M6:M1048576)</f>
        <v>0</v>
      </c>
      <c r="N3" s="255">
        <f>IF(SUM($J3:$M3)=0,"",J3/SUM($J3:$M3))</f>
        <v>1</v>
      </c>
      <c r="O3" s="253">
        <f t="shared" ref="O3:Q3" si="1">IF(SUM($J3:$M3)=0,"",K3/SUM($J3:$M3))</f>
        <v>0</v>
      </c>
      <c r="P3" s="253">
        <f t="shared" si="1"/>
        <v>0</v>
      </c>
      <c r="Q3" s="254">
        <f t="shared" si="1"/>
        <v>0</v>
      </c>
    </row>
    <row r="4" spans="1:17" ht="14.4" customHeight="1" thickBot="1" x14ac:dyDescent="0.35">
      <c r="A4" s="251"/>
      <c r="B4" s="312" t="s">
        <v>140</v>
      </c>
      <c r="C4" s="313"/>
      <c r="D4" s="313"/>
      <c r="E4" s="314"/>
      <c r="F4" s="309" t="s">
        <v>145</v>
      </c>
      <c r="G4" s="310"/>
      <c r="H4" s="310"/>
      <c r="I4" s="311"/>
      <c r="J4" s="312" t="s">
        <v>146</v>
      </c>
      <c r="K4" s="313"/>
      <c r="L4" s="313"/>
      <c r="M4" s="314"/>
      <c r="N4" s="309" t="s">
        <v>147</v>
      </c>
      <c r="O4" s="310"/>
      <c r="P4" s="310"/>
      <c r="Q4" s="311"/>
    </row>
    <row r="5" spans="1:17" ht="14.4" customHeight="1" thickBot="1" x14ac:dyDescent="0.35">
      <c r="A5" s="362" t="s">
        <v>139</v>
      </c>
      <c r="B5" s="363" t="s">
        <v>141</v>
      </c>
      <c r="C5" s="363" t="s">
        <v>142</v>
      </c>
      <c r="D5" s="363" t="s">
        <v>143</v>
      </c>
      <c r="E5" s="364" t="s">
        <v>144</v>
      </c>
      <c r="F5" s="365" t="s">
        <v>141</v>
      </c>
      <c r="G5" s="366" t="s">
        <v>142</v>
      </c>
      <c r="H5" s="366" t="s">
        <v>143</v>
      </c>
      <c r="I5" s="367" t="s">
        <v>144</v>
      </c>
      <c r="J5" s="363" t="s">
        <v>141</v>
      </c>
      <c r="K5" s="363" t="s">
        <v>142</v>
      </c>
      <c r="L5" s="363" t="s">
        <v>143</v>
      </c>
      <c r="M5" s="364" t="s">
        <v>144</v>
      </c>
      <c r="N5" s="365" t="s">
        <v>141</v>
      </c>
      <c r="O5" s="366" t="s">
        <v>142</v>
      </c>
      <c r="P5" s="366" t="s">
        <v>143</v>
      </c>
      <c r="Q5" s="367" t="s">
        <v>144</v>
      </c>
    </row>
    <row r="6" spans="1:17" ht="14.4" customHeight="1" x14ac:dyDescent="0.3">
      <c r="A6" s="374" t="s">
        <v>305</v>
      </c>
      <c r="B6" s="378"/>
      <c r="C6" s="368"/>
      <c r="D6" s="368"/>
      <c r="E6" s="380"/>
      <c r="F6" s="376"/>
      <c r="G6" s="369"/>
      <c r="H6" s="369"/>
      <c r="I6" s="382"/>
      <c r="J6" s="378"/>
      <c r="K6" s="368"/>
      <c r="L6" s="368"/>
      <c r="M6" s="380"/>
      <c r="N6" s="376"/>
      <c r="O6" s="369"/>
      <c r="P6" s="369"/>
      <c r="Q6" s="370"/>
    </row>
    <row r="7" spans="1:17" ht="14.4" customHeight="1" thickBot="1" x14ac:dyDescent="0.35">
      <c r="A7" s="375" t="s">
        <v>306</v>
      </c>
      <c r="B7" s="379">
        <v>5</v>
      </c>
      <c r="C7" s="371"/>
      <c r="D7" s="371"/>
      <c r="E7" s="381"/>
      <c r="F7" s="377">
        <v>1</v>
      </c>
      <c r="G7" s="372">
        <v>0</v>
      </c>
      <c r="H7" s="372">
        <v>0</v>
      </c>
      <c r="I7" s="383">
        <v>0</v>
      </c>
      <c r="J7" s="379">
        <v>3</v>
      </c>
      <c r="K7" s="371"/>
      <c r="L7" s="371"/>
      <c r="M7" s="381"/>
      <c r="N7" s="377">
        <v>1</v>
      </c>
      <c r="O7" s="372">
        <v>0</v>
      </c>
      <c r="P7" s="372">
        <v>0</v>
      </c>
      <c r="Q7" s="3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300" t="s">
        <v>78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74" t="s">
        <v>177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43">
        <v>2014</v>
      </c>
      <c r="D3" s="244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8" t="s">
        <v>0</v>
      </c>
      <c r="B4" s="249" t="s">
        <v>137</v>
      </c>
      <c r="C4" s="298" t="s">
        <v>55</v>
      </c>
      <c r="D4" s="299"/>
      <c r="E4" s="250"/>
      <c r="F4" s="245" t="s">
        <v>55</v>
      </c>
      <c r="G4" s="246" t="s">
        <v>56</v>
      </c>
      <c r="H4" s="246" t="s">
        <v>52</v>
      </c>
      <c r="I4" s="247" t="s">
        <v>57</v>
      </c>
    </row>
    <row r="5" spans="1:10" ht="14.4" customHeight="1" x14ac:dyDescent="0.3">
      <c r="A5" s="346" t="s">
        <v>291</v>
      </c>
      <c r="B5" s="347" t="s">
        <v>292</v>
      </c>
      <c r="C5" s="348" t="s">
        <v>293</v>
      </c>
      <c r="D5" s="348" t="s">
        <v>293</v>
      </c>
      <c r="E5" s="348"/>
      <c r="F5" s="348" t="s">
        <v>293</v>
      </c>
      <c r="G5" s="348" t="s">
        <v>293</v>
      </c>
      <c r="H5" s="348" t="s">
        <v>293</v>
      </c>
      <c r="I5" s="349" t="s">
        <v>293</v>
      </c>
      <c r="J5" s="350" t="s">
        <v>53</v>
      </c>
    </row>
    <row r="6" spans="1:10" ht="14.4" customHeight="1" x14ac:dyDescent="0.3">
      <c r="A6" s="346" t="s">
        <v>291</v>
      </c>
      <c r="B6" s="347" t="s">
        <v>187</v>
      </c>
      <c r="C6" s="348">
        <v>14.653099999999998</v>
      </c>
      <c r="D6" s="348">
        <v>16.31419</v>
      </c>
      <c r="E6" s="348"/>
      <c r="F6" s="348">
        <v>13.950959999999998</v>
      </c>
      <c r="G6" s="348">
        <v>15.750004341576748</v>
      </c>
      <c r="H6" s="348">
        <v>-1.7990443415767494</v>
      </c>
      <c r="I6" s="349">
        <v>0.88577499392634163</v>
      </c>
      <c r="J6" s="350" t="s">
        <v>1</v>
      </c>
    </row>
    <row r="7" spans="1:10" ht="14.4" customHeight="1" x14ac:dyDescent="0.3">
      <c r="A7" s="346" t="s">
        <v>291</v>
      </c>
      <c r="B7" s="347" t="s">
        <v>188</v>
      </c>
      <c r="C7" s="348">
        <v>0</v>
      </c>
      <c r="D7" s="348">
        <v>0</v>
      </c>
      <c r="E7" s="348"/>
      <c r="F7" s="348">
        <v>0</v>
      </c>
      <c r="G7" s="348">
        <v>1.0000002756555</v>
      </c>
      <c r="H7" s="348">
        <v>-1.0000002756555</v>
      </c>
      <c r="I7" s="349">
        <v>0</v>
      </c>
      <c r="J7" s="350" t="s">
        <v>1</v>
      </c>
    </row>
    <row r="8" spans="1:10" ht="14.4" customHeight="1" x14ac:dyDescent="0.3">
      <c r="A8" s="346" t="s">
        <v>291</v>
      </c>
      <c r="B8" s="347" t="s">
        <v>189</v>
      </c>
      <c r="C8" s="348">
        <v>0</v>
      </c>
      <c r="D8" s="348">
        <v>0</v>
      </c>
      <c r="E8" s="348"/>
      <c r="F8" s="348">
        <v>0</v>
      </c>
      <c r="G8" s="348">
        <v>3.5500009785749999E-2</v>
      </c>
      <c r="H8" s="348">
        <v>-3.5500009785749999E-2</v>
      </c>
      <c r="I8" s="349">
        <v>0</v>
      </c>
      <c r="J8" s="350" t="s">
        <v>1</v>
      </c>
    </row>
    <row r="9" spans="1:10" ht="14.4" customHeight="1" x14ac:dyDescent="0.3">
      <c r="A9" s="346" t="s">
        <v>291</v>
      </c>
      <c r="B9" s="347" t="s">
        <v>294</v>
      </c>
      <c r="C9" s="348">
        <v>14.653099999999998</v>
      </c>
      <c r="D9" s="348">
        <v>16.31419</v>
      </c>
      <c r="E9" s="348"/>
      <c r="F9" s="348">
        <v>13.950959999999998</v>
      </c>
      <c r="G9" s="348">
        <v>16.785504627017996</v>
      </c>
      <c r="H9" s="348">
        <v>-2.8345446270179977</v>
      </c>
      <c r="I9" s="349">
        <v>0.83113140236156458</v>
      </c>
      <c r="J9" s="350" t="s">
        <v>295</v>
      </c>
    </row>
    <row r="11" spans="1:10" ht="14.4" customHeight="1" x14ac:dyDescent="0.3">
      <c r="A11" s="346" t="s">
        <v>291</v>
      </c>
      <c r="B11" s="347" t="s">
        <v>292</v>
      </c>
      <c r="C11" s="348" t="s">
        <v>293</v>
      </c>
      <c r="D11" s="348" t="s">
        <v>293</v>
      </c>
      <c r="E11" s="348"/>
      <c r="F11" s="348" t="s">
        <v>293</v>
      </c>
      <c r="G11" s="348" t="s">
        <v>293</v>
      </c>
      <c r="H11" s="348" t="s">
        <v>293</v>
      </c>
      <c r="I11" s="349" t="s">
        <v>293</v>
      </c>
      <c r="J11" s="350" t="s">
        <v>53</v>
      </c>
    </row>
    <row r="12" spans="1:10" ht="14.4" customHeight="1" x14ac:dyDescent="0.3">
      <c r="A12" s="346" t="s">
        <v>296</v>
      </c>
      <c r="B12" s="347" t="s">
        <v>292</v>
      </c>
      <c r="C12" s="348" t="s">
        <v>293</v>
      </c>
      <c r="D12" s="348" t="s">
        <v>293</v>
      </c>
      <c r="E12" s="348"/>
      <c r="F12" s="348" t="s">
        <v>293</v>
      </c>
      <c r="G12" s="348" t="s">
        <v>293</v>
      </c>
      <c r="H12" s="348" t="s">
        <v>293</v>
      </c>
      <c r="I12" s="349" t="s">
        <v>293</v>
      </c>
      <c r="J12" s="350" t="s">
        <v>0</v>
      </c>
    </row>
    <row r="13" spans="1:10" ht="14.4" customHeight="1" x14ac:dyDescent="0.3">
      <c r="A13" s="346" t="s">
        <v>296</v>
      </c>
      <c r="B13" s="347" t="s">
        <v>187</v>
      </c>
      <c r="C13" s="348">
        <v>14.653099999999998</v>
      </c>
      <c r="D13" s="348">
        <v>16.31419</v>
      </c>
      <c r="E13" s="348"/>
      <c r="F13" s="348">
        <v>13.950959999999998</v>
      </c>
      <c r="G13" s="348">
        <v>15.750004341576748</v>
      </c>
      <c r="H13" s="348">
        <v>-1.7990443415767494</v>
      </c>
      <c r="I13" s="349">
        <v>0.88577499392634163</v>
      </c>
      <c r="J13" s="350" t="s">
        <v>1</v>
      </c>
    </row>
    <row r="14" spans="1:10" ht="14.4" customHeight="1" x14ac:dyDescent="0.3">
      <c r="A14" s="346" t="s">
        <v>296</v>
      </c>
      <c r="B14" s="347" t="s">
        <v>188</v>
      </c>
      <c r="C14" s="348">
        <v>0</v>
      </c>
      <c r="D14" s="348">
        <v>0</v>
      </c>
      <c r="E14" s="348"/>
      <c r="F14" s="348">
        <v>0</v>
      </c>
      <c r="G14" s="348">
        <v>1.0000002756555</v>
      </c>
      <c r="H14" s="348">
        <v>-1.0000002756555</v>
      </c>
      <c r="I14" s="349">
        <v>0</v>
      </c>
      <c r="J14" s="350" t="s">
        <v>1</v>
      </c>
    </row>
    <row r="15" spans="1:10" ht="14.4" customHeight="1" x14ac:dyDescent="0.3">
      <c r="A15" s="346" t="s">
        <v>296</v>
      </c>
      <c r="B15" s="347" t="s">
        <v>189</v>
      </c>
      <c r="C15" s="348">
        <v>0</v>
      </c>
      <c r="D15" s="348">
        <v>0</v>
      </c>
      <c r="E15" s="348"/>
      <c r="F15" s="348">
        <v>0</v>
      </c>
      <c r="G15" s="348">
        <v>3.5500009785749999E-2</v>
      </c>
      <c r="H15" s="348">
        <v>-3.5500009785749999E-2</v>
      </c>
      <c r="I15" s="349">
        <v>0</v>
      </c>
      <c r="J15" s="350" t="s">
        <v>1</v>
      </c>
    </row>
    <row r="16" spans="1:10" ht="14.4" customHeight="1" x14ac:dyDescent="0.3">
      <c r="A16" s="346" t="s">
        <v>296</v>
      </c>
      <c r="B16" s="347" t="s">
        <v>294</v>
      </c>
      <c r="C16" s="348">
        <v>14.653099999999998</v>
      </c>
      <c r="D16" s="348">
        <v>16.31419</v>
      </c>
      <c r="E16" s="348"/>
      <c r="F16" s="348">
        <v>13.950959999999998</v>
      </c>
      <c r="G16" s="348">
        <v>16.785504627017996</v>
      </c>
      <c r="H16" s="348">
        <v>-2.8345446270179977</v>
      </c>
      <c r="I16" s="349">
        <v>0.83113140236156458</v>
      </c>
      <c r="J16" s="350" t="s">
        <v>297</v>
      </c>
    </row>
    <row r="17" spans="1:10" ht="14.4" customHeight="1" x14ac:dyDescent="0.3">
      <c r="A17" s="346" t="s">
        <v>293</v>
      </c>
      <c r="B17" s="347" t="s">
        <v>293</v>
      </c>
      <c r="C17" s="348" t="s">
        <v>293</v>
      </c>
      <c r="D17" s="348" t="s">
        <v>293</v>
      </c>
      <c r="E17" s="348"/>
      <c r="F17" s="348" t="s">
        <v>293</v>
      </c>
      <c r="G17" s="348" t="s">
        <v>293</v>
      </c>
      <c r="H17" s="348" t="s">
        <v>293</v>
      </c>
      <c r="I17" s="349" t="s">
        <v>293</v>
      </c>
      <c r="J17" s="350" t="s">
        <v>298</v>
      </c>
    </row>
    <row r="18" spans="1:10" ht="14.4" customHeight="1" x14ac:dyDescent="0.3">
      <c r="A18" s="346" t="s">
        <v>291</v>
      </c>
      <c r="B18" s="347" t="s">
        <v>294</v>
      </c>
      <c r="C18" s="348">
        <v>14.653099999999998</v>
      </c>
      <c r="D18" s="348">
        <v>16.31419</v>
      </c>
      <c r="E18" s="348"/>
      <c r="F18" s="348">
        <v>13.950959999999998</v>
      </c>
      <c r="G18" s="348">
        <v>16.785504627017996</v>
      </c>
      <c r="H18" s="348">
        <v>-2.8345446270179977</v>
      </c>
      <c r="I18" s="349">
        <v>0.83113140236156458</v>
      </c>
      <c r="J18" s="350" t="s">
        <v>295</v>
      </c>
    </row>
  </sheetData>
  <mergeCells count="3">
    <mergeCell ref="A1:I1"/>
    <mergeCell ref="F3:I3"/>
    <mergeCell ref="C4:D4"/>
  </mergeCells>
  <conditionalFormatting sqref="F10 F19:F65537">
    <cfRule type="cellIs" dxfId="23" priority="18" stopIfTrue="1" operator="greaterThan">
      <formula>1</formula>
    </cfRule>
  </conditionalFormatting>
  <conditionalFormatting sqref="H5:H9">
    <cfRule type="expression" dxfId="22" priority="14">
      <formula>$H5&gt;0</formula>
    </cfRule>
  </conditionalFormatting>
  <conditionalFormatting sqref="I5:I9">
    <cfRule type="expression" dxfId="21" priority="15">
      <formula>$I5&gt;1</formula>
    </cfRule>
  </conditionalFormatting>
  <conditionalFormatting sqref="B5:B9">
    <cfRule type="expression" dxfId="20" priority="11">
      <formula>OR($J5="NS",$J5="SumaNS",$J5="Účet")</formula>
    </cfRule>
  </conditionalFormatting>
  <conditionalFormatting sqref="F5:I9 B5:D9">
    <cfRule type="expression" dxfId="19" priority="17">
      <formula>AND($J5&lt;&gt;"",$J5&lt;&gt;"mezeraKL")</formula>
    </cfRule>
  </conditionalFormatting>
  <conditionalFormatting sqref="B5:D9 F5:I9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7" priority="13">
      <formula>OR($J5="SumaNS",$J5="NS")</formula>
    </cfRule>
  </conditionalFormatting>
  <conditionalFormatting sqref="A5:A9">
    <cfRule type="expression" dxfId="16" priority="9">
      <formula>AND($J5&lt;&gt;"mezeraKL",$J5&lt;&gt;"")</formula>
    </cfRule>
  </conditionalFormatting>
  <conditionalFormatting sqref="A5:A9">
    <cfRule type="expression" dxfId="15" priority="10">
      <formula>AND($J5&lt;&gt;"",$J5&lt;&gt;"mezeraKL")</formula>
    </cfRule>
  </conditionalFormatting>
  <conditionalFormatting sqref="H11:H18">
    <cfRule type="expression" dxfId="14" priority="5">
      <formula>$H11&gt;0</formula>
    </cfRule>
  </conditionalFormatting>
  <conditionalFormatting sqref="A11:A18">
    <cfRule type="expression" dxfId="13" priority="2">
      <formula>AND($J11&lt;&gt;"mezeraKL",$J11&lt;&gt;"")</formula>
    </cfRule>
  </conditionalFormatting>
  <conditionalFormatting sqref="I11:I18">
    <cfRule type="expression" dxfId="12" priority="6">
      <formula>$I11&gt;1</formula>
    </cfRule>
  </conditionalFormatting>
  <conditionalFormatting sqref="B11:B18">
    <cfRule type="expression" dxfId="11" priority="1">
      <formula>OR($J11="NS",$J11="SumaNS",$J11="Účet")</formula>
    </cfRule>
  </conditionalFormatting>
  <conditionalFormatting sqref="A11:D18 F11:I18">
    <cfRule type="expression" dxfId="10" priority="8">
      <formula>AND($J11&lt;&gt;"",$J11&lt;&gt;"mezeraKL")</formula>
    </cfRule>
  </conditionalFormatting>
  <conditionalFormatting sqref="B11:D18 F11:I18">
    <cfRule type="expression" dxfId="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2016-04-27T14:35:08Z</dcterms:modified>
</cp:coreProperties>
</file>