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vykazy\temp\"/>
    </mc:Choice>
  </mc:AlternateContent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Detail" sheetId="220" r:id="rId7"/>
    <sheet name="LŽ Statim" sheetId="427" r:id="rId8"/>
    <sheet name="Materiál Žádanky" sheetId="420" r:id="rId9"/>
    <sheet name="MŽ Detail" sheetId="403" r:id="rId10"/>
    <sheet name="Osobní náklady" sheetId="419" r:id="rId11"/>
    <sheet name="ON Data" sheetId="418" state="hidden" r:id="rId12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Detail'!$A$4:$N$4</definedName>
    <definedName name="_xlnm._FilterDatabase" localSheetId="7" hidden="1">'LŽ Statim'!$A$5:$I$5</definedName>
    <definedName name="_xlnm._FilterDatabase" localSheetId="3" hidden="1">'Man Tab'!$A$5:$A$31</definedName>
    <definedName name="_xlnm._FilterDatabase" localSheetId="8" hidden="1">'Materiál Žádanky'!$A$4:$I$4</definedName>
    <definedName name="_xlnm._FilterDatabase" localSheetId="9" hidden="1">'MŽ Detail'!$A$4:$K$4</definedName>
    <definedName name="doměsíce">#REF!</definedName>
  </definedNames>
  <calcPr calcId="152511"/>
</workbook>
</file>

<file path=xl/calcChain.xml><?xml version="1.0" encoding="utf-8"?>
<calcChain xmlns="http://schemas.openxmlformats.org/spreadsheetml/2006/main">
  <c r="C26" i="419" l="1"/>
  <c r="I26" i="419" l="1"/>
  <c r="I25" i="419"/>
  <c r="E26" i="419"/>
  <c r="I28" i="419" l="1"/>
  <c r="I27" i="419"/>
  <c r="E25" i="419"/>
  <c r="C25" i="419"/>
  <c r="I20" i="419"/>
  <c r="H20" i="419"/>
  <c r="I19" i="419"/>
  <c r="H19" i="419"/>
  <c r="I17" i="419"/>
  <c r="H17" i="419"/>
  <c r="I16" i="419"/>
  <c r="H16" i="419"/>
  <c r="I14" i="419"/>
  <c r="H14" i="419"/>
  <c r="I13" i="419"/>
  <c r="H13" i="419"/>
  <c r="I12" i="419"/>
  <c r="H12" i="419"/>
  <c r="I11" i="419"/>
  <c r="H11" i="419"/>
  <c r="AW3" i="418"/>
  <c r="AV3" i="418"/>
  <c r="AU3" i="418"/>
  <c r="AT3" i="418"/>
  <c r="AS3" i="418"/>
  <c r="AR3" i="418"/>
  <c r="AQ3" i="418"/>
  <c r="AP3" i="418"/>
  <c r="H18" i="419" l="1"/>
  <c r="I18" i="419"/>
  <c r="B25" i="419"/>
  <c r="E27" i="419" l="1"/>
  <c r="B26" i="419"/>
  <c r="B27" i="419" s="1"/>
  <c r="E28" i="419"/>
  <c r="A8" i="414"/>
  <c r="A7" i="414"/>
  <c r="G21" i="419" l="1"/>
  <c r="G22" i="419" s="1"/>
  <c r="F21" i="419"/>
  <c r="F22" i="419" s="1"/>
  <c r="E21" i="419"/>
  <c r="G20" i="419"/>
  <c r="F20" i="419"/>
  <c r="E20" i="419"/>
  <c r="G19" i="419"/>
  <c r="F19" i="419"/>
  <c r="E19" i="419"/>
  <c r="G17" i="419"/>
  <c r="F17" i="419"/>
  <c r="E17" i="419"/>
  <c r="G16" i="419"/>
  <c r="F16" i="419"/>
  <c r="E16" i="419"/>
  <c r="G14" i="419"/>
  <c r="F14" i="419"/>
  <c r="E14" i="419"/>
  <c r="G13" i="419"/>
  <c r="F13" i="419"/>
  <c r="E13" i="419"/>
  <c r="G12" i="419"/>
  <c r="F12" i="419"/>
  <c r="E12" i="419"/>
  <c r="G11" i="419"/>
  <c r="F11" i="419"/>
  <c r="E11" i="419"/>
  <c r="E18" i="419" l="1"/>
  <c r="E23" i="419"/>
  <c r="F18" i="419"/>
  <c r="G18" i="419"/>
  <c r="F23" i="419"/>
  <c r="G23" i="419"/>
  <c r="E22" i="419"/>
  <c r="M3" i="418"/>
  <c r="D21" i="419" l="1"/>
  <c r="D22" i="419" s="1"/>
  <c r="C21" i="419"/>
  <c r="C22" i="419" s="1"/>
  <c r="D20" i="419"/>
  <c r="C20" i="419"/>
  <c r="D19" i="419"/>
  <c r="C19" i="419"/>
  <c r="D17" i="419"/>
  <c r="C17" i="419"/>
  <c r="D16" i="419"/>
  <c r="C16" i="419"/>
  <c r="D14" i="419"/>
  <c r="C14" i="419"/>
  <c r="D13" i="419"/>
  <c r="C13" i="419"/>
  <c r="D12" i="419"/>
  <c r="C12" i="419"/>
  <c r="D11" i="419"/>
  <c r="C11" i="419"/>
  <c r="C18" i="419" l="1"/>
  <c r="D18" i="419"/>
  <c r="C23" i="419"/>
  <c r="D23" i="419"/>
  <c r="B21" i="419"/>
  <c r="B22" i="419" l="1"/>
  <c r="A12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13" i="383" l="1"/>
  <c r="A10" i="383"/>
  <c r="AO3" i="418" l="1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C28" i="419" l="1"/>
  <c r="B28" i="419" s="1"/>
  <c r="C27" i="419"/>
  <c r="R3" i="418"/>
  <c r="Q3" i="418"/>
  <c r="P3" i="418"/>
  <c r="O3" i="418"/>
  <c r="N3" i="418"/>
  <c r="L3" i="418"/>
  <c r="K3" i="418"/>
  <c r="J3" i="418"/>
  <c r="I3" i="418"/>
  <c r="H3" i="418"/>
  <c r="G3" i="418"/>
  <c r="F3" i="418"/>
  <c r="A7" i="339" l="1"/>
  <c r="D3" i="418" l="1"/>
  <c r="H6" i="419" l="1"/>
  <c r="I6" i="419"/>
  <c r="G6" i="419"/>
  <c r="E6" i="419"/>
  <c r="F6" i="419"/>
  <c r="D6" i="419"/>
  <c r="C6" i="419"/>
  <c r="B6" i="419"/>
  <c r="B20" i="419"/>
  <c r="B23" i="419" s="1"/>
  <c r="B19" i="419"/>
  <c r="B17" i="419"/>
  <c r="B16" i="419"/>
  <c r="B14" i="419"/>
  <c r="B13" i="419"/>
  <c r="B12" i="419"/>
  <c r="B11" i="419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13" i="414"/>
  <c r="A4" i="414"/>
  <c r="A6" i="339" l="1"/>
  <c r="A5" i="339"/>
  <c r="D4" i="414"/>
  <c r="C13" i="414"/>
  <c r="D16" i="414"/>
  <c r="D13" i="414"/>
  <c r="C16" i="414"/>
  <c r="C12" i="414" l="1"/>
  <c r="C7" i="414"/>
  <c r="E12" i="414" l="1"/>
  <c r="E7" i="414"/>
  <c r="K3" i="403" l="1"/>
  <c r="J3" i="403"/>
  <c r="I3" i="403" s="1"/>
  <c r="M3" i="220" l="1"/>
  <c r="E12" i="339" l="1"/>
  <c r="C12" i="339"/>
  <c r="B12" i="339"/>
  <c r="F12" i="339" s="1"/>
  <c r="N3" i="220"/>
  <c r="L3" i="220" s="1"/>
  <c r="C17" i="414"/>
  <c r="D17" i="414"/>
  <c r="F13" i="339" l="1"/>
  <c r="E13" i="339"/>
  <c r="E15" i="339" s="1"/>
  <c r="H12" i="339"/>
  <c r="G12" i="339"/>
  <c r="A4" i="383"/>
  <c r="A15" i="383"/>
  <c r="A14" i="383"/>
  <c r="A11" i="383"/>
  <c r="A7" i="383"/>
  <c r="A6" i="383"/>
  <c r="A5" i="383"/>
  <c r="C13" i="339"/>
  <c r="C15" i="339" s="1"/>
  <c r="B13" i="339"/>
  <c r="B15" i="339" s="1"/>
  <c r="C4" i="414"/>
  <c r="D15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 shape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<sst xmlns="http://schemas.openxmlformats.org/spreadsheetml/2006/main" count="648" uniqueCount="325">
  <si>
    <t>NS</t>
  </si>
  <si>
    <t>Účet</t>
  </si>
  <si>
    <t>Celkem</t>
  </si>
  <si>
    <t>Č.kl.</t>
  </si>
  <si>
    <t>Klinika</t>
  </si>
  <si>
    <t>Oddělení</t>
  </si>
  <si>
    <t>Č.účtu</t>
  </si>
  <si>
    <t>PL</t>
  </si>
  <si>
    <t>Kód lékárna</t>
  </si>
  <si>
    <t>Kód ZP</t>
  </si>
  <si>
    <t>Název</t>
  </si>
  <si>
    <t>Popis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</si>
  <si>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</si>
  <si>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</si>
  <si>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</si>
  <si>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</si>
  <si>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</si>
  <si>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</si>
  <si>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</si>
  <si>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</si>
  <si>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</si>
  <si>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</si>
  <si>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</si>
  <si>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</si>
  <si>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</si>
  <si>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</si>
  <si>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</si>
  <si>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</si>
  <si>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</si>
  <si>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</si>
  <si>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</si>
  <si>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</si>
  <si>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</si>
  <si>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</si>
  <si>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</si>
  <si>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</si>
  <si>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</si>
  <si>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</si>
  <si>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</si>
  <si>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</si>
  <si>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</si>
  <si>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</si>
  <si>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</si>
  <si>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</si>
  <si>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</si>
  <si>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</si>
  <si>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</si>
  <si>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</si>
  <si>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</si>
  <si>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</si>
  <si>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</si>
  <si>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</si>
  <si>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</si>
  <si>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</si>
  <si>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</si>
  <si>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</si>
  <si>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</si>
  <si>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</si>
  <si>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</si>
  <si>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</si>
  <si>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</si>
  <si>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</si>
  <si>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</si>
  <si>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</si>
  <si>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</si>
  <si>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</si>
  <si>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</si>
  <si>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</si>
  <si>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</si>
  <si>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LŽ Detail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</si>
  <si>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</si>
  <si>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</si>
  <si>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</si>
  <si>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</si>
  <si>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</si>
  <si>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</si>
  <si>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</si>
  <si>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</si>
  <si>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</si>
  <si>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</si>
  <si>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</si>
  <si>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</si>
  <si>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</si>
  <si>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</si>
  <si>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</si>
  <si>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</si>
  <si>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</si>
  <si>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</si>
  <si>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</si>
  <si>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</si>
  <si>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</si>
  <si>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</si>
  <si>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Hospodářský index (Výnosy / Náklady) se hodnotí pouze v případě dodržení rozpočtu nákladů</t>
  </si>
  <si>
    <t>Spotřeba léčivých přípravků - orientační přehled</t>
  </si>
  <si>
    <t>Pol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</si>
  <si>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</si>
  <si>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</si>
  <si>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</si>
  <si>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</si>
  <si>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</si>
  <si>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</si>
  <si>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</si>
  <si>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</si>
  <si>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</si>
  <si>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</si>
  <si>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</si>
  <si>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</si>
  <si>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</si>
  <si>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</si>
  <si>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</si>
  <si>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</si>
  <si>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</si>
  <si>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</si>
  <si>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</si>
  <si>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</si>
  <si>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</si>
  <si>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</si>
  <si>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</si>
  <si>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</si>
  <si>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</si>
  <si>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</si>
  <si>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</si>
  <si>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</si>
  <si>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</si>
  <si>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</si>
  <si>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</si>
  <si>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</si>
  <si>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</si>
  <si>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</si>
  <si>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</si>
  <si>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</si>
  <si>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</si>
  <si>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</si>
  <si>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Rozpočet na vzdělávání je plánován na rok, měsíční plány jsou v tabulce dvanáctinou ročního rozpočtu</t>
  </si>
  <si>
    <t>zdravotní laboranti</t>
  </si>
  <si>
    <t>abs. stud. oboru přirodověd. zaměření</t>
  </si>
  <si>
    <t>odb. pracovníci v ochraně veřejného zdraví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</si>
  <si>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</si>
  <si>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</si>
  <si>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</si>
  <si>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</si>
  <si>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</si>
  <si>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</si>
  <si>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</si>
  <si>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</si>
  <si>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</si>
  <si>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</si>
  <si>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</si>
  <si>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</si>
  <si>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</si>
  <si>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t>ROZDÍL (Sk.do data - Rozp.do data 2015)</t>
  </si>
  <si>
    <t>lékaři specialisti</t>
  </si>
  <si>
    <t>všeobecné sestry pod dohl.</t>
  </si>
  <si>
    <t>Lékaři, VŠ NLZP = kategorie 99-203, 520-523, 525-529, 743-747</t>
  </si>
  <si>
    <t>NLZP = kategorie 302-421, 524, 530-642, 748-749</t>
  </si>
  <si>
    <t>THP = kategorie 930</t>
  </si>
  <si>
    <t>01/2016</t>
  </si>
  <si>
    <t>02/2016</t>
  </si>
  <si>
    <t>03/2016</t>
  </si>
  <si>
    <t>04/2016</t>
  </si>
  <si>
    <t>05/2016</t>
  </si>
  <si>
    <t>06/2016</t>
  </si>
  <si>
    <t>07/2016</t>
  </si>
  <si>
    <t>08/2016</t>
  </si>
  <si>
    <t>09/2016</t>
  </si>
  <si>
    <t>10/2016</t>
  </si>
  <si>
    <t>11/2016</t>
  </si>
  <si>
    <t>12/2016</t>
  </si>
  <si>
    <t>POMĚROVÉ  PLNĚNÍ = Rozpočet na rok 2016 celkem a 1/12  ročního rozpočtu, skutečnost daných měsíců a % plnění načítané skutečnosti do data k poměrné části rozpočtu do data.</t>
  </si>
  <si>
    <t>Rozp. 2015            CELKEM</t>
  </si>
  <si>
    <t>Skut. 2015 CELKEM</t>
  </si>
  <si>
    <t>ROZDÍL  Skut. - Rozp. 2015</t>
  </si>
  <si>
    <t>% plnění rozp.2015</t>
  </si>
  <si>
    <t>Rozp.rok 2016</t>
  </si>
  <si>
    <t>Sk.v tis 2016</t>
  </si>
  <si>
    <t>% plnění (Skut.do data/Rozp.rok 2016)</t>
  </si>
  <si>
    <t>Rozpočet výnosů pro rok 2016 je stanoven jako 100% skutečnosti referenčního období (2014)</t>
  </si>
  <si>
    <r>
      <t>Zpět na Obsah</t>
    </r>
    <r>
      <rPr>
        <sz val="9"/>
        <rFont val="Calibri"/>
        <family val="2"/>
        <charset val="238"/>
        <scheme val="minor"/>
      </rPr>
      <t xml:space="preserve"> | 1.-4.měsíc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</si>
  <si>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</si>
  <si>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</si>
  <si>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</si>
  <si>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</si>
  <si>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</si>
  <si>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</si>
  <si>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</si>
  <si>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 (LEK)</t>
  </si>
  <si>
    <t>50115     Zdravotnické prostředky</t>
  </si>
  <si>
    <t>50115020     laboratorní diagnostika-LEK (Z501)</t>
  </si>
  <si>
    <t>50115050     obvazový materiál (Z502)</t>
  </si>
  <si>
    <t>50115067     ZPr - rukavice (Z532)</t>
  </si>
  <si>
    <t>50117     Všeobecný materiál</t>
  </si>
  <si>
    <t>50117001     všeobecný materiál (N524,525,P35,49,T13,V26,31,32,34,35,37,47,111,Z510)</t>
  </si>
  <si>
    <t>50117003     desinfekční prostředky (ID-ř.733-LEK)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</si>
  <si>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</si>
  <si>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</si>
  <si>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</si>
  <si>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</si>
  <si>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50117024     všeob.mat. - ostatní-vyjímky (V44) od 0,01 do 999,99</t>
  </si>
  <si>
    <t>50118     Náhradní díly</t>
  </si>
  <si>
    <t>50118006     ND - ZVIT (sk.B63)</t>
  </si>
  <si>
    <t>50119     DDHM a textil</t>
  </si>
  <si>
    <t>50119077     OOPP a prádlo pro zaměstnance (sk.T14)</t>
  </si>
  <si>
    <t>50119100     jednorázové ochranné pomůcky (sk.T18A)</t>
  </si>
  <si>
    <t>50119102     jednorázové hygienické potřeby (sk.T18C)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</si>
  <si>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</si>
  <si>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</si>
  <si>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</si>
  <si>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</si>
  <si>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</si>
  <si>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</si>
  <si>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51102     Technika a stavby</t>
  </si>
  <si>
    <t>51102023     opravy ostatní techniky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</si>
  <si>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</si>
  <si>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</si>
  <si>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</si>
  <si>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</si>
  <si>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</si>
  <si>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51203     Cestovné zaměstnanců-zahraniční</t>
  </si>
  <si>
    <t>51203000     cestovné zahraniční - mzdy</t>
  </si>
  <si>
    <t>51802     Spoje</t>
  </si>
  <si>
    <t>51802001     poštovné</t>
  </si>
  <si>
    <t>51802003     telekom.styk</t>
  </si>
  <si>
    <t>51804     Nájemné</t>
  </si>
  <si>
    <t>51804004     popl. za R a TV, veř. produkce</t>
  </si>
  <si>
    <t>51806     Úklid, odpad, desinf., deratizace</t>
  </si>
  <si>
    <t>51806001     úklid. služby - paušál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</si>
  <si>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</si>
  <si>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</si>
  <si>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</si>
  <si>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</si>
  <si>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51808013     revize - kalibrace - metrolog</t>
  </si>
  <si>
    <t>51874     Ostatní služby</t>
  </si>
  <si>
    <t>51874010     ostatní služby - zdravotní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</si>
  <si>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</si>
  <si>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</si>
  <si>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</si>
  <si>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</si>
  <si>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</si>
  <si>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</si>
  <si>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</si>
  <si>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</si>
  <si>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</si>
  <si>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</si>
  <si>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</si>
  <si>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</si>
  <si>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</si>
  <si>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</si>
  <si>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</si>
  <si>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</si>
  <si>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</si>
  <si>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</si>
  <si>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</si>
  <si>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</si>
  <si>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54910003     práce výrobní povahy(výroba klíčů,tabulek)</t>
  </si>
  <si>
    <t>54910008     školení, kongresové poplatky tuzemské - lékaři</t>
  </si>
  <si>
    <t>54910009     školení, kongresové poplatky tuzemské - ost.zdrav.pracov.</t>
  </si>
  <si>
    <t>54910010     školení - nezdrav.pracov.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</si>
  <si>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</si>
  <si>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</si>
  <si>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</si>
  <si>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</si>
  <si>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</si>
  <si>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</si>
  <si>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</si>
  <si>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</si>
  <si>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</si>
  <si>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6     Účtová třída 6 - Výnosy</t>
  </si>
  <si>
    <t>60     Tržby za vlastní výkony a zboží</t>
  </si>
  <si>
    <t>602     Výnosy z prodeje služeb</t>
  </si>
  <si>
    <t>60228     Zdr. výkony - VZP sledov.položky    OZPI</t>
  </si>
  <si>
    <t>60228191     výkony za cizince (mimo EHS)</t>
  </si>
  <si>
    <t>64     Jiné provozní výnosy</t>
  </si>
  <si>
    <t>649     Ostatní výnosy z činnosti</t>
  </si>
  <si>
    <t>64908     Ostatní výnosy z činnosti</t>
  </si>
  <si>
    <t>64908000     rozdíly v zaokrouhlení</t>
  </si>
  <si>
    <t>64924     Ostatní služby - mimo zdrav.výkony  FAKTURACE</t>
  </si>
  <si>
    <t>64924442     telekom.služby, soukr. hovory</t>
  </si>
  <si>
    <t>64924449     ostatní provoz.sl.-hl.čin.</t>
  </si>
  <si>
    <t>7     Účtová třída 7 - Vnitropodnikové účetnictví - náklady</t>
  </si>
  <si>
    <t>79     Vnitropodnikové náklady</t>
  </si>
  <si>
    <t>79903     VPN - doprava</t>
  </si>
  <si>
    <t>79903002     výkony dopravy - osobní</t>
  </si>
  <si>
    <t>79903003     výkony dopravy - nákladní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</si>
  <si>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</si>
  <si>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</si>
  <si>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</si>
  <si>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</si>
  <si>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</si>
  <si>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</si>
  <si>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</si>
  <si>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</si>
  <si>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</si>
  <si>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</si>
  <si>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</si>
  <si>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</si>
  <si>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</si>
  <si>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</si>
  <si>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</si>
  <si>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</si>
  <si>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50113001</t>
  </si>
  <si>
    <t>O</t>
  </si>
  <si>
    <t>500979</t>
  </si>
  <si>
    <t>0</t>
  </si>
  <si>
    <t>KL MS HYDROG.PEROX. 3% 500g</t>
  </si>
  <si>
    <t>Lékárna - léčiva</t>
  </si>
  <si>
    <t>54 - Oddělení nemocniční hygieny</t>
  </si>
  <si>
    <t>5498 - Oddělení nemocniční hygieny</t>
  </si>
  <si>
    <t>DC859</t>
  </si>
  <si>
    <t>COLUMBIA AGAR</t>
  </si>
  <si>
    <t>DD596</t>
  </si>
  <si>
    <t>Sabouraud agar s CMP</t>
  </si>
  <si>
    <t>DA999</t>
  </si>
  <si>
    <t>Půda s bromkresolem (kontrola sterility)</t>
  </si>
  <si>
    <t>DB001</t>
  </si>
  <si>
    <t>Glukózový bujon (5 ml)</t>
  </si>
  <si>
    <t>DD558</t>
  </si>
  <si>
    <t>ENDO AGAR</t>
  </si>
  <si>
    <t>DC521</t>
  </si>
  <si>
    <t>OXITEST</t>
  </si>
  <si>
    <t>DE728</t>
  </si>
  <si>
    <t>PASTOREX STAPH PLUS 1x50 testů</t>
  </si>
  <si>
    <t>50115020</t>
  </si>
  <si>
    <t>Diagnostika (112 04 004, 132 01 004)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</si>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</sst>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Kč&quot;* #,##0.00_);_(&quot;Kč&quot;* \(#,##0.00\);_(&quot;Kč&quot;* &quot;-&quot;??_);_(@_)"/>
    <numFmt numFmtId="164" formatCode="#\ ###\ ###\ ##0"/>
    <numFmt numFmtId="166" formatCode="#,##0.0"/>
    <numFmt numFmtId="171" formatCode="0.000"/>
    <numFmt numFmtId="173" formatCode="#,##0;\-#,##0;"/>
    <numFmt numFmtId="174" formatCode="General;\-General;"/>
    <numFmt numFmtId="175" formatCode="0%;\-0%;"/>
    <numFmt numFmtId="176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/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44" fontId="20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2" fillId="0" borderId="0" applyFont="0" applyFill="0" applyBorder="0" applyAlignment="0" applyProtection="0"/>
    <xf numFmtId="44" fontId="2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21">
    <xf numFmtId="0" fontId="0" fillId="0" borderId="0" xfId="0"/>
    <xf numFmtId="0" fontId="27" fillId="2" borderId="16" xfId="81" applyFont="1" applyFill="1" applyBorder="1"/>
    <xf numFmtId="0" fontId="28" fillId="2" borderId="17" xfId="81" applyFont="1" applyFill="1" applyBorder="1"/>
    <xf numFmtId="3" fontId="28" fillId="2" borderId="18" xfId="81" applyNumberFormat="1" applyFont="1" applyFill="1" applyBorder="1"/>
    <xf numFmtId="0" fontId="28" fillId="4" borderId="17" xfId="81" applyFont="1" applyFill="1" applyBorder="1"/>
    <xf numFmtId="3" fontId="28" fillId="4" borderId="18" xfId="81" applyNumberFormat="1" applyFont="1" applyFill="1" applyBorder="1"/>
    <xf numFmtId="171" fontId="28" fillId="3" borderId="18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3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2" xfId="0" applyFont="1" applyFill="1" applyBorder="1" applyAlignment="1">
      <alignment vertical="top"/>
    </xf>
    <xf numFmtId="0" fontId="37" fillId="2" borderId="33" xfId="0" applyFont="1" applyFill="1" applyBorder="1" applyAlignment="1">
      <alignment vertical="top"/>
    </xf>
    <xf numFmtId="0" fontId="34" fillId="2" borderId="33" xfId="0" applyFont="1" applyFill="1" applyBorder="1" applyAlignment="1">
      <alignment vertical="top"/>
    </xf>
    <xf numFmtId="0" fontId="38" fillId="2" borderId="33" xfId="0" applyFont="1" applyFill="1" applyBorder="1" applyAlignment="1">
      <alignment vertical="top"/>
    </xf>
    <xf numFmtId="0" fontId="36" fillId="2" borderId="33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8" fillId="2" borderId="20" xfId="0" applyFont="1" applyFill="1" applyBorder="1" applyAlignment="1">
      <alignment horizontal="center" vertical="center" wrapText="1"/>
    </xf>
    <xf numFmtId="0" fontId="38" fillId="2" borderId="22" xfId="0" applyFont="1" applyFill="1" applyBorder="1" applyAlignment="1">
      <alignment horizontal="center" vertical="center" wrapText="1"/>
    </xf>
    <xf numFmtId="0" fontId="36" fillId="2" borderId="22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8" xfId="81" applyNumberFormat="1" applyFont="1" applyFill="1" applyBorder="1"/>
    <xf numFmtId="3" fontId="27" fillId="5" borderId="24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6" xfId="81" applyNumberFormat="1" applyFont="1" applyFill="1" applyBorder="1"/>
    <xf numFmtId="3" fontId="28" fillId="2" borderId="19" xfId="81" applyNumberFormat="1" applyFont="1" applyFill="1" applyBorder="1"/>
    <xf numFmtId="3" fontId="28" fillId="4" borderId="26" xfId="81" applyNumberFormat="1" applyFont="1" applyFill="1" applyBorder="1"/>
    <xf numFmtId="3" fontId="28" fillId="4" borderId="19" xfId="81" applyNumberFormat="1" applyFont="1" applyFill="1" applyBorder="1"/>
    <xf numFmtId="171" fontId="28" fillId="3" borderId="26" xfId="81" applyNumberFormat="1" applyFont="1" applyFill="1" applyBorder="1"/>
    <xf numFmtId="171" fontId="28" fillId="3" borderId="19" xfId="81" applyNumberFormat="1" applyFont="1" applyFill="1" applyBorder="1"/>
    <xf numFmtId="0" fontId="31" fillId="2" borderId="24" xfId="81" applyFont="1" applyFill="1" applyBorder="1" applyAlignment="1">
      <alignment horizontal="center"/>
    </xf>
    <xf numFmtId="0" fontId="32" fillId="0" borderId="35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1" xfId="0" applyNumberFormat="1" applyFont="1" applyFill="1" applyBorder="1" applyAlignment="1">
      <alignment horizontal="right" vertical="top"/>
    </xf>
    <xf numFmtId="3" fontId="33" fillId="0" borderId="22" xfId="0" applyNumberFormat="1" applyFont="1" applyFill="1" applyBorder="1" applyAlignment="1">
      <alignment horizontal="right" vertical="top"/>
    </xf>
    <xf numFmtId="3" fontId="34" fillId="0" borderId="22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5" xfId="82" applyFont="1" applyFill="1" applyBorder="1" applyAlignment="1"/>
    <xf numFmtId="0" fontId="29" fillId="0" borderId="0" xfId="49" applyFont="1" applyFill="1"/>
    <xf numFmtId="0" fontId="32" fillId="0" borderId="29" xfId="0" applyFont="1" applyFill="1" applyBorder="1" applyAlignment="1"/>
    <xf numFmtId="0" fontId="32" fillId="0" borderId="30" xfId="0" applyFont="1" applyFill="1" applyBorder="1" applyAlignment="1"/>
    <xf numFmtId="0" fontId="32" fillId="0" borderId="48" xfId="0" applyFont="1" applyFill="1" applyBorder="1" applyAlignment="1"/>
    <xf numFmtId="0" fontId="32" fillId="0" borderId="24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1" xfId="0" applyFont="1" applyFill="1" applyBorder="1"/>
    <xf numFmtId="0" fontId="32" fillId="5" borderId="35" xfId="0" applyFont="1" applyFill="1" applyBorder="1"/>
    <xf numFmtId="0" fontId="32" fillId="5" borderId="41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1" xfId="0" applyNumberFormat="1" applyFont="1" applyFill="1" applyBorder="1" applyAlignment="1">
      <alignment horizontal="right" vertical="top"/>
    </xf>
    <xf numFmtId="3" fontId="31" fillId="0" borderId="28" xfId="53" applyNumberFormat="1" applyFont="1" applyFill="1" applyBorder="1"/>
    <xf numFmtId="3" fontId="31" fillId="0" borderId="24" xfId="53" applyNumberFormat="1" applyFont="1" applyFill="1" applyBorder="1"/>
    <xf numFmtId="0" fontId="31" fillId="2" borderId="37" xfId="74" applyFont="1" applyFill="1" applyBorder="1" applyAlignment="1">
      <alignment horizontal="center"/>
    </xf>
    <xf numFmtId="0" fontId="27" fillId="5" borderId="35" xfId="81" applyFont="1" applyFill="1" applyBorder="1"/>
    <xf numFmtId="0" fontId="31" fillId="2" borderId="22" xfId="81" applyFont="1" applyFill="1" applyBorder="1" applyAlignment="1">
      <alignment horizontal="center"/>
    </xf>
    <xf numFmtId="0" fontId="31" fillId="2" borderId="21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6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8" xfId="0" applyNumberFormat="1" applyFont="1" applyFill="1" applyBorder="1"/>
    <xf numFmtId="3" fontId="32" fillId="0" borderId="23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4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19" xfId="81" applyNumberFormat="1" applyFont="1" applyFill="1" applyBorder="1"/>
    <xf numFmtId="9" fontId="28" fillId="4" borderId="19" xfId="81" applyNumberFormat="1" applyFont="1" applyFill="1" applyBorder="1"/>
    <xf numFmtId="9" fontId="28" fillId="3" borderId="19" xfId="81" applyNumberFormat="1" applyFont="1" applyFill="1" applyBorder="1"/>
    <xf numFmtId="0" fontId="31" fillId="2" borderId="20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1" xfId="0" applyFont="1" applyFill="1" applyBorder="1" applyAlignment="1"/>
    <xf numFmtId="0" fontId="32" fillId="0" borderId="0" xfId="0" applyFont="1" applyFill="1" applyAlignment="1"/>
    <xf numFmtId="0" fontId="44" fillId="4" borderId="32" xfId="1" applyFont="1" applyFill="1" applyBorder="1"/>
    <xf numFmtId="0" fontId="44" fillId="4" borderId="16" xfId="1" applyFont="1" applyFill="1" applyBorder="1"/>
    <xf numFmtId="0" fontId="44" fillId="3" borderId="17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4" fontId="31" fillId="2" borderId="23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6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2" xfId="0" applyNumberFormat="1" applyFont="1" applyFill="1" applyBorder="1"/>
    <xf numFmtId="3" fontId="39" fillId="2" borderId="43" xfId="0" applyNumberFormat="1" applyFont="1" applyFill="1" applyBorder="1"/>
    <xf numFmtId="9" fontId="39" fillId="2" borderId="47" xfId="0" applyNumberFormat="1" applyFont="1" applyFill="1" applyBorder="1"/>
    <xf numFmtId="0" fontId="48" fillId="2" borderId="17" xfId="1" applyFont="1" applyFill="1" applyBorder="1" applyAlignment="1"/>
    <xf numFmtId="0" fontId="32" fillId="2" borderId="27" xfId="0" applyFont="1" applyFill="1" applyBorder="1" applyAlignment="1"/>
    <xf numFmtId="3" fontId="32" fillId="2" borderId="26" xfId="0" applyNumberFormat="1" applyFont="1" applyFill="1" applyBorder="1" applyAlignment="1"/>
    <xf numFmtId="9" fontId="32" fillId="2" borderId="19" xfId="0" applyNumberFormat="1" applyFont="1" applyFill="1" applyBorder="1" applyAlignment="1"/>
    <xf numFmtId="0" fontId="39" fillId="2" borderId="44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3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32" fillId="2" borderId="33" xfId="0" applyFont="1" applyFill="1" applyBorder="1" applyAlignment="1">
      <alignment horizontal="left" indent="2"/>
    </xf>
    <xf numFmtId="0" fontId="31" fillId="2" borderId="33" xfId="1" applyFont="1" applyFill="1" applyBorder="1" applyAlignment="1"/>
    <xf numFmtId="0" fontId="44" fillId="2" borderId="33" xfId="1" applyFont="1" applyFill="1" applyBorder="1" applyAlignment="1">
      <alignment horizontal="left" indent="2"/>
    </xf>
    <xf numFmtId="0" fontId="48" fillId="2" borderId="33" xfId="1" applyFont="1" applyFill="1" applyBorder="1" applyAlignment="1"/>
    <xf numFmtId="0" fontId="32" fillId="0" borderId="31" xfId="0" applyFont="1" applyBorder="1" applyAlignment="1"/>
    <xf numFmtId="3" fontId="32" fillId="0" borderId="22" xfId="0" applyNumberFormat="1" applyFont="1" applyBorder="1" applyAlignment="1"/>
    <xf numFmtId="9" fontId="32" fillId="0" borderId="21" xfId="0" applyNumberFormat="1" applyFont="1" applyBorder="1" applyAlignment="1"/>
    <xf numFmtId="0" fontId="39" fillId="0" borderId="35" xfId="0" applyFont="1" applyFill="1" applyBorder="1" applyAlignment="1">
      <alignment horizontal="left" indent="2"/>
    </xf>
    <xf numFmtId="0" fontId="32" fillId="0" borderId="35" xfId="0" applyFont="1" applyBorder="1" applyAlignment="1"/>
    <xf numFmtId="3" fontId="32" fillId="0" borderId="35" xfId="0" applyNumberFormat="1" applyFont="1" applyBorder="1" applyAlignment="1"/>
    <xf numFmtId="9" fontId="32" fillId="0" borderId="35" xfId="0" applyNumberFormat="1" applyFont="1" applyBorder="1" applyAlignment="1"/>
    <xf numFmtId="0" fontId="48" fillId="4" borderId="17" xfId="1" applyFont="1" applyFill="1" applyBorder="1" applyAlignment="1">
      <alignment horizontal="left"/>
    </xf>
    <xf numFmtId="0" fontId="32" fillId="4" borderId="27" xfId="0" applyFont="1" applyFill="1" applyBorder="1" applyAlignment="1"/>
    <xf numFmtId="3" fontId="32" fillId="4" borderId="26" xfId="0" applyNumberFormat="1" applyFont="1" applyFill="1" applyBorder="1" applyAlignment="1"/>
    <xf numFmtId="9" fontId="32" fillId="4" borderId="19" xfId="0" applyNumberFormat="1" applyFont="1" applyFill="1" applyBorder="1" applyAlignment="1"/>
    <xf numFmtId="0" fontId="48" fillId="4" borderId="44" xfId="1" applyFont="1" applyFill="1" applyBorder="1" applyAlignment="1">
      <alignment horizontal="left"/>
    </xf>
    <xf numFmtId="0" fontId="48" fillId="4" borderId="33" xfId="1" applyFont="1" applyFill="1" applyBorder="1" applyAlignment="1">
      <alignment horizontal="left"/>
    </xf>
    <xf numFmtId="0" fontId="32" fillId="4" borderId="34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1" xfId="0" applyNumberFormat="1" applyFont="1" applyBorder="1" applyAlignment="1"/>
    <xf numFmtId="0" fontId="39" fillId="3" borderId="17" xfId="0" applyFont="1" applyFill="1" applyBorder="1" applyAlignment="1"/>
    <xf numFmtId="0" fontId="32" fillId="3" borderId="27" xfId="0" applyFont="1" applyFill="1" applyBorder="1" applyAlignment="1"/>
    <xf numFmtId="3" fontId="32" fillId="3" borderId="26" xfId="0" applyNumberFormat="1" applyFont="1" applyFill="1" applyBorder="1" applyAlignment="1"/>
    <xf numFmtId="9" fontId="32" fillId="3" borderId="19" xfId="0" applyNumberFormat="1" applyFont="1" applyFill="1" applyBorder="1" applyAlignment="1"/>
    <xf numFmtId="0" fontId="7" fillId="0" borderId="0" xfId="81" applyFont="1" applyFill="1"/>
    <xf numFmtId="0" fontId="49" fillId="0" borderId="35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4" fontId="32" fillId="0" borderId="0" xfId="0" applyNumberFormat="1" applyFont="1" applyFill="1"/>
    <xf numFmtId="9" fontId="32" fillId="0" borderId="0" xfId="0" applyNumberFormat="1" applyFont="1" applyFill="1"/>
    <xf numFmtId="164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4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1" xfId="0" applyNumberFormat="1" applyFont="1" applyFill="1" applyBorder="1"/>
    <xf numFmtId="3" fontId="51" fillId="8" borderId="52" xfId="0" applyNumberFormat="1" applyFont="1" applyFill="1" applyBorder="1"/>
    <xf numFmtId="3" fontId="51" fillId="8" borderId="51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5" xfId="0" applyNumberFormat="1" applyFont="1" applyFill="1" applyBorder="1" applyAlignment="1">
      <alignment horizontal="center" vertical="center"/>
    </xf>
    <xf numFmtId="0" fontId="39" fillId="2" borderId="56" xfId="0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8" xfId="0" applyNumberFormat="1" applyFont="1" applyFill="1" applyBorder="1" applyAlignment="1">
      <alignment horizontal="center" vertical="center" wrapText="1"/>
    </xf>
    <xf numFmtId="0" fontId="53" fillId="2" borderId="59" xfId="0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1" xfId="0" applyFont="1" applyFill="1" applyBorder="1" applyAlignment="1"/>
    <xf numFmtId="0" fontId="39" fillId="2" borderId="63" xfId="0" applyFont="1" applyFill="1" applyBorder="1" applyAlignment="1">
      <alignment horizontal="left" indent="1"/>
    </xf>
    <xf numFmtId="0" fontId="39" fillId="2" borderId="69" xfId="0" applyFont="1" applyFill="1" applyBorder="1" applyAlignment="1">
      <alignment horizontal="left" indent="1"/>
    </xf>
    <xf numFmtId="0" fontId="39" fillId="4" borderId="61" xfId="0" applyFont="1" applyFill="1" applyBorder="1" applyAlignment="1"/>
    <xf numFmtId="0" fontId="39" fillId="4" borderId="63" xfId="0" applyFont="1" applyFill="1" applyBorder="1" applyAlignment="1">
      <alignment horizontal="left" indent="1"/>
    </xf>
    <xf numFmtId="0" fontId="39" fillId="4" borderId="74" xfId="0" applyFont="1" applyFill="1" applyBorder="1" applyAlignment="1">
      <alignment horizontal="left" indent="1"/>
    </xf>
    <xf numFmtId="0" fontId="32" fillId="2" borderId="63" xfId="0" quotePrefix="1" applyFont="1" applyFill="1" applyBorder="1" applyAlignment="1">
      <alignment horizontal="left" indent="2"/>
    </xf>
    <xf numFmtId="0" fontId="32" fillId="2" borderId="69" xfId="0" quotePrefix="1" applyFont="1" applyFill="1" applyBorder="1" applyAlignment="1">
      <alignment horizontal="left" indent="2"/>
    </xf>
    <xf numFmtId="0" fontId="39" fillId="2" borderId="61" xfId="0" applyFont="1" applyFill="1" applyBorder="1" applyAlignment="1">
      <alignment horizontal="left" indent="1"/>
    </xf>
    <xf numFmtId="0" fontId="39" fillId="2" borderId="74" xfId="0" applyFont="1" applyFill="1" applyBorder="1" applyAlignment="1">
      <alignment horizontal="left" indent="1"/>
    </xf>
    <xf numFmtId="0" fontId="39" fillId="4" borderId="69" xfId="0" applyFont="1" applyFill="1" applyBorder="1" applyAlignment="1">
      <alignment horizontal="left" indent="1"/>
    </xf>
    <xf numFmtId="0" fontId="32" fillId="0" borderId="79" xfId="0" applyFont="1" applyBorder="1"/>
    <xf numFmtId="3" fontId="32" fillId="0" borderId="79" xfId="0" applyNumberFormat="1" applyFont="1" applyBorder="1"/>
    <xf numFmtId="0" fontId="39" fillId="4" borderId="53" xfId="0" applyFont="1" applyFill="1" applyBorder="1" applyAlignment="1">
      <alignment horizontal="center" vertical="center"/>
    </xf>
    <xf numFmtId="0" fontId="39" fillId="4" borderId="48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8" xfId="0" applyNumberFormat="1" applyFont="1" applyFill="1" applyBorder="1" applyAlignment="1">
      <alignment horizontal="center" vertical="center"/>
    </xf>
    <xf numFmtId="3" fontId="53" fillId="2" borderId="76" xfId="0" applyNumberFormat="1" applyFont="1" applyFill="1" applyBorder="1" applyAlignment="1">
      <alignment horizontal="center" vertical="center" wrapText="1"/>
    </xf>
    <xf numFmtId="173" fontId="39" fillId="4" borderId="62" xfId="0" applyNumberFormat="1" applyFont="1" applyFill="1" applyBorder="1" applyAlignment="1"/>
    <xf numFmtId="173" fontId="39" fillId="4" borderId="55" xfId="0" applyNumberFormat="1" applyFont="1" applyFill="1" applyBorder="1" applyAlignment="1"/>
    <xf numFmtId="173" fontId="39" fillId="4" borderId="56" xfId="0" applyNumberFormat="1" applyFont="1" applyFill="1" applyBorder="1" applyAlignment="1"/>
    <xf numFmtId="173" fontId="39" fillId="4" borderId="57" xfId="0" applyNumberFormat="1" applyFont="1" applyFill="1" applyBorder="1" applyAlignment="1"/>
    <xf numFmtId="173" fontId="39" fillId="0" borderId="64" xfId="0" applyNumberFormat="1" applyFont="1" applyBorder="1"/>
    <xf numFmtId="173" fontId="32" fillId="0" borderId="68" xfId="0" applyNumberFormat="1" applyFont="1" applyBorder="1"/>
    <xf numFmtId="173" fontId="32" fillId="0" borderId="66" xfId="0" applyNumberFormat="1" applyFont="1" applyBorder="1"/>
    <xf numFmtId="173" fontId="32" fillId="0" borderId="67" xfId="0" applyNumberFormat="1" applyFont="1" applyBorder="1"/>
    <xf numFmtId="173" fontId="39" fillId="0" borderId="75" xfId="0" applyNumberFormat="1" applyFont="1" applyBorder="1"/>
    <xf numFmtId="173" fontId="32" fillId="0" borderId="76" xfId="0" applyNumberFormat="1" applyFont="1" applyBorder="1"/>
    <xf numFmtId="173" fontId="32" fillId="0" borderId="59" xfId="0" applyNumberFormat="1" applyFont="1" applyBorder="1"/>
    <xf numFmtId="173" fontId="32" fillId="0" borderId="60" xfId="0" applyNumberFormat="1" applyFont="1" applyBorder="1"/>
    <xf numFmtId="173" fontId="39" fillId="2" borderId="77" xfId="0" applyNumberFormat="1" applyFont="1" applyFill="1" applyBorder="1" applyAlignment="1"/>
    <xf numFmtId="173" fontId="39" fillId="2" borderId="55" xfId="0" applyNumberFormat="1" applyFont="1" applyFill="1" applyBorder="1" applyAlignment="1"/>
    <xf numFmtId="173" fontId="39" fillId="2" borderId="56" xfId="0" applyNumberFormat="1" applyFont="1" applyFill="1" applyBorder="1" applyAlignment="1"/>
    <xf numFmtId="173" fontId="39" fillId="2" borderId="57" xfId="0" applyNumberFormat="1" applyFont="1" applyFill="1" applyBorder="1" applyAlignment="1"/>
    <xf numFmtId="173" fontId="39" fillId="0" borderId="70" xfId="0" applyNumberFormat="1" applyFont="1" applyBorder="1"/>
    <xf numFmtId="173" fontId="32" fillId="0" borderId="71" xfId="0" applyNumberFormat="1" applyFont="1" applyBorder="1"/>
    <xf numFmtId="173" fontId="32" fillId="0" borderId="72" xfId="0" applyNumberFormat="1" applyFont="1" applyBorder="1"/>
    <xf numFmtId="173" fontId="32" fillId="0" borderId="73" xfId="0" applyNumberFormat="1" applyFont="1" applyBorder="1"/>
    <xf numFmtId="173" fontId="39" fillId="0" borderId="62" xfId="0" applyNumberFormat="1" applyFont="1" applyBorder="1"/>
    <xf numFmtId="173" fontId="32" fillId="0" borderId="78" xfId="0" applyNumberFormat="1" applyFont="1" applyBorder="1"/>
    <xf numFmtId="173" fontId="32" fillId="0" borderId="56" xfId="0" applyNumberFormat="1" applyFont="1" applyBorder="1"/>
    <xf numFmtId="173" fontId="32" fillId="0" borderId="57" xfId="0" applyNumberFormat="1" applyFont="1" applyBorder="1"/>
    <xf numFmtId="174" fontId="39" fillId="2" borderId="62" xfId="0" applyNumberFormat="1" applyFont="1" applyFill="1" applyBorder="1" applyAlignment="1"/>
    <xf numFmtId="174" fontId="32" fillId="2" borderId="55" xfId="0" applyNumberFormat="1" applyFont="1" applyFill="1" applyBorder="1" applyAlignment="1"/>
    <xf numFmtId="174" fontId="32" fillId="2" borderId="56" xfId="0" applyNumberFormat="1" applyFont="1" applyFill="1" applyBorder="1" applyAlignment="1"/>
    <xf numFmtId="174" fontId="32" fillId="2" borderId="57" xfId="0" applyNumberFormat="1" applyFont="1" applyFill="1" applyBorder="1" applyAlignment="1"/>
    <xf numFmtId="174" fontId="39" fillId="0" borderId="64" xfId="0" applyNumberFormat="1" applyFont="1" applyBorder="1"/>
    <xf numFmtId="174" fontId="32" fillId="0" borderId="65" xfId="0" applyNumberFormat="1" applyFont="1" applyBorder="1"/>
    <xf numFmtId="174" fontId="32" fillId="0" borderId="66" xfId="0" applyNumberFormat="1" applyFont="1" applyBorder="1"/>
    <xf numFmtId="174" fontId="32" fillId="0" borderId="67" xfId="0" applyNumberFormat="1" applyFont="1" applyBorder="1"/>
    <xf numFmtId="174" fontId="32" fillId="0" borderId="68" xfId="0" applyNumberFormat="1" applyFont="1" applyBorder="1"/>
    <xf numFmtId="174" fontId="39" fillId="0" borderId="70" xfId="0" applyNumberFormat="1" applyFont="1" applyBorder="1"/>
    <xf numFmtId="174" fontId="32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3" fontId="39" fillId="4" borderId="62" xfId="0" applyNumberFormat="1" applyFont="1" applyFill="1" applyBorder="1" applyAlignment="1">
      <alignment horizontal="center"/>
    </xf>
    <xf numFmtId="175" fontId="39" fillId="0" borderId="70" xfId="0" applyNumberFormat="1" applyFont="1" applyBorder="1"/>
    <xf numFmtId="0" fontId="31" fillId="2" borderId="84" xfId="74" applyFont="1" applyFill="1" applyBorder="1" applyAlignment="1">
      <alignment horizontal="center"/>
    </xf>
    <xf numFmtId="0" fontId="31" fillId="2" borderId="57" xfId="81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" fillId="2" borderId="18" xfId="79" applyFont="1" applyFill="1" applyBorder="1" applyAlignment="1"/>
    <xf numFmtId="0" fontId="3" fillId="2" borderId="26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5" xfId="79" applyFont="1" applyFill="1" applyBorder="1" applyAlignment="1">
      <alignment horizontal="right"/>
    </xf>
    <xf numFmtId="9" fontId="32" fillId="0" borderId="26" xfId="0" applyNumberFormat="1" applyFont="1" applyFill="1" applyBorder="1"/>
    <xf numFmtId="9" fontId="32" fillId="0" borderId="19" xfId="0" applyNumberFormat="1" applyFont="1" applyFill="1" applyBorder="1"/>
    <xf numFmtId="9" fontId="32" fillId="0" borderId="27" xfId="0" applyNumberFormat="1" applyFont="1" applyFill="1" applyBorder="1"/>
    <xf numFmtId="3" fontId="6" fillId="0" borderId="18" xfId="78" applyNumberFormat="1" applyFont="1" applyFill="1" applyBorder="1" applyAlignment="1"/>
    <xf numFmtId="3" fontId="6" fillId="0" borderId="26" xfId="78" applyNumberFormat="1" applyFont="1" applyFill="1" applyBorder="1" applyAlignment="1"/>
    <xf numFmtId="3" fontId="6" fillId="0" borderId="19" xfId="78" applyNumberFormat="1" applyFont="1" applyFill="1" applyBorder="1" applyAlignment="1"/>
    <xf numFmtId="0" fontId="32" fillId="5" borderId="67" xfId="0" applyFont="1" applyFill="1" applyBorder="1"/>
    <xf numFmtId="0" fontId="32" fillId="0" borderId="68" xfId="0" applyFont="1" applyBorder="1" applyAlignment="1"/>
    <xf numFmtId="9" fontId="32" fillId="0" borderId="66" xfId="0" applyNumberFormat="1" applyFont="1" applyBorder="1" applyAlignment="1"/>
    <xf numFmtId="0" fontId="25" fillId="2" borderId="33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4" xfId="0" applyNumberFormat="1" applyFont="1" applyBorder="1"/>
    <xf numFmtId="9" fontId="32" fillId="0" borderId="68" xfId="0" applyNumberFormat="1" applyFont="1" applyBorder="1"/>
    <xf numFmtId="9" fontId="32" fillId="0" borderId="66" xfId="0" applyNumberFormat="1" applyFont="1" applyBorder="1"/>
    <xf numFmtId="0" fontId="39" fillId="3" borderId="25" xfId="0" applyFont="1" applyFill="1" applyBorder="1" applyAlignment="1"/>
    <xf numFmtId="0" fontId="32" fillId="0" borderId="36" xfId="0" applyFont="1" applyBorder="1" applyAlignment="1"/>
    <xf numFmtId="0" fontId="39" fillId="2" borderId="25" xfId="0" applyFont="1" applyFill="1" applyBorder="1" applyAlignment="1"/>
    <xf numFmtId="0" fontId="39" fillId="4" borderId="25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5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39" xfId="81" applyFont="1" applyFill="1" applyBorder="1" applyAlignment="1">
      <alignment horizontal="center"/>
    </xf>
    <xf numFmtId="0" fontId="31" fillId="2" borderId="40" xfId="81" applyFont="1" applyFill="1" applyBorder="1" applyAlignment="1">
      <alignment horizontal="center"/>
    </xf>
    <xf numFmtId="0" fontId="31" fillId="2" borderId="37" xfId="81" applyFont="1" applyFill="1" applyBorder="1" applyAlignment="1">
      <alignment horizontal="center"/>
    </xf>
    <xf numFmtId="0" fontId="31" fillId="2" borderId="50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3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8" xfId="0" applyFont="1" applyFill="1" applyBorder="1" applyAlignment="1">
      <alignment horizontal="center" vertical="center"/>
    </xf>
    <xf numFmtId="0" fontId="32" fillId="2" borderId="24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1" xfId="0" applyFont="1" applyFill="1" applyBorder="1" applyAlignment="1">
      <alignment horizontal="center" vertical="center" wrapText="1"/>
    </xf>
    <xf numFmtId="0" fontId="31" fillId="2" borderId="84" xfId="81" applyFont="1" applyFill="1" applyBorder="1" applyAlignment="1">
      <alignment horizontal="center"/>
    </xf>
    <xf numFmtId="0" fontId="31" fillId="2" borderId="82" xfId="81" applyFont="1" applyFill="1" applyBorder="1" applyAlignment="1">
      <alignment horizontal="center"/>
    </xf>
    <xf numFmtId="0" fontId="31" fillId="2" borderId="62" xfId="81" applyFont="1" applyFill="1" applyBorder="1" applyAlignment="1">
      <alignment horizontal="center"/>
    </xf>
    <xf numFmtId="0" fontId="31" fillId="2" borderId="83" xfId="81" applyFont="1" applyFill="1" applyBorder="1" applyAlignment="1">
      <alignment horizontal="center"/>
    </xf>
    <xf numFmtId="0" fontId="31" fillId="2" borderId="75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4" fontId="31" fillId="0" borderId="0" xfId="53" applyNumberFormat="1" applyFont="1" applyFill="1" applyBorder="1" applyAlignment="1">
      <alignment horizontal="center"/>
    </xf>
    <xf numFmtId="164" fontId="29" fillId="0" borderId="0" xfId="79" applyNumberFormat="1" applyFont="1" applyFill="1" applyBorder="1" applyAlignment="1">
      <alignment horizontal="center"/>
    </xf>
    <xf numFmtId="164" fontId="31" fillId="2" borderId="23" xfId="53" applyNumberFormat="1" applyFont="1" applyFill="1" applyBorder="1" applyAlignment="1">
      <alignment horizontal="right"/>
    </xf>
    <xf numFmtId="164" fontId="29" fillId="2" borderId="28" xfId="79" applyNumberFormat="1" applyFont="1" applyFill="1" applyBorder="1" applyAlignment="1">
      <alignment horizontal="right"/>
    </xf>
    <xf numFmtId="164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6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5" xfId="80" applyNumberFormat="1" applyFont="1" applyFill="1" applyBorder="1" applyAlignment="1">
      <alignment horizontal="left"/>
    </xf>
    <xf numFmtId="3" fontId="3" fillId="2" borderId="77" xfId="80" applyNumberFormat="1" applyFont="1" applyFill="1" applyBorder="1" applyAlignment="1">
      <alignment horizontal="left"/>
    </xf>
    <xf numFmtId="166" fontId="39" fillId="2" borderId="54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" fillId="0" borderId="1" xfId="26" applyFont="1" applyFill="1" applyBorder="1" applyAlignment="1"/>
    <xf numFmtId="3" fontId="33" fillId="9" borderId="88" xfId="0" applyNumberFormat="1" applyFont="1" applyFill="1" applyBorder="1" applyAlignment="1">
      <alignment horizontal="right" vertical="top"/>
    </xf>
    <xf numFmtId="3" fontId="33" fillId="9" borderId="89" xfId="0" applyNumberFormat="1" applyFont="1" applyFill="1" applyBorder="1" applyAlignment="1">
      <alignment horizontal="right" vertical="top"/>
    </xf>
    <xf numFmtId="176" fontId="33" fillId="9" borderId="90" xfId="0" applyNumberFormat="1" applyFont="1" applyFill="1" applyBorder="1" applyAlignment="1">
      <alignment horizontal="right" vertical="top"/>
    </xf>
    <xf numFmtId="3" fontId="33" fillId="0" borderId="88" xfId="0" applyNumberFormat="1" applyFont="1" applyBorder="1" applyAlignment="1">
      <alignment horizontal="right" vertical="top"/>
    </xf>
    <xf numFmtId="176" fontId="33" fillId="9" borderId="91" xfId="0" applyNumberFormat="1" applyFont="1" applyFill="1" applyBorder="1" applyAlignment="1">
      <alignment horizontal="right" vertical="top"/>
    </xf>
    <xf numFmtId="3" fontId="35" fillId="9" borderId="93" xfId="0" applyNumberFormat="1" applyFont="1" applyFill="1" applyBorder="1" applyAlignment="1">
      <alignment horizontal="right" vertical="top"/>
    </xf>
    <xf numFmtId="3" fontId="35" fillId="9" borderId="94" xfId="0" applyNumberFormat="1" applyFont="1" applyFill="1" applyBorder="1" applyAlignment="1">
      <alignment horizontal="right" vertical="top"/>
    </xf>
    <xf numFmtId="0" fontId="35" fillId="9" borderId="95" xfId="0" applyFont="1" applyFill="1" applyBorder="1" applyAlignment="1">
      <alignment horizontal="right" vertical="top"/>
    </xf>
    <xf numFmtId="3" fontId="35" fillId="0" borderId="93" xfId="0" applyNumberFormat="1" applyFont="1" applyBorder="1" applyAlignment="1">
      <alignment horizontal="right" vertical="top"/>
    </xf>
    <xf numFmtId="176" fontId="35" fillId="9" borderId="96" xfId="0" applyNumberFormat="1" applyFont="1" applyFill="1" applyBorder="1" applyAlignment="1">
      <alignment horizontal="right" vertical="top"/>
    </xf>
    <xf numFmtId="0" fontId="33" fillId="9" borderId="90" xfId="0" applyFont="1" applyFill="1" applyBorder="1" applyAlignment="1">
      <alignment horizontal="right" vertical="top"/>
    </xf>
    <xf numFmtId="176" fontId="35" fillId="9" borderId="95" xfId="0" applyNumberFormat="1" applyFont="1" applyFill="1" applyBorder="1" applyAlignment="1">
      <alignment horizontal="right" vertical="top"/>
    </xf>
    <xf numFmtId="0" fontId="35" fillId="9" borderId="96" xfId="0" applyFont="1" applyFill="1" applyBorder="1" applyAlignment="1">
      <alignment horizontal="right" vertical="top"/>
    </xf>
    <xf numFmtId="0" fontId="33" fillId="9" borderId="91" xfId="0" applyFont="1" applyFill="1" applyBorder="1" applyAlignment="1">
      <alignment horizontal="right" vertical="top"/>
    </xf>
    <xf numFmtId="3" fontId="35" fillId="0" borderId="97" xfId="0" applyNumberFormat="1" applyFont="1" applyBorder="1" applyAlignment="1">
      <alignment horizontal="right" vertical="top"/>
    </xf>
    <xf numFmtId="3" fontId="35" fillId="0" borderId="98" xfId="0" applyNumberFormat="1" applyFont="1" applyBorder="1" applyAlignment="1">
      <alignment horizontal="right" vertical="top"/>
    </xf>
    <xf numFmtId="0" fontId="35" fillId="0" borderId="99" xfId="0" applyFont="1" applyBorder="1" applyAlignment="1">
      <alignment horizontal="right" vertical="top"/>
    </xf>
    <xf numFmtId="176" fontId="35" fillId="9" borderId="100" xfId="0" applyNumberFormat="1" applyFont="1" applyFill="1" applyBorder="1" applyAlignment="1">
      <alignment horizontal="right" vertical="top"/>
    </xf>
    <xf numFmtId="0" fontId="37" fillId="10" borderId="87" xfId="0" applyFont="1" applyFill="1" applyBorder="1" applyAlignment="1">
      <alignment vertical="top"/>
    </xf>
    <xf numFmtId="0" fontId="37" fillId="10" borderId="87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4"/>
    </xf>
    <xf numFmtId="0" fontId="38" fillId="10" borderId="92" xfId="0" applyFont="1" applyFill="1" applyBorder="1" applyAlignment="1">
      <alignment vertical="top" indent="6"/>
    </xf>
    <xf numFmtId="0" fontId="37" fillId="10" borderId="87" xfId="0" applyFont="1" applyFill="1" applyBorder="1" applyAlignment="1">
      <alignment vertical="top" indent="8"/>
    </xf>
    <xf numFmtId="0" fontId="38" fillId="10" borderId="92" xfId="0" applyFont="1" applyFill="1" applyBorder="1" applyAlignment="1">
      <alignment vertical="top" indent="2"/>
    </xf>
    <xf numFmtId="0" fontId="37" fillId="10" borderId="87" xfId="0" applyFont="1" applyFill="1" applyBorder="1" applyAlignment="1">
      <alignment vertical="top" indent="6"/>
    </xf>
    <xf numFmtId="0" fontId="38" fillId="10" borderId="92" xfId="0" applyFont="1" applyFill="1" applyBorder="1" applyAlignment="1">
      <alignment vertical="top" indent="4"/>
    </xf>
    <xf numFmtId="0" fontId="32" fillId="10" borderId="87" xfId="0" applyFont="1" applyFill="1" applyBorder="1"/>
    <xf numFmtId="0" fontId="38" fillId="10" borderId="17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164" fontId="31" fillId="2" borderId="101" xfId="53" applyNumberFormat="1" applyFont="1" applyFill="1" applyBorder="1" applyAlignment="1">
      <alignment horizontal="left"/>
    </xf>
    <xf numFmtId="164" fontId="31" fillId="2" borderId="102" xfId="53" applyNumberFormat="1" applyFont="1" applyFill="1" applyBorder="1" applyAlignment="1">
      <alignment horizontal="left"/>
    </xf>
    <xf numFmtId="164" fontId="31" fillId="2" borderId="45" xfId="53" applyNumberFormat="1" applyFont="1" applyFill="1" applyBorder="1" applyAlignment="1">
      <alignment horizontal="left"/>
    </xf>
    <xf numFmtId="3" fontId="31" fillId="2" borderId="45" xfId="53" applyNumberFormat="1" applyFont="1" applyFill="1" applyBorder="1" applyAlignment="1">
      <alignment horizontal="left"/>
    </xf>
    <xf numFmtId="3" fontId="31" fillId="2" borderId="49" xfId="53" applyNumberFormat="1" applyFont="1" applyFill="1" applyBorder="1" applyAlignment="1">
      <alignment horizontal="left"/>
    </xf>
    <xf numFmtId="0" fontId="32" fillId="0" borderId="18" xfId="0" applyFont="1" applyFill="1" applyBorder="1"/>
    <xf numFmtId="0" fontId="32" fillId="0" borderId="26" xfId="0" applyFont="1" applyFill="1" applyBorder="1"/>
    <xf numFmtId="164" fontId="32" fillId="0" borderId="26" xfId="0" applyNumberFormat="1" applyFont="1" applyFill="1" applyBorder="1"/>
    <xf numFmtId="164" fontId="32" fillId="0" borderId="26" xfId="0" applyNumberFormat="1" applyFont="1" applyFill="1" applyBorder="1" applyAlignment="1">
      <alignment horizontal="right"/>
    </xf>
    <xf numFmtId="3" fontId="32" fillId="0" borderId="26" xfId="0" applyNumberFormat="1" applyFont="1" applyFill="1" applyBorder="1"/>
    <xf numFmtId="3" fontId="32" fillId="0" borderId="19" xfId="0" applyNumberFormat="1" applyFont="1" applyFill="1" applyBorder="1"/>
    <xf numFmtId="0" fontId="3" fillId="2" borderId="101" xfId="79" applyFont="1" applyFill="1" applyBorder="1" applyAlignment="1">
      <alignment horizontal="left"/>
    </xf>
    <xf numFmtId="3" fontId="3" fillId="2" borderId="72" xfId="80" applyNumberFormat="1" applyFont="1" applyFill="1" applyBorder="1"/>
    <xf numFmtId="3" fontId="3" fillId="2" borderId="73" xfId="80" applyNumberFormat="1" applyFont="1" applyFill="1" applyBorder="1"/>
    <xf numFmtId="9" fontId="3" fillId="2" borderId="71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3" fontId="32" fillId="0" borderId="56" xfId="0" applyNumberFormat="1" applyFont="1" applyFill="1" applyBorder="1"/>
    <xf numFmtId="9" fontId="32" fillId="0" borderId="56" xfId="0" applyNumberFormat="1" applyFont="1" applyFill="1" applyBorder="1"/>
    <xf numFmtId="9" fontId="32" fillId="0" borderId="57" xfId="0" applyNumberFormat="1" applyFont="1" applyFill="1" applyBorder="1"/>
    <xf numFmtId="3" fontId="32" fillId="0" borderId="59" xfId="0" applyNumberFormat="1" applyFont="1" applyFill="1" applyBorder="1"/>
    <xf numFmtId="9" fontId="32" fillId="0" borderId="59" xfId="0" applyNumberFormat="1" applyFont="1" applyFill="1" applyBorder="1"/>
    <xf numFmtId="9" fontId="32" fillId="0" borderId="60" xfId="0" applyNumberFormat="1" applyFont="1" applyFill="1" applyBorder="1"/>
    <xf numFmtId="0" fontId="39" fillId="0" borderId="84" xfId="0" applyFont="1" applyFill="1" applyBorder="1"/>
    <xf numFmtId="0" fontId="39" fillId="0" borderId="83" xfId="0" applyFont="1" applyFill="1" applyBorder="1" applyAlignment="1">
      <alignment horizontal="left" indent="1"/>
    </xf>
    <xf numFmtId="9" fontId="32" fillId="0" borderId="78" xfId="0" applyNumberFormat="1" applyFont="1" applyFill="1" applyBorder="1"/>
    <xf numFmtId="9" fontId="32" fillId="0" borderId="76" xfId="0" applyNumberFormat="1" applyFont="1" applyFill="1" applyBorder="1"/>
    <xf numFmtId="3" fontId="32" fillId="0" borderId="55" xfId="0" applyNumberFormat="1" applyFont="1" applyFill="1" applyBorder="1"/>
    <xf numFmtId="3" fontId="32" fillId="0" borderId="58" xfId="0" applyNumberFormat="1" applyFont="1" applyFill="1" applyBorder="1"/>
    <xf numFmtId="3" fontId="32" fillId="0" borderId="57" xfId="0" applyNumberFormat="1" applyFont="1" applyFill="1" applyBorder="1"/>
    <xf numFmtId="3" fontId="32" fillId="0" borderId="60" xfId="0" applyNumberFormat="1" applyFont="1" applyFill="1" applyBorder="1"/>
    <xf numFmtId="9" fontId="32" fillId="0" borderId="81" xfId="0" applyNumberFormat="1" applyFont="1" applyFill="1" applyBorder="1"/>
    <xf numFmtId="9" fontId="32" fillId="0" borderId="80" xfId="0" applyNumberFormat="1" applyFont="1" applyFill="1" applyBorder="1"/>
    <xf numFmtId="0" fontId="32" fillId="0" borderId="55" xfId="0" applyFont="1" applyFill="1" applyBorder="1"/>
    <xf numFmtId="0" fontId="32" fillId="0" borderId="56" xfId="0" applyFont="1" applyFill="1" applyBorder="1"/>
    <xf numFmtId="164" fontId="32" fillId="0" borderId="56" xfId="0" applyNumberFormat="1" applyFont="1" applyFill="1" applyBorder="1"/>
    <xf numFmtId="164" fontId="32" fillId="0" borderId="56" xfId="0" applyNumberFormat="1" applyFont="1" applyFill="1" applyBorder="1" applyAlignment="1">
      <alignment horizontal="right"/>
    </xf>
    <xf numFmtId="0" fontId="32" fillId="0" borderId="65" xfId="0" applyFont="1" applyFill="1" applyBorder="1"/>
    <xf numFmtId="0" fontId="32" fillId="0" borderId="66" xfId="0" applyFont="1" applyFill="1" applyBorder="1"/>
    <xf numFmtId="164" fontId="32" fillId="0" borderId="66" xfId="0" applyNumberFormat="1" applyFont="1" applyFill="1" applyBorder="1"/>
    <xf numFmtId="164" fontId="32" fillId="0" borderId="66" xfId="0" applyNumberFormat="1" applyFont="1" applyFill="1" applyBorder="1" applyAlignment="1">
      <alignment horizontal="right"/>
    </xf>
    <xf numFmtId="3" fontId="32" fillId="0" borderId="66" xfId="0" applyNumberFormat="1" applyFont="1" applyFill="1" applyBorder="1"/>
    <xf numFmtId="3" fontId="32" fillId="0" borderId="67" xfId="0" applyNumberFormat="1" applyFont="1" applyFill="1" applyBorder="1"/>
    <xf numFmtId="0" fontId="32" fillId="0" borderId="58" xfId="0" applyFont="1" applyFill="1" applyBorder="1"/>
    <xf numFmtId="0" fontId="32" fillId="0" borderId="59" xfId="0" applyFont="1" applyFill="1" applyBorder="1"/>
    <xf numFmtId="164" fontId="32" fillId="0" borderId="59" xfId="0" applyNumberFormat="1" applyFont="1" applyFill="1" applyBorder="1"/>
    <xf numFmtId="164" fontId="32" fillId="0" borderId="59" xfId="0" applyNumberFormat="1" applyFont="1" applyFill="1" applyBorder="1" applyAlignment="1">
      <alignment horizontal="right"/>
    </xf>
    <xf numFmtId="0" fontId="0" fillId="0" borderId="103" xfId="0" applyBorder="1" applyAlignment="1"/>
    <xf numFmtId="173" fontId="39" fillId="4" borderId="104" xfId="0" applyNumberFormat="1" applyFont="1" applyFill="1" applyBorder="1" applyAlignment="1">
      <alignment horizontal="center"/>
    </xf>
    <xf numFmtId="0" fontId="0" fillId="0" borderId="104" xfId="0" applyBorder="1" applyAlignment="1">
      <alignment horizontal="center"/>
    </xf>
    <xf numFmtId="173" fontId="39" fillId="4" borderId="104" xfId="0" applyNumberFormat="1" applyFont="1" applyFill="1" applyBorder="1" applyAlignment="1">
      <alignment horizontal="center"/>
    </xf>
    <xf numFmtId="0" fontId="0" fillId="0" borderId="105" xfId="0" applyBorder="1"/>
    <xf numFmtId="0" fontId="0" fillId="0" borderId="106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0" fontId="0" fillId="0" borderId="107" xfId="0" applyBorder="1" applyAlignment="1">
      <alignment horizontal="right"/>
    </xf>
    <xf numFmtId="173" fontId="32" fillId="0" borderId="107" xfId="0" applyNumberFormat="1" applyFont="1" applyBorder="1" applyAlignment="1">
      <alignment horizontal="right"/>
    </xf>
    <xf numFmtId="173" fontId="32" fillId="0" borderId="107" xfId="0" applyNumberFormat="1" applyFont="1" applyBorder="1" applyAlignment="1">
      <alignment horizontal="right" wrapText="1"/>
    </xf>
    <xf numFmtId="0" fontId="0" fillId="0" borderId="107" xfId="0" applyBorder="1" applyAlignment="1">
      <alignment horizontal="right" wrapText="1"/>
    </xf>
    <xf numFmtId="175" fontId="32" fillId="0" borderId="107" xfId="0" applyNumberFormat="1" applyFont="1" applyBorder="1" applyAlignment="1">
      <alignment horizontal="right"/>
    </xf>
    <xf numFmtId="175" fontId="32" fillId="0" borderId="107" xfId="0" applyNumberFormat="1" applyFont="1" applyBorder="1" applyAlignment="1">
      <alignment horizontal="right"/>
    </xf>
    <xf numFmtId="0" fontId="0" fillId="0" borderId="108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09" xfId="0" applyBorder="1" applyAlignment="1">
      <alignment horizontal="right"/>
    </xf>
    <xf numFmtId="173" fontId="32" fillId="0" borderId="109" xfId="0" applyNumberFormat="1" applyFont="1" applyBorder="1" applyAlignment="1">
      <alignment horizontal="right"/>
    </xf>
    <xf numFmtId="0" fontId="0" fillId="0" borderId="111" xfId="0" applyBorder="1"/>
    <xf numFmtId="0" fontId="0" fillId="0" borderId="110" xfId="0" applyBorder="1"/>
    <xf numFmtId="173" fontId="39" fillId="4" borderId="61" xfId="0" applyNumberFormat="1" applyFont="1" applyFill="1" applyBorder="1" applyAlignment="1">
      <alignment horizontal="center"/>
    </xf>
    <xf numFmtId="173" fontId="32" fillId="0" borderId="63" xfId="0" applyNumberFormat="1" applyFont="1" applyBorder="1" applyAlignment="1">
      <alignment horizontal="right"/>
    </xf>
    <xf numFmtId="175" fontId="32" fillId="0" borderId="63" xfId="0" applyNumberFormat="1" applyFont="1" applyBorder="1" applyAlignment="1">
      <alignment horizontal="right"/>
    </xf>
    <xf numFmtId="173" fontId="32" fillId="0" borderId="74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4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7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71" t="s">
        <v>63</v>
      </c>
      <c r="B1" s="271"/>
    </row>
    <row r="2" spans="1:3" ht="14.4" customHeight="1" thickBot="1" x14ac:dyDescent="0.35">
      <c r="A2" s="174" t="s">
        <v>177</v>
      </c>
      <c r="B2" s="41"/>
    </row>
    <row r="3" spans="1:3" ht="14.4" customHeight="1" thickBot="1" x14ac:dyDescent="0.35">
      <c r="A3" s="267" t="s">
        <v>79</v>
      </c>
      <c r="B3" s="26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73</v>
      </c>
      <c r="C4" s="42" t="s">
        <v>74</v>
      </c>
    </row>
    <row r="5" spans="1:3" ht="14.4" customHeight="1" x14ac:dyDescent="0.3">
      <c r="A5" s="110" t="str">
        <f t="shared" si="0"/>
        <v>HI</v>
      </c>
      <c r="B5" s="62" t="s">
        <v>76</v>
      </c>
      <c r="C5" s="42" t="s">
        <v>66</v>
      </c>
    </row>
    <row r="6" spans="1:3" ht="14.4" customHeight="1" x14ac:dyDescent="0.3">
      <c r="A6" s="111" t="str">
        <f t="shared" si="0"/>
        <v>Man Tab</v>
      </c>
      <c r="B6" s="63" t="s">
        <v>179</v>
      </c>
      <c r="C6" s="42" t="s">
        <v>67</v>
      </c>
    </row>
    <row r="7" spans="1:3" ht="14.4" customHeight="1" thickBot="1" x14ac:dyDescent="0.35">
      <c r="A7" s="112" t="str">
        <f t="shared" si="0"/>
        <v>HV</v>
      </c>
      <c r="B7" s="64" t="s">
        <v>45</v>
      </c>
      <c r="C7" s="42" t="s">
        <v>50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69" t="s">
        <v>64</v>
      </c>
      <c r="B9" s="26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77</v>
      </c>
      <c r="C10" s="42" t="s">
        <v>68</v>
      </c>
    </row>
    <row r="11" spans="1:3" ht="14.4" customHeight="1" x14ac:dyDescent="0.3">
      <c r="A11" s="111" t="str">
        <f t="shared" ref="A11:A15" si="2">HYPERLINK("#'"&amp;C11&amp;"'!A1",C11)</f>
        <v>LŽ Detail</v>
      </c>
      <c r="B11" s="63" t="s">
        <v>93</v>
      </c>
      <c r="C11" s="42" t="s">
        <v>69</v>
      </c>
    </row>
    <row r="12" spans="1:3" ht="14.4" customHeight="1" x14ac:dyDescent="0.3">
      <c r="A12" s="111" t="str">
        <f t="shared" si="2"/>
        <v>LŽ Statim</v>
      </c>
      <c r="B12" s="259" t="s">
        <v>138</v>
      </c>
      <c r="C12" s="42" t="s">
        <v>148</v>
      </c>
    </row>
    <row r="13" spans="1:3" ht="14.4" customHeight="1" x14ac:dyDescent="0.3">
      <c r="A13" s="113" t="str">
        <f t="shared" ref="A13" si="3">HYPERLINK("#'"&amp;C13&amp;"'!A1",C13)</f>
        <v>Materiál Žádanky</v>
      </c>
      <c r="B13" s="63" t="s">
        <v>78</v>
      </c>
      <c r="C13" s="42" t="s">
        <v>70</v>
      </c>
    </row>
    <row r="14" spans="1:3" ht="14.4" customHeight="1" x14ac:dyDescent="0.3">
      <c r="A14" s="111" t="str">
        <f t="shared" si="2"/>
        <v>MŽ Detail</v>
      </c>
      <c r="B14" s="63" t="s">
        <v>323</v>
      </c>
      <c r="C14" s="42" t="s">
        <v>71</v>
      </c>
    </row>
    <row r="15" spans="1:3" ht="14.4" customHeight="1" thickBot="1" x14ac:dyDescent="0.35">
      <c r="A15" s="113" t="str">
        <f t="shared" si="2"/>
        <v>Osobní náklady</v>
      </c>
      <c r="B15" s="63" t="s">
        <v>61</v>
      </c>
      <c r="C15" s="42" t="s">
        <v>72</v>
      </c>
    </row>
    <row r="16" spans="1:3" ht="14.4" customHeight="1" thickBot="1" x14ac:dyDescent="0.35">
      <c r="A16" s="66"/>
      <c r="B16" s="66"/>
    </row>
    <row r="17" spans="1:2" ht="14.4" customHeight="1" thickBot="1" x14ac:dyDescent="0.35">
      <c r="A17" s="270" t="s">
        <v>65</v>
      </c>
      <c r="B17" s="268"/>
    </row>
  </sheetData>
  <mergeCells count="4">
    <mergeCell ref="A3:B3"/>
    <mergeCell ref="A9:B9"/>
    <mergeCell ref="A17:B17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1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12.44140625" style="164" hidden="1" customWidth="1" outlineLevel="1"/>
    <col min="8" max="8" width="25.77734375" style="164" customWidth="1" collapsed="1"/>
    <col min="9" max="9" width="7.77734375" style="162" customWidth="1"/>
    <col min="10" max="10" width="10" style="162" customWidth="1"/>
    <col min="11" max="11" width="11.109375" style="162" customWidth="1"/>
    <col min="12" max="16384" width="8.88671875" style="96"/>
  </cols>
  <sheetData>
    <row r="1" spans="1:11" ht="18.600000000000001" customHeight="1" thickBot="1" x14ac:dyDescent="0.4">
      <c r="A1" s="307" t="s">
        <v>323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7"/>
      <c r="J2" s="167"/>
      <c r="K2" s="167"/>
    </row>
    <row r="3" spans="1:11" ht="14.4" customHeight="1" thickBot="1" x14ac:dyDescent="0.35">
      <c r="A3" s="57"/>
      <c r="B3" s="57"/>
      <c r="C3" s="303"/>
      <c r="D3" s="304"/>
      <c r="E3" s="304"/>
      <c r="F3" s="304"/>
      <c r="G3" s="304"/>
      <c r="H3" s="108" t="s">
        <v>75</v>
      </c>
      <c r="I3" s="71">
        <f>IF(J3&lt;&gt;0,K3/J3,0)</f>
        <v>17.463217753120666</v>
      </c>
      <c r="J3" s="71">
        <f>SUBTOTAL(9,J5:J1048576)</f>
        <v>1442</v>
      </c>
      <c r="K3" s="72">
        <f>SUBTOTAL(9,K5:K1048576)</f>
        <v>25181.960000000003</v>
      </c>
    </row>
    <row r="4" spans="1:11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54</v>
      </c>
      <c r="H4" s="353" t="s">
        <v>10</v>
      </c>
      <c r="I4" s="354" t="s">
        <v>81</v>
      </c>
      <c r="J4" s="354" t="s">
        <v>12</v>
      </c>
      <c r="K4" s="355" t="s">
        <v>89</v>
      </c>
    </row>
    <row r="5" spans="1:11" ht="14.4" customHeight="1" x14ac:dyDescent="0.3">
      <c r="A5" s="384" t="s">
        <v>291</v>
      </c>
      <c r="B5" s="385" t="s">
        <v>292</v>
      </c>
      <c r="C5" s="386" t="s">
        <v>296</v>
      </c>
      <c r="D5" s="387" t="s">
        <v>292</v>
      </c>
      <c r="E5" s="386" t="s">
        <v>321</v>
      </c>
      <c r="F5" s="387" t="s">
        <v>322</v>
      </c>
      <c r="G5" s="386" t="s">
        <v>307</v>
      </c>
      <c r="H5" s="386" t="s">
        <v>308</v>
      </c>
      <c r="I5" s="368">
        <v>12.306000000000001</v>
      </c>
      <c r="J5" s="368">
        <v>160</v>
      </c>
      <c r="K5" s="380">
        <v>1968.8100000000002</v>
      </c>
    </row>
    <row r="6" spans="1:11" ht="14.4" customHeight="1" x14ac:dyDescent="0.3">
      <c r="A6" s="388" t="s">
        <v>291</v>
      </c>
      <c r="B6" s="389" t="s">
        <v>292</v>
      </c>
      <c r="C6" s="390" t="s">
        <v>296</v>
      </c>
      <c r="D6" s="391" t="s">
        <v>292</v>
      </c>
      <c r="E6" s="390" t="s">
        <v>321</v>
      </c>
      <c r="F6" s="391" t="s">
        <v>322</v>
      </c>
      <c r="G6" s="390" t="s">
        <v>309</v>
      </c>
      <c r="H6" s="390" t="s">
        <v>310</v>
      </c>
      <c r="I6" s="392">
        <v>17.54</v>
      </c>
      <c r="J6" s="392">
        <v>140</v>
      </c>
      <c r="K6" s="393">
        <v>2456.1899999999996</v>
      </c>
    </row>
    <row r="7" spans="1:11" ht="14.4" customHeight="1" x14ac:dyDescent="0.3">
      <c r="A7" s="388" t="s">
        <v>291</v>
      </c>
      <c r="B7" s="389" t="s">
        <v>292</v>
      </c>
      <c r="C7" s="390" t="s">
        <v>296</v>
      </c>
      <c r="D7" s="391" t="s">
        <v>292</v>
      </c>
      <c r="E7" s="390" t="s">
        <v>321</v>
      </c>
      <c r="F7" s="391" t="s">
        <v>322</v>
      </c>
      <c r="G7" s="390" t="s">
        <v>311</v>
      </c>
      <c r="H7" s="390" t="s">
        <v>312</v>
      </c>
      <c r="I7" s="392">
        <v>18.149999999999999</v>
      </c>
      <c r="J7" s="392">
        <v>40</v>
      </c>
      <c r="K7" s="393">
        <v>725.97</v>
      </c>
    </row>
    <row r="8" spans="1:11" ht="14.4" customHeight="1" x14ac:dyDescent="0.3">
      <c r="A8" s="388" t="s">
        <v>291</v>
      </c>
      <c r="B8" s="389" t="s">
        <v>292</v>
      </c>
      <c r="C8" s="390" t="s">
        <v>296</v>
      </c>
      <c r="D8" s="391" t="s">
        <v>292</v>
      </c>
      <c r="E8" s="390" t="s">
        <v>321</v>
      </c>
      <c r="F8" s="391" t="s">
        <v>322</v>
      </c>
      <c r="G8" s="390" t="s">
        <v>313</v>
      </c>
      <c r="H8" s="390" t="s">
        <v>314</v>
      </c>
      <c r="I8" s="392">
        <v>15.809999999999999</v>
      </c>
      <c r="J8" s="392">
        <v>1000</v>
      </c>
      <c r="K8" s="393">
        <v>15814.220000000001</v>
      </c>
    </row>
    <row r="9" spans="1:11" ht="14.4" customHeight="1" x14ac:dyDescent="0.3">
      <c r="A9" s="388" t="s">
        <v>291</v>
      </c>
      <c r="B9" s="389" t="s">
        <v>292</v>
      </c>
      <c r="C9" s="390" t="s">
        <v>296</v>
      </c>
      <c r="D9" s="391" t="s">
        <v>292</v>
      </c>
      <c r="E9" s="390" t="s">
        <v>321</v>
      </c>
      <c r="F9" s="391" t="s">
        <v>322</v>
      </c>
      <c r="G9" s="390" t="s">
        <v>315</v>
      </c>
      <c r="H9" s="390" t="s">
        <v>316</v>
      </c>
      <c r="I9" s="392">
        <v>15.55</v>
      </c>
      <c r="J9" s="392">
        <v>100</v>
      </c>
      <c r="K9" s="393">
        <v>1554.7700000000002</v>
      </c>
    </row>
    <row r="10" spans="1:11" ht="14.4" customHeight="1" x14ac:dyDescent="0.3">
      <c r="A10" s="388" t="s">
        <v>291</v>
      </c>
      <c r="B10" s="389" t="s">
        <v>292</v>
      </c>
      <c r="C10" s="390" t="s">
        <v>296</v>
      </c>
      <c r="D10" s="391" t="s">
        <v>292</v>
      </c>
      <c r="E10" s="390" t="s">
        <v>321</v>
      </c>
      <c r="F10" s="391" t="s">
        <v>322</v>
      </c>
      <c r="G10" s="390" t="s">
        <v>317</v>
      </c>
      <c r="H10" s="390" t="s">
        <v>318</v>
      </c>
      <c r="I10" s="392">
        <v>151.25</v>
      </c>
      <c r="J10" s="392">
        <v>1</v>
      </c>
      <c r="K10" s="393">
        <v>151.25</v>
      </c>
    </row>
    <row r="11" spans="1:11" ht="14.4" customHeight="1" thickBot="1" x14ac:dyDescent="0.35">
      <c r="A11" s="394" t="s">
        <v>291</v>
      </c>
      <c r="B11" s="395" t="s">
        <v>292</v>
      </c>
      <c r="C11" s="396" t="s">
        <v>296</v>
      </c>
      <c r="D11" s="397" t="s">
        <v>292</v>
      </c>
      <c r="E11" s="396" t="s">
        <v>321</v>
      </c>
      <c r="F11" s="397" t="s">
        <v>322</v>
      </c>
      <c r="G11" s="396" t="s">
        <v>319</v>
      </c>
      <c r="H11" s="396" t="s">
        <v>320</v>
      </c>
      <c r="I11" s="371">
        <v>2510.75</v>
      </c>
      <c r="J11" s="371">
        <v>1</v>
      </c>
      <c r="K11" s="381">
        <v>2510.75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T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I1"/>
    </sheetView>
  </sheetViews>
  <sheetFormatPr defaultRowHeight="14.4" outlineLevelRow="1" x14ac:dyDescent="0.3"/>
  <cols>
    <col min="1" max="1" width="37.21875" customWidth="1"/>
    <col min="2" max="4" width="13.109375" customWidth="1"/>
    <col min="5" max="5" width="13.109375" hidden="1" customWidth="1"/>
    <col min="6" max="8" width="13.109375" customWidth="1"/>
    <col min="9" max="9" width="13.109375" hidden="1" customWidth="1"/>
  </cols>
  <sheetData>
    <row r="1" spans="1:46" ht="18.600000000000001" thickBot="1" x14ac:dyDescent="0.4">
      <c r="A1" s="317" t="s">
        <v>61</v>
      </c>
      <c r="B1" s="302"/>
      <c r="C1" s="302"/>
      <c r="D1" s="302"/>
      <c r="E1" s="302"/>
      <c r="F1" s="302"/>
      <c r="G1" s="302"/>
      <c r="H1" s="302"/>
      <c r="I1" s="302"/>
    </row>
    <row r="2" spans="1:46" ht="15" thickBot="1" x14ac:dyDescent="0.35">
      <c r="A2" s="174" t="s">
        <v>177</v>
      </c>
      <c r="B2" s="175"/>
      <c r="C2" s="175"/>
      <c r="D2" s="175"/>
      <c r="E2" s="175"/>
      <c r="F2" s="175"/>
      <c r="G2" s="175"/>
    </row>
    <row r="3" spans="1:46" x14ac:dyDescent="0.3">
      <c r="A3" s="195" t="s">
        <v>125</v>
      </c>
      <c r="B3" s="315" t="s">
        <v>108</v>
      </c>
      <c r="C3" s="176">
        <v>0</v>
      </c>
      <c r="D3" s="198">
        <v>101</v>
      </c>
      <c r="E3" s="198">
        <v>302</v>
      </c>
      <c r="F3" s="198">
        <v>409</v>
      </c>
      <c r="G3" s="177">
        <v>528</v>
      </c>
      <c r="H3" s="177">
        <v>746</v>
      </c>
      <c r="I3" s="178">
        <v>930</v>
      </c>
      <c r="AT3" s="416"/>
    </row>
    <row r="4" spans="1:46" ht="36.6" outlineLevel="1" thickBot="1" x14ac:dyDescent="0.35">
      <c r="A4" s="196">
        <v>2016</v>
      </c>
      <c r="B4" s="316"/>
      <c r="C4" s="179" t="s">
        <v>109</v>
      </c>
      <c r="D4" s="199" t="s">
        <v>151</v>
      </c>
      <c r="E4" s="199" t="s">
        <v>152</v>
      </c>
      <c r="F4" s="199" t="s">
        <v>134</v>
      </c>
      <c r="G4" s="180" t="s">
        <v>136</v>
      </c>
      <c r="H4" s="180" t="s">
        <v>135</v>
      </c>
      <c r="I4" s="181" t="s">
        <v>127</v>
      </c>
      <c r="AT4" s="416"/>
    </row>
    <row r="5" spans="1:46" x14ac:dyDescent="0.3">
      <c r="A5" s="182" t="s">
        <v>110</v>
      </c>
      <c r="B5" s="224"/>
      <c r="C5" s="225"/>
      <c r="D5" s="226"/>
      <c r="E5" s="226"/>
      <c r="F5" s="226"/>
      <c r="G5" s="226"/>
      <c r="H5" s="226"/>
      <c r="I5" s="227"/>
      <c r="AT5" s="416"/>
    </row>
    <row r="6" spans="1:46" ht="15" collapsed="1" thickBot="1" x14ac:dyDescent="0.35">
      <c r="A6" s="183" t="s">
        <v>55</v>
      </c>
      <c r="B6" s="228">
        <f xml:space="preserve">
TRUNC(IF($A$4&lt;=12,SUMIFS('ON Data'!F:F,'ON Data'!$D:$D,$A$4,'ON Data'!$E:$E,1),SUMIFS('ON Data'!F:F,'ON Data'!$E:$E,1)/'ON Data'!$D$3),1)</f>
        <v>4</v>
      </c>
      <c r="C6" s="229">
        <f xml:space="preserve">
TRUNC(IF($A$4&lt;=12,SUMIFS('ON Data'!G:G,'ON Data'!$D:$D,$A$4,'ON Data'!$E:$E,1),SUMIFS('ON Data'!G:G,'ON Data'!$E:$E,1)/'ON Data'!$D$3),1)</f>
        <v>0</v>
      </c>
      <c r="D6" s="230">
        <f xml:space="preserve">
TRUNC(IF($A$4&lt;=12,SUMIFS('ON Data'!K:K,'ON Data'!$D:$D,$A$4,'ON Data'!$E:$E,1),SUMIFS('ON Data'!K:K,'ON Data'!$E:$E,1)/'ON Data'!$D$3),1)</f>
        <v>2</v>
      </c>
      <c r="E6" s="230">
        <f xml:space="preserve">
TRUNC(IF($A$4&lt;=12,SUMIFS('ON Data'!O:O,'ON Data'!$D:$D,$A$4,'ON Data'!$E:$E,1),SUMIFS('ON Data'!O:O,'ON Data'!$E:$E,1)/'ON Data'!$D$3),1)</f>
        <v>0</v>
      </c>
      <c r="F6" s="230">
        <f xml:space="preserve">
TRUNC(IF($A$4&lt;=12,SUMIFS('ON Data'!V:V,'ON Data'!$D:$D,$A$4,'ON Data'!$E:$E,1),SUMIFS('ON Data'!V:V,'ON Data'!$E:$E,1)/'ON Data'!$D$3),1)</f>
        <v>1</v>
      </c>
      <c r="G6" s="230">
        <f xml:space="preserve">
TRUNC(IF($A$4&lt;=12,SUMIFS('ON Data'!AL:AL,'ON Data'!$D:$D,$A$4,'ON Data'!$E:$E,1),SUMIFS('ON Data'!AL:AL,'ON Data'!$E:$E,1)/'ON Data'!$D$3),1)</f>
        <v>1</v>
      </c>
      <c r="H6" s="230">
        <f xml:space="preserve">
TRUNC(IF($A$4&lt;=12,SUMIFS('ON Data'!AU:AU,'ON Data'!$D:$D,$A$4,'ON Data'!$E:$E,1),SUMIFS('ON Data'!AU:AU,'ON Data'!$E:$E,1)/'ON Data'!$D$3),1)</f>
        <v>0</v>
      </c>
      <c r="I6" s="231">
        <f xml:space="preserve">
TRUNC(IF($A$4&lt;=12,SUMIFS('ON Data'!AW:AW,'ON Data'!$D:$D,$A$4,'ON Data'!$E:$E,1),SUMIFS('ON Data'!AW:AW,'ON Data'!$E:$E,1)/'ON Data'!$D$3),1)</f>
        <v>0</v>
      </c>
      <c r="AT6" s="416"/>
    </row>
    <row r="7" spans="1:46" ht="15" hidden="1" outlineLevel="1" thickBot="1" x14ac:dyDescent="0.35">
      <c r="A7" s="183" t="s">
        <v>62</v>
      </c>
      <c r="B7" s="228"/>
      <c r="C7" s="232"/>
      <c r="D7" s="230"/>
      <c r="E7" s="230"/>
      <c r="F7" s="230"/>
      <c r="G7" s="230"/>
      <c r="H7" s="230"/>
      <c r="I7" s="231"/>
      <c r="AT7" s="416"/>
    </row>
    <row r="8" spans="1:46" ht="15" hidden="1" outlineLevel="1" thickBot="1" x14ac:dyDescent="0.35">
      <c r="A8" s="183" t="s">
        <v>57</v>
      </c>
      <c r="B8" s="228"/>
      <c r="C8" s="232"/>
      <c r="D8" s="230"/>
      <c r="E8" s="230"/>
      <c r="F8" s="230"/>
      <c r="G8" s="230"/>
      <c r="H8" s="230"/>
      <c r="I8" s="231"/>
      <c r="AT8" s="416"/>
    </row>
    <row r="9" spans="1:46" ht="15" hidden="1" outlineLevel="1" thickBot="1" x14ac:dyDescent="0.35">
      <c r="A9" s="184" t="s">
        <v>52</v>
      </c>
      <c r="B9" s="233"/>
      <c r="C9" s="234"/>
      <c r="D9" s="235"/>
      <c r="E9" s="235"/>
      <c r="F9" s="235"/>
      <c r="G9" s="235"/>
      <c r="H9" s="235"/>
      <c r="I9" s="236"/>
      <c r="AT9" s="416"/>
    </row>
    <row r="10" spans="1:46" x14ac:dyDescent="0.3">
      <c r="A10" s="185" t="s">
        <v>111</v>
      </c>
      <c r="B10" s="200"/>
      <c r="C10" s="201"/>
      <c r="D10" s="202"/>
      <c r="E10" s="202"/>
      <c r="F10" s="202"/>
      <c r="G10" s="202"/>
      <c r="H10" s="202"/>
      <c r="I10" s="203"/>
      <c r="AT10" s="416"/>
    </row>
    <row r="11" spans="1:46" x14ac:dyDescent="0.3">
      <c r="A11" s="186" t="s">
        <v>112</v>
      </c>
      <c r="B11" s="204">
        <f xml:space="preserve">
IF($A$4&lt;=12,SUMIFS('ON Data'!F:F,'ON Data'!$D:$D,$A$4,'ON Data'!$E:$E,2),SUMIFS('ON Data'!F:F,'ON Data'!$E:$E,2))</f>
        <v>2568</v>
      </c>
      <c r="C11" s="205">
        <f xml:space="preserve">
IF($A$4&lt;=12,SUMIFS('ON Data'!G:G,'ON Data'!$D:$D,$A$4,'ON Data'!$E:$E,2),SUMIFS('ON Data'!G:G,'ON Data'!$E:$E,2))</f>
        <v>0</v>
      </c>
      <c r="D11" s="206">
        <f xml:space="preserve">
IF($A$4&lt;=12,SUMIFS('ON Data'!K:K,'ON Data'!$D:$D,$A$4,'ON Data'!$E:$E,2),SUMIFS('ON Data'!K:K,'ON Data'!$E:$E,2))</f>
        <v>1336</v>
      </c>
      <c r="E11" s="206">
        <f xml:space="preserve">
IF($A$4&lt;=12,SUMIFS('ON Data'!O:O,'ON Data'!$D:$D,$A$4,'ON Data'!$E:$E,2),SUMIFS('ON Data'!O:O,'ON Data'!$E:$E,2))</f>
        <v>0</v>
      </c>
      <c r="F11" s="206">
        <f xml:space="preserve">
IF($A$4&lt;=12,SUMIFS('ON Data'!V:V,'ON Data'!$D:$D,$A$4,'ON Data'!$E:$E,2),SUMIFS('ON Data'!V:V,'ON Data'!$E:$E,2))</f>
        <v>640</v>
      </c>
      <c r="G11" s="206">
        <f xml:space="preserve">
IF($A$4&lt;=12,SUMIFS('ON Data'!AL:AL,'ON Data'!$D:$D,$A$4,'ON Data'!$E:$E,2),SUMIFS('ON Data'!AL:AL,'ON Data'!$E:$E,2))</f>
        <v>592</v>
      </c>
      <c r="H11" s="206">
        <f xml:space="preserve">
IF($A$4&lt;=12,SUMIFS('ON Data'!AU:AU,'ON Data'!$D:$D,$A$4,'ON Data'!$E:$E,2),SUMIFS('ON Data'!AU:AU,'ON Data'!$E:$E,2))</f>
        <v>0</v>
      </c>
      <c r="I11" s="207">
        <f xml:space="preserve">
IF($A$4&lt;=12,SUMIFS('ON Data'!AW:AW,'ON Data'!$D:$D,$A$4,'ON Data'!$E:$E,2),SUMIFS('ON Data'!AW:AW,'ON Data'!$E:$E,2))</f>
        <v>0</v>
      </c>
      <c r="AT11" s="416"/>
    </row>
    <row r="12" spans="1:46" x14ac:dyDescent="0.3">
      <c r="A12" s="186" t="s">
        <v>113</v>
      </c>
      <c r="B12" s="204">
        <f xml:space="preserve">
IF($A$4&lt;=12,SUMIFS('ON Data'!F:F,'ON Data'!$D:$D,$A$4,'ON Data'!$E:$E,3),SUMIFS('ON Data'!F:F,'ON Data'!$E:$E,3))</f>
        <v>0</v>
      </c>
      <c r="C12" s="205">
        <f xml:space="preserve">
IF($A$4&lt;=12,SUMIFS('ON Data'!G:G,'ON Data'!$D:$D,$A$4,'ON Data'!$E:$E,3),SUMIFS('ON Data'!G:G,'ON Data'!$E:$E,3))</f>
        <v>0</v>
      </c>
      <c r="D12" s="206">
        <f xml:space="preserve">
IF($A$4&lt;=12,SUMIFS('ON Data'!K:K,'ON Data'!$D:$D,$A$4,'ON Data'!$E:$E,3),SUMIFS('ON Data'!K:K,'ON Data'!$E:$E,3))</f>
        <v>0</v>
      </c>
      <c r="E12" s="206">
        <f xml:space="preserve">
IF($A$4&lt;=12,SUMIFS('ON Data'!O:O,'ON Data'!$D:$D,$A$4,'ON Data'!$E:$E,3),SUMIFS('ON Data'!O:O,'ON Data'!$E:$E,3))</f>
        <v>0</v>
      </c>
      <c r="F12" s="206">
        <f xml:space="preserve">
IF($A$4&lt;=12,SUMIFS('ON Data'!V:V,'ON Data'!$D:$D,$A$4,'ON Data'!$E:$E,3),SUMIFS('ON Data'!V:V,'ON Data'!$E:$E,3))</f>
        <v>0</v>
      </c>
      <c r="G12" s="206">
        <f xml:space="preserve">
IF($A$4&lt;=12,SUMIFS('ON Data'!AL:AL,'ON Data'!$D:$D,$A$4,'ON Data'!$E:$E,3),SUMIFS('ON Data'!AL:AL,'ON Data'!$E:$E,3))</f>
        <v>0</v>
      </c>
      <c r="H12" s="206">
        <f xml:space="preserve">
IF($A$4&lt;=12,SUMIFS('ON Data'!AU:AU,'ON Data'!$D:$D,$A$4,'ON Data'!$E:$E,3),SUMIFS('ON Data'!AU:AU,'ON Data'!$E:$E,3))</f>
        <v>0</v>
      </c>
      <c r="I12" s="207">
        <f xml:space="preserve">
IF($A$4&lt;=12,SUMIFS('ON Data'!AW:AW,'ON Data'!$D:$D,$A$4,'ON Data'!$E:$E,3),SUMIFS('ON Data'!AW:AW,'ON Data'!$E:$E,3))</f>
        <v>0</v>
      </c>
      <c r="AT12" s="416"/>
    </row>
    <row r="13" spans="1:46" x14ac:dyDescent="0.3">
      <c r="A13" s="186" t="s">
        <v>120</v>
      </c>
      <c r="B13" s="204">
        <f xml:space="preserve">
IF($A$4&lt;=12,SUMIFS('ON Data'!F:F,'ON Data'!$D:$D,$A$4,'ON Data'!$E:$E,4),SUMIFS('ON Data'!F:F,'ON Data'!$E:$E,4))</f>
        <v>0</v>
      </c>
      <c r="C13" s="205">
        <f xml:space="preserve">
IF($A$4&lt;=12,SUMIFS('ON Data'!G:G,'ON Data'!$D:$D,$A$4,'ON Data'!$E:$E,4),SUMIFS('ON Data'!G:G,'ON Data'!$E:$E,4))</f>
        <v>0</v>
      </c>
      <c r="D13" s="206">
        <f xml:space="preserve">
IF($A$4&lt;=12,SUMIFS('ON Data'!K:K,'ON Data'!$D:$D,$A$4,'ON Data'!$E:$E,4),SUMIFS('ON Data'!K:K,'ON Data'!$E:$E,4))</f>
        <v>0</v>
      </c>
      <c r="E13" s="206">
        <f xml:space="preserve">
IF($A$4&lt;=12,SUMIFS('ON Data'!O:O,'ON Data'!$D:$D,$A$4,'ON Data'!$E:$E,4),SUMIFS('ON Data'!O:O,'ON Data'!$E:$E,4))</f>
        <v>0</v>
      </c>
      <c r="F13" s="206">
        <f xml:space="preserve">
IF($A$4&lt;=12,SUMIFS('ON Data'!V:V,'ON Data'!$D:$D,$A$4,'ON Data'!$E:$E,4),SUMIFS('ON Data'!V:V,'ON Data'!$E:$E,4))</f>
        <v>0</v>
      </c>
      <c r="G13" s="206">
        <f xml:space="preserve">
IF($A$4&lt;=12,SUMIFS('ON Data'!AL:AL,'ON Data'!$D:$D,$A$4,'ON Data'!$E:$E,4),SUMIFS('ON Data'!AL:AL,'ON Data'!$E:$E,4))</f>
        <v>0</v>
      </c>
      <c r="H13" s="206">
        <f xml:space="preserve">
IF($A$4&lt;=12,SUMIFS('ON Data'!AU:AU,'ON Data'!$D:$D,$A$4,'ON Data'!$E:$E,4),SUMIFS('ON Data'!AU:AU,'ON Data'!$E:$E,4))</f>
        <v>0</v>
      </c>
      <c r="I13" s="207">
        <f xml:space="preserve">
IF($A$4&lt;=12,SUMIFS('ON Data'!AW:AW,'ON Data'!$D:$D,$A$4,'ON Data'!$E:$E,4),SUMIFS('ON Data'!AW:AW,'ON Data'!$E:$E,4))</f>
        <v>0</v>
      </c>
      <c r="AT13" s="416"/>
    </row>
    <row r="14" spans="1:46" ht="15" thickBot="1" x14ac:dyDescent="0.35">
      <c r="A14" s="187" t="s">
        <v>114</v>
      </c>
      <c r="B14" s="208">
        <f xml:space="preserve">
IF($A$4&lt;=12,SUMIFS('ON Data'!F:F,'ON Data'!$D:$D,$A$4,'ON Data'!$E:$E,5),SUMIFS('ON Data'!F:F,'ON Data'!$E:$E,5))</f>
        <v>80</v>
      </c>
      <c r="C14" s="209">
        <f xml:space="preserve">
IF($A$4&lt;=12,SUMIFS('ON Data'!G:G,'ON Data'!$D:$D,$A$4,'ON Data'!$E:$E,5),SUMIFS('ON Data'!G:G,'ON Data'!$E:$E,5))</f>
        <v>80</v>
      </c>
      <c r="D14" s="210">
        <f xml:space="preserve">
IF($A$4&lt;=12,SUMIFS('ON Data'!K:K,'ON Data'!$D:$D,$A$4,'ON Data'!$E:$E,5),SUMIFS('ON Data'!K:K,'ON Data'!$E:$E,5))</f>
        <v>0</v>
      </c>
      <c r="E14" s="210">
        <f xml:space="preserve">
IF($A$4&lt;=12,SUMIFS('ON Data'!O:O,'ON Data'!$D:$D,$A$4,'ON Data'!$E:$E,5),SUMIFS('ON Data'!O:O,'ON Data'!$E:$E,5))</f>
        <v>0</v>
      </c>
      <c r="F14" s="210">
        <f xml:space="preserve">
IF($A$4&lt;=12,SUMIFS('ON Data'!V:V,'ON Data'!$D:$D,$A$4,'ON Data'!$E:$E,5),SUMIFS('ON Data'!V:V,'ON Data'!$E:$E,5))</f>
        <v>0</v>
      </c>
      <c r="G14" s="210">
        <f xml:space="preserve">
IF($A$4&lt;=12,SUMIFS('ON Data'!AL:AL,'ON Data'!$D:$D,$A$4,'ON Data'!$E:$E,5),SUMIFS('ON Data'!AL:AL,'ON Data'!$E:$E,5))</f>
        <v>0</v>
      </c>
      <c r="H14" s="210">
        <f xml:space="preserve">
IF($A$4&lt;=12,SUMIFS('ON Data'!AU:AU,'ON Data'!$D:$D,$A$4,'ON Data'!$E:$E,5),SUMIFS('ON Data'!AU:AU,'ON Data'!$E:$E,5))</f>
        <v>0</v>
      </c>
      <c r="I14" s="211">
        <f xml:space="preserve">
IF($A$4&lt;=12,SUMIFS('ON Data'!AW:AW,'ON Data'!$D:$D,$A$4,'ON Data'!$E:$E,5),SUMIFS('ON Data'!AW:AW,'ON Data'!$E:$E,5))</f>
        <v>0</v>
      </c>
      <c r="AT14" s="416"/>
    </row>
    <row r="15" spans="1:46" x14ac:dyDescent="0.3">
      <c r="A15" s="126" t="s">
        <v>124</v>
      </c>
      <c r="B15" s="212"/>
      <c r="C15" s="213"/>
      <c r="D15" s="214"/>
      <c r="E15" s="214"/>
      <c r="F15" s="214"/>
      <c r="G15" s="214"/>
      <c r="H15" s="214"/>
      <c r="I15" s="215"/>
      <c r="AT15" s="416"/>
    </row>
    <row r="16" spans="1:46" x14ac:dyDescent="0.3">
      <c r="A16" s="188" t="s">
        <v>115</v>
      </c>
      <c r="B16" s="204">
        <f xml:space="preserve">
IF($A$4&lt;=12,SUMIFS('ON Data'!F:F,'ON Data'!$D:$D,$A$4,'ON Data'!$E:$E,7),SUMIFS('ON Data'!F:F,'ON Data'!$E:$E,7))</f>
        <v>0</v>
      </c>
      <c r="C16" s="205">
        <f xml:space="preserve">
IF($A$4&lt;=12,SUMIFS('ON Data'!G:G,'ON Data'!$D:$D,$A$4,'ON Data'!$E:$E,7),SUMIFS('ON Data'!G:G,'ON Data'!$E:$E,7))</f>
        <v>0</v>
      </c>
      <c r="D16" s="206">
        <f xml:space="preserve">
IF($A$4&lt;=12,SUMIFS('ON Data'!K:K,'ON Data'!$D:$D,$A$4,'ON Data'!$E:$E,7),SUMIFS('ON Data'!K:K,'ON Data'!$E:$E,7))</f>
        <v>0</v>
      </c>
      <c r="E16" s="206">
        <f xml:space="preserve">
IF($A$4&lt;=12,SUMIFS('ON Data'!O:O,'ON Data'!$D:$D,$A$4,'ON Data'!$E:$E,7),SUMIFS('ON Data'!O:O,'ON Data'!$E:$E,7))</f>
        <v>0</v>
      </c>
      <c r="F16" s="206">
        <f xml:space="preserve">
IF($A$4&lt;=12,SUMIFS('ON Data'!V:V,'ON Data'!$D:$D,$A$4,'ON Data'!$E:$E,7),SUMIFS('ON Data'!V:V,'ON Data'!$E:$E,7))</f>
        <v>0</v>
      </c>
      <c r="G16" s="206">
        <f xml:space="preserve">
IF($A$4&lt;=12,SUMIFS('ON Data'!AL:AL,'ON Data'!$D:$D,$A$4,'ON Data'!$E:$E,7),SUMIFS('ON Data'!AL:AL,'ON Data'!$E:$E,7))</f>
        <v>0</v>
      </c>
      <c r="H16" s="206">
        <f xml:space="preserve">
IF($A$4&lt;=12,SUMIFS('ON Data'!AU:AU,'ON Data'!$D:$D,$A$4,'ON Data'!$E:$E,7),SUMIFS('ON Data'!AU:AU,'ON Data'!$E:$E,7))</f>
        <v>0</v>
      </c>
      <c r="I16" s="207">
        <f xml:space="preserve">
IF($A$4&lt;=12,SUMIFS('ON Data'!AW:AW,'ON Data'!$D:$D,$A$4,'ON Data'!$E:$E,7),SUMIFS('ON Data'!AW:AW,'ON Data'!$E:$E,7))</f>
        <v>0</v>
      </c>
      <c r="AT16" s="416"/>
    </row>
    <row r="17" spans="1:46" x14ac:dyDescent="0.3">
      <c r="A17" s="188" t="s">
        <v>116</v>
      </c>
      <c r="B17" s="204">
        <f xml:space="preserve">
IF($A$4&lt;=12,SUMIFS('ON Data'!F:F,'ON Data'!$D:$D,$A$4,'ON Data'!$E:$E,8),SUMIFS('ON Data'!F:F,'ON Data'!$E:$E,8))</f>
        <v>0</v>
      </c>
      <c r="C17" s="205">
        <f xml:space="preserve">
IF($A$4&lt;=12,SUMIFS('ON Data'!G:G,'ON Data'!$D:$D,$A$4,'ON Data'!$E:$E,8),SUMIFS('ON Data'!G:G,'ON Data'!$E:$E,8))</f>
        <v>0</v>
      </c>
      <c r="D17" s="206">
        <f xml:space="preserve">
IF($A$4&lt;=12,SUMIFS('ON Data'!K:K,'ON Data'!$D:$D,$A$4,'ON Data'!$E:$E,8),SUMIFS('ON Data'!K:K,'ON Data'!$E:$E,8))</f>
        <v>0</v>
      </c>
      <c r="E17" s="206">
        <f xml:space="preserve">
IF($A$4&lt;=12,SUMIFS('ON Data'!O:O,'ON Data'!$D:$D,$A$4,'ON Data'!$E:$E,8),SUMIFS('ON Data'!O:O,'ON Data'!$E:$E,8))</f>
        <v>0</v>
      </c>
      <c r="F17" s="206">
        <f xml:space="preserve">
IF($A$4&lt;=12,SUMIFS('ON Data'!V:V,'ON Data'!$D:$D,$A$4,'ON Data'!$E:$E,8),SUMIFS('ON Data'!V:V,'ON Data'!$E:$E,8))</f>
        <v>0</v>
      </c>
      <c r="G17" s="206">
        <f xml:space="preserve">
IF($A$4&lt;=12,SUMIFS('ON Data'!AL:AL,'ON Data'!$D:$D,$A$4,'ON Data'!$E:$E,8),SUMIFS('ON Data'!AL:AL,'ON Data'!$E:$E,8))</f>
        <v>0</v>
      </c>
      <c r="H17" s="206">
        <f xml:space="preserve">
IF($A$4&lt;=12,SUMIFS('ON Data'!AU:AU,'ON Data'!$D:$D,$A$4,'ON Data'!$E:$E,8),SUMIFS('ON Data'!AU:AU,'ON Data'!$E:$E,8))</f>
        <v>0</v>
      </c>
      <c r="I17" s="207">
        <f xml:space="preserve">
IF($A$4&lt;=12,SUMIFS('ON Data'!AW:AW,'ON Data'!$D:$D,$A$4,'ON Data'!$E:$E,8),SUMIFS('ON Data'!AW:AW,'ON Data'!$E:$E,8))</f>
        <v>0</v>
      </c>
      <c r="AT17" s="416"/>
    </row>
    <row r="18" spans="1:46" x14ac:dyDescent="0.3">
      <c r="A18" s="188" t="s">
        <v>117</v>
      </c>
      <c r="B18" s="204">
        <f xml:space="preserve">
B19-B16-B17</f>
        <v>0</v>
      </c>
      <c r="C18" s="205">
        <f t="shared" ref="C18:D18" si="0" xml:space="preserve">
C19-C16-C17</f>
        <v>0</v>
      </c>
      <c r="D18" s="206">
        <f t="shared" si="0"/>
        <v>0</v>
      </c>
      <c r="E18" s="206">
        <f t="shared" ref="E18:G18" si="1" xml:space="preserve">
E19-E16-E17</f>
        <v>0</v>
      </c>
      <c r="F18" s="206">
        <f t="shared" si="1"/>
        <v>0</v>
      </c>
      <c r="G18" s="206">
        <f t="shared" si="1"/>
        <v>0</v>
      </c>
      <c r="H18" s="206">
        <f t="shared" ref="H18:I18" si="2" xml:space="preserve">
H19-H16-H17</f>
        <v>0</v>
      </c>
      <c r="I18" s="207">
        <f t="shared" si="2"/>
        <v>0</v>
      </c>
      <c r="AT18" s="416"/>
    </row>
    <row r="19" spans="1:46" ht="15" thickBot="1" x14ac:dyDescent="0.35">
      <c r="A19" s="189" t="s">
        <v>118</v>
      </c>
      <c r="B19" s="216">
        <f xml:space="preserve">
IF($A$4&lt;=12,SUMIFS('ON Data'!F:F,'ON Data'!$D:$D,$A$4,'ON Data'!$E:$E,9),SUMIFS('ON Data'!F:F,'ON Data'!$E:$E,9))</f>
        <v>0</v>
      </c>
      <c r="C19" s="217">
        <f xml:space="preserve">
IF($A$4&lt;=12,SUMIFS('ON Data'!G:G,'ON Data'!$D:$D,$A$4,'ON Data'!$E:$E,9),SUMIFS('ON Data'!G:G,'ON Data'!$E:$E,9))</f>
        <v>0</v>
      </c>
      <c r="D19" s="218">
        <f xml:space="preserve">
IF($A$4&lt;=12,SUMIFS('ON Data'!K:K,'ON Data'!$D:$D,$A$4,'ON Data'!$E:$E,9),SUMIFS('ON Data'!K:K,'ON Data'!$E:$E,9))</f>
        <v>0</v>
      </c>
      <c r="E19" s="218">
        <f xml:space="preserve">
IF($A$4&lt;=12,SUMIFS('ON Data'!O:O,'ON Data'!$D:$D,$A$4,'ON Data'!$E:$E,9),SUMIFS('ON Data'!O:O,'ON Data'!$E:$E,9))</f>
        <v>0</v>
      </c>
      <c r="F19" s="218">
        <f xml:space="preserve">
IF($A$4&lt;=12,SUMIFS('ON Data'!V:V,'ON Data'!$D:$D,$A$4,'ON Data'!$E:$E,9),SUMIFS('ON Data'!V:V,'ON Data'!$E:$E,9))</f>
        <v>0</v>
      </c>
      <c r="G19" s="218">
        <f xml:space="preserve">
IF($A$4&lt;=12,SUMIFS('ON Data'!AL:AL,'ON Data'!$D:$D,$A$4,'ON Data'!$E:$E,9),SUMIFS('ON Data'!AL:AL,'ON Data'!$E:$E,9))</f>
        <v>0</v>
      </c>
      <c r="H19" s="218">
        <f xml:space="preserve">
IF($A$4&lt;=12,SUMIFS('ON Data'!AU:AU,'ON Data'!$D:$D,$A$4,'ON Data'!$E:$E,9),SUMIFS('ON Data'!AU:AU,'ON Data'!$E:$E,9))</f>
        <v>0</v>
      </c>
      <c r="I19" s="219">
        <f xml:space="preserve">
IF($A$4&lt;=12,SUMIFS('ON Data'!AW:AW,'ON Data'!$D:$D,$A$4,'ON Data'!$E:$E,9),SUMIFS('ON Data'!AW:AW,'ON Data'!$E:$E,9))</f>
        <v>0</v>
      </c>
      <c r="AT19" s="416"/>
    </row>
    <row r="20" spans="1:46" ht="15" collapsed="1" thickBot="1" x14ac:dyDescent="0.35">
      <c r="A20" s="190" t="s">
        <v>55</v>
      </c>
      <c r="B20" s="220">
        <f xml:space="preserve">
IF($A$4&lt;=12,SUMIFS('ON Data'!F:F,'ON Data'!$D:$D,$A$4,'ON Data'!$E:$E,6),SUMIFS('ON Data'!F:F,'ON Data'!$E:$E,6))</f>
        <v>672319</v>
      </c>
      <c r="C20" s="221">
        <f xml:space="preserve">
IF($A$4&lt;=12,SUMIFS('ON Data'!G:G,'ON Data'!$D:$D,$A$4,'ON Data'!$E:$E,6),SUMIFS('ON Data'!G:G,'ON Data'!$E:$E,6))</f>
        <v>20000</v>
      </c>
      <c r="D20" s="222">
        <f xml:space="preserve">
IF($A$4&lt;=12,SUMIFS('ON Data'!K:K,'ON Data'!$D:$D,$A$4,'ON Data'!$E:$E,6),SUMIFS('ON Data'!K:K,'ON Data'!$E:$E,6))</f>
        <v>444026</v>
      </c>
      <c r="E20" s="222">
        <f xml:space="preserve">
IF($A$4&lt;=12,SUMIFS('ON Data'!O:O,'ON Data'!$D:$D,$A$4,'ON Data'!$E:$E,6),SUMIFS('ON Data'!O:O,'ON Data'!$E:$E,6))</f>
        <v>0</v>
      </c>
      <c r="F20" s="222">
        <f xml:space="preserve">
IF($A$4&lt;=12,SUMIFS('ON Data'!V:V,'ON Data'!$D:$D,$A$4,'ON Data'!$E:$E,6),SUMIFS('ON Data'!V:V,'ON Data'!$E:$E,6))</f>
        <v>107677</v>
      </c>
      <c r="G20" s="222">
        <f xml:space="preserve">
IF($A$4&lt;=12,SUMIFS('ON Data'!AL:AL,'ON Data'!$D:$D,$A$4,'ON Data'!$E:$E,6),SUMIFS('ON Data'!AL:AL,'ON Data'!$E:$E,6))</f>
        <v>98330</v>
      </c>
      <c r="H20" s="222">
        <f xml:space="preserve">
IF($A$4&lt;=12,SUMIFS('ON Data'!AU:AU,'ON Data'!$D:$D,$A$4,'ON Data'!$E:$E,6),SUMIFS('ON Data'!AU:AU,'ON Data'!$E:$E,6))</f>
        <v>2286</v>
      </c>
      <c r="I20" s="223">
        <f xml:space="preserve">
IF($A$4&lt;=12,SUMIFS('ON Data'!AW:AW,'ON Data'!$D:$D,$A$4,'ON Data'!$E:$E,6),SUMIFS('ON Data'!AW:AW,'ON Data'!$E:$E,6))</f>
        <v>0</v>
      </c>
      <c r="AT20" s="416"/>
    </row>
    <row r="21" spans="1:46" ht="15" hidden="1" outlineLevel="1" thickBot="1" x14ac:dyDescent="0.35">
      <c r="A21" s="183" t="s">
        <v>62</v>
      </c>
      <c r="B21" s="204">
        <f xml:space="preserve">
IF($A$4&lt;=12,SUMIFS('ON Data'!F:F,'ON Data'!$D:$D,$A$4,'ON Data'!$E:$E,12),SUMIFS('ON Data'!F:F,'ON Data'!$E:$E,12))</f>
        <v>0</v>
      </c>
      <c r="C21" s="205">
        <f xml:space="preserve">
IF($A$4&lt;=12,SUMIFS('ON Data'!G:G,'ON Data'!$D:$D,$A$4,'ON Data'!$E:$E,12),SUMIFS('ON Data'!G:G,'ON Data'!$E:$E,12))</f>
        <v>0</v>
      </c>
      <c r="D21" s="206">
        <f xml:space="preserve">
IF($A$4&lt;=12,SUMIFS('ON Data'!K:K,'ON Data'!$D:$D,$A$4,'ON Data'!$E:$E,12),SUMIFS('ON Data'!K:K,'ON Data'!$E:$E,12))</f>
        <v>0</v>
      </c>
      <c r="E21" s="206">
        <f xml:space="preserve">
IF($A$4&lt;=12,SUMIFS('ON Data'!O:O,'ON Data'!$D:$D,$A$4,'ON Data'!$E:$E,12),SUMIFS('ON Data'!O:O,'ON Data'!$E:$E,12))</f>
        <v>0</v>
      </c>
      <c r="F21" s="206">
        <f xml:space="preserve">
IF($A$4&lt;=12,SUMIFS('ON Data'!V:V,'ON Data'!$D:$D,$A$4,'ON Data'!$E:$E,12),SUMIFS('ON Data'!V:V,'ON Data'!$E:$E,12))</f>
        <v>0</v>
      </c>
      <c r="G21" s="206">
        <f xml:space="preserve">
IF($A$4&lt;=12,SUMIFS('ON Data'!AL:AL,'ON Data'!$D:$D,$A$4,'ON Data'!$E:$E,12),SUMIFS('ON Data'!AL:AL,'ON Data'!$E:$E,12))</f>
        <v>0</v>
      </c>
      <c r="AT21" s="416"/>
    </row>
    <row r="22" spans="1:46" ht="15" hidden="1" outlineLevel="1" thickBot="1" x14ac:dyDescent="0.35">
      <c r="A22" s="183" t="s">
        <v>57</v>
      </c>
      <c r="B22" s="264" t="str">
        <f xml:space="preserve">
IF(OR(B21="",B21=0),"",B20/B21)</f>
        <v/>
      </c>
      <c r="C22" s="265" t="str">
        <f t="shared" ref="C22:D22" si="3" xml:space="preserve">
IF(OR(C21="",C21=0),"",C20/C21)</f>
        <v/>
      </c>
      <c r="D22" s="266" t="str">
        <f t="shared" si="3"/>
        <v/>
      </c>
      <c r="E22" s="266" t="str">
        <f t="shared" ref="E22:G22" si="4" xml:space="preserve">
IF(OR(E21="",E21=0),"",E20/E21)</f>
        <v/>
      </c>
      <c r="F22" s="266" t="str">
        <f t="shared" si="4"/>
        <v/>
      </c>
      <c r="G22" s="266" t="str">
        <f t="shared" si="4"/>
        <v/>
      </c>
      <c r="AT22" s="416"/>
    </row>
    <row r="23" spans="1:46" ht="15" hidden="1" outlineLevel="1" thickBot="1" x14ac:dyDescent="0.35">
      <c r="A23" s="191" t="s">
        <v>52</v>
      </c>
      <c r="B23" s="208">
        <f xml:space="preserve">
IF(B21="","",B20-B21)</f>
        <v>672319</v>
      </c>
      <c r="C23" s="209">
        <f t="shared" ref="C23:D23" si="5" xml:space="preserve">
IF(C21="","",C20-C21)</f>
        <v>20000</v>
      </c>
      <c r="D23" s="210">
        <f t="shared" si="5"/>
        <v>444026</v>
      </c>
      <c r="E23" s="210">
        <f t="shared" ref="E23:G23" si="6" xml:space="preserve">
IF(E21="","",E20-E21)</f>
        <v>0</v>
      </c>
      <c r="F23" s="210">
        <f t="shared" si="6"/>
        <v>107677</v>
      </c>
      <c r="G23" s="210">
        <f t="shared" si="6"/>
        <v>98330</v>
      </c>
      <c r="AT23" s="416"/>
    </row>
    <row r="24" spans="1:46" x14ac:dyDescent="0.3">
      <c r="A24" s="185" t="s">
        <v>119</v>
      </c>
      <c r="B24" s="241" t="s">
        <v>2</v>
      </c>
      <c r="C24" s="417" t="s">
        <v>130</v>
      </c>
      <c r="D24" s="398"/>
      <c r="E24" s="399" t="s">
        <v>131</v>
      </c>
      <c r="F24" s="400"/>
      <c r="G24" s="400"/>
      <c r="H24" s="400"/>
      <c r="I24" s="401" t="s">
        <v>132</v>
      </c>
      <c r="J24" s="402"/>
      <c r="K24" s="402"/>
      <c r="L24" s="402"/>
      <c r="M24" s="402"/>
      <c r="N24" s="402"/>
      <c r="O24" s="402"/>
      <c r="P24" s="402"/>
      <c r="Q24" s="402"/>
      <c r="R24" s="402"/>
      <c r="S24" s="402"/>
      <c r="T24" s="402"/>
      <c r="U24" s="402"/>
      <c r="V24" s="402"/>
      <c r="W24" s="402"/>
      <c r="X24" s="402"/>
      <c r="Y24" s="402"/>
      <c r="Z24" s="402"/>
      <c r="AA24" s="402"/>
      <c r="AB24" s="402"/>
      <c r="AC24" s="402"/>
      <c r="AD24" s="402"/>
      <c r="AE24" s="402"/>
      <c r="AF24" s="402"/>
      <c r="AG24" s="402"/>
      <c r="AH24" s="402"/>
      <c r="AI24" s="402"/>
      <c r="AJ24" s="402"/>
      <c r="AK24" s="402"/>
      <c r="AL24" s="402"/>
      <c r="AM24" s="402"/>
      <c r="AN24" s="402"/>
      <c r="AO24" s="402"/>
      <c r="AP24" s="402"/>
      <c r="AQ24" s="402"/>
      <c r="AR24" s="402"/>
      <c r="AS24" s="415"/>
      <c r="AT24" s="416"/>
    </row>
    <row r="25" spans="1:46" x14ac:dyDescent="0.3">
      <c r="A25" s="186" t="s">
        <v>55</v>
      </c>
      <c r="B25" s="204">
        <f xml:space="preserve">
SUM(C25:I25)</f>
        <v>2980</v>
      </c>
      <c r="C25" s="418">
        <f xml:space="preserve">
IF($A$4&lt;=12,SUMIFS('ON Data'!J:J,'ON Data'!$D:$D,$A$4,'ON Data'!$E:$E,10),SUMIFS('ON Data'!J:J,'ON Data'!$E:$E,10))</f>
        <v>1780</v>
      </c>
      <c r="D25" s="403"/>
      <c r="E25" s="404">
        <f xml:space="preserve">
IF($A$4&lt;=12,SUMIFS('ON Data'!O:O,'ON Data'!$D:$D,$A$4,'ON Data'!$E:$E,10),SUMIFS('ON Data'!O:O,'ON Data'!$E:$E,10))</f>
        <v>1200</v>
      </c>
      <c r="F25" s="405"/>
      <c r="G25" s="405"/>
      <c r="H25" s="405"/>
      <c r="I25" s="406">
        <f xml:space="preserve">
IF($A$4&lt;=12,SUMIFS('ON Data'!AW:AW,'ON Data'!$D:$D,$A$4,'ON Data'!$E:$E,10),SUMIFS('ON Data'!AW:AW,'ON Data'!$E:$E,10))</f>
        <v>0</v>
      </c>
      <c r="J25" s="402"/>
      <c r="K25" s="402"/>
      <c r="L25" s="402"/>
      <c r="M25" s="402"/>
      <c r="N25" s="402"/>
      <c r="O25" s="402"/>
      <c r="P25" s="402"/>
      <c r="Q25" s="402"/>
      <c r="R25" s="402"/>
      <c r="S25" s="402"/>
      <c r="T25" s="402"/>
      <c r="U25" s="402"/>
      <c r="V25" s="402"/>
      <c r="W25" s="402"/>
      <c r="X25" s="402"/>
      <c r="Y25" s="402"/>
      <c r="Z25" s="402"/>
      <c r="AA25" s="402"/>
      <c r="AB25" s="402"/>
      <c r="AC25" s="402"/>
      <c r="AD25" s="402"/>
      <c r="AE25" s="402"/>
      <c r="AF25" s="402"/>
      <c r="AG25" s="402"/>
      <c r="AH25" s="402"/>
      <c r="AI25" s="402"/>
      <c r="AJ25" s="402"/>
      <c r="AK25" s="402"/>
      <c r="AL25" s="402"/>
      <c r="AM25" s="402"/>
      <c r="AN25" s="402"/>
      <c r="AO25" s="402"/>
      <c r="AP25" s="402"/>
      <c r="AQ25" s="402"/>
      <c r="AR25" s="402"/>
      <c r="AS25" s="415"/>
      <c r="AT25" s="416"/>
    </row>
    <row r="26" spans="1:46" x14ac:dyDescent="0.3">
      <c r="A26" s="192" t="s">
        <v>129</v>
      </c>
      <c r="B26" s="216">
        <f xml:space="preserve">
SUM(C26:I26)</f>
        <v>3956.7430025445292</v>
      </c>
      <c r="C26" s="418">
        <f xml:space="preserve">
IF($A$4&lt;=12,SUMIFS('ON Data'!J:J,'ON Data'!$D:$D,$A$4,'ON Data'!$E:$E,11),SUMIFS('ON Data'!J:J,'ON Data'!$E:$E,11))</f>
        <v>2290.0763358778627</v>
      </c>
      <c r="D26" s="403"/>
      <c r="E26" s="407">
        <f xml:space="preserve">
IF($A$4&lt;=12,SUMIFS('ON Data'!O:O,'ON Data'!$D:$D,$A$4,'ON Data'!$E:$E,11),SUMIFS('ON Data'!O:O,'ON Data'!$E:$E,11))</f>
        <v>1666.6666666666667</v>
      </c>
      <c r="F26" s="408"/>
      <c r="G26" s="408"/>
      <c r="H26" s="408"/>
      <c r="I26" s="406">
        <f xml:space="preserve">
IF($A$4&lt;=12,SUMIFS('ON Data'!AW:AW,'ON Data'!$D:$D,$A$4,'ON Data'!$E:$E,11),SUMIFS('ON Data'!AW:AW,'ON Data'!$E:$E,11))</f>
        <v>0</v>
      </c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402"/>
      <c r="Z26" s="402"/>
      <c r="AA26" s="402"/>
      <c r="AB26" s="402"/>
      <c r="AC26" s="402"/>
      <c r="AD26" s="402"/>
      <c r="AE26" s="402"/>
      <c r="AF26" s="402"/>
      <c r="AG26" s="402"/>
      <c r="AH26" s="402"/>
      <c r="AI26" s="402"/>
      <c r="AJ26" s="402"/>
      <c r="AK26" s="402"/>
      <c r="AL26" s="402"/>
      <c r="AM26" s="402"/>
      <c r="AN26" s="402"/>
      <c r="AO26" s="402"/>
      <c r="AP26" s="402"/>
      <c r="AQ26" s="402"/>
      <c r="AR26" s="402"/>
      <c r="AS26" s="415"/>
      <c r="AT26" s="416"/>
    </row>
    <row r="27" spans="1:46" x14ac:dyDescent="0.3">
      <c r="A27" s="192" t="s">
        <v>57</v>
      </c>
      <c r="B27" s="242">
        <f xml:space="preserve">
IF(B26=0,0,B25/B26)</f>
        <v>0.75314469453376209</v>
      </c>
      <c r="C27" s="419">
        <f xml:space="preserve">
IF(C26=0,0,C25/C26)</f>
        <v>0.77726666666666666</v>
      </c>
      <c r="D27" s="403"/>
      <c r="E27" s="409">
        <f xml:space="preserve">
IF(E26=0,0,E25/E26)</f>
        <v>0.72</v>
      </c>
      <c r="F27" s="405"/>
      <c r="G27" s="405"/>
      <c r="H27" s="405"/>
      <c r="I27" s="410">
        <f xml:space="preserve">
IF(I26=0,0,I25/I26)</f>
        <v>0</v>
      </c>
      <c r="J27" s="402"/>
      <c r="K27" s="402"/>
      <c r="L27" s="402"/>
      <c r="M27" s="402"/>
      <c r="N27" s="402"/>
      <c r="O27" s="402"/>
      <c r="P27" s="402"/>
      <c r="Q27" s="402"/>
      <c r="R27" s="402"/>
      <c r="S27" s="402"/>
      <c r="T27" s="402"/>
      <c r="U27" s="402"/>
      <c r="V27" s="402"/>
      <c r="W27" s="402"/>
      <c r="X27" s="402"/>
      <c r="Y27" s="402"/>
      <c r="Z27" s="402"/>
      <c r="AA27" s="402"/>
      <c r="AB27" s="402"/>
      <c r="AC27" s="402"/>
      <c r="AD27" s="402"/>
      <c r="AE27" s="402"/>
      <c r="AF27" s="402"/>
      <c r="AG27" s="402"/>
      <c r="AH27" s="402"/>
      <c r="AI27" s="402"/>
      <c r="AJ27" s="402"/>
      <c r="AK27" s="402"/>
      <c r="AL27" s="402"/>
      <c r="AM27" s="402"/>
      <c r="AN27" s="402"/>
      <c r="AO27" s="402"/>
      <c r="AP27" s="402"/>
      <c r="AQ27" s="402"/>
      <c r="AR27" s="402"/>
      <c r="AS27" s="415"/>
      <c r="AT27" s="416"/>
    </row>
    <row r="28" spans="1:46" ht="15" thickBot="1" x14ac:dyDescent="0.35">
      <c r="A28" s="192" t="s">
        <v>128</v>
      </c>
      <c r="B28" s="216">
        <f xml:space="preserve">
SUM(C28:I28)</f>
        <v>976.74300254452942</v>
      </c>
      <c r="C28" s="420">
        <f xml:space="preserve">
C26-C25</f>
        <v>510.07633587786268</v>
      </c>
      <c r="D28" s="411"/>
      <c r="E28" s="412">
        <f xml:space="preserve">
E26-E25</f>
        <v>466.66666666666674</v>
      </c>
      <c r="F28" s="413"/>
      <c r="G28" s="413"/>
      <c r="H28" s="413"/>
      <c r="I28" s="414">
        <f xml:space="preserve">
I26-I25</f>
        <v>0</v>
      </c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15"/>
      <c r="AT28" s="416"/>
    </row>
    <row r="29" spans="1:46" x14ac:dyDescent="0.3">
      <c r="A29" s="193"/>
      <c r="B29" s="193"/>
      <c r="C29" s="194"/>
      <c r="D29" s="194"/>
      <c r="E29" s="194"/>
      <c r="F29" s="194"/>
      <c r="G29" s="193"/>
    </row>
    <row r="30" spans="1:46" x14ac:dyDescent="0.3">
      <c r="A30" s="79" t="s">
        <v>90</v>
      </c>
      <c r="B30" s="96"/>
      <c r="C30" s="96"/>
      <c r="D30" s="96"/>
      <c r="E30" s="96"/>
      <c r="F30" s="96"/>
      <c r="G30" s="96"/>
    </row>
    <row r="31" spans="1:46" x14ac:dyDescent="0.3">
      <c r="A31" s="80" t="s">
        <v>126</v>
      </c>
      <c r="B31" s="96"/>
      <c r="C31" s="96"/>
      <c r="D31" s="96"/>
      <c r="E31" s="96"/>
      <c r="F31" s="96"/>
      <c r="G31" s="96"/>
    </row>
    <row r="32" spans="1:46" ht="14.4" customHeight="1" x14ac:dyDescent="0.3">
      <c r="A32" s="238" t="s">
        <v>123</v>
      </c>
      <c r="B32" s="239"/>
      <c r="C32" s="239"/>
      <c r="D32" s="239"/>
      <c r="E32" s="239"/>
      <c r="F32" s="239"/>
      <c r="G32" s="239"/>
    </row>
    <row r="33" spans="1:1" x14ac:dyDescent="0.3">
      <c r="A33" s="240" t="s">
        <v>153</v>
      </c>
    </row>
    <row r="34" spans="1:1" x14ac:dyDescent="0.3">
      <c r="A34" s="240" t="s">
        <v>154</v>
      </c>
    </row>
    <row r="35" spans="1:1" x14ac:dyDescent="0.3">
      <c r="A35" s="240" t="s">
        <v>155</v>
      </c>
    </row>
    <row r="36" spans="1:1" x14ac:dyDescent="0.3">
      <c r="A36" s="240" t="s">
        <v>133</v>
      </c>
    </row>
  </sheetData>
  <mergeCells count="12">
    <mergeCell ref="B3:B4"/>
    <mergeCell ref="A1:I1"/>
    <mergeCell ref="C27:D27"/>
    <mergeCell ref="C28:D28"/>
    <mergeCell ref="E27:H27"/>
    <mergeCell ref="E28:H28"/>
    <mergeCell ref="C24:D24"/>
    <mergeCell ref="C25:D25"/>
    <mergeCell ref="C26:D26"/>
    <mergeCell ref="E24:H24"/>
    <mergeCell ref="E25:H25"/>
    <mergeCell ref="E26:H26"/>
  </mergeCells>
  <conditionalFormatting sqref="C27">
    <cfRule type="cellIs" dxfId="7" priority="8" operator="greaterThan">
      <formula>1</formula>
    </cfRule>
  </conditionalFormatting>
  <conditionalFormatting sqref="C28">
    <cfRule type="cellIs" dxfId="6" priority="7" operator="lessThan">
      <formula>0</formula>
    </cfRule>
  </conditionalFormatting>
  <conditionalFormatting sqref="B22:G22">
    <cfRule type="cellIs" dxfId="5" priority="6" operator="greaterThan">
      <formula>1</formula>
    </cfRule>
  </conditionalFormatting>
  <conditionalFormatting sqref="B23:G23">
    <cfRule type="cellIs" dxfId="4" priority="5" operator="greaterThan">
      <formula>0</formula>
    </cfRule>
  </conditionalFormatting>
  <conditionalFormatting sqref="I27">
    <cfRule type="cellIs" dxfId="3" priority="4" operator="greaterThan">
      <formula>1</formula>
    </cfRule>
  </conditionalFormatting>
  <conditionalFormatting sqref="I28">
    <cfRule type="cellIs" dxfId="2" priority="3" operator="lessThan">
      <formula>0</formula>
    </cfRule>
  </conditionalFormatting>
  <conditionalFormatting sqref="E28">
    <cfRule type="cellIs" dxfId="1" priority="1" operator="lessThan">
      <formula>0</formula>
    </cfRule>
  </conditionalFormatting>
  <conditionalFormatting sqref="E27">
    <cfRule type="cellIs" dxfId="0" priority="2" operator="greater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W25"/>
  <sheetViews>
    <sheetView showGridLines="0" showRowColHeaders="0" workbookViewId="0"/>
  </sheetViews>
  <sheetFormatPr defaultRowHeight="14.4" x14ac:dyDescent="0.3"/>
  <cols>
    <col min="1" max="16384" width="8.88671875" style="170"/>
  </cols>
  <sheetData>
    <row r="1" spans="1:49" x14ac:dyDescent="0.3">
      <c r="A1" s="170" t="s">
        <v>324</v>
      </c>
    </row>
    <row r="2" spans="1:49" x14ac:dyDescent="0.3">
      <c r="A2" s="174" t="s">
        <v>177</v>
      </c>
    </row>
    <row r="3" spans="1:49" x14ac:dyDescent="0.3">
      <c r="A3" s="170" t="s">
        <v>95</v>
      </c>
      <c r="B3" s="197">
        <v>2016</v>
      </c>
      <c r="D3" s="171">
        <f>MAX(D5:D1048576)</f>
        <v>4</v>
      </c>
      <c r="F3" s="171">
        <f>SUMIF($E5:$E1048576,"&lt;10",F5:F1048576)</f>
        <v>674983</v>
      </c>
      <c r="G3" s="171">
        <f t="shared" ref="G3:AW3" si="0">SUMIF($E5:$E1048576,"&lt;10",G5:G1048576)</f>
        <v>20080</v>
      </c>
      <c r="H3" s="171">
        <f t="shared" si="0"/>
        <v>0</v>
      </c>
      <c r="I3" s="171">
        <f t="shared" si="0"/>
        <v>0</v>
      </c>
      <c r="J3" s="171">
        <f t="shared" si="0"/>
        <v>0</v>
      </c>
      <c r="K3" s="171">
        <f t="shared" si="0"/>
        <v>445370</v>
      </c>
      <c r="L3" s="171">
        <f t="shared" si="0"/>
        <v>0</v>
      </c>
      <c r="M3" s="171">
        <f t="shared" si="0"/>
        <v>0</v>
      </c>
      <c r="N3" s="171">
        <f t="shared" si="0"/>
        <v>0</v>
      </c>
      <c r="O3" s="171">
        <f t="shared" si="0"/>
        <v>0</v>
      </c>
      <c r="P3" s="171">
        <f t="shared" si="0"/>
        <v>0</v>
      </c>
      <c r="Q3" s="171">
        <f t="shared" si="0"/>
        <v>0</v>
      </c>
      <c r="R3" s="171">
        <f t="shared" si="0"/>
        <v>0</v>
      </c>
      <c r="S3" s="171">
        <f t="shared" si="0"/>
        <v>0</v>
      </c>
      <c r="T3" s="171">
        <f t="shared" si="0"/>
        <v>0</v>
      </c>
      <c r="U3" s="171">
        <f t="shared" si="0"/>
        <v>0</v>
      </c>
      <c r="V3" s="171">
        <f t="shared" si="0"/>
        <v>108321</v>
      </c>
      <c r="W3" s="171">
        <f t="shared" si="0"/>
        <v>0</v>
      </c>
      <c r="X3" s="171">
        <f t="shared" si="0"/>
        <v>0</v>
      </c>
      <c r="Y3" s="171">
        <f t="shared" si="0"/>
        <v>0</v>
      </c>
      <c r="Z3" s="171">
        <f t="shared" si="0"/>
        <v>0</v>
      </c>
      <c r="AA3" s="171">
        <f t="shared" si="0"/>
        <v>0</v>
      </c>
      <c r="AB3" s="171">
        <f t="shared" si="0"/>
        <v>0</v>
      </c>
      <c r="AC3" s="171">
        <f t="shared" si="0"/>
        <v>0</v>
      </c>
      <c r="AD3" s="171">
        <f t="shared" si="0"/>
        <v>0</v>
      </c>
      <c r="AE3" s="171">
        <f t="shared" si="0"/>
        <v>0</v>
      </c>
      <c r="AF3" s="171">
        <f t="shared" si="0"/>
        <v>0</v>
      </c>
      <c r="AG3" s="171">
        <f t="shared" si="0"/>
        <v>0</v>
      </c>
      <c r="AH3" s="171">
        <f t="shared" si="0"/>
        <v>0</v>
      </c>
      <c r="AI3" s="171">
        <f t="shared" si="0"/>
        <v>0</v>
      </c>
      <c r="AJ3" s="171">
        <f t="shared" si="0"/>
        <v>0</v>
      </c>
      <c r="AK3" s="171">
        <f t="shared" si="0"/>
        <v>0</v>
      </c>
      <c r="AL3" s="171">
        <f t="shared" si="0"/>
        <v>98926</v>
      </c>
      <c r="AM3" s="171">
        <f t="shared" si="0"/>
        <v>0</v>
      </c>
      <c r="AN3" s="171">
        <f t="shared" si="0"/>
        <v>0</v>
      </c>
      <c r="AO3" s="171">
        <f t="shared" si="0"/>
        <v>0</v>
      </c>
      <c r="AP3" s="171">
        <f t="shared" si="0"/>
        <v>0</v>
      </c>
      <c r="AQ3" s="171">
        <f t="shared" si="0"/>
        <v>0</v>
      </c>
      <c r="AR3" s="171">
        <f t="shared" si="0"/>
        <v>0</v>
      </c>
      <c r="AS3" s="171">
        <f t="shared" si="0"/>
        <v>0</v>
      </c>
      <c r="AT3" s="171">
        <f t="shared" si="0"/>
        <v>0</v>
      </c>
      <c r="AU3" s="171">
        <f t="shared" si="0"/>
        <v>2286</v>
      </c>
      <c r="AV3" s="171">
        <f t="shared" si="0"/>
        <v>0</v>
      </c>
      <c r="AW3" s="171">
        <f t="shared" si="0"/>
        <v>0</v>
      </c>
    </row>
    <row r="4" spans="1:49" x14ac:dyDescent="0.3">
      <c r="A4" s="170" t="s">
        <v>96</v>
      </c>
      <c r="B4" s="197">
        <v>1</v>
      </c>
      <c r="C4" s="172" t="s">
        <v>4</v>
      </c>
      <c r="D4" s="173" t="s">
        <v>51</v>
      </c>
      <c r="E4" s="173" t="s">
        <v>94</v>
      </c>
      <c r="F4" s="173" t="s">
        <v>2</v>
      </c>
      <c r="G4" s="173">
        <v>0</v>
      </c>
      <c r="H4" s="173">
        <v>25</v>
      </c>
      <c r="I4" s="173">
        <v>99</v>
      </c>
      <c r="J4" s="173">
        <v>100</v>
      </c>
      <c r="K4" s="173">
        <v>101</v>
      </c>
      <c r="L4" s="173">
        <v>102</v>
      </c>
      <c r="M4" s="173">
        <v>103</v>
      </c>
      <c r="N4" s="173">
        <v>203</v>
      </c>
      <c r="O4" s="173">
        <v>302</v>
      </c>
      <c r="P4" s="173">
        <v>303</v>
      </c>
      <c r="Q4" s="173">
        <v>304</v>
      </c>
      <c r="R4" s="173">
        <v>305</v>
      </c>
      <c r="S4" s="173">
        <v>306</v>
      </c>
      <c r="T4" s="173">
        <v>407</v>
      </c>
      <c r="U4" s="173">
        <v>408</v>
      </c>
      <c r="V4" s="173">
        <v>409</v>
      </c>
      <c r="W4" s="173">
        <v>410</v>
      </c>
      <c r="X4" s="173">
        <v>415</v>
      </c>
      <c r="Y4" s="173">
        <v>416</v>
      </c>
      <c r="Z4" s="173">
        <v>418</v>
      </c>
      <c r="AA4" s="173">
        <v>419</v>
      </c>
      <c r="AB4" s="173">
        <v>420</v>
      </c>
      <c r="AC4" s="173">
        <v>421</v>
      </c>
      <c r="AD4" s="173">
        <v>520</v>
      </c>
      <c r="AE4" s="173">
        <v>521</v>
      </c>
      <c r="AF4" s="173">
        <v>522</v>
      </c>
      <c r="AG4" s="173">
        <v>523</v>
      </c>
      <c r="AH4" s="173">
        <v>524</v>
      </c>
      <c r="AI4" s="173">
        <v>525</v>
      </c>
      <c r="AJ4" s="173">
        <v>526</v>
      </c>
      <c r="AK4" s="173">
        <v>527</v>
      </c>
      <c r="AL4" s="173">
        <v>528</v>
      </c>
      <c r="AM4" s="173">
        <v>629</v>
      </c>
      <c r="AN4" s="173">
        <v>630</v>
      </c>
      <c r="AO4" s="173">
        <v>636</v>
      </c>
      <c r="AP4" s="173">
        <v>637</v>
      </c>
      <c r="AQ4" s="173">
        <v>640</v>
      </c>
      <c r="AR4" s="173">
        <v>642</v>
      </c>
      <c r="AS4" s="173">
        <v>743</v>
      </c>
      <c r="AT4" s="173">
        <v>745</v>
      </c>
      <c r="AU4" s="173">
        <v>746</v>
      </c>
      <c r="AV4" s="173">
        <v>747</v>
      </c>
      <c r="AW4" s="173">
        <v>930</v>
      </c>
    </row>
    <row r="5" spans="1:49" x14ac:dyDescent="0.3">
      <c r="A5" s="170" t="s">
        <v>97</v>
      </c>
      <c r="B5" s="197">
        <v>2</v>
      </c>
      <c r="C5" s="170">
        <v>54</v>
      </c>
      <c r="D5" s="170">
        <v>1</v>
      </c>
      <c r="E5" s="170">
        <v>1</v>
      </c>
      <c r="F5" s="170">
        <v>4</v>
      </c>
      <c r="G5" s="170">
        <v>0</v>
      </c>
      <c r="H5" s="170">
        <v>0</v>
      </c>
      <c r="I5" s="170">
        <v>0</v>
      </c>
      <c r="J5" s="170">
        <v>0</v>
      </c>
      <c r="K5" s="170">
        <v>2</v>
      </c>
      <c r="L5" s="170">
        <v>0</v>
      </c>
      <c r="M5" s="170">
        <v>0</v>
      </c>
      <c r="N5" s="170">
        <v>0</v>
      </c>
      <c r="O5" s="170">
        <v>0</v>
      </c>
      <c r="P5" s="170">
        <v>0</v>
      </c>
      <c r="Q5" s="170">
        <v>0</v>
      </c>
      <c r="R5" s="170">
        <v>0</v>
      </c>
      <c r="S5" s="170">
        <v>0</v>
      </c>
      <c r="T5" s="170">
        <v>0</v>
      </c>
      <c r="U5" s="170">
        <v>0</v>
      </c>
      <c r="V5" s="170">
        <v>1</v>
      </c>
      <c r="W5" s="170">
        <v>0</v>
      </c>
      <c r="X5" s="170">
        <v>0</v>
      </c>
      <c r="Y5" s="170">
        <v>0</v>
      </c>
      <c r="Z5" s="170">
        <v>0</v>
      </c>
      <c r="AA5" s="170">
        <v>0</v>
      </c>
      <c r="AB5" s="170">
        <v>0</v>
      </c>
      <c r="AC5" s="170">
        <v>0</v>
      </c>
      <c r="AD5" s="170">
        <v>0</v>
      </c>
      <c r="AE5" s="170">
        <v>0</v>
      </c>
      <c r="AF5" s="170">
        <v>0</v>
      </c>
      <c r="AG5" s="170">
        <v>0</v>
      </c>
      <c r="AH5" s="170">
        <v>0</v>
      </c>
      <c r="AI5" s="170">
        <v>0</v>
      </c>
      <c r="AJ5" s="170">
        <v>0</v>
      </c>
      <c r="AK5" s="170">
        <v>0</v>
      </c>
      <c r="AL5" s="170">
        <v>1</v>
      </c>
      <c r="AM5" s="170">
        <v>0</v>
      </c>
      <c r="AN5" s="170">
        <v>0</v>
      </c>
      <c r="AO5" s="170">
        <v>0</v>
      </c>
      <c r="AP5" s="170">
        <v>0</v>
      </c>
      <c r="AQ5" s="170">
        <v>0</v>
      </c>
      <c r="AR5" s="170">
        <v>0</v>
      </c>
      <c r="AS5" s="170">
        <v>0</v>
      </c>
      <c r="AT5" s="170">
        <v>0</v>
      </c>
      <c r="AU5" s="170">
        <v>0</v>
      </c>
      <c r="AV5" s="170">
        <v>0</v>
      </c>
      <c r="AW5" s="170">
        <v>0</v>
      </c>
    </row>
    <row r="6" spans="1:49" x14ac:dyDescent="0.3">
      <c r="A6" s="170" t="s">
        <v>98</v>
      </c>
      <c r="B6" s="197">
        <v>3</v>
      </c>
      <c r="C6" s="170">
        <v>54</v>
      </c>
      <c r="D6" s="170">
        <v>1</v>
      </c>
      <c r="E6" s="170">
        <v>2</v>
      </c>
      <c r="F6" s="170">
        <v>632</v>
      </c>
      <c r="G6" s="170">
        <v>0</v>
      </c>
      <c r="H6" s="170">
        <v>0</v>
      </c>
      <c r="I6" s="170">
        <v>0</v>
      </c>
      <c r="J6" s="170">
        <v>0</v>
      </c>
      <c r="K6" s="170">
        <v>336</v>
      </c>
      <c r="L6" s="170">
        <v>0</v>
      </c>
      <c r="M6" s="170">
        <v>0</v>
      </c>
      <c r="N6" s="170">
        <v>0</v>
      </c>
      <c r="O6" s="170">
        <v>0</v>
      </c>
      <c r="P6" s="170">
        <v>0</v>
      </c>
      <c r="Q6" s="170">
        <v>0</v>
      </c>
      <c r="R6" s="170">
        <v>0</v>
      </c>
      <c r="S6" s="170">
        <v>0</v>
      </c>
      <c r="T6" s="170">
        <v>0</v>
      </c>
      <c r="U6" s="170">
        <v>0</v>
      </c>
      <c r="V6" s="170">
        <v>160</v>
      </c>
      <c r="W6" s="170">
        <v>0</v>
      </c>
      <c r="X6" s="170">
        <v>0</v>
      </c>
      <c r="Y6" s="170">
        <v>0</v>
      </c>
      <c r="Z6" s="170">
        <v>0</v>
      </c>
      <c r="AA6" s="170">
        <v>0</v>
      </c>
      <c r="AB6" s="170">
        <v>0</v>
      </c>
      <c r="AC6" s="170">
        <v>0</v>
      </c>
      <c r="AD6" s="170">
        <v>0</v>
      </c>
      <c r="AE6" s="170">
        <v>0</v>
      </c>
      <c r="AF6" s="170">
        <v>0</v>
      </c>
      <c r="AG6" s="170">
        <v>0</v>
      </c>
      <c r="AH6" s="170">
        <v>0</v>
      </c>
      <c r="AI6" s="170">
        <v>0</v>
      </c>
      <c r="AJ6" s="170">
        <v>0</v>
      </c>
      <c r="AK6" s="170">
        <v>0</v>
      </c>
      <c r="AL6" s="170">
        <v>136</v>
      </c>
      <c r="AM6" s="170">
        <v>0</v>
      </c>
      <c r="AN6" s="170">
        <v>0</v>
      </c>
      <c r="AO6" s="170">
        <v>0</v>
      </c>
      <c r="AP6" s="170">
        <v>0</v>
      </c>
      <c r="AQ6" s="170">
        <v>0</v>
      </c>
      <c r="AR6" s="170">
        <v>0</v>
      </c>
      <c r="AS6" s="170">
        <v>0</v>
      </c>
      <c r="AT6" s="170">
        <v>0</v>
      </c>
      <c r="AU6" s="170">
        <v>0</v>
      </c>
      <c r="AV6" s="170">
        <v>0</v>
      </c>
      <c r="AW6" s="170">
        <v>0</v>
      </c>
    </row>
    <row r="7" spans="1:49" x14ac:dyDescent="0.3">
      <c r="A7" s="170" t="s">
        <v>99</v>
      </c>
      <c r="B7" s="197">
        <v>4</v>
      </c>
      <c r="C7" s="170">
        <v>54</v>
      </c>
      <c r="D7" s="170">
        <v>1</v>
      </c>
      <c r="E7" s="170">
        <v>5</v>
      </c>
      <c r="F7" s="170">
        <v>20</v>
      </c>
      <c r="G7" s="170">
        <v>20</v>
      </c>
      <c r="H7" s="170">
        <v>0</v>
      </c>
      <c r="I7" s="170">
        <v>0</v>
      </c>
      <c r="J7" s="170">
        <v>0</v>
      </c>
      <c r="K7" s="170">
        <v>0</v>
      </c>
      <c r="L7" s="170">
        <v>0</v>
      </c>
      <c r="M7" s="170">
        <v>0</v>
      </c>
      <c r="N7" s="170">
        <v>0</v>
      </c>
      <c r="O7" s="170">
        <v>0</v>
      </c>
      <c r="P7" s="170">
        <v>0</v>
      </c>
      <c r="Q7" s="170">
        <v>0</v>
      </c>
      <c r="R7" s="170">
        <v>0</v>
      </c>
      <c r="S7" s="170">
        <v>0</v>
      </c>
      <c r="T7" s="170">
        <v>0</v>
      </c>
      <c r="U7" s="170">
        <v>0</v>
      </c>
      <c r="V7" s="170">
        <v>0</v>
      </c>
      <c r="W7" s="170">
        <v>0</v>
      </c>
      <c r="X7" s="170">
        <v>0</v>
      </c>
      <c r="Y7" s="170">
        <v>0</v>
      </c>
      <c r="Z7" s="170">
        <v>0</v>
      </c>
      <c r="AA7" s="170">
        <v>0</v>
      </c>
      <c r="AB7" s="170">
        <v>0</v>
      </c>
      <c r="AC7" s="170">
        <v>0</v>
      </c>
      <c r="AD7" s="170">
        <v>0</v>
      </c>
      <c r="AE7" s="170">
        <v>0</v>
      </c>
      <c r="AF7" s="170">
        <v>0</v>
      </c>
      <c r="AG7" s="170">
        <v>0</v>
      </c>
      <c r="AH7" s="170">
        <v>0</v>
      </c>
      <c r="AI7" s="170">
        <v>0</v>
      </c>
      <c r="AJ7" s="170">
        <v>0</v>
      </c>
      <c r="AK7" s="170">
        <v>0</v>
      </c>
      <c r="AL7" s="170">
        <v>0</v>
      </c>
      <c r="AM7" s="170">
        <v>0</v>
      </c>
      <c r="AN7" s="170">
        <v>0</v>
      </c>
      <c r="AO7" s="170">
        <v>0</v>
      </c>
      <c r="AP7" s="170">
        <v>0</v>
      </c>
      <c r="AQ7" s="170">
        <v>0</v>
      </c>
      <c r="AR7" s="170">
        <v>0</v>
      </c>
      <c r="AS7" s="170">
        <v>0</v>
      </c>
      <c r="AT7" s="170">
        <v>0</v>
      </c>
      <c r="AU7" s="170">
        <v>0</v>
      </c>
      <c r="AV7" s="170">
        <v>0</v>
      </c>
      <c r="AW7" s="170">
        <v>0</v>
      </c>
    </row>
    <row r="8" spans="1:49" x14ac:dyDescent="0.3">
      <c r="A8" s="170" t="s">
        <v>100</v>
      </c>
      <c r="B8" s="197">
        <v>5</v>
      </c>
      <c r="C8" s="170">
        <v>54</v>
      </c>
      <c r="D8" s="170">
        <v>1</v>
      </c>
      <c r="E8" s="170">
        <v>6</v>
      </c>
      <c r="F8" s="170">
        <v>167691</v>
      </c>
      <c r="G8" s="170">
        <v>5000</v>
      </c>
      <c r="H8" s="170">
        <v>0</v>
      </c>
      <c r="I8" s="170">
        <v>0</v>
      </c>
      <c r="J8" s="170">
        <v>0</v>
      </c>
      <c r="K8" s="170">
        <v>110710</v>
      </c>
      <c r="L8" s="170">
        <v>0</v>
      </c>
      <c r="M8" s="170">
        <v>0</v>
      </c>
      <c r="N8" s="170">
        <v>0</v>
      </c>
      <c r="O8" s="170">
        <v>0</v>
      </c>
      <c r="P8" s="170">
        <v>0</v>
      </c>
      <c r="Q8" s="170">
        <v>0</v>
      </c>
      <c r="R8" s="170">
        <v>0</v>
      </c>
      <c r="S8" s="170">
        <v>0</v>
      </c>
      <c r="T8" s="170">
        <v>0</v>
      </c>
      <c r="U8" s="170">
        <v>0</v>
      </c>
      <c r="V8" s="170">
        <v>26816</v>
      </c>
      <c r="W8" s="170">
        <v>0</v>
      </c>
      <c r="X8" s="170">
        <v>0</v>
      </c>
      <c r="Y8" s="170">
        <v>0</v>
      </c>
      <c r="Z8" s="170">
        <v>0</v>
      </c>
      <c r="AA8" s="170">
        <v>0</v>
      </c>
      <c r="AB8" s="170">
        <v>0</v>
      </c>
      <c r="AC8" s="170">
        <v>0</v>
      </c>
      <c r="AD8" s="170">
        <v>0</v>
      </c>
      <c r="AE8" s="170">
        <v>0</v>
      </c>
      <c r="AF8" s="170">
        <v>0</v>
      </c>
      <c r="AG8" s="170">
        <v>0</v>
      </c>
      <c r="AH8" s="170">
        <v>0</v>
      </c>
      <c r="AI8" s="170">
        <v>0</v>
      </c>
      <c r="AJ8" s="170">
        <v>0</v>
      </c>
      <c r="AK8" s="170">
        <v>0</v>
      </c>
      <c r="AL8" s="170">
        <v>24651</v>
      </c>
      <c r="AM8" s="170">
        <v>0</v>
      </c>
      <c r="AN8" s="170">
        <v>0</v>
      </c>
      <c r="AO8" s="170">
        <v>0</v>
      </c>
      <c r="AP8" s="170">
        <v>0</v>
      </c>
      <c r="AQ8" s="170">
        <v>0</v>
      </c>
      <c r="AR8" s="170">
        <v>0</v>
      </c>
      <c r="AS8" s="170">
        <v>0</v>
      </c>
      <c r="AT8" s="170">
        <v>0</v>
      </c>
      <c r="AU8" s="170">
        <v>514</v>
      </c>
      <c r="AV8" s="170">
        <v>0</v>
      </c>
      <c r="AW8" s="170">
        <v>0</v>
      </c>
    </row>
    <row r="9" spans="1:49" x14ac:dyDescent="0.3">
      <c r="A9" s="170" t="s">
        <v>101</v>
      </c>
      <c r="B9" s="197">
        <v>6</v>
      </c>
      <c r="C9" s="170">
        <v>54</v>
      </c>
      <c r="D9" s="170">
        <v>1</v>
      </c>
      <c r="E9" s="170">
        <v>11</v>
      </c>
      <c r="F9" s="170">
        <v>989.1857506361323</v>
      </c>
      <c r="G9" s="170">
        <v>0</v>
      </c>
      <c r="H9" s="170">
        <v>0</v>
      </c>
      <c r="I9" s="170">
        <v>0</v>
      </c>
      <c r="J9" s="170">
        <v>572.51908396946567</v>
      </c>
      <c r="K9" s="170">
        <v>0</v>
      </c>
      <c r="L9" s="170">
        <v>0</v>
      </c>
      <c r="M9" s="170">
        <v>0</v>
      </c>
      <c r="N9" s="170">
        <v>0</v>
      </c>
      <c r="O9" s="170">
        <v>416.66666666666669</v>
      </c>
      <c r="P9" s="170">
        <v>0</v>
      </c>
      <c r="Q9" s="170">
        <v>0</v>
      </c>
      <c r="R9" s="170">
        <v>0</v>
      </c>
      <c r="S9" s="170">
        <v>0</v>
      </c>
      <c r="T9" s="170">
        <v>0</v>
      </c>
      <c r="U9" s="170">
        <v>0</v>
      </c>
      <c r="V9" s="170">
        <v>0</v>
      </c>
      <c r="W9" s="170">
        <v>0</v>
      </c>
      <c r="X9" s="170">
        <v>0</v>
      </c>
      <c r="Y9" s="170">
        <v>0</v>
      </c>
      <c r="Z9" s="170">
        <v>0</v>
      </c>
      <c r="AA9" s="170">
        <v>0</v>
      </c>
      <c r="AB9" s="170">
        <v>0</v>
      </c>
      <c r="AC9" s="170">
        <v>0</v>
      </c>
      <c r="AD9" s="170">
        <v>0</v>
      </c>
      <c r="AE9" s="170">
        <v>0</v>
      </c>
      <c r="AF9" s="170">
        <v>0</v>
      </c>
      <c r="AG9" s="170">
        <v>0</v>
      </c>
      <c r="AH9" s="170">
        <v>0</v>
      </c>
      <c r="AI9" s="170">
        <v>0</v>
      </c>
      <c r="AJ9" s="170">
        <v>0</v>
      </c>
      <c r="AK9" s="170">
        <v>0</v>
      </c>
      <c r="AL9" s="170">
        <v>0</v>
      </c>
      <c r="AM9" s="170">
        <v>0</v>
      </c>
      <c r="AN9" s="170">
        <v>0</v>
      </c>
      <c r="AO9" s="170">
        <v>0</v>
      </c>
      <c r="AP9" s="170">
        <v>0</v>
      </c>
      <c r="AQ9" s="170">
        <v>0</v>
      </c>
      <c r="AR9" s="170">
        <v>0</v>
      </c>
      <c r="AS9" s="170">
        <v>0</v>
      </c>
      <c r="AT9" s="170">
        <v>0</v>
      </c>
      <c r="AU9" s="170">
        <v>0</v>
      </c>
      <c r="AV9" s="170">
        <v>0</v>
      </c>
      <c r="AW9" s="170">
        <v>0</v>
      </c>
    </row>
    <row r="10" spans="1:49" x14ac:dyDescent="0.3">
      <c r="A10" s="170" t="s">
        <v>102</v>
      </c>
      <c r="B10" s="197">
        <v>7</v>
      </c>
      <c r="C10" s="170">
        <v>54</v>
      </c>
      <c r="D10" s="170">
        <v>2</v>
      </c>
      <c r="E10" s="170">
        <v>1</v>
      </c>
      <c r="F10" s="170">
        <v>4</v>
      </c>
      <c r="G10" s="170">
        <v>0</v>
      </c>
      <c r="H10" s="170">
        <v>0</v>
      </c>
      <c r="I10" s="170">
        <v>0</v>
      </c>
      <c r="J10" s="170">
        <v>0</v>
      </c>
      <c r="K10" s="170">
        <v>2</v>
      </c>
      <c r="L10" s="170">
        <v>0</v>
      </c>
      <c r="M10" s="170">
        <v>0</v>
      </c>
      <c r="N10" s="170">
        <v>0</v>
      </c>
      <c r="O10" s="170">
        <v>0</v>
      </c>
      <c r="P10" s="170">
        <v>0</v>
      </c>
      <c r="Q10" s="170">
        <v>0</v>
      </c>
      <c r="R10" s="170">
        <v>0</v>
      </c>
      <c r="S10" s="170">
        <v>0</v>
      </c>
      <c r="T10" s="170">
        <v>0</v>
      </c>
      <c r="U10" s="170">
        <v>0</v>
      </c>
      <c r="V10" s="170">
        <v>1</v>
      </c>
      <c r="W10" s="170">
        <v>0</v>
      </c>
      <c r="X10" s="170">
        <v>0</v>
      </c>
      <c r="Y10" s="170">
        <v>0</v>
      </c>
      <c r="Z10" s="170">
        <v>0</v>
      </c>
      <c r="AA10" s="170">
        <v>0</v>
      </c>
      <c r="AB10" s="170">
        <v>0</v>
      </c>
      <c r="AC10" s="170">
        <v>0</v>
      </c>
      <c r="AD10" s="170">
        <v>0</v>
      </c>
      <c r="AE10" s="170">
        <v>0</v>
      </c>
      <c r="AF10" s="170">
        <v>0</v>
      </c>
      <c r="AG10" s="170">
        <v>0</v>
      </c>
      <c r="AH10" s="170">
        <v>0</v>
      </c>
      <c r="AI10" s="170">
        <v>0</v>
      </c>
      <c r="AJ10" s="170">
        <v>0</v>
      </c>
      <c r="AK10" s="170">
        <v>0</v>
      </c>
      <c r="AL10" s="170">
        <v>1</v>
      </c>
      <c r="AM10" s="170">
        <v>0</v>
      </c>
      <c r="AN10" s="170">
        <v>0</v>
      </c>
      <c r="AO10" s="170">
        <v>0</v>
      </c>
      <c r="AP10" s="170">
        <v>0</v>
      </c>
      <c r="AQ10" s="170">
        <v>0</v>
      </c>
      <c r="AR10" s="170">
        <v>0</v>
      </c>
      <c r="AS10" s="170">
        <v>0</v>
      </c>
      <c r="AT10" s="170">
        <v>0</v>
      </c>
      <c r="AU10" s="170">
        <v>0</v>
      </c>
      <c r="AV10" s="170">
        <v>0</v>
      </c>
      <c r="AW10" s="170">
        <v>0</v>
      </c>
    </row>
    <row r="11" spans="1:49" x14ac:dyDescent="0.3">
      <c r="A11" s="170" t="s">
        <v>103</v>
      </c>
      <c r="B11" s="197">
        <v>8</v>
      </c>
      <c r="C11" s="170">
        <v>54</v>
      </c>
      <c r="D11" s="170">
        <v>2</v>
      </c>
      <c r="E11" s="170">
        <v>2</v>
      </c>
      <c r="F11" s="170">
        <v>608</v>
      </c>
      <c r="G11" s="170">
        <v>0</v>
      </c>
      <c r="H11" s="170">
        <v>0</v>
      </c>
      <c r="I11" s="170">
        <v>0</v>
      </c>
      <c r="J11" s="170">
        <v>0</v>
      </c>
      <c r="K11" s="170">
        <v>320</v>
      </c>
      <c r="L11" s="170">
        <v>0</v>
      </c>
      <c r="M11" s="170">
        <v>0</v>
      </c>
      <c r="N11" s="170">
        <v>0</v>
      </c>
      <c r="O11" s="170">
        <v>0</v>
      </c>
      <c r="P11" s="170">
        <v>0</v>
      </c>
      <c r="Q11" s="170">
        <v>0</v>
      </c>
      <c r="R11" s="170">
        <v>0</v>
      </c>
      <c r="S11" s="170">
        <v>0</v>
      </c>
      <c r="T11" s="170">
        <v>0</v>
      </c>
      <c r="U11" s="170">
        <v>0</v>
      </c>
      <c r="V11" s="170">
        <v>160</v>
      </c>
      <c r="W11" s="170">
        <v>0</v>
      </c>
      <c r="X11" s="170">
        <v>0</v>
      </c>
      <c r="Y11" s="170">
        <v>0</v>
      </c>
      <c r="Z11" s="170">
        <v>0</v>
      </c>
      <c r="AA11" s="170">
        <v>0</v>
      </c>
      <c r="AB11" s="170">
        <v>0</v>
      </c>
      <c r="AC11" s="170">
        <v>0</v>
      </c>
      <c r="AD11" s="170">
        <v>0</v>
      </c>
      <c r="AE11" s="170">
        <v>0</v>
      </c>
      <c r="AF11" s="170">
        <v>0</v>
      </c>
      <c r="AG11" s="170">
        <v>0</v>
      </c>
      <c r="AH11" s="170">
        <v>0</v>
      </c>
      <c r="AI11" s="170">
        <v>0</v>
      </c>
      <c r="AJ11" s="170">
        <v>0</v>
      </c>
      <c r="AK11" s="170">
        <v>0</v>
      </c>
      <c r="AL11" s="170">
        <v>128</v>
      </c>
      <c r="AM11" s="170">
        <v>0</v>
      </c>
      <c r="AN11" s="170">
        <v>0</v>
      </c>
      <c r="AO11" s="170">
        <v>0</v>
      </c>
      <c r="AP11" s="170">
        <v>0</v>
      </c>
      <c r="AQ11" s="170">
        <v>0</v>
      </c>
      <c r="AR11" s="170">
        <v>0</v>
      </c>
      <c r="AS11" s="170">
        <v>0</v>
      </c>
      <c r="AT11" s="170">
        <v>0</v>
      </c>
      <c r="AU11" s="170">
        <v>0</v>
      </c>
      <c r="AV11" s="170">
        <v>0</v>
      </c>
      <c r="AW11" s="170">
        <v>0</v>
      </c>
    </row>
    <row r="12" spans="1:49" x14ac:dyDescent="0.3">
      <c r="A12" s="170" t="s">
        <v>104</v>
      </c>
      <c r="B12" s="197">
        <v>9</v>
      </c>
      <c r="C12" s="170">
        <v>54</v>
      </c>
      <c r="D12" s="170">
        <v>2</v>
      </c>
      <c r="E12" s="170">
        <v>5</v>
      </c>
      <c r="F12" s="170">
        <v>20</v>
      </c>
      <c r="G12" s="170">
        <v>20</v>
      </c>
      <c r="H12" s="170">
        <v>0</v>
      </c>
      <c r="I12" s="170">
        <v>0</v>
      </c>
      <c r="J12" s="170">
        <v>0</v>
      </c>
      <c r="K12" s="170">
        <v>0</v>
      </c>
      <c r="L12" s="170">
        <v>0</v>
      </c>
      <c r="M12" s="170">
        <v>0</v>
      </c>
      <c r="N12" s="170">
        <v>0</v>
      </c>
      <c r="O12" s="170">
        <v>0</v>
      </c>
      <c r="P12" s="170">
        <v>0</v>
      </c>
      <c r="Q12" s="170">
        <v>0</v>
      </c>
      <c r="R12" s="170">
        <v>0</v>
      </c>
      <c r="S12" s="170">
        <v>0</v>
      </c>
      <c r="T12" s="170">
        <v>0</v>
      </c>
      <c r="U12" s="170">
        <v>0</v>
      </c>
      <c r="V12" s="170">
        <v>0</v>
      </c>
      <c r="W12" s="170">
        <v>0</v>
      </c>
      <c r="X12" s="170">
        <v>0</v>
      </c>
      <c r="Y12" s="170">
        <v>0</v>
      </c>
      <c r="Z12" s="170">
        <v>0</v>
      </c>
      <c r="AA12" s="170">
        <v>0</v>
      </c>
      <c r="AB12" s="170">
        <v>0</v>
      </c>
      <c r="AC12" s="170">
        <v>0</v>
      </c>
      <c r="AD12" s="170">
        <v>0</v>
      </c>
      <c r="AE12" s="170">
        <v>0</v>
      </c>
      <c r="AF12" s="170">
        <v>0</v>
      </c>
      <c r="AG12" s="170">
        <v>0</v>
      </c>
      <c r="AH12" s="170">
        <v>0</v>
      </c>
      <c r="AI12" s="170">
        <v>0</v>
      </c>
      <c r="AJ12" s="170">
        <v>0</v>
      </c>
      <c r="AK12" s="170">
        <v>0</v>
      </c>
      <c r="AL12" s="170">
        <v>0</v>
      </c>
      <c r="AM12" s="170">
        <v>0</v>
      </c>
      <c r="AN12" s="170">
        <v>0</v>
      </c>
      <c r="AO12" s="170">
        <v>0</v>
      </c>
      <c r="AP12" s="170">
        <v>0</v>
      </c>
      <c r="AQ12" s="170">
        <v>0</v>
      </c>
      <c r="AR12" s="170">
        <v>0</v>
      </c>
      <c r="AS12" s="170">
        <v>0</v>
      </c>
      <c r="AT12" s="170">
        <v>0</v>
      </c>
      <c r="AU12" s="170">
        <v>0</v>
      </c>
      <c r="AV12" s="170">
        <v>0</v>
      </c>
      <c r="AW12" s="170">
        <v>0</v>
      </c>
    </row>
    <row r="13" spans="1:49" x14ac:dyDescent="0.3">
      <c r="A13" s="170" t="s">
        <v>105</v>
      </c>
      <c r="B13" s="197">
        <v>10</v>
      </c>
      <c r="C13" s="170">
        <v>54</v>
      </c>
      <c r="D13" s="170">
        <v>2</v>
      </c>
      <c r="E13" s="170">
        <v>6</v>
      </c>
      <c r="F13" s="170">
        <v>168030</v>
      </c>
      <c r="G13" s="170">
        <v>5000</v>
      </c>
      <c r="H13" s="170">
        <v>0</v>
      </c>
      <c r="I13" s="170">
        <v>0</v>
      </c>
      <c r="J13" s="170">
        <v>0</v>
      </c>
      <c r="K13" s="170">
        <v>110882</v>
      </c>
      <c r="L13" s="170">
        <v>0</v>
      </c>
      <c r="M13" s="170">
        <v>0</v>
      </c>
      <c r="N13" s="170">
        <v>0</v>
      </c>
      <c r="O13" s="170">
        <v>0</v>
      </c>
      <c r="P13" s="170">
        <v>0</v>
      </c>
      <c r="Q13" s="170">
        <v>0</v>
      </c>
      <c r="R13" s="170">
        <v>0</v>
      </c>
      <c r="S13" s="170">
        <v>0</v>
      </c>
      <c r="T13" s="170">
        <v>0</v>
      </c>
      <c r="U13" s="170">
        <v>0</v>
      </c>
      <c r="V13" s="170">
        <v>26816</v>
      </c>
      <c r="W13" s="170">
        <v>0</v>
      </c>
      <c r="X13" s="170">
        <v>0</v>
      </c>
      <c r="Y13" s="170">
        <v>0</v>
      </c>
      <c r="Z13" s="170">
        <v>0</v>
      </c>
      <c r="AA13" s="170">
        <v>0</v>
      </c>
      <c r="AB13" s="170">
        <v>0</v>
      </c>
      <c r="AC13" s="170">
        <v>0</v>
      </c>
      <c r="AD13" s="170">
        <v>0</v>
      </c>
      <c r="AE13" s="170">
        <v>0</v>
      </c>
      <c r="AF13" s="170">
        <v>0</v>
      </c>
      <c r="AG13" s="170">
        <v>0</v>
      </c>
      <c r="AH13" s="170">
        <v>0</v>
      </c>
      <c r="AI13" s="170">
        <v>0</v>
      </c>
      <c r="AJ13" s="170">
        <v>0</v>
      </c>
      <c r="AK13" s="170">
        <v>0</v>
      </c>
      <c r="AL13" s="170">
        <v>24732</v>
      </c>
      <c r="AM13" s="170">
        <v>0</v>
      </c>
      <c r="AN13" s="170">
        <v>0</v>
      </c>
      <c r="AO13" s="170">
        <v>0</v>
      </c>
      <c r="AP13" s="170">
        <v>0</v>
      </c>
      <c r="AQ13" s="170">
        <v>0</v>
      </c>
      <c r="AR13" s="170">
        <v>0</v>
      </c>
      <c r="AS13" s="170">
        <v>0</v>
      </c>
      <c r="AT13" s="170">
        <v>0</v>
      </c>
      <c r="AU13" s="170">
        <v>600</v>
      </c>
      <c r="AV13" s="170">
        <v>0</v>
      </c>
      <c r="AW13" s="170">
        <v>0</v>
      </c>
    </row>
    <row r="14" spans="1:49" x14ac:dyDescent="0.3">
      <c r="A14" s="170" t="s">
        <v>106</v>
      </c>
      <c r="B14" s="197">
        <v>11</v>
      </c>
      <c r="C14" s="170">
        <v>54</v>
      </c>
      <c r="D14" s="170">
        <v>2</v>
      </c>
      <c r="E14" s="170">
        <v>11</v>
      </c>
      <c r="F14" s="170">
        <v>989.1857506361323</v>
      </c>
      <c r="G14" s="170">
        <v>0</v>
      </c>
      <c r="H14" s="170">
        <v>0</v>
      </c>
      <c r="I14" s="170">
        <v>0</v>
      </c>
      <c r="J14" s="170">
        <v>572.51908396946567</v>
      </c>
      <c r="K14" s="170">
        <v>0</v>
      </c>
      <c r="L14" s="170">
        <v>0</v>
      </c>
      <c r="M14" s="170">
        <v>0</v>
      </c>
      <c r="N14" s="170">
        <v>0</v>
      </c>
      <c r="O14" s="170">
        <v>416.66666666666669</v>
      </c>
      <c r="P14" s="170">
        <v>0</v>
      </c>
      <c r="Q14" s="170">
        <v>0</v>
      </c>
      <c r="R14" s="170">
        <v>0</v>
      </c>
      <c r="S14" s="170">
        <v>0</v>
      </c>
      <c r="T14" s="170">
        <v>0</v>
      </c>
      <c r="U14" s="170">
        <v>0</v>
      </c>
      <c r="V14" s="170">
        <v>0</v>
      </c>
      <c r="W14" s="170">
        <v>0</v>
      </c>
      <c r="X14" s="170">
        <v>0</v>
      </c>
      <c r="Y14" s="170">
        <v>0</v>
      </c>
      <c r="Z14" s="170">
        <v>0</v>
      </c>
      <c r="AA14" s="170">
        <v>0</v>
      </c>
      <c r="AB14" s="170">
        <v>0</v>
      </c>
      <c r="AC14" s="170">
        <v>0</v>
      </c>
      <c r="AD14" s="170">
        <v>0</v>
      </c>
      <c r="AE14" s="170">
        <v>0</v>
      </c>
      <c r="AF14" s="170">
        <v>0</v>
      </c>
      <c r="AG14" s="170">
        <v>0</v>
      </c>
      <c r="AH14" s="170">
        <v>0</v>
      </c>
      <c r="AI14" s="170">
        <v>0</v>
      </c>
      <c r="AJ14" s="170">
        <v>0</v>
      </c>
      <c r="AK14" s="170">
        <v>0</v>
      </c>
      <c r="AL14" s="170">
        <v>0</v>
      </c>
      <c r="AM14" s="170">
        <v>0</v>
      </c>
      <c r="AN14" s="170">
        <v>0</v>
      </c>
      <c r="AO14" s="170">
        <v>0</v>
      </c>
      <c r="AP14" s="170">
        <v>0</v>
      </c>
      <c r="AQ14" s="170">
        <v>0</v>
      </c>
      <c r="AR14" s="170">
        <v>0</v>
      </c>
      <c r="AS14" s="170">
        <v>0</v>
      </c>
      <c r="AT14" s="170">
        <v>0</v>
      </c>
      <c r="AU14" s="170">
        <v>0</v>
      </c>
      <c r="AV14" s="170">
        <v>0</v>
      </c>
      <c r="AW14" s="170">
        <v>0</v>
      </c>
    </row>
    <row r="15" spans="1:49" x14ac:dyDescent="0.3">
      <c r="A15" s="170" t="s">
        <v>107</v>
      </c>
      <c r="B15" s="197">
        <v>12</v>
      </c>
      <c r="C15" s="170">
        <v>54</v>
      </c>
      <c r="D15" s="170">
        <v>3</v>
      </c>
      <c r="E15" s="170">
        <v>1</v>
      </c>
      <c r="F15" s="170">
        <v>4</v>
      </c>
      <c r="G15" s="170">
        <v>0</v>
      </c>
      <c r="H15" s="170">
        <v>0</v>
      </c>
      <c r="I15" s="170">
        <v>0</v>
      </c>
      <c r="J15" s="170">
        <v>0</v>
      </c>
      <c r="K15" s="170">
        <v>2</v>
      </c>
      <c r="L15" s="170">
        <v>0</v>
      </c>
      <c r="M15" s="170">
        <v>0</v>
      </c>
      <c r="N15" s="170">
        <v>0</v>
      </c>
      <c r="O15" s="170">
        <v>0</v>
      </c>
      <c r="P15" s="170">
        <v>0</v>
      </c>
      <c r="Q15" s="170">
        <v>0</v>
      </c>
      <c r="R15" s="170">
        <v>0</v>
      </c>
      <c r="S15" s="170">
        <v>0</v>
      </c>
      <c r="T15" s="170">
        <v>0</v>
      </c>
      <c r="U15" s="170">
        <v>0</v>
      </c>
      <c r="V15" s="170">
        <v>1</v>
      </c>
      <c r="W15" s="170">
        <v>0</v>
      </c>
      <c r="X15" s="170">
        <v>0</v>
      </c>
      <c r="Y15" s="170">
        <v>0</v>
      </c>
      <c r="Z15" s="170">
        <v>0</v>
      </c>
      <c r="AA15" s="170">
        <v>0</v>
      </c>
      <c r="AB15" s="170">
        <v>0</v>
      </c>
      <c r="AC15" s="170">
        <v>0</v>
      </c>
      <c r="AD15" s="170">
        <v>0</v>
      </c>
      <c r="AE15" s="170">
        <v>0</v>
      </c>
      <c r="AF15" s="170">
        <v>0</v>
      </c>
      <c r="AG15" s="170">
        <v>0</v>
      </c>
      <c r="AH15" s="170">
        <v>0</v>
      </c>
      <c r="AI15" s="170">
        <v>0</v>
      </c>
      <c r="AJ15" s="170">
        <v>0</v>
      </c>
      <c r="AK15" s="170">
        <v>0</v>
      </c>
      <c r="AL15" s="170">
        <v>1</v>
      </c>
      <c r="AM15" s="170">
        <v>0</v>
      </c>
      <c r="AN15" s="170">
        <v>0</v>
      </c>
      <c r="AO15" s="170">
        <v>0</v>
      </c>
      <c r="AP15" s="170">
        <v>0</v>
      </c>
      <c r="AQ15" s="170">
        <v>0</v>
      </c>
      <c r="AR15" s="170">
        <v>0</v>
      </c>
      <c r="AS15" s="170">
        <v>0</v>
      </c>
      <c r="AT15" s="170">
        <v>0</v>
      </c>
      <c r="AU15" s="170">
        <v>0</v>
      </c>
      <c r="AV15" s="170">
        <v>0</v>
      </c>
      <c r="AW15" s="170">
        <v>0</v>
      </c>
    </row>
    <row r="16" spans="1:49" x14ac:dyDescent="0.3">
      <c r="A16" s="170" t="s">
        <v>95</v>
      </c>
      <c r="B16" s="197">
        <v>2016</v>
      </c>
      <c r="C16" s="170">
        <v>54</v>
      </c>
      <c r="D16" s="170">
        <v>3</v>
      </c>
      <c r="E16" s="170">
        <v>2</v>
      </c>
      <c r="F16" s="170">
        <v>696</v>
      </c>
      <c r="G16" s="170">
        <v>0</v>
      </c>
      <c r="H16" s="170">
        <v>0</v>
      </c>
      <c r="I16" s="170">
        <v>0</v>
      </c>
      <c r="J16" s="170">
        <v>0</v>
      </c>
      <c r="K16" s="170">
        <v>360</v>
      </c>
      <c r="L16" s="170">
        <v>0</v>
      </c>
      <c r="M16" s="170">
        <v>0</v>
      </c>
      <c r="N16" s="170">
        <v>0</v>
      </c>
      <c r="O16" s="170">
        <v>0</v>
      </c>
      <c r="P16" s="170">
        <v>0</v>
      </c>
      <c r="Q16" s="170">
        <v>0</v>
      </c>
      <c r="R16" s="170">
        <v>0</v>
      </c>
      <c r="S16" s="170">
        <v>0</v>
      </c>
      <c r="T16" s="170">
        <v>0</v>
      </c>
      <c r="U16" s="170">
        <v>0</v>
      </c>
      <c r="V16" s="170">
        <v>160</v>
      </c>
      <c r="W16" s="170">
        <v>0</v>
      </c>
      <c r="X16" s="170">
        <v>0</v>
      </c>
      <c r="Y16" s="170">
        <v>0</v>
      </c>
      <c r="Z16" s="170">
        <v>0</v>
      </c>
      <c r="AA16" s="170">
        <v>0</v>
      </c>
      <c r="AB16" s="170">
        <v>0</v>
      </c>
      <c r="AC16" s="170">
        <v>0</v>
      </c>
      <c r="AD16" s="170">
        <v>0</v>
      </c>
      <c r="AE16" s="170">
        <v>0</v>
      </c>
      <c r="AF16" s="170">
        <v>0</v>
      </c>
      <c r="AG16" s="170">
        <v>0</v>
      </c>
      <c r="AH16" s="170">
        <v>0</v>
      </c>
      <c r="AI16" s="170">
        <v>0</v>
      </c>
      <c r="AJ16" s="170">
        <v>0</v>
      </c>
      <c r="AK16" s="170">
        <v>0</v>
      </c>
      <c r="AL16" s="170">
        <v>176</v>
      </c>
      <c r="AM16" s="170">
        <v>0</v>
      </c>
      <c r="AN16" s="170">
        <v>0</v>
      </c>
      <c r="AO16" s="170">
        <v>0</v>
      </c>
      <c r="AP16" s="170">
        <v>0</v>
      </c>
      <c r="AQ16" s="170">
        <v>0</v>
      </c>
      <c r="AR16" s="170">
        <v>0</v>
      </c>
      <c r="AS16" s="170">
        <v>0</v>
      </c>
      <c r="AT16" s="170">
        <v>0</v>
      </c>
      <c r="AU16" s="170">
        <v>0</v>
      </c>
      <c r="AV16" s="170">
        <v>0</v>
      </c>
      <c r="AW16" s="170">
        <v>0</v>
      </c>
    </row>
    <row r="17" spans="3:49" x14ac:dyDescent="0.3">
      <c r="C17" s="170">
        <v>54</v>
      </c>
      <c r="D17" s="170">
        <v>3</v>
      </c>
      <c r="E17" s="170">
        <v>5</v>
      </c>
      <c r="F17" s="170">
        <v>20</v>
      </c>
      <c r="G17" s="170">
        <v>20</v>
      </c>
      <c r="H17" s="170">
        <v>0</v>
      </c>
      <c r="I17" s="170">
        <v>0</v>
      </c>
      <c r="J17" s="170">
        <v>0</v>
      </c>
      <c r="K17" s="170">
        <v>0</v>
      </c>
      <c r="L17" s="170">
        <v>0</v>
      </c>
      <c r="M17" s="170">
        <v>0</v>
      </c>
      <c r="N17" s="170">
        <v>0</v>
      </c>
      <c r="O17" s="170">
        <v>0</v>
      </c>
      <c r="P17" s="170">
        <v>0</v>
      </c>
      <c r="Q17" s="170">
        <v>0</v>
      </c>
      <c r="R17" s="170">
        <v>0</v>
      </c>
      <c r="S17" s="170">
        <v>0</v>
      </c>
      <c r="T17" s="170">
        <v>0</v>
      </c>
      <c r="U17" s="170">
        <v>0</v>
      </c>
      <c r="V17" s="170">
        <v>0</v>
      </c>
      <c r="W17" s="170">
        <v>0</v>
      </c>
      <c r="X17" s="170">
        <v>0</v>
      </c>
      <c r="Y17" s="170">
        <v>0</v>
      </c>
      <c r="Z17" s="170">
        <v>0</v>
      </c>
      <c r="AA17" s="170">
        <v>0</v>
      </c>
      <c r="AB17" s="170">
        <v>0</v>
      </c>
      <c r="AC17" s="170">
        <v>0</v>
      </c>
      <c r="AD17" s="170">
        <v>0</v>
      </c>
      <c r="AE17" s="170">
        <v>0</v>
      </c>
      <c r="AF17" s="170">
        <v>0</v>
      </c>
      <c r="AG17" s="170">
        <v>0</v>
      </c>
      <c r="AH17" s="170">
        <v>0</v>
      </c>
      <c r="AI17" s="170">
        <v>0</v>
      </c>
      <c r="AJ17" s="170">
        <v>0</v>
      </c>
      <c r="AK17" s="170">
        <v>0</v>
      </c>
      <c r="AL17" s="170">
        <v>0</v>
      </c>
      <c r="AM17" s="170">
        <v>0</v>
      </c>
      <c r="AN17" s="170">
        <v>0</v>
      </c>
      <c r="AO17" s="170">
        <v>0</v>
      </c>
      <c r="AP17" s="170">
        <v>0</v>
      </c>
      <c r="AQ17" s="170">
        <v>0</v>
      </c>
      <c r="AR17" s="170">
        <v>0</v>
      </c>
      <c r="AS17" s="170">
        <v>0</v>
      </c>
      <c r="AT17" s="170">
        <v>0</v>
      </c>
      <c r="AU17" s="170">
        <v>0</v>
      </c>
      <c r="AV17" s="170">
        <v>0</v>
      </c>
      <c r="AW17" s="170">
        <v>0</v>
      </c>
    </row>
    <row r="18" spans="3:49" x14ac:dyDescent="0.3">
      <c r="C18" s="170">
        <v>54</v>
      </c>
      <c r="D18" s="170">
        <v>3</v>
      </c>
      <c r="E18" s="170">
        <v>6</v>
      </c>
      <c r="F18" s="170">
        <v>168321</v>
      </c>
      <c r="G18" s="170">
        <v>5000</v>
      </c>
      <c r="H18" s="170">
        <v>0</v>
      </c>
      <c r="I18" s="170">
        <v>0</v>
      </c>
      <c r="J18" s="170">
        <v>0</v>
      </c>
      <c r="K18" s="170">
        <v>110970</v>
      </c>
      <c r="L18" s="170">
        <v>0</v>
      </c>
      <c r="M18" s="170">
        <v>0</v>
      </c>
      <c r="N18" s="170">
        <v>0</v>
      </c>
      <c r="O18" s="170">
        <v>0</v>
      </c>
      <c r="P18" s="170">
        <v>0</v>
      </c>
      <c r="Q18" s="170">
        <v>0</v>
      </c>
      <c r="R18" s="170">
        <v>0</v>
      </c>
      <c r="S18" s="170">
        <v>0</v>
      </c>
      <c r="T18" s="170">
        <v>0</v>
      </c>
      <c r="U18" s="170">
        <v>0</v>
      </c>
      <c r="V18" s="170">
        <v>27239</v>
      </c>
      <c r="W18" s="170">
        <v>0</v>
      </c>
      <c r="X18" s="170">
        <v>0</v>
      </c>
      <c r="Y18" s="170">
        <v>0</v>
      </c>
      <c r="Z18" s="170">
        <v>0</v>
      </c>
      <c r="AA18" s="170">
        <v>0</v>
      </c>
      <c r="AB18" s="170">
        <v>0</v>
      </c>
      <c r="AC18" s="170">
        <v>0</v>
      </c>
      <c r="AD18" s="170">
        <v>0</v>
      </c>
      <c r="AE18" s="170">
        <v>0</v>
      </c>
      <c r="AF18" s="170">
        <v>0</v>
      </c>
      <c r="AG18" s="170">
        <v>0</v>
      </c>
      <c r="AH18" s="170">
        <v>0</v>
      </c>
      <c r="AI18" s="170">
        <v>0</v>
      </c>
      <c r="AJ18" s="170">
        <v>0</v>
      </c>
      <c r="AK18" s="170">
        <v>0</v>
      </c>
      <c r="AL18" s="170">
        <v>24512</v>
      </c>
      <c r="AM18" s="170">
        <v>0</v>
      </c>
      <c r="AN18" s="170">
        <v>0</v>
      </c>
      <c r="AO18" s="170">
        <v>0</v>
      </c>
      <c r="AP18" s="170">
        <v>0</v>
      </c>
      <c r="AQ18" s="170">
        <v>0</v>
      </c>
      <c r="AR18" s="170">
        <v>0</v>
      </c>
      <c r="AS18" s="170">
        <v>0</v>
      </c>
      <c r="AT18" s="170">
        <v>0</v>
      </c>
      <c r="AU18" s="170">
        <v>600</v>
      </c>
      <c r="AV18" s="170">
        <v>0</v>
      </c>
      <c r="AW18" s="170">
        <v>0</v>
      </c>
    </row>
    <row r="19" spans="3:49" x14ac:dyDescent="0.3">
      <c r="C19" s="170">
        <v>54</v>
      </c>
      <c r="D19" s="170">
        <v>3</v>
      </c>
      <c r="E19" s="170">
        <v>10</v>
      </c>
      <c r="F19" s="170">
        <v>2980</v>
      </c>
      <c r="G19" s="170">
        <v>0</v>
      </c>
      <c r="H19" s="170">
        <v>0</v>
      </c>
      <c r="I19" s="170">
        <v>0</v>
      </c>
      <c r="J19" s="170">
        <v>1780</v>
      </c>
      <c r="K19" s="170">
        <v>0</v>
      </c>
      <c r="L19" s="170">
        <v>0</v>
      </c>
      <c r="M19" s="170">
        <v>0</v>
      </c>
      <c r="N19" s="170">
        <v>0</v>
      </c>
      <c r="O19" s="170">
        <v>1200</v>
      </c>
      <c r="P19" s="170">
        <v>0</v>
      </c>
      <c r="Q19" s="170">
        <v>0</v>
      </c>
      <c r="R19" s="170">
        <v>0</v>
      </c>
      <c r="S19" s="170">
        <v>0</v>
      </c>
      <c r="T19" s="170">
        <v>0</v>
      </c>
      <c r="U19" s="170">
        <v>0</v>
      </c>
      <c r="V19" s="170">
        <v>0</v>
      </c>
      <c r="W19" s="170">
        <v>0</v>
      </c>
      <c r="X19" s="170">
        <v>0</v>
      </c>
      <c r="Y19" s="170">
        <v>0</v>
      </c>
      <c r="Z19" s="170">
        <v>0</v>
      </c>
      <c r="AA19" s="170">
        <v>0</v>
      </c>
      <c r="AB19" s="170">
        <v>0</v>
      </c>
      <c r="AC19" s="170">
        <v>0</v>
      </c>
      <c r="AD19" s="170">
        <v>0</v>
      </c>
      <c r="AE19" s="170">
        <v>0</v>
      </c>
      <c r="AF19" s="170">
        <v>0</v>
      </c>
      <c r="AG19" s="170">
        <v>0</v>
      </c>
      <c r="AH19" s="170">
        <v>0</v>
      </c>
      <c r="AI19" s="170">
        <v>0</v>
      </c>
      <c r="AJ19" s="170">
        <v>0</v>
      </c>
      <c r="AK19" s="170">
        <v>0</v>
      </c>
      <c r="AL19" s="170">
        <v>0</v>
      </c>
      <c r="AM19" s="170">
        <v>0</v>
      </c>
      <c r="AN19" s="170">
        <v>0</v>
      </c>
      <c r="AO19" s="170">
        <v>0</v>
      </c>
      <c r="AP19" s="170">
        <v>0</v>
      </c>
      <c r="AQ19" s="170">
        <v>0</v>
      </c>
      <c r="AR19" s="170">
        <v>0</v>
      </c>
      <c r="AS19" s="170">
        <v>0</v>
      </c>
      <c r="AT19" s="170">
        <v>0</v>
      </c>
      <c r="AU19" s="170">
        <v>0</v>
      </c>
      <c r="AV19" s="170">
        <v>0</v>
      </c>
      <c r="AW19" s="170">
        <v>0</v>
      </c>
    </row>
    <row r="20" spans="3:49" x14ac:dyDescent="0.3">
      <c r="C20" s="170">
        <v>54</v>
      </c>
      <c r="D20" s="170">
        <v>3</v>
      </c>
      <c r="E20" s="170">
        <v>11</v>
      </c>
      <c r="F20" s="170">
        <v>989.1857506361323</v>
      </c>
      <c r="G20" s="170">
        <v>0</v>
      </c>
      <c r="H20" s="170">
        <v>0</v>
      </c>
      <c r="I20" s="170">
        <v>0</v>
      </c>
      <c r="J20" s="170">
        <v>572.51908396946567</v>
      </c>
      <c r="K20" s="170">
        <v>0</v>
      </c>
      <c r="L20" s="170">
        <v>0</v>
      </c>
      <c r="M20" s="170">
        <v>0</v>
      </c>
      <c r="N20" s="170">
        <v>0</v>
      </c>
      <c r="O20" s="170">
        <v>416.66666666666669</v>
      </c>
      <c r="P20" s="170">
        <v>0</v>
      </c>
      <c r="Q20" s="170">
        <v>0</v>
      </c>
      <c r="R20" s="170">
        <v>0</v>
      </c>
      <c r="S20" s="170">
        <v>0</v>
      </c>
      <c r="T20" s="170">
        <v>0</v>
      </c>
      <c r="U20" s="170">
        <v>0</v>
      </c>
      <c r="V20" s="170">
        <v>0</v>
      </c>
      <c r="W20" s="170">
        <v>0</v>
      </c>
      <c r="X20" s="170">
        <v>0</v>
      </c>
      <c r="Y20" s="170">
        <v>0</v>
      </c>
      <c r="Z20" s="170">
        <v>0</v>
      </c>
      <c r="AA20" s="170">
        <v>0</v>
      </c>
      <c r="AB20" s="170">
        <v>0</v>
      </c>
      <c r="AC20" s="170">
        <v>0</v>
      </c>
      <c r="AD20" s="170">
        <v>0</v>
      </c>
      <c r="AE20" s="170">
        <v>0</v>
      </c>
      <c r="AF20" s="170">
        <v>0</v>
      </c>
      <c r="AG20" s="170">
        <v>0</v>
      </c>
      <c r="AH20" s="170">
        <v>0</v>
      </c>
      <c r="AI20" s="170">
        <v>0</v>
      </c>
      <c r="AJ20" s="170">
        <v>0</v>
      </c>
      <c r="AK20" s="170">
        <v>0</v>
      </c>
      <c r="AL20" s="170">
        <v>0</v>
      </c>
      <c r="AM20" s="170">
        <v>0</v>
      </c>
      <c r="AN20" s="170">
        <v>0</v>
      </c>
      <c r="AO20" s="170">
        <v>0</v>
      </c>
      <c r="AP20" s="170">
        <v>0</v>
      </c>
      <c r="AQ20" s="170">
        <v>0</v>
      </c>
      <c r="AR20" s="170">
        <v>0</v>
      </c>
      <c r="AS20" s="170">
        <v>0</v>
      </c>
      <c r="AT20" s="170">
        <v>0</v>
      </c>
      <c r="AU20" s="170">
        <v>0</v>
      </c>
      <c r="AV20" s="170">
        <v>0</v>
      </c>
      <c r="AW20" s="170">
        <v>0</v>
      </c>
    </row>
    <row r="21" spans="3:49" x14ac:dyDescent="0.3">
      <c r="C21" s="170">
        <v>54</v>
      </c>
      <c r="D21" s="170">
        <v>4</v>
      </c>
      <c r="E21" s="170">
        <v>1</v>
      </c>
      <c r="F21" s="170">
        <v>4</v>
      </c>
      <c r="G21" s="170">
        <v>0</v>
      </c>
      <c r="H21" s="170">
        <v>0</v>
      </c>
      <c r="I21" s="170">
        <v>0</v>
      </c>
      <c r="J21" s="170">
        <v>0</v>
      </c>
      <c r="K21" s="170">
        <v>2</v>
      </c>
      <c r="L21" s="170">
        <v>0</v>
      </c>
      <c r="M21" s="170">
        <v>0</v>
      </c>
      <c r="N21" s="170">
        <v>0</v>
      </c>
      <c r="O21" s="170">
        <v>0</v>
      </c>
      <c r="P21" s="170">
        <v>0</v>
      </c>
      <c r="Q21" s="170">
        <v>0</v>
      </c>
      <c r="R21" s="170">
        <v>0</v>
      </c>
      <c r="S21" s="170">
        <v>0</v>
      </c>
      <c r="T21" s="170">
        <v>0</v>
      </c>
      <c r="U21" s="170">
        <v>0</v>
      </c>
      <c r="V21" s="170">
        <v>1</v>
      </c>
      <c r="W21" s="170">
        <v>0</v>
      </c>
      <c r="X21" s="170">
        <v>0</v>
      </c>
      <c r="Y21" s="170">
        <v>0</v>
      </c>
      <c r="Z21" s="170">
        <v>0</v>
      </c>
      <c r="AA21" s="170">
        <v>0</v>
      </c>
      <c r="AB21" s="170">
        <v>0</v>
      </c>
      <c r="AC21" s="170">
        <v>0</v>
      </c>
      <c r="AD21" s="170">
        <v>0</v>
      </c>
      <c r="AE21" s="170">
        <v>0</v>
      </c>
      <c r="AF21" s="170">
        <v>0</v>
      </c>
      <c r="AG21" s="170">
        <v>0</v>
      </c>
      <c r="AH21" s="170">
        <v>0</v>
      </c>
      <c r="AI21" s="170">
        <v>0</v>
      </c>
      <c r="AJ21" s="170">
        <v>0</v>
      </c>
      <c r="AK21" s="170">
        <v>0</v>
      </c>
      <c r="AL21" s="170">
        <v>1</v>
      </c>
      <c r="AM21" s="170">
        <v>0</v>
      </c>
      <c r="AN21" s="170">
        <v>0</v>
      </c>
      <c r="AO21" s="170">
        <v>0</v>
      </c>
      <c r="AP21" s="170">
        <v>0</v>
      </c>
      <c r="AQ21" s="170">
        <v>0</v>
      </c>
      <c r="AR21" s="170">
        <v>0</v>
      </c>
      <c r="AS21" s="170">
        <v>0</v>
      </c>
      <c r="AT21" s="170">
        <v>0</v>
      </c>
      <c r="AU21" s="170">
        <v>0</v>
      </c>
      <c r="AV21" s="170">
        <v>0</v>
      </c>
      <c r="AW21" s="170">
        <v>0</v>
      </c>
    </row>
    <row r="22" spans="3:49" x14ac:dyDescent="0.3">
      <c r="C22" s="170">
        <v>54</v>
      </c>
      <c r="D22" s="170">
        <v>4</v>
      </c>
      <c r="E22" s="170">
        <v>2</v>
      </c>
      <c r="F22" s="170">
        <v>632</v>
      </c>
      <c r="G22" s="170">
        <v>0</v>
      </c>
      <c r="H22" s="170">
        <v>0</v>
      </c>
      <c r="I22" s="170">
        <v>0</v>
      </c>
      <c r="J22" s="170">
        <v>0</v>
      </c>
      <c r="K22" s="170">
        <v>320</v>
      </c>
      <c r="L22" s="170">
        <v>0</v>
      </c>
      <c r="M22" s="170">
        <v>0</v>
      </c>
      <c r="N22" s="170">
        <v>0</v>
      </c>
      <c r="O22" s="170">
        <v>0</v>
      </c>
      <c r="P22" s="170">
        <v>0</v>
      </c>
      <c r="Q22" s="170">
        <v>0</v>
      </c>
      <c r="R22" s="170">
        <v>0</v>
      </c>
      <c r="S22" s="170">
        <v>0</v>
      </c>
      <c r="T22" s="170">
        <v>0</v>
      </c>
      <c r="U22" s="170">
        <v>0</v>
      </c>
      <c r="V22" s="170">
        <v>160</v>
      </c>
      <c r="W22" s="170">
        <v>0</v>
      </c>
      <c r="X22" s="170">
        <v>0</v>
      </c>
      <c r="Y22" s="170">
        <v>0</v>
      </c>
      <c r="Z22" s="170">
        <v>0</v>
      </c>
      <c r="AA22" s="170">
        <v>0</v>
      </c>
      <c r="AB22" s="170">
        <v>0</v>
      </c>
      <c r="AC22" s="170">
        <v>0</v>
      </c>
      <c r="AD22" s="170">
        <v>0</v>
      </c>
      <c r="AE22" s="170">
        <v>0</v>
      </c>
      <c r="AF22" s="170">
        <v>0</v>
      </c>
      <c r="AG22" s="170">
        <v>0</v>
      </c>
      <c r="AH22" s="170">
        <v>0</v>
      </c>
      <c r="AI22" s="170">
        <v>0</v>
      </c>
      <c r="AJ22" s="170">
        <v>0</v>
      </c>
      <c r="AK22" s="170">
        <v>0</v>
      </c>
      <c r="AL22" s="170">
        <v>152</v>
      </c>
      <c r="AM22" s="170">
        <v>0</v>
      </c>
      <c r="AN22" s="170">
        <v>0</v>
      </c>
      <c r="AO22" s="170">
        <v>0</v>
      </c>
      <c r="AP22" s="170">
        <v>0</v>
      </c>
      <c r="AQ22" s="170">
        <v>0</v>
      </c>
      <c r="AR22" s="170">
        <v>0</v>
      </c>
      <c r="AS22" s="170">
        <v>0</v>
      </c>
      <c r="AT22" s="170">
        <v>0</v>
      </c>
      <c r="AU22" s="170">
        <v>0</v>
      </c>
      <c r="AV22" s="170">
        <v>0</v>
      </c>
      <c r="AW22" s="170">
        <v>0</v>
      </c>
    </row>
    <row r="23" spans="3:49" x14ac:dyDescent="0.3">
      <c r="C23" s="170">
        <v>54</v>
      </c>
      <c r="D23" s="170">
        <v>4</v>
      </c>
      <c r="E23" s="170">
        <v>5</v>
      </c>
      <c r="F23" s="170">
        <v>20</v>
      </c>
      <c r="G23" s="170">
        <v>20</v>
      </c>
      <c r="H23" s="170">
        <v>0</v>
      </c>
      <c r="I23" s="170">
        <v>0</v>
      </c>
      <c r="J23" s="170">
        <v>0</v>
      </c>
      <c r="K23" s="170">
        <v>0</v>
      </c>
      <c r="L23" s="170">
        <v>0</v>
      </c>
      <c r="M23" s="170">
        <v>0</v>
      </c>
      <c r="N23" s="170">
        <v>0</v>
      </c>
      <c r="O23" s="170">
        <v>0</v>
      </c>
      <c r="P23" s="170">
        <v>0</v>
      </c>
      <c r="Q23" s="170">
        <v>0</v>
      </c>
      <c r="R23" s="170">
        <v>0</v>
      </c>
      <c r="S23" s="170">
        <v>0</v>
      </c>
      <c r="T23" s="170">
        <v>0</v>
      </c>
      <c r="U23" s="170">
        <v>0</v>
      </c>
      <c r="V23" s="170">
        <v>0</v>
      </c>
      <c r="W23" s="170">
        <v>0</v>
      </c>
      <c r="X23" s="170">
        <v>0</v>
      </c>
      <c r="Y23" s="170">
        <v>0</v>
      </c>
      <c r="Z23" s="170">
        <v>0</v>
      </c>
      <c r="AA23" s="170">
        <v>0</v>
      </c>
      <c r="AB23" s="170">
        <v>0</v>
      </c>
      <c r="AC23" s="170">
        <v>0</v>
      </c>
      <c r="AD23" s="170">
        <v>0</v>
      </c>
      <c r="AE23" s="170">
        <v>0</v>
      </c>
      <c r="AF23" s="170">
        <v>0</v>
      </c>
      <c r="AG23" s="170">
        <v>0</v>
      </c>
      <c r="AH23" s="170">
        <v>0</v>
      </c>
      <c r="AI23" s="170">
        <v>0</v>
      </c>
      <c r="AJ23" s="170">
        <v>0</v>
      </c>
      <c r="AK23" s="170">
        <v>0</v>
      </c>
      <c r="AL23" s="170">
        <v>0</v>
      </c>
      <c r="AM23" s="170">
        <v>0</v>
      </c>
      <c r="AN23" s="170">
        <v>0</v>
      </c>
      <c r="AO23" s="170">
        <v>0</v>
      </c>
      <c r="AP23" s="170">
        <v>0</v>
      </c>
      <c r="AQ23" s="170">
        <v>0</v>
      </c>
      <c r="AR23" s="170">
        <v>0</v>
      </c>
      <c r="AS23" s="170">
        <v>0</v>
      </c>
      <c r="AT23" s="170">
        <v>0</v>
      </c>
      <c r="AU23" s="170">
        <v>0</v>
      </c>
      <c r="AV23" s="170">
        <v>0</v>
      </c>
      <c r="AW23" s="170">
        <v>0</v>
      </c>
    </row>
    <row r="24" spans="3:49" x14ac:dyDescent="0.3">
      <c r="C24" s="170">
        <v>54</v>
      </c>
      <c r="D24" s="170">
        <v>4</v>
      </c>
      <c r="E24" s="170">
        <v>6</v>
      </c>
      <c r="F24" s="170">
        <v>168277</v>
      </c>
      <c r="G24" s="170">
        <v>5000</v>
      </c>
      <c r="H24" s="170">
        <v>0</v>
      </c>
      <c r="I24" s="170">
        <v>0</v>
      </c>
      <c r="J24" s="170">
        <v>0</v>
      </c>
      <c r="K24" s="170">
        <v>111464</v>
      </c>
      <c r="L24" s="170">
        <v>0</v>
      </c>
      <c r="M24" s="170">
        <v>0</v>
      </c>
      <c r="N24" s="170">
        <v>0</v>
      </c>
      <c r="O24" s="170">
        <v>0</v>
      </c>
      <c r="P24" s="170">
        <v>0</v>
      </c>
      <c r="Q24" s="170">
        <v>0</v>
      </c>
      <c r="R24" s="170">
        <v>0</v>
      </c>
      <c r="S24" s="170">
        <v>0</v>
      </c>
      <c r="T24" s="170">
        <v>0</v>
      </c>
      <c r="U24" s="170">
        <v>0</v>
      </c>
      <c r="V24" s="170">
        <v>26806</v>
      </c>
      <c r="W24" s="170">
        <v>0</v>
      </c>
      <c r="X24" s="170">
        <v>0</v>
      </c>
      <c r="Y24" s="170">
        <v>0</v>
      </c>
      <c r="Z24" s="170">
        <v>0</v>
      </c>
      <c r="AA24" s="170">
        <v>0</v>
      </c>
      <c r="AB24" s="170">
        <v>0</v>
      </c>
      <c r="AC24" s="170">
        <v>0</v>
      </c>
      <c r="AD24" s="170">
        <v>0</v>
      </c>
      <c r="AE24" s="170">
        <v>0</v>
      </c>
      <c r="AF24" s="170">
        <v>0</v>
      </c>
      <c r="AG24" s="170">
        <v>0</v>
      </c>
      <c r="AH24" s="170">
        <v>0</v>
      </c>
      <c r="AI24" s="170">
        <v>0</v>
      </c>
      <c r="AJ24" s="170">
        <v>0</v>
      </c>
      <c r="AK24" s="170">
        <v>0</v>
      </c>
      <c r="AL24" s="170">
        <v>24435</v>
      </c>
      <c r="AM24" s="170">
        <v>0</v>
      </c>
      <c r="AN24" s="170">
        <v>0</v>
      </c>
      <c r="AO24" s="170">
        <v>0</v>
      </c>
      <c r="AP24" s="170">
        <v>0</v>
      </c>
      <c r="AQ24" s="170">
        <v>0</v>
      </c>
      <c r="AR24" s="170">
        <v>0</v>
      </c>
      <c r="AS24" s="170">
        <v>0</v>
      </c>
      <c r="AT24" s="170">
        <v>0</v>
      </c>
      <c r="AU24" s="170">
        <v>572</v>
      </c>
      <c r="AV24" s="170">
        <v>0</v>
      </c>
      <c r="AW24" s="170">
        <v>0</v>
      </c>
    </row>
    <row r="25" spans="3:49" x14ac:dyDescent="0.3">
      <c r="C25" s="170">
        <v>54</v>
      </c>
      <c r="D25" s="170">
        <v>4</v>
      </c>
      <c r="E25" s="170">
        <v>11</v>
      </c>
      <c r="F25" s="170">
        <v>989.1857506361323</v>
      </c>
      <c r="G25" s="170">
        <v>0</v>
      </c>
      <c r="H25" s="170">
        <v>0</v>
      </c>
      <c r="I25" s="170">
        <v>0</v>
      </c>
      <c r="J25" s="170">
        <v>572.51908396946567</v>
      </c>
      <c r="K25" s="170">
        <v>0</v>
      </c>
      <c r="L25" s="170">
        <v>0</v>
      </c>
      <c r="M25" s="170">
        <v>0</v>
      </c>
      <c r="N25" s="170">
        <v>0</v>
      </c>
      <c r="O25" s="170">
        <v>416.66666666666669</v>
      </c>
      <c r="P25" s="170">
        <v>0</v>
      </c>
      <c r="Q25" s="170">
        <v>0</v>
      </c>
      <c r="R25" s="170">
        <v>0</v>
      </c>
      <c r="S25" s="170">
        <v>0</v>
      </c>
      <c r="T25" s="170">
        <v>0</v>
      </c>
      <c r="U25" s="170">
        <v>0</v>
      </c>
      <c r="V25" s="170">
        <v>0</v>
      </c>
      <c r="W25" s="170">
        <v>0</v>
      </c>
      <c r="X25" s="170">
        <v>0</v>
      </c>
      <c r="Y25" s="170">
        <v>0</v>
      </c>
      <c r="Z25" s="170">
        <v>0</v>
      </c>
      <c r="AA25" s="170">
        <v>0</v>
      </c>
      <c r="AB25" s="170">
        <v>0</v>
      </c>
      <c r="AC25" s="170">
        <v>0</v>
      </c>
      <c r="AD25" s="170">
        <v>0</v>
      </c>
      <c r="AE25" s="170">
        <v>0</v>
      </c>
      <c r="AF25" s="170">
        <v>0</v>
      </c>
      <c r="AG25" s="170">
        <v>0</v>
      </c>
      <c r="AH25" s="170">
        <v>0</v>
      </c>
      <c r="AI25" s="170">
        <v>0</v>
      </c>
      <c r="AJ25" s="170">
        <v>0</v>
      </c>
      <c r="AK25" s="170">
        <v>0</v>
      </c>
      <c r="AL25" s="170">
        <v>0</v>
      </c>
      <c r="AM25" s="170">
        <v>0</v>
      </c>
      <c r="AN25" s="170">
        <v>0</v>
      </c>
      <c r="AO25" s="170">
        <v>0</v>
      </c>
      <c r="AP25" s="170">
        <v>0</v>
      </c>
      <c r="AQ25" s="170">
        <v>0</v>
      </c>
      <c r="AR25" s="170">
        <v>0</v>
      </c>
      <c r="AS25" s="170">
        <v>0</v>
      </c>
      <c r="AT25" s="170">
        <v>0</v>
      </c>
      <c r="AU25" s="170">
        <v>0</v>
      </c>
      <c r="AV25" s="170">
        <v>0</v>
      </c>
      <c r="AW25" s="170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71" t="s">
        <v>73</v>
      </c>
      <c r="B1" s="271"/>
      <c r="C1" s="272"/>
      <c r="D1" s="272"/>
      <c r="E1" s="272"/>
    </row>
    <row r="2" spans="1:5" ht="14.4" customHeight="1" thickBot="1" x14ac:dyDescent="0.35">
      <c r="A2" s="174" t="s">
        <v>177</v>
      </c>
      <c r="B2" s="115"/>
    </row>
    <row r="3" spans="1:5" ht="14.4" customHeight="1" thickBot="1" x14ac:dyDescent="0.35">
      <c r="A3" s="118"/>
      <c r="C3" s="119" t="s">
        <v>62</v>
      </c>
      <c r="D3" s="120" t="s">
        <v>55</v>
      </c>
      <c r="E3" s="121" t="s">
        <v>57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1171.1874282177801</v>
      </c>
      <c r="D4" s="124">
        <f ca="1">IF(ISERROR(VLOOKUP("Náklady celkem",INDIRECT("HI!$A:$G"),5,0)),0,VLOOKUP("Náklady celkem",INDIRECT("HI!$A:$G"),5,0))</f>
        <v>1103.5296700000001</v>
      </c>
      <c r="E4" s="125">
        <f ca="1">IF(C4=0,0,D4/C4)</f>
        <v>0.94223148525361466</v>
      </c>
    </row>
    <row r="5" spans="1:5" ht="14.4" customHeight="1" x14ac:dyDescent="0.3">
      <c r="A5" s="126" t="s">
        <v>82</v>
      </c>
      <c r="B5" s="127"/>
      <c r="C5" s="128"/>
      <c r="D5" s="128"/>
      <c r="E5" s="129"/>
    </row>
    <row r="6" spans="1:5" ht="14.4" customHeight="1" x14ac:dyDescent="0.3">
      <c r="A6" s="130" t="s">
        <v>87</v>
      </c>
      <c r="B6" s="131"/>
      <c r="C6" s="132"/>
      <c r="D6" s="132"/>
      <c r="E6" s="129"/>
    </row>
    <row r="7" spans="1:5" ht="14.4" customHeight="1" x14ac:dyDescent="0.3">
      <c r="A7" s="262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66</v>
      </c>
      <c r="C7" s="132">
        <f>IF(ISERROR(HI!F5),"",HI!F5)</f>
        <v>1.6666666666666667</v>
      </c>
      <c r="D7" s="132">
        <f>IF(ISERROR(HI!E5),"",HI!E5)</f>
        <v>0.15182999999999999</v>
      </c>
      <c r="E7" s="129">
        <f t="shared" ref="E7:E12" si="0">IF(C7=0,0,D7/C7)</f>
        <v>9.1097999999999998E-2</v>
      </c>
    </row>
    <row r="8" spans="1:5" ht="14.4" customHeight="1" x14ac:dyDescent="0.3">
      <c r="A8" s="262" t="str">
        <f>HYPERLINK("#'LŽ Statim'!A1","Podíl statimových žádanek (max. 30%)")</f>
        <v>Podíl statimových žádanek (max. 30%)</v>
      </c>
      <c r="B8" s="260" t="s">
        <v>148</v>
      </c>
      <c r="C8" s="261">
        <v>0.3</v>
      </c>
      <c r="D8" s="26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3" t="s">
        <v>83</v>
      </c>
      <c r="B9" s="131"/>
      <c r="C9" s="132"/>
      <c r="D9" s="132"/>
      <c r="E9" s="129"/>
    </row>
    <row r="10" spans="1:5" ht="14.4" customHeight="1" x14ac:dyDescent="0.3">
      <c r="A10" s="133" t="s">
        <v>84</v>
      </c>
      <c r="B10" s="131"/>
      <c r="C10" s="132"/>
      <c r="D10" s="132"/>
      <c r="E10" s="129"/>
    </row>
    <row r="11" spans="1:5" ht="14.4" customHeight="1" x14ac:dyDescent="0.3">
      <c r="A11" s="134" t="s">
        <v>88</v>
      </c>
      <c r="B11" s="131"/>
      <c r="C11" s="128"/>
      <c r="D11" s="128"/>
      <c r="E11" s="129"/>
    </row>
    <row r="12" spans="1:5" ht="14.4" customHeight="1" x14ac:dyDescent="0.3">
      <c r="A12" s="135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66</v>
      </c>
      <c r="C12" s="132">
        <f>IF(ISERROR(HI!F6),"",HI!F6)</f>
        <v>22.380672836024331</v>
      </c>
      <c r="D12" s="132">
        <f>IF(ISERROR(HI!E6),"",HI!E6)</f>
        <v>25.181959999999997</v>
      </c>
      <c r="E12" s="129">
        <f t="shared" si="0"/>
        <v>1.1251654579153967</v>
      </c>
    </row>
    <row r="13" spans="1:5" ht="14.4" customHeight="1" thickBot="1" x14ac:dyDescent="0.35">
      <c r="A13" s="136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943.6669267937433</v>
      </c>
      <c r="D13" s="128">
        <f ca="1">IF(ISERROR(VLOOKUP("Osobní náklady (Kč) *",INDIRECT("HI!$A:$G"),5,0)),0,VLOOKUP("Osobní náklady (Kč) *",INDIRECT("HI!$A:$G"),5,0))</f>
        <v>910.69259999999997</v>
      </c>
      <c r="E13" s="129">
        <f ca="1">IF(C13=0,0,D13/C13)</f>
        <v>0.9650572401580515</v>
      </c>
    </row>
    <row r="14" spans="1:5" ht="14.4" customHeight="1" thickBot="1" x14ac:dyDescent="0.35">
      <c r="A14" s="140"/>
      <c r="B14" s="141"/>
      <c r="C14" s="142"/>
      <c r="D14" s="142"/>
      <c r="E14" s="143"/>
    </row>
    <row r="15" spans="1:5" ht="14.4" customHeight="1" thickBot="1" x14ac:dyDescent="0.35">
      <c r="A15" s="144" t="str">
        <f>HYPERLINK("#HI!A1","VÝNOSY CELKEM (v tisících)")</f>
        <v>VÝNOSY CELKEM (v tisících)</v>
      </c>
      <c r="B15" s="145"/>
      <c r="C15" s="146">
        <f ca="1">IF(ISERROR(VLOOKUP("Výnosy celkem",INDIRECT("HI!$A:$G"),6,0)),0,VLOOKUP("Výnosy celkem",INDIRECT("HI!$A:$G"),6,0))</f>
        <v>0</v>
      </c>
      <c r="D15" s="146">
        <f ca="1">IF(ISERROR(VLOOKUP("Výnosy celkem",INDIRECT("HI!$A:$G"),5,0)),0,VLOOKUP("Výnosy celkem",INDIRECT("HI!$A:$G"),5,0))</f>
        <v>0</v>
      </c>
      <c r="E15" s="147">
        <f t="shared" ref="E15:E16" ca="1" si="1">IF(C15=0,0,D15/C15)</f>
        <v>0</v>
      </c>
    </row>
    <row r="16" spans="1:5" ht="14.4" customHeight="1" x14ac:dyDescent="0.3">
      <c r="A16" s="148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49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0" t="s">
        <v>85</v>
      </c>
      <c r="B18" s="137"/>
      <c r="C18" s="138"/>
      <c r="D18" s="138"/>
      <c r="E18" s="139"/>
    </row>
    <row r="19" spans="1:5" ht="14.4" customHeight="1" thickBot="1" x14ac:dyDescent="0.35">
      <c r="A19" s="151"/>
      <c r="B19" s="152"/>
      <c r="C19" s="153"/>
      <c r="D19" s="153"/>
      <c r="E19" s="154"/>
    </row>
    <row r="20" spans="1:5" ht="14.4" customHeight="1" thickBot="1" x14ac:dyDescent="0.35">
      <c r="A20" s="155" t="s">
        <v>86</v>
      </c>
      <c r="B20" s="156"/>
      <c r="C20" s="157"/>
      <c r="D20" s="157"/>
      <c r="E20" s="158"/>
    </row>
  </sheetData>
  <mergeCells count="1">
    <mergeCell ref="A1:E1"/>
  </mergeCells>
  <conditionalFormatting sqref="E5">
    <cfRule type="cellIs" dxfId="53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52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51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50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9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8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7" priority="20" operator="lessThan">
      <formula>1</formula>
    </cfRule>
  </conditionalFormatting>
  <conditionalFormatting sqref="E8">
    <cfRule type="cellIs" dxfId="46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5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71" t="s">
        <v>76</v>
      </c>
      <c r="B1" s="271"/>
      <c r="C1" s="271"/>
      <c r="D1" s="271"/>
      <c r="E1" s="271"/>
      <c r="F1" s="271"/>
      <c r="G1" s="272"/>
      <c r="H1" s="272"/>
    </row>
    <row r="2" spans="1:8" ht="14.4" customHeight="1" thickBot="1" x14ac:dyDescent="0.35">
      <c r="A2" s="174" t="s">
        <v>177</v>
      </c>
      <c r="B2" s="77"/>
      <c r="C2" s="77"/>
      <c r="D2" s="77"/>
      <c r="E2" s="77"/>
      <c r="F2" s="77"/>
    </row>
    <row r="3" spans="1:8" ht="14.4" customHeight="1" x14ac:dyDescent="0.3">
      <c r="A3" s="273"/>
      <c r="B3" s="73">
        <v>2014</v>
      </c>
      <c r="C3" s="40">
        <v>2015</v>
      </c>
      <c r="D3" s="7"/>
      <c r="E3" s="277">
        <v>2016</v>
      </c>
      <c r="F3" s="278"/>
      <c r="G3" s="278"/>
      <c r="H3" s="279"/>
    </row>
    <row r="4" spans="1:8" ht="14.4" customHeight="1" thickBot="1" x14ac:dyDescent="0.35">
      <c r="A4" s="274"/>
      <c r="B4" s="275" t="s">
        <v>55</v>
      </c>
      <c r="C4" s="276"/>
      <c r="D4" s="7"/>
      <c r="E4" s="94" t="s">
        <v>55</v>
      </c>
      <c r="F4" s="75" t="s">
        <v>56</v>
      </c>
      <c r="G4" s="75" t="s">
        <v>52</v>
      </c>
      <c r="H4" s="76" t="s">
        <v>57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0.40909000000000001</v>
      </c>
      <c r="D5" s="8"/>
      <c r="E5" s="83">
        <v>0.15182999999999999</v>
      </c>
      <c r="F5" s="28">
        <v>1.6666666666666667</v>
      </c>
      <c r="G5" s="82">
        <f>E5-F5</f>
        <v>-1.5148366666666668</v>
      </c>
      <c r="H5" s="88">
        <f>IF(F5&lt;0.00000001,"",E5/F5)</f>
        <v>9.1097999999999998E-2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24.291959999999996</v>
      </c>
      <c r="C6" s="31">
        <v>20.67116</v>
      </c>
      <c r="D6" s="8"/>
      <c r="E6" s="84">
        <v>25.181959999999997</v>
      </c>
      <c r="F6" s="30">
        <v>22.380672836024331</v>
      </c>
      <c r="G6" s="85">
        <f>E6-F6</f>
        <v>2.8012871639756654</v>
      </c>
      <c r="H6" s="89">
        <f>IF(F6&lt;0.00000001,"",E6/F6)</f>
        <v>1.1251654579153967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756.09698000000094</v>
      </c>
      <c r="C7" s="31">
        <v>862.183230000001</v>
      </c>
      <c r="D7" s="8"/>
      <c r="E7" s="84">
        <v>910.69259999999997</v>
      </c>
      <c r="F7" s="30">
        <v>943.6669267937433</v>
      </c>
      <c r="G7" s="85">
        <f>E7-F7</f>
        <v>-32.97432679374333</v>
      </c>
      <c r="H7" s="89">
        <f>IF(F7&lt;0.00000001,"",E7/F7)</f>
        <v>0.9650572401580515</v>
      </c>
    </row>
    <row r="8" spans="1:8" ht="14.4" customHeight="1" thickBot="1" x14ac:dyDescent="0.35">
      <c r="A8" s="1" t="s">
        <v>58</v>
      </c>
      <c r="B8" s="11">
        <v>258.07390000000009</v>
      </c>
      <c r="C8" s="33">
        <v>223.17778999999996</v>
      </c>
      <c r="D8" s="8"/>
      <c r="E8" s="86">
        <v>167.50328000000016</v>
      </c>
      <c r="F8" s="32">
        <v>203.47316192134576</v>
      </c>
      <c r="G8" s="87">
        <f>E8-F8</f>
        <v>-35.969881921345603</v>
      </c>
      <c r="H8" s="90">
        <f>IF(F8&lt;0.00000001,"",E8/F8)</f>
        <v>0.8232205093699283</v>
      </c>
    </row>
    <row r="9" spans="1:8" ht="14.4" customHeight="1" thickBot="1" x14ac:dyDescent="0.35">
      <c r="A9" s="2" t="s">
        <v>59</v>
      </c>
      <c r="B9" s="3">
        <v>1038.4628400000011</v>
      </c>
      <c r="C9" s="35">
        <v>1106.4412700000009</v>
      </c>
      <c r="D9" s="8"/>
      <c r="E9" s="3">
        <v>1103.5296700000001</v>
      </c>
      <c r="F9" s="34">
        <v>1171.1874282177801</v>
      </c>
      <c r="G9" s="34">
        <f>E9-F9</f>
        <v>-67.657758217779929</v>
      </c>
      <c r="H9" s="91">
        <f>IF(F9&lt;0.00000001,"",E9/F9)</f>
        <v>0.94223148525361466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60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>
        <f>IF(B9=0,"",B13/B9)</f>
        <v>0</v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90</v>
      </c>
    </row>
    <row r="18" spans="1:8" ht="14.4" customHeight="1" x14ac:dyDescent="0.3">
      <c r="A18" s="238" t="s">
        <v>122</v>
      </c>
      <c r="B18" s="239"/>
      <c r="C18" s="239"/>
      <c r="D18" s="239"/>
      <c r="E18" s="239"/>
      <c r="F18" s="239"/>
      <c r="G18" s="239"/>
      <c r="H18" s="239"/>
    </row>
    <row r="19" spans="1:8" x14ac:dyDescent="0.3">
      <c r="A19" s="237" t="s">
        <v>121</v>
      </c>
      <c r="B19" s="239"/>
      <c r="C19" s="239"/>
      <c r="D19" s="239"/>
      <c r="E19" s="239"/>
      <c r="F19" s="239"/>
      <c r="G19" s="239"/>
      <c r="H19" s="239"/>
    </row>
    <row r="20" spans="1:8" ht="14.4" customHeight="1" x14ac:dyDescent="0.3">
      <c r="A20" s="80" t="s">
        <v>149</v>
      </c>
    </row>
    <row r="21" spans="1:8" ht="14.4" customHeight="1" x14ac:dyDescent="0.3">
      <c r="A21" s="80" t="s">
        <v>91</v>
      </c>
    </row>
    <row r="22" spans="1:8" ht="14.4" customHeight="1" x14ac:dyDescent="0.3">
      <c r="A22" s="81" t="s">
        <v>176</v>
      </c>
    </row>
    <row r="23" spans="1:8" ht="14.4" customHeight="1" x14ac:dyDescent="0.3">
      <c r="A23" s="81" t="s">
        <v>92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4" priority="4" operator="greaterThan">
      <formula>0</formula>
    </cfRule>
  </conditionalFormatting>
  <conditionalFormatting sqref="G11:G13 G15">
    <cfRule type="cellIs" dxfId="43" priority="3" operator="lessThan">
      <formula>0</formula>
    </cfRule>
  </conditionalFormatting>
  <conditionalFormatting sqref="H5:H9">
    <cfRule type="cellIs" dxfId="42" priority="2" operator="greaterThan">
      <formula>1</formula>
    </cfRule>
  </conditionalFormatting>
  <conditionalFormatting sqref="H11:H13 H15">
    <cfRule type="cellIs" dxfId="41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59" customFormat="1" ht="18.600000000000001" customHeight="1" thickBot="1" x14ac:dyDescent="0.4">
      <c r="A1" s="280" t="s">
        <v>179</v>
      </c>
      <c r="B1" s="280"/>
      <c r="C1" s="280"/>
      <c r="D1" s="280"/>
      <c r="E1" s="280"/>
      <c r="F1" s="280"/>
      <c r="G1" s="280"/>
      <c r="H1" s="271"/>
      <c r="I1" s="271"/>
      <c r="J1" s="271"/>
      <c r="K1" s="271"/>
      <c r="L1" s="271"/>
      <c r="M1" s="271"/>
      <c r="N1" s="271"/>
      <c r="O1" s="271"/>
      <c r="P1" s="271"/>
      <c r="Q1" s="271"/>
    </row>
    <row r="2" spans="1:17" s="159" customFormat="1" ht="14.4" customHeight="1" thickBot="1" x14ac:dyDescent="0.3">
      <c r="A2" s="174" t="s">
        <v>177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</row>
    <row r="3" spans="1:17" ht="14.4" customHeight="1" x14ac:dyDescent="0.3">
      <c r="A3" s="58"/>
      <c r="B3" s="281" t="s">
        <v>13</v>
      </c>
      <c r="C3" s="282"/>
      <c r="D3" s="282"/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82"/>
      <c r="P3" s="104"/>
      <c r="Q3" s="106"/>
    </row>
    <row r="4" spans="1:17" ht="14.4" customHeight="1" x14ac:dyDescent="0.3">
      <c r="A4" s="59"/>
      <c r="B4" s="20">
        <v>2016</v>
      </c>
      <c r="C4" s="105" t="s">
        <v>14</v>
      </c>
      <c r="D4" s="95" t="s">
        <v>156</v>
      </c>
      <c r="E4" s="95" t="s">
        <v>157</v>
      </c>
      <c r="F4" s="95" t="s">
        <v>158</v>
      </c>
      <c r="G4" s="95" t="s">
        <v>159</v>
      </c>
      <c r="H4" s="95" t="s">
        <v>160</v>
      </c>
      <c r="I4" s="95" t="s">
        <v>161</v>
      </c>
      <c r="J4" s="95" t="s">
        <v>162</v>
      </c>
      <c r="K4" s="95" t="s">
        <v>163</v>
      </c>
      <c r="L4" s="95" t="s">
        <v>164</v>
      </c>
      <c r="M4" s="95" t="s">
        <v>165</v>
      </c>
      <c r="N4" s="95" t="s">
        <v>166</v>
      </c>
      <c r="O4" s="95" t="s">
        <v>167</v>
      </c>
      <c r="P4" s="283" t="s">
        <v>2</v>
      </c>
      <c r="Q4" s="284"/>
    </row>
    <row r="5" spans="1:17" ht="14.4" customHeight="1" thickBot="1" x14ac:dyDescent="0.35">
      <c r="A5" s="60"/>
      <c r="B5" s="21" t="s">
        <v>15</v>
      </c>
      <c r="C5" s="22" t="s">
        <v>15</v>
      </c>
      <c r="D5" s="22" t="s">
        <v>16</v>
      </c>
      <c r="E5" s="22" t="s">
        <v>16</v>
      </c>
      <c r="F5" s="22" t="s">
        <v>16</v>
      </c>
      <c r="G5" s="22" t="s">
        <v>16</v>
      </c>
      <c r="H5" s="22" t="s">
        <v>16</v>
      </c>
      <c r="I5" s="22" t="s">
        <v>16</v>
      </c>
      <c r="J5" s="22" t="s">
        <v>16</v>
      </c>
      <c r="K5" s="22" t="s">
        <v>16</v>
      </c>
      <c r="L5" s="22" t="s">
        <v>16</v>
      </c>
      <c r="M5" s="22" t="s">
        <v>16</v>
      </c>
      <c r="N5" s="22" t="s">
        <v>16</v>
      </c>
      <c r="O5" s="22" t="s">
        <v>16</v>
      </c>
      <c r="P5" s="22" t="s">
        <v>16</v>
      </c>
      <c r="Q5" s="23" t="s">
        <v>17</v>
      </c>
    </row>
    <row r="6" spans="1:17" ht="14.4" customHeight="1" x14ac:dyDescent="0.3">
      <c r="A6" s="14" t="s">
        <v>18</v>
      </c>
      <c r="B6" s="43">
        <v>0</v>
      </c>
      <c r="C6" s="44">
        <v>0</v>
      </c>
      <c r="D6" s="44">
        <v>0</v>
      </c>
      <c r="E6" s="44">
        <v>0</v>
      </c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  <c r="O6" s="44">
        <v>0</v>
      </c>
      <c r="P6" s="45">
        <v>0</v>
      </c>
      <c r="Q6" s="67" t="s">
        <v>178</v>
      </c>
    </row>
    <row r="7" spans="1:17" ht="14.4" customHeight="1" x14ac:dyDescent="0.3">
      <c r="A7" s="15" t="s">
        <v>19</v>
      </c>
      <c r="B7" s="46">
        <v>5</v>
      </c>
      <c r="C7" s="47">
        <v>0.416666666666</v>
      </c>
      <c r="D7" s="47">
        <v>0.15182999999999999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8">
        <v>0.15182999999999999</v>
      </c>
      <c r="Q7" s="68">
        <v>9.1097999999999998E-2</v>
      </c>
    </row>
    <row r="8" spans="1:17" ht="14.4" customHeight="1" x14ac:dyDescent="0.3">
      <c r="A8" s="15" t="s">
        <v>20</v>
      </c>
      <c r="B8" s="46">
        <v>0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68" t="s">
        <v>178</v>
      </c>
    </row>
    <row r="9" spans="1:17" ht="14.4" customHeight="1" x14ac:dyDescent="0.3">
      <c r="A9" s="15" t="s">
        <v>21</v>
      </c>
      <c r="B9" s="46">
        <v>67.142018508072994</v>
      </c>
      <c r="C9" s="47">
        <v>5.5951682090060002</v>
      </c>
      <c r="D9" s="47">
        <v>4.0709200000000001</v>
      </c>
      <c r="E9" s="47">
        <v>4.68004</v>
      </c>
      <c r="F9" s="47">
        <v>5.2</v>
      </c>
      <c r="G9" s="47">
        <v>11.231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8">
        <v>25.18196</v>
      </c>
      <c r="Q9" s="68">
        <v>1.1251654579149999</v>
      </c>
    </row>
    <row r="10" spans="1:17" ht="14.4" customHeight="1" x14ac:dyDescent="0.3">
      <c r="A10" s="15" t="s">
        <v>22</v>
      </c>
      <c r="B10" s="46">
        <v>0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8">
        <v>0</v>
      </c>
      <c r="Q10" s="68" t="s">
        <v>178</v>
      </c>
    </row>
    <row r="11" spans="1:17" ht="14.4" customHeight="1" x14ac:dyDescent="0.3">
      <c r="A11" s="15" t="s">
        <v>23</v>
      </c>
      <c r="B11" s="46">
        <v>196.43146394164</v>
      </c>
      <c r="C11" s="47">
        <v>16.369288661803001</v>
      </c>
      <c r="D11" s="47">
        <v>0</v>
      </c>
      <c r="E11" s="47">
        <v>33.447119999999998</v>
      </c>
      <c r="F11" s="47">
        <v>4.2402300000000004</v>
      </c>
      <c r="G11" s="47">
        <v>4.8267100000000003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8">
        <v>42.514060000000001</v>
      </c>
      <c r="Q11" s="68">
        <v>0.64929608241299996</v>
      </c>
    </row>
    <row r="12" spans="1:17" ht="14.4" customHeight="1" x14ac:dyDescent="0.3">
      <c r="A12" s="15" t="s">
        <v>24</v>
      </c>
      <c r="B12" s="46">
        <v>0.29511007100100001</v>
      </c>
      <c r="C12" s="47">
        <v>2.4592505915999999E-2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8">
        <v>0</v>
      </c>
      <c r="Q12" s="68">
        <v>0</v>
      </c>
    </row>
    <row r="13" spans="1:17" ht="14.4" customHeight="1" x14ac:dyDescent="0.3">
      <c r="A13" s="15" t="s">
        <v>25</v>
      </c>
      <c r="B13" s="46">
        <v>1.541390432134</v>
      </c>
      <c r="C13" s="47">
        <v>0.128449202677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8">
        <v>0</v>
      </c>
      <c r="Q13" s="68">
        <v>0</v>
      </c>
    </row>
    <row r="14" spans="1:17" ht="14.4" customHeight="1" x14ac:dyDescent="0.3">
      <c r="A14" s="15" t="s">
        <v>26</v>
      </c>
      <c r="B14" s="46">
        <v>95.881727655039001</v>
      </c>
      <c r="C14" s="47">
        <v>7.9901439712529996</v>
      </c>
      <c r="D14" s="47">
        <v>12.082000000000001</v>
      </c>
      <c r="E14" s="47">
        <v>9.4160000000000004</v>
      </c>
      <c r="F14" s="47">
        <v>9.9510000000000005</v>
      </c>
      <c r="G14" s="47">
        <v>3.5510000000000002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8">
        <v>35</v>
      </c>
      <c r="Q14" s="68">
        <v>1.095099166107</v>
      </c>
    </row>
    <row r="15" spans="1:17" ht="14.4" customHeight="1" x14ac:dyDescent="0.3">
      <c r="A15" s="15" t="s">
        <v>27</v>
      </c>
      <c r="B15" s="46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8">
        <v>0</v>
      </c>
      <c r="Q15" s="68" t="s">
        <v>178</v>
      </c>
    </row>
    <row r="16" spans="1:17" ht="14.4" customHeight="1" x14ac:dyDescent="0.3">
      <c r="A16" s="15" t="s">
        <v>28</v>
      </c>
      <c r="B16" s="46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8">
        <v>0</v>
      </c>
      <c r="Q16" s="68" t="s">
        <v>178</v>
      </c>
    </row>
    <row r="17" spans="1:17" ht="14.4" customHeight="1" x14ac:dyDescent="0.3">
      <c r="A17" s="15" t="s">
        <v>29</v>
      </c>
      <c r="B17" s="46">
        <v>47.732530561840001</v>
      </c>
      <c r="C17" s="47">
        <v>3.9777108801529999</v>
      </c>
      <c r="D17" s="47">
        <v>0</v>
      </c>
      <c r="E17" s="47">
        <v>0.30631999999999998</v>
      </c>
      <c r="F17" s="47">
        <v>0.94755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8">
        <v>1.25387</v>
      </c>
      <c r="Q17" s="68">
        <v>7.8806004117000006E-2</v>
      </c>
    </row>
    <row r="18" spans="1:17" ht="14.4" customHeight="1" x14ac:dyDescent="0.3">
      <c r="A18" s="15" t="s">
        <v>30</v>
      </c>
      <c r="B18" s="46">
        <v>0</v>
      </c>
      <c r="C18" s="47">
        <v>0</v>
      </c>
      <c r="D18" s="47">
        <v>0.94099999999999995</v>
      </c>
      <c r="E18" s="47">
        <v>7.0000000000000007E-2</v>
      </c>
      <c r="F18" s="47">
        <v>1.292</v>
      </c>
      <c r="G18" s="47">
        <v>4.532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8">
        <v>6.835</v>
      </c>
      <c r="Q18" s="68" t="s">
        <v>178</v>
      </c>
    </row>
    <row r="19" spans="1:17" ht="14.4" customHeight="1" x14ac:dyDescent="0.3">
      <c r="A19" s="15" t="s">
        <v>31</v>
      </c>
      <c r="B19" s="46">
        <v>186.43173858178</v>
      </c>
      <c r="C19" s="47">
        <v>15.535978215148001</v>
      </c>
      <c r="D19" s="47">
        <v>3.2744499999999999</v>
      </c>
      <c r="E19" s="47">
        <v>27.11225</v>
      </c>
      <c r="F19" s="47">
        <v>11.492850000000001</v>
      </c>
      <c r="G19" s="47">
        <v>11.8216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8">
        <v>53.701149999999998</v>
      </c>
      <c r="Q19" s="68">
        <v>0.86414175625599998</v>
      </c>
    </row>
    <row r="20" spans="1:17" ht="14.4" customHeight="1" x14ac:dyDescent="0.3">
      <c r="A20" s="15" t="s">
        <v>32</v>
      </c>
      <c r="B20" s="46">
        <v>2831.00078038123</v>
      </c>
      <c r="C20" s="47">
        <v>235.916731698436</v>
      </c>
      <c r="D20" s="47">
        <v>227.14662999999999</v>
      </c>
      <c r="E20" s="47">
        <v>227.60598999999999</v>
      </c>
      <c r="F20" s="47">
        <v>227.99991</v>
      </c>
      <c r="G20" s="47">
        <v>227.94006999999999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8">
        <v>910.69259999999997</v>
      </c>
      <c r="Q20" s="68">
        <v>0.96505724015799998</v>
      </c>
    </row>
    <row r="21" spans="1:17" ht="14.4" customHeight="1" x14ac:dyDescent="0.3">
      <c r="A21" s="16" t="s">
        <v>33</v>
      </c>
      <c r="B21" s="46">
        <v>72.000179613810005</v>
      </c>
      <c r="C21" s="47">
        <v>6.0000149678170001</v>
      </c>
      <c r="D21" s="47">
        <v>5.9379999999999997</v>
      </c>
      <c r="E21" s="47">
        <v>5.9379999999999997</v>
      </c>
      <c r="F21" s="47">
        <v>5.9379999999999997</v>
      </c>
      <c r="G21" s="47">
        <v>5.9379999999999997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8">
        <v>23.751999999999999</v>
      </c>
      <c r="Q21" s="68">
        <v>0.98966419781399995</v>
      </c>
    </row>
    <row r="22" spans="1:17" ht="14.4" customHeight="1" x14ac:dyDescent="0.3">
      <c r="A22" s="15" t="s">
        <v>34</v>
      </c>
      <c r="B22" s="46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68" t="s">
        <v>178</v>
      </c>
    </row>
    <row r="23" spans="1:17" ht="14.4" customHeight="1" x14ac:dyDescent="0.3">
      <c r="A23" s="16" t="s">
        <v>35</v>
      </c>
      <c r="B23" s="46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8">
        <v>0</v>
      </c>
      <c r="Q23" s="68" t="s">
        <v>178</v>
      </c>
    </row>
    <row r="24" spans="1:17" ht="14.4" customHeight="1" x14ac:dyDescent="0.3">
      <c r="A24" s="16" t="s">
        <v>36</v>
      </c>
      <c r="B24" s="46">
        <v>10.105344906792</v>
      </c>
      <c r="C24" s="47">
        <v>0.84211207556599998</v>
      </c>
      <c r="D24" s="47">
        <v>0.38719999999999999</v>
      </c>
      <c r="E24" s="47">
        <v>0.85</v>
      </c>
      <c r="F24" s="47">
        <v>0.33</v>
      </c>
      <c r="G24" s="47">
        <v>2.88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8">
        <v>4.4471999999999996</v>
      </c>
      <c r="Q24" s="68">
        <v>1.320251819513</v>
      </c>
    </row>
    <row r="25" spans="1:17" ht="14.4" customHeight="1" x14ac:dyDescent="0.3">
      <c r="A25" s="17" t="s">
        <v>37</v>
      </c>
      <c r="B25" s="49">
        <v>3513.5622846533402</v>
      </c>
      <c r="C25" s="50">
        <v>292.79685705444501</v>
      </c>
      <c r="D25" s="50">
        <v>253.99203</v>
      </c>
      <c r="E25" s="50">
        <v>309.42572000000001</v>
      </c>
      <c r="F25" s="50">
        <v>267.39154000000002</v>
      </c>
      <c r="G25" s="50">
        <v>272.72037999999998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1">
        <v>1103.5296699999999</v>
      </c>
      <c r="Q25" s="69">
        <v>0.94223148525300005</v>
      </c>
    </row>
    <row r="26" spans="1:17" ht="14.4" customHeight="1" x14ac:dyDescent="0.3">
      <c r="A26" s="15" t="s">
        <v>38</v>
      </c>
      <c r="B26" s="46">
        <v>0</v>
      </c>
      <c r="C26" s="47">
        <v>0</v>
      </c>
      <c r="D26" s="47">
        <v>41.745440000000002</v>
      </c>
      <c r="E26" s="47">
        <v>31.823250000000002</v>
      </c>
      <c r="F26" s="47">
        <v>33.845379999999999</v>
      </c>
      <c r="G26" s="47">
        <v>36.206870000000002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8">
        <v>143.62093999999999</v>
      </c>
      <c r="Q26" s="68" t="s">
        <v>178</v>
      </c>
    </row>
    <row r="27" spans="1:17" ht="14.4" customHeight="1" x14ac:dyDescent="0.3">
      <c r="A27" s="18" t="s">
        <v>39</v>
      </c>
      <c r="B27" s="49">
        <v>3513.5622846533402</v>
      </c>
      <c r="C27" s="50">
        <v>292.79685705444501</v>
      </c>
      <c r="D27" s="50">
        <v>295.73746999999997</v>
      </c>
      <c r="E27" s="50">
        <v>341.24896999999999</v>
      </c>
      <c r="F27" s="50">
        <v>301.23692</v>
      </c>
      <c r="G27" s="50">
        <v>308.92725000000002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1">
        <v>1247.1506099999999</v>
      </c>
      <c r="Q27" s="69">
        <v>1.064859970276</v>
      </c>
    </row>
    <row r="28" spans="1:17" ht="14.4" customHeight="1" x14ac:dyDescent="0.3">
      <c r="A28" s="16" t="s">
        <v>40</v>
      </c>
      <c r="B28" s="46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8">
        <v>0</v>
      </c>
      <c r="Q28" s="68">
        <v>0</v>
      </c>
    </row>
    <row r="29" spans="1:17" ht="14.4" customHeight="1" x14ac:dyDescent="0.3">
      <c r="A29" s="16" t="s">
        <v>41</v>
      </c>
      <c r="B29" s="46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8">
        <v>0</v>
      </c>
      <c r="Q29" s="68" t="s">
        <v>178</v>
      </c>
    </row>
    <row r="30" spans="1:17" ht="14.4" customHeight="1" x14ac:dyDescent="0.3">
      <c r="A30" s="16" t="s">
        <v>42</v>
      </c>
      <c r="B30" s="46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8">
        <v>0</v>
      </c>
      <c r="Q30" s="68">
        <v>0</v>
      </c>
    </row>
    <row r="31" spans="1:17" ht="14.4" customHeight="1" thickBot="1" x14ac:dyDescent="0.35">
      <c r="A31" s="19" t="s">
        <v>43</v>
      </c>
      <c r="B31" s="52">
        <v>0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3">
        <v>0</v>
      </c>
      <c r="M31" s="53">
        <v>0</v>
      </c>
      <c r="N31" s="53">
        <v>0</v>
      </c>
      <c r="O31" s="53">
        <v>0</v>
      </c>
      <c r="P31" s="54">
        <v>0</v>
      </c>
      <c r="Q31" s="70" t="s">
        <v>178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90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168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44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3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80" t="s">
        <v>45</v>
      </c>
      <c r="B1" s="280"/>
      <c r="C1" s="280"/>
      <c r="D1" s="280"/>
      <c r="E1" s="280"/>
      <c r="F1" s="280"/>
      <c r="G1" s="280"/>
      <c r="H1" s="285"/>
      <c r="I1" s="285"/>
      <c r="J1" s="285"/>
      <c r="K1" s="285"/>
    </row>
    <row r="2" spans="1:11" s="55" customFormat="1" ht="14.4" customHeight="1" thickBot="1" x14ac:dyDescent="0.35">
      <c r="A2" s="174" t="s">
        <v>177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81" t="s">
        <v>46</v>
      </c>
      <c r="C3" s="282"/>
      <c r="D3" s="282"/>
      <c r="E3" s="282"/>
      <c r="F3" s="288" t="s">
        <v>47</v>
      </c>
      <c r="G3" s="282"/>
      <c r="H3" s="282"/>
      <c r="I3" s="282"/>
      <c r="J3" s="282"/>
      <c r="K3" s="289"/>
    </row>
    <row r="4" spans="1:11" ht="14.4" customHeight="1" x14ac:dyDescent="0.3">
      <c r="A4" s="59"/>
      <c r="B4" s="286"/>
      <c r="C4" s="287"/>
      <c r="D4" s="287"/>
      <c r="E4" s="287"/>
      <c r="F4" s="290" t="s">
        <v>173</v>
      </c>
      <c r="G4" s="292" t="s">
        <v>48</v>
      </c>
      <c r="H4" s="107" t="s">
        <v>80</v>
      </c>
      <c r="I4" s="290" t="s">
        <v>49</v>
      </c>
      <c r="J4" s="292" t="s">
        <v>150</v>
      </c>
      <c r="K4" s="293" t="s">
        <v>175</v>
      </c>
    </row>
    <row r="5" spans="1:11" ht="42" thickBot="1" x14ac:dyDescent="0.35">
      <c r="A5" s="60"/>
      <c r="B5" s="24" t="s">
        <v>169</v>
      </c>
      <c r="C5" s="25" t="s">
        <v>170</v>
      </c>
      <c r="D5" s="26" t="s">
        <v>171</v>
      </c>
      <c r="E5" s="26" t="s">
        <v>172</v>
      </c>
      <c r="F5" s="291"/>
      <c r="G5" s="291"/>
      <c r="H5" s="25" t="s">
        <v>174</v>
      </c>
      <c r="I5" s="291"/>
      <c r="J5" s="291"/>
      <c r="K5" s="294"/>
    </row>
    <row r="6" spans="1:11" ht="14.4" customHeight="1" thickBot="1" x14ac:dyDescent="0.35">
      <c r="A6" s="336" t="s">
        <v>180</v>
      </c>
      <c r="B6" s="318">
        <v>3202.5179271054199</v>
      </c>
      <c r="C6" s="318">
        <v>3482.0374900000002</v>
      </c>
      <c r="D6" s="319">
        <v>279.51956289458201</v>
      </c>
      <c r="E6" s="320">
        <v>1.0872811860089999</v>
      </c>
      <c r="F6" s="318">
        <v>3513.5622846533402</v>
      </c>
      <c r="G6" s="319">
        <v>1171.1874282177801</v>
      </c>
      <c r="H6" s="321">
        <v>272.72037999999998</v>
      </c>
      <c r="I6" s="318">
        <v>1103.5296699999999</v>
      </c>
      <c r="J6" s="319">
        <v>-67.65775821778</v>
      </c>
      <c r="K6" s="322">
        <v>0.31407716175099998</v>
      </c>
    </row>
    <row r="7" spans="1:11" ht="14.4" customHeight="1" thickBot="1" x14ac:dyDescent="0.35">
      <c r="A7" s="337" t="s">
        <v>181</v>
      </c>
      <c r="B7" s="318">
        <v>373.09631466503902</v>
      </c>
      <c r="C7" s="318">
        <v>314.54642999999999</v>
      </c>
      <c r="D7" s="319">
        <v>-58.549884665038</v>
      </c>
      <c r="E7" s="320">
        <v>0.84307032161999995</v>
      </c>
      <c r="F7" s="318">
        <v>366.291710607889</v>
      </c>
      <c r="G7" s="319">
        <v>122.097236869296</v>
      </c>
      <c r="H7" s="321">
        <v>19.608709999999999</v>
      </c>
      <c r="I7" s="318">
        <v>102.84784999999999</v>
      </c>
      <c r="J7" s="319">
        <v>-19.249386869296</v>
      </c>
      <c r="K7" s="322">
        <v>0.28078126537199999</v>
      </c>
    </row>
    <row r="8" spans="1:11" ht="14.4" customHeight="1" thickBot="1" x14ac:dyDescent="0.35">
      <c r="A8" s="338" t="s">
        <v>182</v>
      </c>
      <c r="B8" s="318">
        <v>263.41228911355603</v>
      </c>
      <c r="C8" s="318">
        <v>217.59343000000001</v>
      </c>
      <c r="D8" s="319">
        <v>-45.818859113556002</v>
      </c>
      <c r="E8" s="320">
        <v>0.82605648632499995</v>
      </c>
      <c r="F8" s="318">
        <v>270.40998295284902</v>
      </c>
      <c r="G8" s="319">
        <v>90.136660984282997</v>
      </c>
      <c r="H8" s="321">
        <v>16.05771</v>
      </c>
      <c r="I8" s="318">
        <v>67.847849999999994</v>
      </c>
      <c r="J8" s="319">
        <v>-22.288810984283</v>
      </c>
      <c r="K8" s="322">
        <v>0.25090734173000001</v>
      </c>
    </row>
    <row r="9" spans="1:11" ht="14.4" customHeight="1" thickBot="1" x14ac:dyDescent="0.35">
      <c r="A9" s="339" t="s">
        <v>183</v>
      </c>
      <c r="B9" s="323">
        <v>0</v>
      </c>
      <c r="C9" s="323">
        <v>0.40909000000000001</v>
      </c>
      <c r="D9" s="324">
        <v>0.40909000000000001</v>
      </c>
      <c r="E9" s="325" t="s">
        <v>184</v>
      </c>
      <c r="F9" s="323">
        <v>5</v>
      </c>
      <c r="G9" s="324">
        <v>1.6666666666659999</v>
      </c>
      <c r="H9" s="326">
        <v>0</v>
      </c>
      <c r="I9" s="323">
        <v>0.15182999999999999</v>
      </c>
      <c r="J9" s="324">
        <v>-1.514836666666</v>
      </c>
      <c r="K9" s="327">
        <v>3.0366000000000001E-2</v>
      </c>
    </row>
    <row r="10" spans="1:11" ht="14.4" customHeight="1" thickBot="1" x14ac:dyDescent="0.35">
      <c r="A10" s="340" t="s">
        <v>185</v>
      </c>
      <c r="B10" s="318">
        <v>0</v>
      </c>
      <c r="C10" s="318">
        <v>0.40909000000000001</v>
      </c>
      <c r="D10" s="319">
        <v>0.40909000000000001</v>
      </c>
      <c r="E10" s="328" t="s">
        <v>184</v>
      </c>
      <c r="F10" s="318">
        <v>5</v>
      </c>
      <c r="G10" s="319">
        <v>1.6666666666659999</v>
      </c>
      <c r="H10" s="321">
        <v>0</v>
      </c>
      <c r="I10" s="318">
        <v>0.15182999999999999</v>
      </c>
      <c r="J10" s="319">
        <v>-1.514836666666</v>
      </c>
      <c r="K10" s="322">
        <v>3.0366000000000001E-2</v>
      </c>
    </row>
    <row r="11" spans="1:11" ht="14.4" customHeight="1" thickBot="1" x14ac:dyDescent="0.35">
      <c r="A11" s="339" t="s">
        <v>186</v>
      </c>
      <c r="B11" s="323">
        <v>66.807997927206998</v>
      </c>
      <c r="C11" s="323">
        <v>54.455660000000002</v>
      </c>
      <c r="D11" s="324">
        <v>-12.352337927207</v>
      </c>
      <c r="E11" s="329">
        <v>0.81510689871700004</v>
      </c>
      <c r="F11" s="323">
        <v>67.142018508072994</v>
      </c>
      <c r="G11" s="324">
        <v>22.380672836024001</v>
      </c>
      <c r="H11" s="326">
        <v>11.231</v>
      </c>
      <c r="I11" s="323">
        <v>25.18196</v>
      </c>
      <c r="J11" s="324">
        <v>2.8012871639750001</v>
      </c>
      <c r="K11" s="327">
        <v>0.37505515263799999</v>
      </c>
    </row>
    <row r="12" spans="1:11" ht="14.4" customHeight="1" thickBot="1" x14ac:dyDescent="0.35">
      <c r="A12" s="340" t="s">
        <v>187</v>
      </c>
      <c r="B12" s="318">
        <v>62.999998015651997</v>
      </c>
      <c r="C12" s="318">
        <v>51.661560000000001</v>
      </c>
      <c r="D12" s="319">
        <v>-11.338438015652001</v>
      </c>
      <c r="E12" s="320">
        <v>0.82002478773300003</v>
      </c>
      <c r="F12" s="318">
        <v>63.000017366306999</v>
      </c>
      <c r="G12" s="319">
        <v>21.000005788768998</v>
      </c>
      <c r="H12" s="321">
        <v>11.231</v>
      </c>
      <c r="I12" s="318">
        <v>25.18196</v>
      </c>
      <c r="J12" s="319">
        <v>4.1819542112299999</v>
      </c>
      <c r="K12" s="322">
        <v>0.39971354060999997</v>
      </c>
    </row>
    <row r="13" spans="1:11" ht="14.4" customHeight="1" thickBot="1" x14ac:dyDescent="0.35">
      <c r="A13" s="340" t="s">
        <v>188</v>
      </c>
      <c r="B13" s="318">
        <v>3.6619999161529999</v>
      </c>
      <c r="C13" s="318">
        <v>2.6520999999999999</v>
      </c>
      <c r="D13" s="319">
        <v>-1.009899916153</v>
      </c>
      <c r="E13" s="320">
        <v>0.72422175333700001</v>
      </c>
      <c r="F13" s="318">
        <v>4.0000011026219999</v>
      </c>
      <c r="G13" s="319">
        <v>1.333333700874</v>
      </c>
      <c r="H13" s="321">
        <v>0</v>
      </c>
      <c r="I13" s="318">
        <v>0</v>
      </c>
      <c r="J13" s="319">
        <v>-1.333333700874</v>
      </c>
      <c r="K13" s="322">
        <v>0</v>
      </c>
    </row>
    <row r="14" spans="1:11" ht="14.4" customHeight="1" thickBot="1" x14ac:dyDescent="0.35">
      <c r="A14" s="340" t="s">
        <v>189</v>
      </c>
      <c r="B14" s="318">
        <v>0.145999995401</v>
      </c>
      <c r="C14" s="318">
        <v>0.14199999999999999</v>
      </c>
      <c r="D14" s="319">
        <v>-3.9999954009999998E-3</v>
      </c>
      <c r="E14" s="320">
        <v>0.97260277035999998</v>
      </c>
      <c r="F14" s="318">
        <v>0.142000039143</v>
      </c>
      <c r="G14" s="319">
        <v>4.7333346381000001E-2</v>
      </c>
      <c r="H14" s="321">
        <v>0</v>
      </c>
      <c r="I14" s="318">
        <v>0</v>
      </c>
      <c r="J14" s="319">
        <v>-4.7333346381000001E-2</v>
      </c>
      <c r="K14" s="322">
        <v>0</v>
      </c>
    </row>
    <row r="15" spans="1:11" ht="14.4" customHeight="1" thickBot="1" x14ac:dyDescent="0.35">
      <c r="A15" s="339" t="s">
        <v>190</v>
      </c>
      <c r="B15" s="323">
        <v>196.60429118634801</v>
      </c>
      <c r="C15" s="323">
        <v>160.70332999999999</v>
      </c>
      <c r="D15" s="324">
        <v>-35.900961186347999</v>
      </c>
      <c r="E15" s="329">
        <v>0.81739482404099995</v>
      </c>
      <c r="F15" s="323">
        <v>196.43146394164</v>
      </c>
      <c r="G15" s="324">
        <v>65.477154647212998</v>
      </c>
      <c r="H15" s="326">
        <v>4.8267100000000003</v>
      </c>
      <c r="I15" s="323">
        <v>42.514060000000001</v>
      </c>
      <c r="J15" s="324">
        <v>-22.963094647213001</v>
      </c>
      <c r="K15" s="327">
        <v>0.21643202747099999</v>
      </c>
    </row>
    <row r="16" spans="1:11" ht="14.4" customHeight="1" thickBot="1" x14ac:dyDescent="0.35">
      <c r="A16" s="340" t="s">
        <v>191</v>
      </c>
      <c r="B16" s="318">
        <v>7.226520767657</v>
      </c>
      <c r="C16" s="318">
        <v>0</v>
      </c>
      <c r="D16" s="319">
        <v>-7.226520767657</v>
      </c>
      <c r="E16" s="320">
        <v>0</v>
      </c>
      <c r="F16" s="318">
        <v>0</v>
      </c>
      <c r="G16" s="319">
        <v>0</v>
      </c>
      <c r="H16" s="321">
        <v>0</v>
      </c>
      <c r="I16" s="318">
        <v>0</v>
      </c>
      <c r="J16" s="319">
        <v>0</v>
      </c>
      <c r="K16" s="322">
        <v>4</v>
      </c>
    </row>
    <row r="17" spans="1:11" ht="14.4" customHeight="1" thickBot="1" x14ac:dyDescent="0.35">
      <c r="A17" s="340" t="s">
        <v>192</v>
      </c>
      <c r="B17" s="318">
        <v>3.001286075696</v>
      </c>
      <c r="C17" s="318">
        <v>1.2084699999999999</v>
      </c>
      <c r="D17" s="319">
        <v>-1.7928160756960001</v>
      </c>
      <c r="E17" s="320">
        <v>0.40265072023100001</v>
      </c>
      <c r="F17" s="318">
        <v>1.22162843024</v>
      </c>
      <c r="G17" s="319">
        <v>0.407209476746</v>
      </c>
      <c r="H17" s="321">
        <v>0.38235999999999998</v>
      </c>
      <c r="I17" s="318">
        <v>1.4462699999999999</v>
      </c>
      <c r="J17" s="319">
        <v>1.0390605232529999</v>
      </c>
      <c r="K17" s="322">
        <v>1.183886985762</v>
      </c>
    </row>
    <row r="18" spans="1:11" ht="14.4" customHeight="1" thickBot="1" x14ac:dyDescent="0.35">
      <c r="A18" s="340" t="s">
        <v>193</v>
      </c>
      <c r="B18" s="318">
        <v>3.9999998740090001</v>
      </c>
      <c r="C18" s="318">
        <v>6.2113699999999996</v>
      </c>
      <c r="D18" s="319">
        <v>2.2113701259899998</v>
      </c>
      <c r="E18" s="320">
        <v>1.55284254891</v>
      </c>
      <c r="F18" s="318">
        <v>7.2780115299729999</v>
      </c>
      <c r="G18" s="319">
        <v>2.4260038433240001</v>
      </c>
      <c r="H18" s="321">
        <v>1.6840000000000001E-2</v>
      </c>
      <c r="I18" s="318">
        <v>0.96416999999999997</v>
      </c>
      <c r="J18" s="319">
        <v>-1.4618338433239999</v>
      </c>
      <c r="K18" s="322">
        <v>0.132477119063</v>
      </c>
    </row>
    <row r="19" spans="1:11" ht="14.4" customHeight="1" thickBot="1" x14ac:dyDescent="0.35">
      <c r="A19" s="340" t="s">
        <v>194</v>
      </c>
      <c r="B19" s="318">
        <v>0</v>
      </c>
      <c r="C19" s="318">
        <v>0.18099999999999999</v>
      </c>
      <c r="D19" s="319">
        <v>0.18099999999999999</v>
      </c>
      <c r="E19" s="328" t="s">
        <v>178</v>
      </c>
      <c r="F19" s="318">
        <v>0.19923773413400001</v>
      </c>
      <c r="G19" s="319">
        <v>6.6412578043999998E-2</v>
      </c>
      <c r="H19" s="321">
        <v>0</v>
      </c>
      <c r="I19" s="318">
        <v>0</v>
      </c>
      <c r="J19" s="319">
        <v>-6.6412578043999998E-2</v>
      </c>
      <c r="K19" s="322">
        <v>0</v>
      </c>
    </row>
    <row r="20" spans="1:11" ht="14.4" customHeight="1" thickBot="1" x14ac:dyDescent="0.35">
      <c r="A20" s="340" t="s">
        <v>195</v>
      </c>
      <c r="B20" s="318">
        <v>177.999994393431</v>
      </c>
      <c r="C20" s="318">
        <v>149.80509000000001</v>
      </c>
      <c r="D20" s="319">
        <v>-28.194904393430999</v>
      </c>
      <c r="E20" s="320">
        <v>0.84160165572099999</v>
      </c>
      <c r="F20" s="318">
        <v>182.85584565940701</v>
      </c>
      <c r="G20" s="319">
        <v>60.951948553134997</v>
      </c>
      <c r="H20" s="321">
        <v>4.1621600000000001</v>
      </c>
      <c r="I20" s="318">
        <v>38.73959</v>
      </c>
      <c r="J20" s="319">
        <v>-22.212358553135001</v>
      </c>
      <c r="K20" s="322">
        <v>0.21185863574800001</v>
      </c>
    </row>
    <row r="21" spans="1:11" ht="14.4" customHeight="1" thickBot="1" x14ac:dyDescent="0.35">
      <c r="A21" s="340" t="s">
        <v>196</v>
      </c>
      <c r="B21" s="318">
        <v>2.3764901385480002</v>
      </c>
      <c r="C21" s="318">
        <v>2.35345</v>
      </c>
      <c r="D21" s="319">
        <v>-2.3040138548000001E-2</v>
      </c>
      <c r="E21" s="320">
        <v>0.99030497195199996</v>
      </c>
      <c r="F21" s="318">
        <v>4.2506338287560004</v>
      </c>
      <c r="G21" s="319">
        <v>1.4168779429180001</v>
      </c>
      <c r="H21" s="321">
        <v>0</v>
      </c>
      <c r="I21" s="318">
        <v>1.0986800000000001</v>
      </c>
      <c r="J21" s="319">
        <v>-0.31819794291800002</v>
      </c>
      <c r="K21" s="322">
        <v>0.25847439329299998</v>
      </c>
    </row>
    <row r="22" spans="1:11" ht="14.4" customHeight="1" thickBot="1" x14ac:dyDescent="0.35">
      <c r="A22" s="340" t="s">
        <v>197</v>
      </c>
      <c r="B22" s="318">
        <v>1.999999937004</v>
      </c>
      <c r="C22" s="318">
        <v>0.94394999999999996</v>
      </c>
      <c r="D22" s="319">
        <v>-1.056049937004</v>
      </c>
      <c r="E22" s="320">
        <v>0.47197501486600002</v>
      </c>
      <c r="F22" s="318">
        <v>0.62610675912699998</v>
      </c>
      <c r="G22" s="319">
        <v>0.20870225304199999</v>
      </c>
      <c r="H22" s="321">
        <v>0.26534999999999997</v>
      </c>
      <c r="I22" s="318">
        <v>0.26534999999999997</v>
      </c>
      <c r="J22" s="319">
        <v>5.6647746956999999E-2</v>
      </c>
      <c r="K22" s="322">
        <v>0.42380951192600003</v>
      </c>
    </row>
    <row r="23" spans="1:11" ht="14.4" customHeight="1" thickBot="1" x14ac:dyDescent="0.35">
      <c r="A23" s="339" t="s">
        <v>198</v>
      </c>
      <c r="B23" s="323">
        <v>0</v>
      </c>
      <c r="C23" s="323">
        <v>0.25413000000000002</v>
      </c>
      <c r="D23" s="324">
        <v>0.25413000000000002</v>
      </c>
      <c r="E23" s="325" t="s">
        <v>178</v>
      </c>
      <c r="F23" s="323">
        <v>0.29511007100100001</v>
      </c>
      <c r="G23" s="324">
        <v>9.8370023666999998E-2</v>
      </c>
      <c r="H23" s="326">
        <v>0</v>
      </c>
      <c r="I23" s="323">
        <v>0</v>
      </c>
      <c r="J23" s="324">
        <v>-9.8370023666999998E-2</v>
      </c>
      <c r="K23" s="327">
        <v>0</v>
      </c>
    </row>
    <row r="24" spans="1:11" ht="14.4" customHeight="1" thickBot="1" x14ac:dyDescent="0.35">
      <c r="A24" s="340" t="s">
        <v>199</v>
      </c>
      <c r="B24" s="318">
        <v>0</v>
      </c>
      <c r="C24" s="318">
        <v>0.25413000000000002</v>
      </c>
      <c r="D24" s="319">
        <v>0.25413000000000002</v>
      </c>
      <c r="E24" s="328" t="s">
        <v>178</v>
      </c>
      <c r="F24" s="318">
        <v>0.29511007100100001</v>
      </c>
      <c r="G24" s="319">
        <v>9.8370023666999998E-2</v>
      </c>
      <c r="H24" s="321">
        <v>0</v>
      </c>
      <c r="I24" s="318">
        <v>0</v>
      </c>
      <c r="J24" s="319">
        <v>-9.8370023666999998E-2</v>
      </c>
      <c r="K24" s="322">
        <v>0</v>
      </c>
    </row>
    <row r="25" spans="1:11" ht="14.4" customHeight="1" thickBot="1" x14ac:dyDescent="0.35">
      <c r="A25" s="339" t="s">
        <v>200</v>
      </c>
      <c r="B25" s="323">
        <v>0</v>
      </c>
      <c r="C25" s="323">
        <v>1.77122</v>
      </c>
      <c r="D25" s="324">
        <v>1.77122</v>
      </c>
      <c r="E25" s="325" t="s">
        <v>178</v>
      </c>
      <c r="F25" s="323">
        <v>1.541390432134</v>
      </c>
      <c r="G25" s="324">
        <v>0.51379681071100003</v>
      </c>
      <c r="H25" s="326">
        <v>0</v>
      </c>
      <c r="I25" s="323">
        <v>0</v>
      </c>
      <c r="J25" s="324">
        <v>-0.51379681071100003</v>
      </c>
      <c r="K25" s="327">
        <v>0</v>
      </c>
    </row>
    <row r="26" spans="1:11" ht="14.4" customHeight="1" thickBot="1" x14ac:dyDescent="0.35">
      <c r="A26" s="340" t="s">
        <v>201</v>
      </c>
      <c r="B26" s="318">
        <v>0</v>
      </c>
      <c r="C26" s="318">
        <v>1.56453</v>
      </c>
      <c r="D26" s="319">
        <v>1.56453</v>
      </c>
      <c r="E26" s="328" t="s">
        <v>178</v>
      </c>
      <c r="F26" s="318">
        <v>1.33786332154</v>
      </c>
      <c r="G26" s="319">
        <v>0.44595444051299998</v>
      </c>
      <c r="H26" s="321">
        <v>0</v>
      </c>
      <c r="I26" s="318">
        <v>0</v>
      </c>
      <c r="J26" s="319">
        <v>-0.44595444051299998</v>
      </c>
      <c r="K26" s="322">
        <v>0</v>
      </c>
    </row>
    <row r="27" spans="1:11" ht="14.4" customHeight="1" thickBot="1" x14ac:dyDescent="0.35">
      <c r="A27" s="340" t="s">
        <v>202</v>
      </c>
      <c r="B27" s="318">
        <v>0</v>
      </c>
      <c r="C27" s="318">
        <v>7.9640000000000002E-2</v>
      </c>
      <c r="D27" s="319">
        <v>7.9640000000000002E-2</v>
      </c>
      <c r="E27" s="328" t="s">
        <v>184</v>
      </c>
      <c r="F27" s="318">
        <v>7.9894722599999995E-2</v>
      </c>
      <c r="G27" s="319">
        <v>2.6631574200000001E-2</v>
      </c>
      <c r="H27" s="321">
        <v>0</v>
      </c>
      <c r="I27" s="318">
        <v>0</v>
      </c>
      <c r="J27" s="319">
        <v>-2.6631574200000001E-2</v>
      </c>
      <c r="K27" s="322">
        <v>0</v>
      </c>
    </row>
    <row r="28" spans="1:11" ht="14.4" customHeight="1" thickBot="1" x14ac:dyDescent="0.35">
      <c r="A28" s="340" t="s">
        <v>203</v>
      </c>
      <c r="B28" s="318">
        <v>0</v>
      </c>
      <c r="C28" s="318">
        <v>0.12705</v>
      </c>
      <c r="D28" s="319">
        <v>0.12705</v>
      </c>
      <c r="E28" s="328" t="s">
        <v>184</v>
      </c>
      <c r="F28" s="318">
        <v>0.123632387993</v>
      </c>
      <c r="G28" s="319">
        <v>4.1210795996999998E-2</v>
      </c>
      <c r="H28" s="321">
        <v>0</v>
      </c>
      <c r="I28" s="318">
        <v>0</v>
      </c>
      <c r="J28" s="319">
        <v>-4.1210795996999998E-2</v>
      </c>
      <c r="K28" s="322">
        <v>0</v>
      </c>
    </row>
    <row r="29" spans="1:11" ht="14.4" customHeight="1" thickBot="1" x14ac:dyDescent="0.35">
      <c r="A29" s="338" t="s">
        <v>26</v>
      </c>
      <c r="B29" s="318">
        <v>109.68402555148199</v>
      </c>
      <c r="C29" s="318">
        <v>96.953000000000003</v>
      </c>
      <c r="D29" s="319">
        <v>-12.731025551482</v>
      </c>
      <c r="E29" s="320">
        <v>0.88392999356500002</v>
      </c>
      <c r="F29" s="318">
        <v>95.881727655039001</v>
      </c>
      <c r="G29" s="319">
        <v>31.960575885013</v>
      </c>
      <c r="H29" s="321">
        <v>3.5510000000000002</v>
      </c>
      <c r="I29" s="318">
        <v>35</v>
      </c>
      <c r="J29" s="319">
        <v>3.0394241149860002</v>
      </c>
      <c r="K29" s="322">
        <v>0.36503305536899999</v>
      </c>
    </row>
    <row r="30" spans="1:11" ht="14.4" customHeight="1" thickBot="1" x14ac:dyDescent="0.35">
      <c r="A30" s="339" t="s">
        <v>204</v>
      </c>
      <c r="B30" s="323">
        <v>109.68402555148199</v>
      </c>
      <c r="C30" s="323">
        <v>96.953000000000003</v>
      </c>
      <c r="D30" s="324">
        <v>-12.731025551482</v>
      </c>
      <c r="E30" s="329">
        <v>0.88392999356500002</v>
      </c>
      <c r="F30" s="323">
        <v>95.881727655039001</v>
      </c>
      <c r="G30" s="324">
        <v>31.960575885013</v>
      </c>
      <c r="H30" s="326">
        <v>3.5510000000000002</v>
      </c>
      <c r="I30" s="323">
        <v>35</v>
      </c>
      <c r="J30" s="324">
        <v>3.0394241149860002</v>
      </c>
      <c r="K30" s="327">
        <v>0.36503305536899999</v>
      </c>
    </row>
    <row r="31" spans="1:11" ht="14.4" customHeight="1" thickBot="1" x14ac:dyDescent="0.35">
      <c r="A31" s="340" t="s">
        <v>205</v>
      </c>
      <c r="B31" s="318">
        <v>55</v>
      </c>
      <c r="C31" s="318">
        <v>42.222999999999999</v>
      </c>
      <c r="D31" s="319">
        <v>-12.776999999999999</v>
      </c>
      <c r="E31" s="320">
        <v>0.76769090909000004</v>
      </c>
      <c r="F31" s="318">
        <v>41.658878054456999</v>
      </c>
      <c r="G31" s="319">
        <v>13.886292684819001</v>
      </c>
      <c r="H31" s="321">
        <v>2.9660000000000002</v>
      </c>
      <c r="I31" s="318">
        <v>12.388</v>
      </c>
      <c r="J31" s="319">
        <v>-1.4982926848189999</v>
      </c>
      <c r="K31" s="322">
        <v>0.29736758593899998</v>
      </c>
    </row>
    <row r="32" spans="1:11" ht="14.4" customHeight="1" thickBot="1" x14ac:dyDescent="0.35">
      <c r="A32" s="340" t="s">
        <v>206</v>
      </c>
      <c r="B32" s="318">
        <v>8.4357324226639996</v>
      </c>
      <c r="C32" s="318">
        <v>7.1429999999999998</v>
      </c>
      <c r="D32" s="319">
        <v>-1.292732422664</v>
      </c>
      <c r="E32" s="320">
        <v>0.84675516506500004</v>
      </c>
      <c r="F32" s="318">
        <v>7.2946757331230003</v>
      </c>
      <c r="G32" s="319">
        <v>2.4315585777069999</v>
      </c>
      <c r="H32" s="321">
        <v>0.58499999999999996</v>
      </c>
      <c r="I32" s="318">
        <v>2.5920000000000001</v>
      </c>
      <c r="J32" s="319">
        <v>0.16044142229200001</v>
      </c>
      <c r="K32" s="322">
        <v>0.35532765195100002</v>
      </c>
    </row>
    <row r="33" spans="1:11" ht="14.4" customHeight="1" thickBot="1" x14ac:dyDescent="0.35">
      <c r="A33" s="340" t="s">
        <v>207</v>
      </c>
      <c r="B33" s="318">
        <v>45.999998551110998</v>
      </c>
      <c r="C33" s="318">
        <v>47.587000000000003</v>
      </c>
      <c r="D33" s="319">
        <v>1.587001448888</v>
      </c>
      <c r="E33" s="320">
        <v>1.0345000325839999</v>
      </c>
      <c r="F33" s="318">
        <v>46.928173867458</v>
      </c>
      <c r="G33" s="319">
        <v>15.642724622486</v>
      </c>
      <c r="H33" s="321">
        <v>0</v>
      </c>
      <c r="I33" s="318">
        <v>20.02</v>
      </c>
      <c r="J33" s="319">
        <v>4.3772753775130004</v>
      </c>
      <c r="K33" s="322">
        <v>0.42660939793899999</v>
      </c>
    </row>
    <row r="34" spans="1:11" ht="14.4" customHeight="1" thickBot="1" x14ac:dyDescent="0.35">
      <c r="A34" s="340" t="s">
        <v>208</v>
      </c>
      <c r="B34" s="318">
        <v>0.248294577706</v>
      </c>
      <c r="C34" s="318">
        <v>0</v>
      </c>
      <c r="D34" s="319">
        <v>-0.248294577706</v>
      </c>
      <c r="E34" s="320">
        <v>0</v>
      </c>
      <c r="F34" s="318">
        <v>0</v>
      </c>
      <c r="G34" s="319">
        <v>0</v>
      </c>
      <c r="H34" s="321">
        <v>0</v>
      </c>
      <c r="I34" s="318">
        <v>0</v>
      </c>
      <c r="J34" s="319">
        <v>0</v>
      </c>
      <c r="K34" s="322">
        <v>4</v>
      </c>
    </row>
    <row r="35" spans="1:11" ht="14.4" customHeight="1" thickBot="1" x14ac:dyDescent="0.35">
      <c r="A35" s="341" t="s">
        <v>209</v>
      </c>
      <c r="B35" s="323">
        <v>189.421695593983</v>
      </c>
      <c r="C35" s="323">
        <v>206.61883</v>
      </c>
      <c r="D35" s="324">
        <v>17.197134406017</v>
      </c>
      <c r="E35" s="329">
        <v>1.090787564497</v>
      </c>
      <c r="F35" s="323">
        <v>234.16426914362</v>
      </c>
      <c r="G35" s="324">
        <v>78.054756381206005</v>
      </c>
      <c r="H35" s="326">
        <v>16.3536</v>
      </c>
      <c r="I35" s="323">
        <v>61.790019999999998</v>
      </c>
      <c r="J35" s="324">
        <v>-16.264736381205999</v>
      </c>
      <c r="K35" s="327">
        <v>0.26387467321899999</v>
      </c>
    </row>
    <row r="36" spans="1:11" ht="14.4" customHeight="1" thickBot="1" x14ac:dyDescent="0.35">
      <c r="A36" s="338" t="s">
        <v>29</v>
      </c>
      <c r="B36" s="318">
        <v>13.562344242715</v>
      </c>
      <c r="C36" s="318">
        <v>28.67568</v>
      </c>
      <c r="D36" s="319">
        <v>15.113335757284</v>
      </c>
      <c r="E36" s="320">
        <v>2.114360134709</v>
      </c>
      <c r="F36" s="318">
        <v>47.732530561840001</v>
      </c>
      <c r="G36" s="319">
        <v>15.910843520613</v>
      </c>
      <c r="H36" s="321">
        <v>0</v>
      </c>
      <c r="I36" s="318">
        <v>1.25387</v>
      </c>
      <c r="J36" s="319">
        <v>-14.656973520613001</v>
      </c>
      <c r="K36" s="322">
        <v>2.6268668039E-2</v>
      </c>
    </row>
    <row r="37" spans="1:11" ht="14.4" customHeight="1" thickBot="1" x14ac:dyDescent="0.35">
      <c r="A37" s="342" t="s">
        <v>210</v>
      </c>
      <c r="B37" s="318">
        <v>13.562344242715</v>
      </c>
      <c r="C37" s="318">
        <v>28.67568</v>
      </c>
      <c r="D37" s="319">
        <v>15.113335757284</v>
      </c>
      <c r="E37" s="320">
        <v>2.114360134709</v>
      </c>
      <c r="F37" s="318">
        <v>47.732530561840001</v>
      </c>
      <c r="G37" s="319">
        <v>15.910843520613</v>
      </c>
      <c r="H37" s="321">
        <v>0</v>
      </c>
      <c r="I37" s="318">
        <v>1.25387</v>
      </c>
      <c r="J37" s="319">
        <v>-14.656973520613001</v>
      </c>
      <c r="K37" s="322">
        <v>2.6268668039E-2</v>
      </c>
    </row>
    <row r="38" spans="1:11" ht="14.4" customHeight="1" thickBot="1" x14ac:dyDescent="0.35">
      <c r="A38" s="340" t="s">
        <v>211</v>
      </c>
      <c r="B38" s="318">
        <v>0</v>
      </c>
      <c r="C38" s="318">
        <v>27.225000000000001</v>
      </c>
      <c r="D38" s="319">
        <v>27.225000000000001</v>
      </c>
      <c r="E38" s="328" t="s">
        <v>184</v>
      </c>
      <c r="F38" s="318">
        <v>46.401907807256997</v>
      </c>
      <c r="G38" s="319">
        <v>15.467302602419</v>
      </c>
      <c r="H38" s="321">
        <v>0</v>
      </c>
      <c r="I38" s="318">
        <v>0</v>
      </c>
      <c r="J38" s="319">
        <v>-15.467302602419</v>
      </c>
      <c r="K38" s="322">
        <v>0</v>
      </c>
    </row>
    <row r="39" spans="1:11" ht="14.4" customHeight="1" thickBot="1" x14ac:dyDescent="0.35">
      <c r="A39" s="340" t="s">
        <v>212</v>
      </c>
      <c r="B39" s="318">
        <v>0</v>
      </c>
      <c r="C39" s="318">
        <v>0.93169999999999997</v>
      </c>
      <c r="D39" s="319">
        <v>0.93169999999999997</v>
      </c>
      <c r="E39" s="328" t="s">
        <v>178</v>
      </c>
      <c r="F39" s="318">
        <v>0.95754442197099998</v>
      </c>
      <c r="G39" s="319">
        <v>0.31918147399000002</v>
      </c>
      <c r="H39" s="321">
        <v>0</v>
      </c>
      <c r="I39" s="318">
        <v>0.94755</v>
      </c>
      <c r="J39" s="319">
        <v>0.62836852600899995</v>
      </c>
      <c r="K39" s="322">
        <v>0.98956244562399998</v>
      </c>
    </row>
    <row r="40" spans="1:11" ht="14.4" customHeight="1" thickBot="1" x14ac:dyDescent="0.35">
      <c r="A40" s="340" t="s">
        <v>213</v>
      </c>
      <c r="B40" s="318">
        <v>13.562344242715</v>
      </c>
      <c r="C40" s="318">
        <v>0.51898</v>
      </c>
      <c r="D40" s="319">
        <v>-13.043364242715001</v>
      </c>
      <c r="E40" s="320">
        <v>3.8266245916000002E-2</v>
      </c>
      <c r="F40" s="318">
        <v>0.37307833261099999</v>
      </c>
      <c r="G40" s="319">
        <v>0.12435944420300001</v>
      </c>
      <c r="H40" s="321">
        <v>0</v>
      </c>
      <c r="I40" s="318">
        <v>0.30631999999999998</v>
      </c>
      <c r="J40" s="319">
        <v>0.18196055579600001</v>
      </c>
      <c r="K40" s="322">
        <v>0.82106081544800003</v>
      </c>
    </row>
    <row r="41" spans="1:11" ht="14.4" customHeight="1" thickBot="1" x14ac:dyDescent="0.35">
      <c r="A41" s="343" t="s">
        <v>30</v>
      </c>
      <c r="B41" s="323">
        <v>0</v>
      </c>
      <c r="C41" s="323">
        <v>14.35</v>
      </c>
      <c r="D41" s="324">
        <v>14.35</v>
      </c>
      <c r="E41" s="325" t="s">
        <v>178</v>
      </c>
      <c r="F41" s="323">
        <v>0</v>
      </c>
      <c r="G41" s="324">
        <v>0</v>
      </c>
      <c r="H41" s="326">
        <v>4.532</v>
      </c>
      <c r="I41" s="323">
        <v>6.835</v>
      </c>
      <c r="J41" s="324">
        <v>6.835</v>
      </c>
      <c r="K41" s="330" t="s">
        <v>178</v>
      </c>
    </row>
    <row r="42" spans="1:11" ht="14.4" customHeight="1" thickBot="1" x14ac:dyDescent="0.35">
      <c r="A42" s="339" t="s">
        <v>214</v>
      </c>
      <c r="B42" s="323">
        <v>0</v>
      </c>
      <c r="C42" s="323">
        <v>13.72</v>
      </c>
      <c r="D42" s="324">
        <v>13.72</v>
      </c>
      <c r="E42" s="325" t="s">
        <v>178</v>
      </c>
      <c r="F42" s="323">
        <v>0</v>
      </c>
      <c r="G42" s="324">
        <v>0</v>
      </c>
      <c r="H42" s="326">
        <v>4.532</v>
      </c>
      <c r="I42" s="323">
        <v>6.835</v>
      </c>
      <c r="J42" s="324">
        <v>6.835</v>
      </c>
      <c r="K42" s="330" t="s">
        <v>178</v>
      </c>
    </row>
    <row r="43" spans="1:11" ht="14.4" customHeight="1" thickBot="1" x14ac:dyDescent="0.35">
      <c r="A43" s="340" t="s">
        <v>215</v>
      </c>
      <c r="B43" s="318">
        <v>0</v>
      </c>
      <c r="C43" s="318">
        <v>12.18</v>
      </c>
      <c r="D43" s="319">
        <v>12.18</v>
      </c>
      <c r="E43" s="328" t="s">
        <v>178</v>
      </c>
      <c r="F43" s="318">
        <v>0</v>
      </c>
      <c r="G43" s="319">
        <v>0</v>
      </c>
      <c r="H43" s="321">
        <v>4.532</v>
      </c>
      <c r="I43" s="318">
        <v>6.835</v>
      </c>
      <c r="J43" s="319">
        <v>6.835</v>
      </c>
      <c r="K43" s="331" t="s">
        <v>178</v>
      </c>
    </row>
    <row r="44" spans="1:11" ht="14.4" customHeight="1" thickBot="1" x14ac:dyDescent="0.35">
      <c r="A44" s="340" t="s">
        <v>216</v>
      </c>
      <c r="B44" s="318">
        <v>0</v>
      </c>
      <c r="C44" s="318">
        <v>1.54</v>
      </c>
      <c r="D44" s="319">
        <v>1.54</v>
      </c>
      <c r="E44" s="328" t="s">
        <v>184</v>
      </c>
      <c r="F44" s="318">
        <v>0</v>
      </c>
      <c r="G44" s="319">
        <v>0</v>
      </c>
      <c r="H44" s="321">
        <v>0</v>
      </c>
      <c r="I44" s="318">
        <v>0</v>
      </c>
      <c r="J44" s="319">
        <v>0</v>
      </c>
      <c r="K44" s="331" t="s">
        <v>178</v>
      </c>
    </row>
    <row r="45" spans="1:11" ht="14.4" customHeight="1" thickBot="1" x14ac:dyDescent="0.35">
      <c r="A45" s="339" t="s">
        <v>217</v>
      </c>
      <c r="B45" s="323">
        <v>0</v>
      </c>
      <c r="C45" s="323">
        <v>0.63</v>
      </c>
      <c r="D45" s="324">
        <v>0.63</v>
      </c>
      <c r="E45" s="325" t="s">
        <v>184</v>
      </c>
      <c r="F45" s="323">
        <v>0</v>
      </c>
      <c r="G45" s="324">
        <v>0</v>
      </c>
      <c r="H45" s="326">
        <v>0</v>
      </c>
      <c r="I45" s="323">
        <v>0</v>
      </c>
      <c r="J45" s="324">
        <v>0</v>
      </c>
      <c r="K45" s="330" t="s">
        <v>178</v>
      </c>
    </row>
    <row r="46" spans="1:11" ht="14.4" customHeight="1" thickBot="1" x14ac:dyDescent="0.35">
      <c r="A46" s="340" t="s">
        <v>218</v>
      </c>
      <c r="B46" s="318">
        <v>0</v>
      </c>
      <c r="C46" s="318">
        <v>0.63</v>
      </c>
      <c r="D46" s="319">
        <v>0.63</v>
      </c>
      <c r="E46" s="328" t="s">
        <v>184</v>
      </c>
      <c r="F46" s="318">
        <v>0</v>
      </c>
      <c r="G46" s="319">
        <v>0</v>
      </c>
      <c r="H46" s="321">
        <v>0</v>
      </c>
      <c r="I46" s="318">
        <v>0</v>
      </c>
      <c r="J46" s="319">
        <v>0</v>
      </c>
      <c r="K46" s="331" t="s">
        <v>178</v>
      </c>
    </row>
    <row r="47" spans="1:11" ht="14.4" customHeight="1" thickBot="1" x14ac:dyDescent="0.35">
      <c r="A47" s="338" t="s">
        <v>31</v>
      </c>
      <c r="B47" s="318">
        <v>175.85935135126701</v>
      </c>
      <c r="C47" s="318">
        <v>163.59315000000001</v>
      </c>
      <c r="D47" s="319">
        <v>-12.266201351266</v>
      </c>
      <c r="E47" s="320">
        <v>0.93024993406900003</v>
      </c>
      <c r="F47" s="318">
        <v>186.43173858178</v>
      </c>
      <c r="G47" s="319">
        <v>62.143912860592998</v>
      </c>
      <c r="H47" s="321">
        <v>11.8216</v>
      </c>
      <c r="I47" s="318">
        <v>53.701149999999998</v>
      </c>
      <c r="J47" s="319">
        <v>-8.4427628605929996</v>
      </c>
      <c r="K47" s="322">
        <v>0.28804725208499998</v>
      </c>
    </row>
    <row r="48" spans="1:11" ht="14.4" customHeight="1" thickBot="1" x14ac:dyDescent="0.35">
      <c r="A48" s="339" t="s">
        <v>219</v>
      </c>
      <c r="B48" s="323">
        <v>7.6741094639060004</v>
      </c>
      <c r="C48" s="323">
        <v>12.54448</v>
      </c>
      <c r="D48" s="324">
        <v>4.8703705360929996</v>
      </c>
      <c r="E48" s="329">
        <v>1.6346496044909999</v>
      </c>
      <c r="F48" s="323">
        <v>13.846925007012</v>
      </c>
      <c r="G48" s="324">
        <v>4.6156416690039999</v>
      </c>
      <c r="H48" s="326">
        <v>1.92093</v>
      </c>
      <c r="I48" s="323">
        <v>3.9176700000000002</v>
      </c>
      <c r="J48" s="324">
        <v>-0.69797166900399998</v>
      </c>
      <c r="K48" s="327">
        <v>0.28292707572300002</v>
      </c>
    </row>
    <row r="49" spans="1:11" ht="14.4" customHeight="1" thickBot="1" x14ac:dyDescent="0.35">
      <c r="A49" s="340" t="s">
        <v>220</v>
      </c>
      <c r="B49" s="318">
        <v>4.2467717947000001E-2</v>
      </c>
      <c r="C49" s="318">
        <v>0.1416</v>
      </c>
      <c r="D49" s="319">
        <v>9.9132282052000004E-2</v>
      </c>
      <c r="E49" s="320">
        <v>3.3342973637859998</v>
      </c>
      <c r="F49" s="318">
        <v>0.104714108949</v>
      </c>
      <c r="G49" s="319">
        <v>3.4904702982999997E-2</v>
      </c>
      <c r="H49" s="321">
        <v>0</v>
      </c>
      <c r="I49" s="318">
        <v>6.6500000000000004E-2</v>
      </c>
      <c r="J49" s="319">
        <v>3.1595297016000001E-2</v>
      </c>
      <c r="K49" s="322">
        <v>0.63506246356700002</v>
      </c>
    </row>
    <row r="50" spans="1:11" ht="14.4" customHeight="1" thickBot="1" x14ac:dyDescent="0.35">
      <c r="A50" s="340" t="s">
        <v>221</v>
      </c>
      <c r="B50" s="318">
        <v>7.6316417459580004</v>
      </c>
      <c r="C50" s="318">
        <v>12.40288</v>
      </c>
      <c r="D50" s="319">
        <v>4.7712382540410001</v>
      </c>
      <c r="E50" s="320">
        <v>1.6251915921710001</v>
      </c>
      <c r="F50" s="318">
        <v>13.742210898062</v>
      </c>
      <c r="G50" s="319">
        <v>4.5807369660199999</v>
      </c>
      <c r="H50" s="321">
        <v>1.92093</v>
      </c>
      <c r="I50" s="318">
        <v>3.8511700000000002</v>
      </c>
      <c r="J50" s="319">
        <v>-0.72956696602000004</v>
      </c>
      <c r="K50" s="322">
        <v>0.28024384348100001</v>
      </c>
    </row>
    <row r="51" spans="1:11" ht="14.4" customHeight="1" thickBot="1" x14ac:dyDescent="0.35">
      <c r="A51" s="339" t="s">
        <v>222</v>
      </c>
      <c r="B51" s="323">
        <v>1.279806242204</v>
      </c>
      <c r="C51" s="323">
        <v>0.54</v>
      </c>
      <c r="D51" s="324">
        <v>-0.73980624220400004</v>
      </c>
      <c r="E51" s="329">
        <v>0.42193887026900001</v>
      </c>
      <c r="F51" s="323">
        <v>1.0000002756549999</v>
      </c>
      <c r="G51" s="324">
        <v>0.33333342521800002</v>
      </c>
      <c r="H51" s="326">
        <v>0.13500000000000001</v>
      </c>
      <c r="I51" s="323">
        <v>0.27</v>
      </c>
      <c r="J51" s="324">
        <v>-6.3333425218000006E-2</v>
      </c>
      <c r="K51" s="327">
        <v>0.26999992557199998</v>
      </c>
    </row>
    <row r="52" spans="1:11" ht="14.4" customHeight="1" thickBot="1" x14ac:dyDescent="0.35">
      <c r="A52" s="340" t="s">
        <v>223</v>
      </c>
      <c r="B52" s="318">
        <v>1.279806242204</v>
      </c>
      <c r="C52" s="318">
        <v>0.54</v>
      </c>
      <c r="D52" s="319">
        <v>-0.73980624220400004</v>
      </c>
      <c r="E52" s="320">
        <v>0.42193887026900001</v>
      </c>
      <c r="F52" s="318">
        <v>1.0000002756549999</v>
      </c>
      <c r="G52" s="319">
        <v>0.33333342521800002</v>
      </c>
      <c r="H52" s="321">
        <v>0.13500000000000001</v>
      </c>
      <c r="I52" s="318">
        <v>0.27</v>
      </c>
      <c r="J52" s="319">
        <v>-6.3333425218000006E-2</v>
      </c>
      <c r="K52" s="322">
        <v>0.26999992557199998</v>
      </c>
    </row>
    <row r="53" spans="1:11" ht="14.4" customHeight="1" thickBot="1" x14ac:dyDescent="0.35">
      <c r="A53" s="339" t="s">
        <v>224</v>
      </c>
      <c r="B53" s="323">
        <v>33.29999823875</v>
      </c>
      <c r="C53" s="323">
        <v>34.75759</v>
      </c>
      <c r="D53" s="324">
        <v>1.4575917612489999</v>
      </c>
      <c r="E53" s="329">
        <v>1.0437715266759999</v>
      </c>
      <c r="F53" s="323">
        <v>32.861653528574998</v>
      </c>
      <c r="G53" s="324">
        <v>10.953884509525</v>
      </c>
      <c r="H53" s="326">
        <v>2.8711000000000002</v>
      </c>
      <c r="I53" s="323">
        <v>11.27905</v>
      </c>
      <c r="J53" s="324">
        <v>0.32516549047400001</v>
      </c>
      <c r="K53" s="327">
        <v>0.34322831595100001</v>
      </c>
    </row>
    <row r="54" spans="1:11" ht="14.4" customHeight="1" thickBot="1" x14ac:dyDescent="0.35">
      <c r="A54" s="340" t="s">
        <v>225</v>
      </c>
      <c r="B54" s="318">
        <v>19.223769626088</v>
      </c>
      <c r="C54" s="318">
        <v>17.876280000000001</v>
      </c>
      <c r="D54" s="319">
        <v>-1.347489626088</v>
      </c>
      <c r="E54" s="320">
        <v>0.92990502631299998</v>
      </c>
      <c r="F54" s="318">
        <v>18.301116303530002</v>
      </c>
      <c r="G54" s="319">
        <v>6.1003721011760002</v>
      </c>
      <c r="H54" s="321">
        <v>1.5230399999999999</v>
      </c>
      <c r="I54" s="318">
        <v>6.0921599999999998</v>
      </c>
      <c r="J54" s="319">
        <v>-8.2121011760000005E-3</v>
      </c>
      <c r="K54" s="322">
        <v>0.33288461200699998</v>
      </c>
    </row>
    <row r="55" spans="1:11" ht="14.4" customHeight="1" thickBot="1" x14ac:dyDescent="0.35">
      <c r="A55" s="340" t="s">
        <v>226</v>
      </c>
      <c r="B55" s="318">
        <v>14.076228612661</v>
      </c>
      <c r="C55" s="318">
        <v>16.881309999999999</v>
      </c>
      <c r="D55" s="319">
        <v>2.8050813873379998</v>
      </c>
      <c r="E55" s="320">
        <v>1.199277907778</v>
      </c>
      <c r="F55" s="318">
        <v>14.560537225045</v>
      </c>
      <c r="G55" s="319">
        <v>4.8535124083480001</v>
      </c>
      <c r="H55" s="321">
        <v>1.34806</v>
      </c>
      <c r="I55" s="318">
        <v>5.18689</v>
      </c>
      <c r="J55" s="319">
        <v>0.333377591651</v>
      </c>
      <c r="K55" s="322">
        <v>0.35622930114599999</v>
      </c>
    </row>
    <row r="56" spans="1:11" ht="14.4" customHeight="1" thickBot="1" x14ac:dyDescent="0.35">
      <c r="A56" s="339" t="s">
        <v>227</v>
      </c>
      <c r="B56" s="323">
        <v>63.605439611234999</v>
      </c>
      <c r="C56" s="323">
        <v>65.033079999999998</v>
      </c>
      <c r="D56" s="324">
        <v>1.4276403887639999</v>
      </c>
      <c r="E56" s="329">
        <v>1.0224452562149999</v>
      </c>
      <c r="F56" s="323">
        <v>55.103308455791002</v>
      </c>
      <c r="G56" s="324">
        <v>18.367769485263</v>
      </c>
      <c r="H56" s="326">
        <v>6.8945699999999999</v>
      </c>
      <c r="I56" s="323">
        <v>28.61243</v>
      </c>
      <c r="J56" s="324">
        <v>10.244660514735999</v>
      </c>
      <c r="K56" s="327">
        <v>0.51925067299600003</v>
      </c>
    </row>
    <row r="57" spans="1:11" ht="14.4" customHeight="1" thickBot="1" x14ac:dyDescent="0.35">
      <c r="A57" s="340" t="s">
        <v>228</v>
      </c>
      <c r="B57" s="318">
        <v>0</v>
      </c>
      <c r="C57" s="318">
        <v>0.96799999999999997</v>
      </c>
      <c r="D57" s="319">
        <v>0.96799999999999997</v>
      </c>
      <c r="E57" s="328" t="s">
        <v>184</v>
      </c>
      <c r="F57" s="318">
        <v>3.0000008269670002</v>
      </c>
      <c r="G57" s="319">
        <v>1.0000002756549999</v>
      </c>
      <c r="H57" s="321">
        <v>0</v>
      </c>
      <c r="I57" s="318">
        <v>0</v>
      </c>
      <c r="J57" s="319">
        <v>-1.0000002756549999</v>
      </c>
      <c r="K57" s="322">
        <v>0</v>
      </c>
    </row>
    <row r="58" spans="1:11" ht="14.4" customHeight="1" thickBot="1" x14ac:dyDescent="0.35">
      <c r="A58" s="340" t="s">
        <v>229</v>
      </c>
      <c r="B58" s="318">
        <v>27.936828018530001</v>
      </c>
      <c r="C58" s="318">
        <v>11.362</v>
      </c>
      <c r="D58" s="319">
        <v>-16.574828018529999</v>
      </c>
      <c r="E58" s="320">
        <v>0.40670329474900002</v>
      </c>
      <c r="F58" s="318">
        <v>10.686616648407</v>
      </c>
      <c r="G58" s="319">
        <v>3.5622055494690001</v>
      </c>
      <c r="H58" s="321">
        <v>0</v>
      </c>
      <c r="I58" s="318">
        <v>8.2279999999999998</v>
      </c>
      <c r="J58" s="319">
        <v>4.66579445053</v>
      </c>
      <c r="K58" s="322">
        <v>0.76993498229599999</v>
      </c>
    </row>
    <row r="59" spans="1:11" ht="14.4" customHeight="1" thickBot="1" x14ac:dyDescent="0.35">
      <c r="A59" s="340" t="s">
        <v>230</v>
      </c>
      <c r="B59" s="318">
        <v>35.668611592704998</v>
      </c>
      <c r="C59" s="318">
        <v>52.70308</v>
      </c>
      <c r="D59" s="319">
        <v>17.034468407294</v>
      </c>
      <c r="E59" s="320">
        <v>1.4775758754449999</v>
      </c>
      <c r="F59" s="318">
        <v>41.416690980416</v>
      </c>
      <c r="G59" s="319">
        <v>13.805563660138001</v>
      </c>
      <c r="H59" s="321">
        <v>6.8945699999999999</v>
      </c>
      <c r="I59" s="318">
        <v>20.384429999999998</v>
      </c>
      <c r="J59" s="319">
        <v>6.5788663398610003</v>
      </c>
      <c r="K59" s="322">
        <v>0.49217910744299997</v>
      </c>
    </row>
    <row r="60" spans="1:11" ht="14.4" customHeight="1" thickBot="1" x14ac:dyDescent="0.35">
      <c r="A60" s="339" t="s">
        <v>231</v>
      </c>
      <c r="B60" s="323">
        <v>69.999997795168994</v>
      </c>
      <c r="C60" s="323">
        <v>50.718000000000004</v>
      </c>
      <c r="D60" s="324">
        <v>-19.281997795169001</v>
      </c>
      <c r="E60" s="329">
        <v>0.72454287996400002</v>
      </c>
      <c r="F60" s="323">
        <v>83.619851314743997</v>
      </c>
      <c r="G60" s="324">
        <v>27.873283771581001</v>
      </c>
      <c r="H60" s="326">
        <v>0</v>
      </c>
      <c r="I60" s="323">
        <v>9.6219999999999999</v>
      </c>
      <c r="J60" s="324">
        <v>-18.251283771581001</v>
      </c>
      <c r="K60" s="327">
        <v>0.11506837011399999</v>
      </c>
    </row>
    <row r="61" spans="1:11" ht="14.4" customHeight="1" thickBot="1" x14ac:dyDescent="0.35">
      <c r="A61" s="340" t="s">
        <v>232</v>
      </c>
      <c r="B61" s="318">
        <v>0</v>
      </c>
      <c r="C61" s="318">
        <v>1.8759999999999999</v>
      </c>
      <c r="D61" s="319">
        <v>1.8759999999999999</v>
      </c>
      <c r="E61" s="328" t="s">
        <v>184</v>
      </c>
      <c r="F61" s="318">
        <v>0.984486531183</v>
      </c>
      <c r="G61" s="319">
        <v>0.32816217706099998</v>
      </c>
      <c r="H61" s="321">
        <v>0</v>
      </c>
      <c r="I61" s="318">
        <v>0</v>
      </c>
      <c r="J61" s="319">
        <v>-0.32816217706099998</v>
      </c>
      <c r="K61" s="322">
        <v>0</v>
      </c>
    </row>
    <row r="62" spans="1:11" ht="14.4" customHeight="1" thickBot="1" x14ac:dyDescent="0.35">
      <c r="A62" s="340" t="s">
        <v>233</v>
      </c>
      <c r="B62" s="318">
        <v>29.999999055071999</v>
      </c>
      <c r="C62" s="318">
        <v>25.068000000000001</v>
      </c>
      <c r="D62" s="319">
        <v>-4.9319990550719996</v>
      </c>
      <c r="E62" s="320">
        <v>0.83560002631899999</v>
      </c>
      <c r="F62" s="318">
        <v>30.183950819159001</v>
      </c>
      <c r="G62" s="319">
        <v>10.061316939718999</v>
      </c>
      <c r="H62" s="321">
        <v>0</v>
      </c>
      <c r="I62" s="318">
        <v>9.6219999999999999</v>
      </c>
      <c r="J62" s="319">
        <v>-0.43931693971899999</v>
      </c>
      <c r="K62" s="322">
        <v>0.31877868002199999</v>
      </c>
    </row>
    <row r="63" spans="1:11" ht="14.4" customHeight="1" thickBot="1" x14ac:dyDescent="0.35">
      <c r="A63" s="340" t="s">
        <v>234</v>
      </c>
      <c r="B63" s="318">
        <v>39.999998740095997</v>
      </c>
      <c r="C63" s="318">
        <v>23.774000000000001</v>
      </c>
      <c r="D63" s="319">
        <v>-16.225998740095999</v>
      </c>
      <c r="E63" s="320">
        <v>0.59435001872000004</v>
      </c>
      <c r="F63" s="318">
        <v>52.451413964400999</v>
      </c>
      <c r="G63" s="319">
        <v>17.4838046548</v>
      </c>
      <c r="H63" s="321">
        <v>0</v>
      </c>
      <c r="I63" s="318">
        <v>0</v>
      </c>
      <c r="J63" s="319">
        <v>-17.4838046548</v>
      </c>
      <c r="K63" s="322">
        <v>0</v>
      </c>
    </row>
    <row r="64" spans="1:11" ht="14.4" customHeight="1" thickBot="1" x14ac:dyDescent="0.35">
      <c r="A64" s="337" t="s">
        <v>32</v>
      </c>
      <c r="B64" s="318">
        <v>2564.9999192087198</v>
      </c>
      <c r="C64" s="318">
        <v>2877.91023</v>
      </c>
      <c r="D64" s="319">
        <v>312.91031079128402</v>
      </c>
      <c r="E64" s="320">
        <v>1.1219923277370001</v>
      </c>
      <c r="F64" s="318">
        <v>2831.00078038123</v>
      </c>
      <c r="G64" s="319">
        <v>943.66692679374398</v>
      </c>
      <c r="H64" s="321">
        <v>227.94006999999999</v>
      </c>
      <c r="I64" s="318">
        <v>910.69259999999997</v>
      </c>
      <c r="J64" s="319">
        <v>-32.974326793743003</v>
      </c>
      <c r="K64" s="322">
        <v>0.32168574671900002</v>
      </c>
    </row>
    <row r="65" spans="1:11" ht="14.4" customHeight="1" thickBot="1" x14ac:dyDescent="0.35">
      <c r="A65" s="343" t="s">
        <v>235</v>
      </c>
      <c r="B65" s="323">
        <v>1915.99993965064</v>
      </c>
      <c r="C65" s="323">
        <v>2132.232</v>
      </c>
      <c r="D65" s="324">
        <v>216.232060349357</v>
      </c>
      <c r="E65" s="329">
        <v>1.1128559849470001</v>
      </c>
      <c r="F65" s="323">
        <v>2106.0005805308601</v>
      </c>
      <c r="G65" s="324">
        <v>702.00019351028698</v>
      </c>
      <c r="H65" s="326">
        <v>168.27699999999999</v>
      </c>
      <c r="I65" s="323">
        <v>672.31899999999996</v>
      </c>
      <c r="J65" s="324">
        <v>-29.681193510286999</v>
      </c>
      <c r="K65" s="327">
        <v>0.319239703072</v>
      </c>
    </row>
    <row r="66" spans="1:11" ht="14.4" customHeight="1" thickBot="1" x14ac:dyDescent="0.35">
      <c r="A66" s="339" t="s">
        <v>236</v>
      </c>
      <c r="B66" s="323">
        <v>1849.99994172948</v>
      </c>
      <c r="C66" s="323">
        <v>2072.232</v>
      </c>
      <c r="D66" s="324">
        <v>222.232058270517</v>
      </c>
      <c r="E66" s="329">
        <v>1.120125440686</v>
      </c>
      <c r="F66" s="323">
        <v>2040.0005623375901</v>
      </c>
      <c r="G66" s="324">
        <v>680.00018744586203</v>
      </c>
      <c r="H66" s="326">
        <v>163.27699999999999</v>
      </c>
      <c r="I66" s="323">
        <v>652.31899999999996</v>
      </c>
      <c r="J66" s="324">
        <v>-27.681187445862001</v>
      </c>
      <c r="K66" s="327">
        <v>0.31976412754099998</v>
      </c>
    </row>
    <row r="67" spans="1:11" ht="14.4" customHeight="1" thickBot="1" x14ac:dyDescent="0.35">
      <c r="A67" s="340" t="s">
        <v>237</v>
      </c>
      <c r="B67" s="318">
        <v>1849.99994172948</v>
      </c>
      <c r="C67" s="318">
        <v>2072.232</v>
      </c>
      <c r="D67" s="319">
        <v>222.232058270517</v>
      </c>
      <c r="E67" s="320">
        <v>1.120125440686</v>
      </c>
      <c r="F67" s="318">
        <v>2040.0005623375901</v>
      </c>
      <c r="G67" s="319">
        <v>680.00018744586203</v>
      </c>
      <c r="H67" s="321">
        <v>163.27699999999999</v>
      </c>
      <c r="I67" s="318">
        <v>652.31899999999996</v>
      </c>
      <c r="J67" s="319">
        <v>-27.681187445862001</v>
      </c>
      <c r="K67" s="322">
        <v>0.31976412754099998</v>
      </c>
    </row>
    <row r="68" spans="1:11" ht="14.4" customHeight="1" thickBot="1" x14ac:dyDescent="0.35">
      <c r="A68" s="339" t="s">
        <v>238</v>
      </c>
      <c r="B68" s="323">
        <v>59.999998110145</v>
      </c>
      <c r="C68" s="323">
        <v>60</v>
      </c>
      <c r="D68" s="324">
        <v>1.8898546016998801E-6</v>
      </c>
      <c r="E68" s="329">
        <v>1.0000000314969999</v>
      </c>
      <c r="F68" s="323">
        <v>60.000016539340002</v>
      </c>
      <c r="G68" s="324">
        <v>20.000005513112999</v>
      </c>
      <c r="H68" s="326">
        <v>5</v>
      </c>
      <c r="I68" s="323">
        <v>20</v>
      </c>
      <c r="J68" s="324">
        <v>-5.5131135994201898E-6</v>
      </c>
      <c r="K68" s="327">
        <v>0.33333324144799997</v>
      </c>
    </row>
    <row r="69" spans="1:11" ht="14.4" customHeight="1" thickBot="1" x14ac:dyDescent="0.35">
      <c r="A69" s="340" t="s">
        <v>239</v>
      </c>
      <c r="B69" s="318">
        <v>59.999998110145</v>
      </c>
      <c r="C69" s="318">
        <v>60</v>
      </c>
      <c r="D69" s="319">
        <v>1.8898546016998801E-6</v>
      </c>
      <c r="E69" s="320">
        <v>1.0000000314969999</v>
      </c>
      <c r="F69" s="318">
        <v>60.000016539340002</v>
      </c>
      <c r="G69" s="319">
        <v>20.000005513112999</v>
      </c>
      <c r="H69" s="321">
        <v>5</v>
      </c>
      <c r="I69" s="318">
        <v>20</v>
      </c>
      <c r="J69" s="319">
        <v>-5.5131135994201898E-6</v>
      </c>
      <c r="K69" s="322">
        <v>0.33333324144799997</v>
      </c>
    </row>
    <row r="70" spans="1:11" ht="14.4" customHeight="1" thickBot="1" x14ac:dyDescent="0.35">
      <c r="A70" s="339" t="s">
        <v>240</v>
      </c>
      <c r="B70" s="323">
        <v>5.9999998110139998</v>
      </c>
      <c r="C70" s="323">
        <v>0</v>
      </c>
      <c r="D70" s="324">
        <v>-5.9999998110139998</v>
      </c>
      <c r="E70" s="329">
        <v>0</v>
      </c>
      <c r="F70" s="323">
        <v>6.0000016539340004</v>
      </c>
      <c r="G70" s="324">
        <v>2.000000551311</v>
      </c>
      <c r="H70" s="326">
        <v>0</v>
      </c>
      <c r="I70" s="323">
        <v>0</v>
      </c>
      <c r="J70" s="324">
        <v>-2.000000551311</v>
      </c>
      <c r="K70" s="327">
        <v>0</v>
      </c>
    </row>
    <row r="71" spans="1:11" ht="14.4" customHeight="1" thickBot="1" x14ac:dyDescent="0.35">
      <c r="A71" s="340" t="s">
        <v>241</v>
      </c>
      <c r="B71" s="318">
        <v>5.9999998110139998</v>
      </c>
      <c r="C71" s="318">
        <v>0</v>
      </c>
      <c r="D71" s="319">
        <v>-5.9999998110139998</v>
      </c>
      <c r="E71" s="320">
        <v>0</v>
      </c>
      <c r="F71" s="318">
        <v>6.0000016539340004</v>
      </c>
      <c r="G71" s="319">
        <v>2.000000551311</v>
      </c>
      <c r="H71" s="321">
        <v>0</v>
      </c>
      <c r="I71" s="318">
        <v>0</v>
      </c>
      <c r="J71" s="319">
        <v>-2.000000551311</v>
      </c>
      <c r="K71" s="322">
        <v>0</v>
      </c>
    </row>
    <row r="72" spans="1:11" ht="14.4" customHeight="1" thickBot="1" x14ac:dyDescent="0.35">
      <c r="A72" s="338" t="s">
        <v>242</v>
      </c>
      <c r="B72" s="318">
        <v>629.99998015652704</v>
      </c>
      <c r="C72" s="318">
        <v>724.95730000000003</v>
      </c>
      <c r="D72" s="319">
        <v>94.957319843473002</v>
      </c>
      <c r="E72" s="320">
        <v>1.15072590926</v>
      </c>
      <c r="F72" s="318">
        <v>694.00019130504199</v>
      </c>
      <c r="G72" s="319">
        <v>231.33339710168099</v>
      </c>
      <c r="H72" s="321">
        <v>57.214089999999999</v>
      </c>
      <c r="I72" s="318">
        <v>228.58867000000001</v>
      </c>
      <c r="J72" s="319">
        <v>-2.7447271016800001</v>
      </c>
      <c r="K72" s="322">
        <v>0.32937839623600002</v>
      </c>
    </row>
    <row r="73" spans="1:11" ht="14.4" customHeight="1" thickBot="1" x14ac:dyDescent="0.35">
      <c r="A73" s="339" t="s">
        <v>243</v>
      </c>
      <c r="B73" s="323">
        <v>166.99999473990499</v>
      </c>
      <c r="C73" s="323">
        <v>191.89926</v>
      </c>
      <c r="D73" s="324">
        <v>24.899265260095</v>
      </c>
      <c r="E73" s="329">
        <v>1.149097401463</v>
      </c>
      <c r="F73" s="323">
        <v>184.00005072064499</v>
      </c>
      <c r="G73" s="324">
        <v>61.333350240214997</v>
      </c>
      <c r="H73" s="326">
        <v>15.144830000000001</v>
      </c>
      <c r="I73" s="323">
        <v>60.508899999999997</v>
      </c>
      <c r="J73" s="324">
        <v>-0.82445024021500002</v>
      </c>
      <c r="K73" s="327">
        <v>0.32885262674100002</v>
      </c>
    </row>
    <row r="74" spans="1:11" ht="14.4" customHeight="1" thickBot="1" x14ac:dyDescent="0.35">
      <c r="A74" s="340" t="s">
        <v>244</v>
      </c>
      <c r="B74" s="318">
        <v>166.99999473990499</v>
      </c>
      <c r="C74" s="318">
        <v>191.89926</v>
      </c>
      <c r="D74" s="319">
        <v>24.899265260095</v>
      </c>
      <c r="E74" s="320">
        <v>1.149097401463</v>
      </c>
      <c r="F74" s="318">
        <v>184.00005072064499</v>
      </c>
      <c r="G74" s="319">
        <v>61.333350240214997</v>
      </c>
      <c r="H74" s="321">
        <v>15.144830000000001</v>
      </c>
      <c r="I74" s="318">
        <v>60.508899999999997</v>
      </c>
      <c r="J74" s="319">
        <v>-0.82445024021500002</v>
      </c>
      <c r="K74" s="322">
        <v>0.32885262674100002</v>
      </c>
    </row>
    <row r="75" spans="1:11" ht="14.4" customHeight="1" thickBot="1" x14ac:dyDescent="0.35">
      <c r="A75" s="339" t="s">
        <v>245</v>
      </c>
      <c r="B75" s="323">
        <v>462.999985416622</v>
      </c>
      <c r="C75" s="323">
        <v>533.05804000000001</v>
      </c>
      <c r="D75" s="324">
        <v>70.058054583377995</v>
      </c>
      <c r="E75" s="329">
        <v>1.151313297602</v>
      </c>
      <c r="F75" s="323">
        <v>510.000140584397</v>
      </c>
      <c r="G75" s="324">
        <v>170.00004686146599</v>
      </c>
      <c r="H75" s="326">
        <v>42.06926</v>
      </c>
      <c r="I75" s="323">
        <v>168.07977</v>
      </c>
      <c r="J75" s="324">
        <v>-1.9202768614650001</v>
      </c>
      <c r="K75" s="327">
        <v>0.329568085623</v>
      </c>
    </row>
    <row r="76" spans="1:11" ht="14.4" customHeight="1" thickBot="1" x14ac:dyDescent="0.35">
      <c r="A76" s="340" t="s">
        <v>246</v>
      </c>
      <c r="B76" s="318">
        <v>462.999985416622</v>
      </c>
      <c r="C76" s="318">
        <v>533.05804000000001</v>
      </c>
      <c r="D76" s="319">
        <v>70.058054583377995</v>
      </c>
      <c r="E76" s="320">
        <v>1.151313297602</v>
      </c>
      <c r="F76" s="318">
        <v>510.000140584397</v>
      </c>
      <c r="G76" s="319">
        <v>170.00004686146599</v>
      </c>
      <c r="H76" s="321">
        <v>42.06926</v>
      </c>
      <c r="I76" s="318">
        <v>168.07977</v>
      </c>
      <c r="J76" s="319">
        <v>-1.9202768614650001</v>
      </c>
      <c r="K76" s="322">
        <v>0.329568085623</v>
      </c>
    </row>
    <row r="77" spans="1:11" ht="14.4" customHeight="1" thickBot="1" x14ac:dyDescent="0.35">
      <c r="A77" s="338" t="s">
        <v>247</v>
      </c>
      <c r="B77" s="318">
        <v>18.999999401545999</v>
      </c>
      <c r="C77" s="318">
        <v>20.720929999999999</v>
      </c>
      <c r="D77" s="319">
        <v>1.7209305984529999</v>
      </c>
      <c r="E77" s="320">
        <v>1.0905752975080001</v>
      </c>
      <c r="F77" s="318">
        <v>31.000008545326001</v>
      </c>
      <c r="G77" s="319">
        <v>10.333336181775</v>
      </c>
      <c r="H77" s="321">
        <v>2.4489800000000002</v>
      </c>
      <c r="I77" s="318">
        <v>9.7849299999999992</v>
      </c>
      <c r="J77" s="319">
        <v>-0.548406181775</v>
      </c>
      <c r="K77" s="322">
        <v>0.31564281621700002</v>
      </c>
    </row>
    <row r="78" spans="1:11" ht="14.4" customHeight="1" thickBot="1" x14ac:dyDescent="0.35">
      <c r="A78" s="339" t="s">
        <v>248</v>
      </c>
      <c r="B78" s="323">
        <v>18.999999401545999</v>
      </c>
      <c r="C78" s="323">
        <v>20.720929999999999</v>
      </c>
      <c r="D78" s="324">
        <v>1.7209305984529999</v>
      </c>
      <c r="E78" s="329">
        <v>1.0905752975080001</v>
      </c>
      <c r="F78" s="323">
        <v>31.000008545326001</v>
      </c>
      <c r="G78" s="324">
        <v>10.333336181775</v>
      </c>
      <c r="H78" s="326">
        <v>2.4489800000000002</v>
      </c>
      <c r="I78" s="323">
        <v>9.7849299999999992</v>
      </c>
      <c r="J78" s="324">
        <v>-0.548406181775</v>
      </c>
      <c r="K78" s="327">
        <v>0.31564281621700002</v>
      </c>
    </row>
    <row r="79" spans="1:11" ht="14.4" customHeight="1" thickBot="1" x14ac:dyDescent="0.35">
      <c r="A79" s="340" t="s">
        <v>249</v>
      </c>
      <c r="B79" s="318">
        <v>18.999999401545999</v>
      </c>
      <c r="C79" s="318">
        <v>20.720929999999999</v>
      </c>
      <c r="D79" s="319">
        <v>1.7209305984529999</v>
      </c>
      <c r="E79" s="320">
        <v>1.0905752975080001</v>
      </c>
      <c r="F79" s="318">
        <v>31.000008545326001</v>
      </c>
      <c r="G79" s="319">
        <v>10.333336181775</v>
      </c>
      <c r="H79" s="321">
        <v>2.4489800000000002</v>
      </c>
      <c r="I79" s="318">
        <v>9.7849299999999992</v>
      </c>
      <c r="J79" s="319">
        <v>-0.548406181775</v>
      </c>
      <c r="K79" s="322">
        <v>0.31564281621700002</v>
      </c>
    </row>
    <row r="80" spans="1:11" ht="14.4" customHeight="1" thickBot="1" x14ac:dyDescent="0.35">
      <c r="A80" s="337" t="s">
        <v>250</v>
      </c>
      <c r="B80" s="318">
        <v>0</v>
      </c>
      <c r="C80" s="318">
        <v>7.95</v>
      </c>
      <c r="D80" s="319">
        <v>7.95</v>
      </c>
      <c r="E80" s="328" t="s">
        <v>178</v>
      </c>
      <c r="F80" s="318">
        <v>10.105344906792</v>
      </c>
      <c r="G80" s="319">
        <v>3.3684483022639999</v>
      </c>
      <c r="H80" s="321">
        <v>2.88</v>
      </c>
      <c r="I80" s="318">
        <v>4.4471999999999996</v>
      </c>
      <c r="J80" s="319">
        <v>1.078751697735</v>
      </c>
      <c r="K80" s="322">
        <v>0.440083939837</v>
      </c>
    </row>
    <row r="81" spans="1:11" ht="14.4" customHeight="1" thickBot="1" x14ac:dyDescent="0.35">
      <c r="A81" s="338" t="s">
        <v>251</v>
      </c>
      <c r="B81" s="318">
        <v>0</v>
      </c>
      <c r="C81" s="318">
        <v>7.95</v>
      </c>
      <c r="D81" s="319">
        <v>7.95</v>
      </c>
      <c r="E81" s="328" t="s">
        <v>178</v>
      </c>
      <c r="F81" s="318">
        <v>10.105344906792</v>
      </c>
      <c r="G81" s="319">
        <v>3.3684483022639999</v>
      </c>
      <c r="H81" s="321">
        <v>2.88</v>
      </c>
      <c r="I81" s="318">
        <v>4.4471999999999996</v>
      </c>
      <c r="J81" s="319">
        <v>1.078751697735</v>
      </c>
      <c r="K81" s="322">
        <v>0.440083939837</v>
      </c>
    </row>
    <row r="82" spans="1:11" ht="14.4" customHeight="1" thickBot="1" x14ac:dyDescent="0.35">
      <c r="A82" s="339" t="s">
        <v>252</v>
      </c>
      <c r="B82" s="323">
        <v>0</v>
      </c>
      <c r="C82" s="323">
        <v>5.2</v>
      </c>
      <c r="D82" s="324">
        <v>5.2</v>
      </c>
      <c r="E82" s="325" t="s">
        <v>178</v>
      </c>
      <c r="F82" s="323">
        <v>8.0785888965740007</v>
      </c>
      <c r="G82" s="324">
        <v>2.6928629655240002</v>
      </c>
      <c r="H82" s="326">
        <v>2.2799999999999998</v>
      </c>
      <c r="I82" s="323">
        <v>2.9971999999999999</v>
      </c>
      <c r="J82" s="324">
        <v>0.30433703447499999</v>
      </c>
      <c r="K82" s="327">
        <v>0.371005387001</v>
      </c>
    </row>
    <row r="83" spans="1:11" ht="14.4" customHeight="1" thickBot="1" x14ac:dyDescent="0.35">
      <c r="A83" s="340" t="s">
        <v>253</v>
      </c>
      <c r="B83" s="318">
        <v>0</v>
      </c>
      <c r="C83" s="318">
        <v>0</v>
      </c>
      <c r="D83" s="319">
        <v>0</v>
      </c>
      <c r="E83" s="320">
        <v>1</v>
      </c>
      <c r="F83" s="318">
        <v>0</v>
      </c>
      <c r="G83" s="319">
        <v>0</v>
      </c>
      <c r="H83" s="321">
        <v>0</v>
      </c>
      <c r="I83" s="318">
        <v>0.38719999999999999</v>
      </c>
      <c r="J83" s="319">
        <v>0.38719999999999999</v>
      </c>
      <c r="K83" s="331" t="s">
        <v>184</v>
      </c>
    </row>
    <row r="84" spans="1:11" ht="14.4" customHeight="1" thickBot="1" x14ac:dyDescent="0.35">
      <c r="A84" s="340" t="s">
        <v>254</v>
      </c>
      <c r="B84" s="318">
        <v>0</v>
      </c>
      <c r="C84" s="318">
        <v>0.6</v>
      </c>
      <c r="D84" s="319">
        <v>0.6</v>
      </c>
      <c r="E84" s="328" t="s">
        <v>184</v>
      </c>
      <c r="F84" s="318">
        <v>0.71743702036000001</v>
      </c>
      <c r="G84" s="319">
        <v>0.239145673453</v>
      </c>
      <c r="H84" s="321">
        <v>0</v>
      </c>
      <c r="I84" s="318">
        <v>0</v>
      </c>
      <c r="J84" s="319">
        <v>-0.239145673453</v>
      </c>
      <c r="K84" s="322">
        <v>0</v>
      </c>
    </row>
    <row r="85" spans="1:11" ht="14.4" customHeight="1" thickBot="1" x14ac:dyDescent="0.35">
      <c r="A85" s="340" t="s">
        <v>255</v>
      </c>
      <c r="B85" s="318">
        <v>0</v>
      </c>
      <c r="C85" s="318">
        <v>4.5</v>
      </c>
      <c r="D85" s="319">
        <v>4.5</v>
      </c>
      <c r="E85" s="328" t="s">
        <v>184</v>
      </c>
      <c r="F85" s="318">
        <v>7.3611518762139996</v>
      </c>
      <c r="G85" s="319">
        <v>2.453717292071</v>
      </c>
      <c r="H85" s="321">
        <v>2.2799999999999998</v>
      </c>
      <c r="I85" s="318">
        <v>2.2799999999999998</v>
      </c>
      <c r="J85" s="319">
        <v>-0.17371729207100001</v>
      </c>
      <c r="K85" s="322">
        <v>0.309734133779</v>
      </c>
    </row>
    <row r="86" spans="1:11" ht="14.4" customHeight="1" thickBot="1" x14ac:dyDescent="0.35">
      <c r="A86" s="340" t="s">
        <v>256</v>
      </c>
      <c r="B86" s="318">
        <v>0</v>
      </c>
      <c r="C86" s="318">
        <v>0.1</v>
      </c>
      <c r="D86" s="319">
        <v>0.1</v>
      </c>
      <c r="E86" s="328" t="s">
        <v>178</v>
      </c>
      <c r="F86" s="318">
        <v>0</v>
      </c>
      <c r="G86" s="319">
        <v>0</v>
      </c>
      <c r="H86" s="321">
        <v>0</v>
      </c>
      <c r="I86" s="318">
        <v>0.33</v>
      </c>
      <c r="J86" s="319">
        <v>0.33</v>
      </c>
      <c r="K86" s="331" t="s">
        <v>178</v>
      </c>
    </row>
    <row r="87" spans="1:11" ht="14.4" customHeight="1" thickBot="1" x14ac:dyDescent="0.35">
      <c r="A87" s="342" t="s">
        <v>257</v>
      </c>
      <c r="B87" s="318">
        <v>0</v>
      </c>
      <c r="C87" s="318">
        <v>1.9</v>
      </c>
      <c r="D87" s="319">
        <v>1.9</v>
      </c>
      <c r="E87" s="328" t="s">
        <v>184</v>
      </c>
      <c r="F87" s="318">
        <v>1.5893297053069999</v>
      </c>
      <c r="G87" s="319">
        <v>0.52977656843499998</v>
      </c>
      <c r="H87" s="321">
        <v>0.6</v>
      </c>
      <c r="I87" s="318">
        <v>1.45</v>
      </c>
      <c r="J87" s="319">
        <v>0.92022343156399999</v>
      </c>
      <c r="K87" s="322">
        <v>0.912334297382</v>
      </c>
    </row>
    <row r="88" spans="1:11" ht="14.4" customHeight="1" thickBot="1" x14ac:dyDescent="0.35">
      <c r="A88" s="340" t="s">
        <v>258</v>
      </c>
      <c r="B88" s="318">
        <v>0</v>
      </c>
      <c r="C88" s="318">
        <v>1.9</v>
      </c>
      <c r="D88" s="319">
        <v>1.9</v>
      </c>
      <c r="E88" s="328" t="s">
        <v>184</v>
      </c>
      <c r="F88" s="318">
        <v>1.5893297053069999</v>
      </c>
      <c r="G88" s="319">
        <v>0.52977656843499998</v>
      </c>
      <c r="H88" s="321">
        <v>0.6</v>
      </c>
      <c r="I88" s="318">
        <v>1.45</v>
      </c>
      <c r="J88" s="319">
        <v>0.92022343156399999</v>
      </c>
      <c r="K88" s="322">
        <v>0.912334297382</v>
      </c>
    </row>
    <row r="89" spans="1:11" ht="14.4" customHeight="1" thickBot="1" x14ac:dyDescent="0.35">
      <c r="A89" s="342" t="s">
        <v>259</v>
      </c>
      <c r="B89" s="318">
        <v>0</v>
      </c>
      <c r="C89" s="318">
        <v>0.85</v>
      </c>
      <c r="D89" s="319">
        <v>0.85</v>
      </c>
      <c r="E89" s="328" t="s">
        <v>178</v>
      </c>
      <c r="F89" s="318">
        <v>0.43742630491000001</v>
      </c>
      <c r="G89" s="319">
        <v>0.14580876830299999</v>
      </c>
      <c r="H89" s="321">
        <v>0</v>
      </c>
      <c r="I89" s="318">
        <v>0</v>
      </c>
      <c r="J89" s="319">
        <v>-0.14580876830299999</v>
      </c>
      <c r="K89" s="322">
        <v>0</v>
      </c>
    </row>
    <row r="90" spans="1:11" ht="14.4" customHeight="1" thickBot="1" x14ac:dyDescent="0.35">
      <c r="A90" s="340" t="s">
        <v>260</v>
      </c>
      <c r="B90" s="318">
        <v>0</v>
      </c>
      <c r="C90" s="318">
        <v>0.85</v>
      </c>
      <c r="D90" s="319">
        <v>0.85</v>
      </c>
      <c r="E90" s="328" t="s">
        <v>178</v>
      </c>
      <c r="F90" s="318">
        <v>0.43742630491000001</v>
      </c>
      <c r="G90" s="319">
        <v>0.14580876830299999</v>
      </c>
      <c r="H90" s="321">
        <v>0</v>
      </c>
      <c r="I90" s="318">
        <v>0</v>
      </c>
      <c r="J90" s="319">
        <v>-0.14580876830299999</v>
      </c>
      <c r="K90" s="322">
        <v>0</v>
      </c>
    </row>
    <row r="91" spans="1:11" ht="14.4" customHeight="1" thickBot="1" x14ac:dyDescent="0.35">
      <c r="A91" s="337" t="s">
        <v>261</v>
      </c>
      <c r="B91" s="318">
        <v>74.999997637679996</v>
      </c>
      <c r="C91" s="318">
        <v>75.012</v>
      </c>
      <c r="D91" s="319">
        <v>1.2002362319000001E-2</v>
      </c>
      <c r="E91" s="320">
        <v>1.0001600315020001</v>
      </c>
      <c r="F91" s="318">
        <v>72.000179613810005</v>
      </c>
      <c r="G91" s="319">
        <v>24.00005987127</v>
      </c>
      <c r="H91" s="321">
        <v>5.9379999999999997</v>
      </c>
      <c r="I91" s="318">
        <v>23.751999999999999</v>
      </c>
      <c r="J91" s="319">
        <v>-0.24805987127000001</v>
      </c>
      <c r="K91" s="322">
        <v>0.32988806593800002</v>
      </c>
    </row>
    <row r="92" spans="1:11" ht="14.4" customHeight="1" thickBot="1" x14ac:dyDescent="0.35">
      <c r="A92" s="338" t="s">
        <v>262</v>
      </c>
      <c r="B92" s="318">
        <v>74.999997637679996</v>
      </c>
      <c r="C92" s="318">
        <v>75.012</v>
      </c>
      <c r="D92" s="319">
        <v>1.2002362319000001E-2</v>
      </c>
      <c r="E92" s="320">
        <v>1.0001600315020001</v>
      </c>
      <c r="F92" s="318">
        <v>72.000179613810005</v>
      </c>
      <c r="G92" s="319">
        <v>24.00005987127</v>
      </c>
      <c r="H92" s="321">
        <v>5.9379999999999997</v>
      </c>
      <c r="I92" s="318">
        <v>23.751999999999999</v>
      </c>
      <c r="J92" s="319">
        <v>-0.24805987127000001</v>
      </c>
      <c r="K92" s="322">
        <v>0.32988806593800002</v>
      </c>
    </row>
    <row r="93" spans="1:11" ht="14.4" customHeight="1" thickBot="1" x14ac:dyDescent="0.35">
      <c r="A93" s="339" t="s">
        <v>263</v>
      </c>
      <c r="B93" s="323">
        <v>74.999997637679996</v>
      </c>
      <c r="C93" s="323">
        <v>75.012</v>
      </c>
      <c r="D93" s="324">
        <v>1.2002362319000001E-2</v>
      </c>
      <c r="E93" s="329">
        <v>1.0001600315020001</v>
      </c>
      <c r="F93" s="323">
        <v>72.000179613810005</v>
      </c>
      <c r="G93" s="324">
        <v>24.00005987127</v>
      </c>
      <c r="H93" s="326">
        <v>5.9379999999999997</v>
      </c>
      <c r="I93" s="323">
        <v>23.751999999999999</v>
      </c>
      <c r="J93" s="324">
        <v>-0.24805987127000001</v>
      </c>
      <c r="K93" s="327">
        <v>0.32988806593800002</v>
      </c>
    </row>
    <row r="94" spans="1:11" ht="14.4" customHeight="1" thickBot="1" x14ac:dyDescent="0.35">
      <c r="A94" s="340" t="s">
        <v>264</v>
      </c>
      <c r="B94" s="318">
        <v>14.999999527536</v>
      </c>
      <c r="C94" s="318">
        <v>14.58</v>
      </c>
      <c r="D94" s="319">
        <v>-0.41999952753600001</v>
      </c>
      <c r="E94" s="320">
        <v>0.97200003061499995</v>
      </c>
      <c r="F94" s="318">
        <v>15.000037419543</v>
      </c>
      <c r="G94" s="319">
        <v>5.0000124731810001</v>
      </c>
      <c r="H94" s="321">
        <v>1.2150000000000001</v>
      </c>
      <c r="I94" s="318">
        <v>4.8600000000000003</v>
      </c>
      <c r="J94" s="319">
        <v>-0.14001247318099999</v>
      </c>
      <c r="K94" s="322">
        <v>0.32399919173899999</v>
      </c>
    </row>
    <row r="95" spans="1:11" ht="14.4" customHeight="1" thickBot="1" x14ac:dyDescent="0.35">
      <c r="A95" s="340" t="s">
        <v>265</v>
      </c>
      <c r="B95" s="318">
        <v>59.999998110143999</v>
      </c>
      <c r="C95" s="318">
        <v>60.432000000000002</v>
      </c>
      <c r="D95" s="319">
        <v>0.43200188985499999</v>
      </c>
      <c r="E95" s="320">
        <v>1.007200031724</v>
      </c>
      <c r="F95" s="318">
        <v>57.000142194265997</v>
      </c>
      <c r="G95" s="319">
        <v>19.000047398088</v>
      </c>
      <c r="H95" s="321">
        <v>4.7229999999999999</v>
      </c>
      <c r="I95" s="318">
        <v>18.891999999999999</v>
      </c>
      <c r="J95" s="319">
        <v>-0.108047398088</v>
      </c>
      <c r="K95" s="322">
        <v>0.33143776967400002</v>
      </c>
    </row>
    <row r="96" spans="1:11" ht="14.4" customHeight="1" thickBot="1" x14ac:dyDescent="0.35">
      <c r="A96" s="336" t="s">
        <v>266</v>
      </c>
      <c r="B96" s="318">
        <v>0</v>
      </c>
      <c r="C96" s="318">
        <v>103.08859</v>
      </c>
      <c r="D96" s="319">
        <v>103.08859</v>
      </c>
      <c r="E96" s="328" t="s">
        <v>178</v>
      </c>
      <c r="F96" s="318">
        <v>149.91698991823799</v>
      </c>
      <c r="G96" s="319">
        <v>49.972329972746003</v>
      </c>
      <c r="H96" s="321">
        <v>0.11</v>
      </c>
      <c r="I96" s="318">
        <v>0.21</v>
      </c>
      <c r="J96" s="319">
        <v>-49.762329972746002</v>
      </c>
      <c r="K96" s="322">
        <v>1.400775189E-3</v>
      </c>
    </row>
    <row r="97" spans="1:11" ht="14.4" customHeight="1" thickBot="1" x14ac:dyDescent="0.35">
      <c r="A97" s="337" t="s">
        <v>267</v>
      </c>
      <c r="B97" s="318">
        <v>0</v>
      </c>
      <c r="C97" s="318">
        <v>0</v>
      </c>
      <c r="D97" s="319">
        <v>0</v>
      </c>
      <c r="E97" s="328" t="s">
        <v>178</v>
      </c>
      <c r="F97" s="318">
        <v>0.70850209533200004</v>
      </c>
      <c r="G97" s="319">
        <v>0.23616736511</v>
      </c>
      <c r="H97" s="321">
        <v>0</v>
      </c>
      <c r="I97" s="318">
        <v>0</v>
      </c>
      <c r="J97" s="319">
        <v>-0.23616736511</v>
      </c>
      <c r="K97" s="322">
        <v>0</v>
      </c>
    </row>
    <row r="98" spans="1:11" ht="14.4" customHeight="1" thickBot="1" x14ac:dyDescent="0.35">
      <c r="A98" s="338" t="s">
        <v>268</v>
      </c>
      <c r="B98" s="318">
        <v>0</v>
      </c>
      <c r="C98" s="318">
        <v>0</v>
      </c>
      <c r="D98" s="319">
        <v>0</v>
      </c>
      <c r="E98" s="328" t="s">
        <v>178</v>
      </c>
      <c r="F98" s="318">
        <v>0.70850209533200004</v>
      </c>
      <c r="G98" s="319">
        <v>0.23616736511</v>
      </c>
      <c r="H98" s="321">
        <v>0</v>
      </c>
      <c r="I98" s="318">
        <v>0</v>
      </c>
      <c r="J98" s="319">
        <v>-0.23616736511</v>
      </c>
      <c r="K98" s="322">
        <v>0</v>
      </c>
    </row>
    <row r="99" spans="1:11" ht="14.4" customHeight="1" thickBot="1" x14ac:dyDescent="0.35">
      <c r="A99" s="339" t="s">
        <v>269</v>
      </c>
      <c r="B99" s="323">
        <v>0</v>
      </c>
      <c r="C99" s="323">
        <v>0</v>
      </c>
      <c r="D99" s="324">
        <v>0</v>
      </c>
      <c r="E99" s="329">
        <v>1</v>
      </c>
      <c r="F99" s="323">
        <v>0.70850209533200004</v>
      </c>
      <c r="G99" s="324">
        <v>0.23616736511</v>
      </c>
      <c r="H99" s="326">
        <v>0</v>
      </c>
      <c r="I99" s="323">
        <v>0</v>
      </c>
      <c r="J99" s="324">
        <v>-0.23616736511</v>
      </c>
      <c r="K99" s="327">
        <v>0</v>
      </c>
    </row>
    <row r="100" spans="1:11" ht="14.4" customHeight="1" thickBot="1" x14ac:dyDescent="0.35">
      <c r="A100" s="340" t="s">
        <v>270</v>
      </c>
      <c r="B100" s="318">
        <v>0</v>
      </c>
      <c r="C100" s="318">
        <v>0</v>
      </c>
      <c r="D100" s="319">
        <v>0</v>
      </c>
      <c r="E100" s="320">
        <v>1</v>
      </c>
      <c r="F100" s="318">
        <v>0.70850209533200004</v>
      </c>
      <c r="G100" s="319">
        <v>0.23616736511</v>
      </c>
      <c r="H100" s="321">
        <v>0</v>
      </c>
      <c r="I100" s="318">
        <v>0</v>
      </c>
      <c r="J100" s="319">
        <v>-0.23616736511</v>
      </c>
      <c r="K100" s="322">
        <v>0</v>
      </c>
    </row>
    <row r="101" spans="1:11" ht="14.4" customHeight="1" thickBot="1" x14ac:dyDescent="0.35">
      <c r="A101" s="337" t="s">
        <v>271</v>
      </c>
      <c r="B101" s="318">
        <v>0</v>
      </c>
      <c r="C101" s="318">
        <v>103.08859</v>
      </c>
      <c r="D101" s="319">
        <v>103.08859</v>
      </c>
      <c r="E101" s="328" t="s">
        <v>178</v>
      </c>
      <c r="F101" s="318">
        <v>149.20848782290599</v>
      </c>
      <c r="G101" s="319">
        <v>49.736162607635002</v>
      </c>
      <c r="H101" s="321">
        <v>0.11</v>
      </c>
      <c r="I101" s="318">
        <v>0.21</v>
      </c>
      <c r="J101" s="319">
        <v>-49.526162607635001</v>
      </c>
      <c r="K101" s="322">
        <v>1.4074266350000001E-3</v>
      </c>
    </row>
    <row r="102" spans="1:11" ht="14.4" customHeight="1" thickBot="1" x14ac:dyDescent="0.35">
      <c r="A102" s="343" t="s">
        <v>272</v>
      </c>
      <c r="B102" s="323">
        <v>0</v>
      </c>
      <c r="C102" s="323">
        <v>103.08859</v>
      </c>
      <c r="D102" s="324">
        <v>103.08859</v>
      </c>
      <c r="E102" s="325" t="s">
        <v>178</v>
      </c>
      <c r="F102" s="323">
        <v>149.20848782290599</v>
      </c>
      <c r="G102" s="324">
        <v>49.736162607635002</v>
      </c>
      <c r="H102" s="326">
        <v>0.11</v>
      </c>
      <c r="I102" s="323">
        <v>0.21</v>
      </c>
      <c r="J102" s="324">
        <v>-49.526162607635001</v>
      </c>
      <c r="K102" s="327">
        <v>1.4074266350000001E-3</v>
      </c>
    </row>
    <row r="103" spans="1:11" ht="14.4" customHeight="1" thickBot="1" x14ac:dyDescent="0.35">
      <c r="A103" s="339" t="s">
        <v>273</v>
      </c>
      <c r="B103" s="323">
        <v>0</v>
      </c>
      <c r="C103" s="323">
        <v>-5.0000000000000002E-5</v>
      </c>
      <c r="D103" s="324">
        <v>-5.0000000000000002E-5</v>
      </c>
      <c r="E103" s="325" t="s">
        <v>178</v>
      </c>
      <c r="F103" s="323">
        <v>0</v>
      </c>
      <c r="G103" s="324">
        <v>0</v>
      </c>
      <c r="H103" s="326">
        <v>0</v>
      </c>
      <c r="I103" s="323">
        <v>0</v>
      </c>
      <c r="J103" s="324">
        <v>0</v>
      </c>
      <c r="K103" s="330" t="s">
        <v>178</v>
      </c>
    </row>
    <row r="104" spans="1:11" ht="14.4" customHeight="1" thickBot="1" x14ac:dyDescent="0.35">
      <c r="A104" s="340" t="s">
        <v>274</v>
      </c>
      <c r="B104" s="318">
        <v>0</v>
      </c>
      <c r="C104" s="318">
        <v>-5.0000000000000002E-5</v>
      </c>
      <c r="D104" s="319">
        <v>-5.0000000000000002E-5</v>
      </c>
      <c r="E104" s="328" t="s">
        <v>184</v>
      </c>
      <c r="F104" s="318">
        <v>0</v>
      </c>
      <c r="G104" s="319">
        <v>0</v>
      </c>
      <c r="H104" s="321">
        <v>0</v>
      </c>
      <c r="I104" s="318">
        <v>0</v>
      </c>
      <c r="J104" s="319">
        <v>0</v>
      </c>
      <c r="K104" s="331" t="s">
        <v>178</v>
      </c>
    </row>
    <row r="105" spans="1:11" ht="14.4" customHeight="1" thickBot="1" x14ac:dyDescent="0.35">
      <c r="A105" s="339" t="s">
        <v>275</v>
      </c>
      <c r="B105" s="323">
        <v>0</v>
      </c>
      <c r="C105" s="323">
        <v>103.08864</v>
      </c>
      <c r="D105" s="324">
        <v>103.08864</v>
      </c>
      <c r="E105" s="325" t="s">
        <v>178</v>
      </c>
      <c r="F105" s="323">
        <v>149.20848782290599</v>
      </c>
      <c r="G105" s="324">
        <v>49.736162607635002</v>
      </c>
      <c r="H105" s="326">
        <v>0.11</v>
      </c>
      <c r="I105" s="323">
        <v>0.21</v>
      </c>
      <c r="J105" s="324">
        <v>-49.526162607635001</v>
      </c>
      <c r="K105" s="327">
        <v>1.4074266350000001E-3</v>
      </c>
    </row>
    <row r="106" spans="1:11" ht="14.4" customHeight="1" thickBot="1" x14ac:dyDescent="0.35">
      <c r="A106" s="340" t="s">
        <v>276</v>
      </c>
      <c r="B106" s="318">
        <v>0</v>
      </c>
      <c r="C106" s="318">
        <v>0.94499999999999995</v>
      </c>
      <c r="D106" s="319">
        <v>0.94499999999999995</v>
      </c>
      <c r="E106" s="328" t="s">
        <v>178</v>
      </c>
      <c r="F106" s="318">
        <v>0.80962967675099995</v>
      </c>
      <c r="G106" s="319">
        <v>0.26987655891700002</v>
      </c>
      <c r="H106" s="321">
        <v>0.11</v>
      </c>
      <c r="I106" s="318">
        <v>0.21</v>
      </c>
      <c r="J106" s="319">
        <v>-5.9876558917E-2</v>
      </c>
      <c r="K106" s="322">
        <v>0.25937784400699998</v>
      </c>
    </row>
    <row r="107" spans="1:11" ht="14.4" customHeight="1" thickBot="1" x14ac:dyDescent="0.35">
      <c r="A107" s="340" t="s">
        <v>277</v>
      </c>
      <c r="B107" s="318">
        <v>0</v>
      </c>
      <c r="C107" s="318">
        <v>102.14364</v>
      </c>
      <c r="D107" s="319">
        <v>102.14364</v>
      </c>
      <c r="E107" s="328" t="s">
        <v>184</v>
      </c>
      <c r="F107" s="318">
        <v>148.39885814615499</v>
      </c>
      <c r="G107" s="319">
        <v>49.466286048717997</v>
      </c>
      <c r="H107" s="321">
        <v>0</v>
      </c>
      <c r="I107" s="318">
        <v>0</v>
      </c>
      <c r="J107" s="319">
        <v>-49.466286048717997</v>
      </c>
      <c r="K107" s="322">
        <v>0</v>
      </c>
    </row>
    <row r="108" spans="1:11" ht="14.4" customHeight="1" thickBot="1" x14ac:dyDescent="0.35">
      <c r="A108" s="336" t="s">
        <v>278</v>
      </c>
      <c r="B108" s="318">
        <v>445.20804666328701</v>
      </c>
      <c r="C108" s="318">
        <v>453.70206000000002</v>
      </c>
      <c r="D108" s="319">
        <v>8.4940133367129995</v>
      </c>
      <c r="E108" s="320">
        <v>1.0190787507100001</v>
      </c>
      <c r="F108" s="318">
        <v>0</v>
      </c>
      <c r="G108" s="319">
        <v>0</v>
      </c>
      <c r="H108" s="321">
        <v>36.206870000000002</v>
      </c>
      <c r="I108" s="318">
        <v>143.62093999999999</v>
      </c>
      <c r="J108" s="319">
        <v>143.62093999999999</v>
      </c>
      <c r="K108" s="331" t="s">
        <v>184</v>
      </c>
    </row>
    <row r="109" spans="1:11" ht="14.4" customHeight="1" thickBot="1" x14ac:dyDescent="0.35">
      <c r="A109" s="341" t="s">
        <v>279</v>
      </c>
      <c r="B109" s="323">
        <v>445.20804666328701</v>
      </c>
      <c r="C109" s="323">
        <v>453.70206000000002</v>
      </c>
      <c r="D109" s="324">
        <v>8.4940133367129995</v>
      </c>
      <c r="E109" s="329">
        <v>1.0190787507100001</v>
      </c>
      <c r="F109" s="323">
        <v>0</v>
      </c>
      <c r="G109" s="324">
        <v>0</v>
      </c>
      <c r="H109" s="326">
        <v>36.206870000000002</v>
      </c>
      <c r="I109" s="323">
        <v>143.62093999999999</v>
      </c>
      <c r="J109" s="324">
        <v>143.62093999999999</v>
      </c>
      <c r="K109" s="330" t="s">
        <v>184</v>
      </c>
    </row>
    <row r="110" spans="1:11" ht="14.4" customHeight="1" thickBot="1" x14ac:dyDescent="0.35">
      <c r="A110" s="343" t="s">
        <v>38</v>
      </c>
      <c r="B110" s="323">
        <v>445.20804666328701</v>
      </c>
      <c r="C110" s="323">
        <v>453.70206000000002</v>
      </c>
      <c r="D110" s="324">
        <v>8.4940133367129995</v>
      </c>
      <c r="E110" s="329">
        <v>1.0190787507100001</v>
      </c>
      <c r="F110" s="323">
        <v>0</v>
      </c>
      <c r="G110" s="324">
        <v>0</v>
      </c>
      <c r="H110" s="326">
        <v>36.206870000000002</v>
      </c>
      <c r="I110" s="323">
        <v>143.62093999999999</v>
      </c>
      <c r="J110" s="324">
        <v>143.62093999999999</v>
      </c>
      <c r="K110" s="330" t="s">
        <v>184</v>
      </c>
    </row>
    <row r="111" spans="1:11" ht="14.4" customHeight="1" thickBot="1" x14ac:dyDescent="0.35">
      <c r="A111" s="339" t="s">
        <v>280</v>
      </c>
      <c r="B111" s="323">
        <v>31.672897196261001</v>
      </c>
      <c r="C111" s="323">
        <v>17.665700000000001</v>
      </c>
      <c r="D111" s="324">
        <v>-14.007197196261</v>
      </c>
      <c r="E111" s="329">
        <v>0.55775447034500003</v>
      </c>
      <c r="F111" s="323">
        <v>0</v>
      </c>
      <c r="G111" s="324">
        <v>0</v>
      </c>
      <c r="H111" s="326">
        <v>2.2374000000000001</v>
      </c>
      <c r="I111" s="323">
        <v>9.5416000000000007</v>
      </c>
      <c r="J111" s="324">
        <v>9.5416000000000007</v>
      </c>
      <c r="K111" s="330" t="s">
        <v>184</v>
      </c>
    </row>
    <row r="112" spans="1:11" ht="14.4" customHeight="1" thickBot="1" x14ac:dyDescent="0.35">
      <c r="A112" s="340" t="s">
        <v>281</v>
      </c>
      <c r="B112" s="318">
        <v>31.672897196261001</v>
      </c>
      <c r="C112" s="318">
        <v>16.857199999999999</v>
      </c>
      <c r="D112" s="319">
        <v>-14.815697196261</v>
      </c>
      <c r="E112" s="320">
        <v>0.53222791383800006</v>
      </c>
      <c r="F112" s="318">
        <v>0</v>
      </c>
      <c r="G112" s="319">
        <v>0</v>
      </c>
      <c r="H112" s="321">
        <v>2.0903999999999998</v>
      </c>
      <c r="I112" s="318">
        <v>9.3946000000000005</v>
      </c>
      <c r="J112" s="319">
        <v>9.3946000000000005</v>
      </c>
      <c r="K112" s="331" t="s">
        <v>184</v>
      </c>
    </row>
    <row r="113" spans="1:11" ht="14.4" customHeight="1" thickBot="1" x14ac:dyDescent="0.35">
      <c r="A113" s="340" t="s">
        <v>282</v>
      </c>
      <c r="B113" s="318">
        <v>0</v>
      </c>
      <c r="C113" s="318">
        <v>0.8085</v>
      </c>
      <c r="D113" s="319">
        <v>0.8085</v>
      </c>
      <c r="E113" s="328" t="s">
        <v>184</v>
      </c>
      <c r="F113" s="318">
        <v>0</v>
      </c>
      <c r="G113" s="319">
        <v>0</v>
      </c>
      <c r="H113" s="321">
        <v>0.14699999999999999</v>
      </c>
      <c r="I113" s="318">
        <v>0.14699999999999999</v>
      </c>
      <c r="J113" s="319">
        <v>0.14699999999999999</v>
      </c>
      <c r="K113" s="331" t="s">
        <v>184</v>
      </c>
    </row>
    <row r="114" spans="1:11" ht="14.4" customHeight="1" thickBot="1" x14ac:dyDescent="0.35">
      <c r="A114" s="339" t="s">
        <v>283</v>
      </c>
      <c r="B114" s="323">
        <v>5.6595209004399996</v>
      </c>
      <c r="C114" s="323">
        <v>6.1051799999999998</v>
      </c>
      <c r="D114" s="324">
        <v>0.44565909955900002</v>
      </c>
      <c r="E114" s="329">
        <v>1.078745022308</v>
      </c>
      <c r="F114" s="323">
        <v>0</v>
      </c>
      <c r="G114" s="324">
        <v>0</v>
      </c>
      <c r="H114" s="326">
        <v>0.44169999999999998</v>
      </c>
      <c r="I114" s="323">
        <v>1.8027</v>
      </c>
      <c r="J114" s="324">
        <v>1.8027</v>
      </c>
      <c r="K114" s="330" t="s">
        <v>184</v>
      </c>
    </row>
    <row r="115" spans="1:11" ht="14.4" customHeight="1" thickBot="1" x14ac:dyDescent="0.35">
      <c r="A115" s="340" t="s">
        <v>284</v>
      </c>
      <c r="B115" s="318">
        <v>5.6595209004399996</v>
      </c>
      <c r="C115" s="318">
        <v>6.1051799999999998</v>
      </c>
      <c r="D115" s="319">
        <v>0.44565909955900002</v>
      </c>
      <c r="E115" s="320">
        <v>1.078745022308</v>
      </c>
      <c r="F115" s="318">
        <v>0</v>
      </c>
      <c r="G115" s="319">
        <v>0</v>
      </c>
      <c r="H115" s="321">
        <v>0.44169999999999998</v>
      </c>
      <c r="I115" s="318">
        <v>1.8027</v>
      </c>
      <c r="J115" s="319">
        <v>1.8027</v>
      </c>
      <c r="K115" s="331" t="s">
        <v>184</v>
      </c>
    </row>
    <row r="116" spans="1:11" ht="14.4" customHeight="1" thickBot="1" x14ac:dyDescent="0.35">
      <c r="A116" s="339" t="s">
        <v>285</v>
      </c>
      <c r="B116" s="323">
        <v>125</v>
      </c>
      <c r="C116" s="323">
        <v>114.29792999999999</v>
      </c>
      <c r="D116" s="324">
        <v>-10.702069999999001</v>
      </c>
      <c r="E116" s="329">
        <v>0.91438344000000005</v>
      </c>
      <c r="F116" s="323">
        <v>0</v>
      </c>
      <c r="G116" s="324">
        <v>0</v>
      </c>
      <c r="H116" s="326">
        <v>8.1169799999999999</v>
      </c>
      <c r="I116" s="323">
        <v>37.760339999999999</v>
      </c>
      <c r="J116" s="324">
        <v>37.760339999999999</v>
      </c>
      <c r="K116" s="330" t="s">
        <v>184</v>
      </c>
    </row>
    <row r="117" spans="1:11" ht="14.4" customHeight="1" thickBot="1" x14ac:dyDescent="0.35">
      <c r="A117" s="340" t="s">
        <v>286</v>
      </c>
      <c r="B117" s="318">
        <v>125</v>
      </c>
      <c r="C117" s="318">
        <v>114.29792999999999</v>
      </c>
      <c r="D117" s="319">
        <v>-10.702069999999001</v>
      </c>
      <c r="E117" s="320">
        <v>0.91438344000000005</v>
      </c>
      <c r="F117" s="318">
        <v>0</v>
      </c>
      <c r="G117" s="319">
        <v>0</v>
      </c>
      <c r="H117" s="321">
        <v>8.1169799999999999</v>
      </c>
      <c r="I117" s="318">
        <v>37.760339999999999</v>
      </c>
      <c r="J117" s="319">
        <v>37.760339999999999</v>
      </c>
      <c r="K117" s="331" t="s">
        <v>184</v>
      </c>
    </row>
    <row r="118" spans="1:11" ht="14.4" customHeight="1" thickBot="1" x14ac:dyDescent="0.35">
      <c r="A118" s="339" t="s">
        <v>287</v>
      </c>
      <c r="B118" s="323">
        <v>0</v>
      </c>
      <c r="C118" s="323">
        <v>12.738</v>
      </c>
      <c r="D118" s="324">
        <v>12.738</v>
      </c>
      <c r="E118" s="325" t="s">
        <v>178</v>
      </c>
      <c r="F118" s="323">
        <v>0</v>
      </c>
      <c r="G118" s="324">
        <v>0</v>
      </c>
      <c r="H118" s="326">
        <v>0</v>
      </c>
      <c r="I118" s="323">
        <v>0</v>
      </c>
      <c r="J118" s="324">
        <v>0</v>
      </c>
      <c r="K118" s="327">
        <v>0</v>
      </c>
    </row>
    <row r="119" spans="1:11" ht="14.4" customHeight="1" thickBot="1" x14ac:dyDescent="0.35">
      <c r="A119" s="340" t="s">
        <v>288</v>
      </c>
      <c r="B119" s="318">
        <v>0</v>
      </c>
      <c r="C119" s="318">
        <v>12.738</v>
      </c>
      <c r="D119" s="319">
        <v>12.738</v>
      </c>
      <c r="E119" s="328" t="s">
        <v>178</v>
      </c>
      <c r="F119" s="318">
        <v>0</v>
      </c>
      <c r="G119" s="319">
        <v>0</v>
      </c>
      <c r="H119" s="321">
        <v>0</v>
      </c>
      <c r="I119" s="318">
        <v>0</v>
      </c>
      <c r="J119" s="319">
        <v>0</v>
      </c>
      <c r="K119" s="322">
        <v>0</v>
      </c>
    </row>
    <row r="120" spans="1:11" ht="14.4" customHeight="1" thickBot="1" x14ac:dyDescent="0.35">
      <c r="A120" s="339" t="s">
        <v>289</v>
      </c>
      <c r="B120" s="323">
        <v>282.87562856658502</v>
      </c>
      <c r="C120" s="323">
        <v>302.89524999999998</v>
      </c>
      <c r="D120" s="324">
        <v>20.019621433415001</v>
      </c>
      <c r="E120" s="329">
        <v>1.0707718142239999</v>
      </c>
      <c r="F120" s="323">
        <v>0</v>
      </c>
      <c r="G120" s="324">
        <v>0</v>
      </c>
      <c r="H120" s="326">
        <v>25.410789999999999</v>
      </c>
      <c r="I120" s="323">
        <v>94.516300000000001</v>
      </c>
      <c r="J120" s="324">
        <v>94.516300000000001</v>
      </c>
      <c r="K120" s="330" t="s">
        <v>184</v>
      </c>
    </row>
    <row r="121" spans="1:11" ht="14.4" customHeight="1" thickBot="1" x14ac:dyDescent="0.35">
      <c r="A121" s="340" t="s">
        <v>290</v>
      </c>
      <c r="B121" s="318">
        <v>282.87562856658502</v>
      </c>
      <c r="C121" s="318">
        <v>302.89524999999998</v>
      </c>
      <c r="D121" s="319">
        <v>20.019621433415001</v>
      </c>
      <c r="E121" s="320">
        <v>1.0707718142239999</v>
      </c>
      <c r="F121" s="318">
        <v>0</v>
      </c>
      <c r="G121" s="319">
        <v>0</v>
      </c>
      <c r="H121" s="321">
        <v>25.410789999999999</v>
      </c>
      <c r="I121" s="318">
        <v>94.516300000000001</v>
      </c>
      <c r="J121" s="319">
        <v>94.516300000000001</v>
      </c>
      <c r="K121" s="331" t="s">
        <v>184</v>
      </c>
    </row>
    <row r="122" spans="1:11" ht="14.4" customHeight="1" thickBot="1" x14ac:dyDescent="0.35">
      <c r="A122" s="344"/>
      <c r="B122" s="318">
        <v>-3647.72597376871</v>
      </c>
      <c r="C122" s="318">
        <v>-3832.6509599999999</v>
      </c>
      <c r="D122" s="319">
        <v>-184.92498623129501</v>
      </c>
      <c r="E122" s="320">
        <v>1.0506959644339999</v>
      </c>
      <c r="F122" s="318">
        <v>-3363.6452947350999</v>
      </c>
      <c r="G122" s="319">
        <v>-1121.21509824503</v>
      </c>
      <c r="H122" s="321">
        <v>-308.81725</v>
      </c>
      <c r="I122" s="318">
        <v>-1246.9406100000001</v>
      </c>
      <c r="J122" s="319">
        <v>-125.725511754965</v>
      </c>
      <c r="K122" s="322">
        <v>0.37071108893400001</v>
      </c>
    </row>
    <row r="123" spans="1:11" ht="14.4" customHeight="1" thickBot="1" x14ac:dyDescent="0.35">
      <c r="A123" s="345" t="s">
        <v>50</v>
      </c>
      <c r="B123" s="332">
        <v>-3647.72597376871</v>
      </c>
      <c r="C123" s="332">
        <v>-3832.6509599999999</v>
      </c>
      <c r="D123" s="333">
        <v>-184.92498623129501</v>
      </c>
      <c r="E123" s="334" t="s">
        <v>178</v>
      </c>
      <c r="F123" s="332">
        <v>-3363.6452947350999</v>
      </c>
      <c r="G123" s="333">
        <v>-1121.21509824503</v>
      </c>
      <c r="H123" s="332">
        <v>-308.81725</v>
      </c>
      <c r="I123" s="332">
        <v>-1246.9406100000001</v>
      </c>
      <c r="J123" s="333">
        <v>-125.725511754965</v>
      </c>
      <c r="K123" s="335">
        <v>0.37071108893400001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77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185</v>
      </c>
      <c r="C6" s="348">
        <v>0</v>
      </c>
      <c r="D6" s="348">
        <v>0.40909000000000001</v>
      </c>
      <c r="E6" s="348"/>
      <c r="F6" s="348">
        <v>0.15182999999999999</v>
      </c>
      <c r="G6" s="348">
        <v>1.6666666666666667</v>
      </c>
      <c r="H6" s="348">
        <v>-1.5148366666666668</v>
      </c>
      <c r="I6" s="349">
        <v>9.1097999999999998E-2</v>
      </c>
      <c r="J6" s="350" t="s">
        <v>1</v>
      </c>
    </row>
    <row r="7" spans="1:10" ht="14.4" customHeight="1" x14ac:dyDescent="0.3">
      <c r="A7" s="346" t="s">
        <v>291</v>
      </c>
      <c r="B7" s="347" t="s">
        <v>294</v>
      </c>
      <c r="C7" s="348">
        <v>0</v>
      </c>
      <c r="D7" s="348">
        <v>0.40909000000000001</v>
      </c>
      <c r="E7" s="348"/>
      <c r="F7" s="348">
        <v>0.15182999999999999</v>
      </c>
      <c r="G7" s="348">
        <v>1.6666666666666667</v>
      </c>
      <c r="H7" s="348">
        <v>-1.5148366666666668</v>
      </c>
      <c r="I7" s="349">
        <v>9.1097999999999998E-2</v>
      </c>
      <c r="J7" s="350" t="s">
        <v>295</v>
      </c>
    </row>
    <row r="9" spans="1:10" ht="14.4" customHeight="1" x14ac:dyDescent="0.3">
      <c r="A9" s="346" t="s">
        <v>291</v>
      </c>
      <c r="B9" s="347" t="s">
        <v>292</v>
      </c>
      <c r="C9" s="348" t="s">
        <v>293</v>
      </c>
      <c r="D9" s="348" t="s">
        <v>293</v>
      </c>
      <c r="E9" s="348"/>
      <c r="F9" s="348" t="s">
        <v>293</v>
      </c>
      <c r="G9" s="348" t="s">
        <v>293</v>
      </c>
      <c r="H9" s="348" t="s">
        <v>293</v>
      </c>
      <c r="I9" s="349" t="s">
        <v>293</v>
      </c>
      <c r="J9" s="350" t="s">
        <v>53</v>
      </c>
    </row>
    <row r="10" spans="1:10" ht="14.4" customHeight="1" x14ac:dyDescent="0.3">
      <c r="A10" s="346" t="s">
        <v>296</v>
      </c>
      <c r="B10" s="347" t="s">
        <v>292</v>
      </c>
      <c r="C10" s="348" t="s">
        <v>293</v>
      </c>
      <c r="D10" s="348" t="s">
        <v>293</v>
      </c>
      <c r="E10" s="348"/>
      <c r="F10" s="348" t="s">
        <v>293</v>
      </c>
      <c r="G10" s="348" t="s">
        <v>293</v>
      </c>
      <c r="H10" s="348" t="s">
        <v>293</v>
      </c>
      <c r="I10" s="349" t="s">
        <v>293</v>
      </c>
      <c r="J10" s="350" t="s">
        <v>0</v>
      </c>
    </row>
    <row r="11" spans="1:10" ht="14.4" customHeight="1" x14ac:dyDescent="0.3">
      <c r="A11" s="346" t="s">
        <v>296</v>
      </c>
      <c r="B11" s="347" t="s">
        <v>185</v>
      </c>
      <c r="C11" s="348">
        <v>0</v>
      </c>
      <c r="D11" s="348">
        <v>0.40909000000000001</v>
      </c>
      <c r="E11" s="348"/>
      <c r="F11" s="348">
        <v>0.15182999999999999</v>
      </c>
      <c r="G11" s="348">
        <v>1.6666666666666667</v>
      </c>
      <c r="H11" s="348">
        <v>-1.5148366666666668</v>
      </c>
      <c r="I11" s="349">
        <v>9.1097999999999998E-2</v>
      </c>
      <c r="J11" s="350" t="s">
        <v>1</v>
      </c>
    </row>
    <row r="12" spans="1:10" ht="14.4" customHeight="1" x14ac:dyDescent="0.3">
      <c r="A12" s="346" t="s">
        <v>296</v>
      </c>
      <c r="B12" s="347" t="s">
        <v>294</v>
      </c>
      <c r="C12" s="348">
        <v>0</v>
      </c>
      <c r="D12" s="348">
        <v>0.40909000000000001</v>
      </c>
      <c r="E12" s="348"/>
      <c r="F12" s="348">
        <v>0.15182999999999999</v>
      </c>
      <c r="G12" s="348">
        <v>1.6666666666666667</v>
      </c>
      <c r="H12" s="348">
        <v>-1.5148366666666668</v>
      </c>
      <c r="I12" s="349">
        <v>9.1097999999999998E-2</v>
      </c>
      <c r="J12" s="350" t="s">
        <v>297</v>
      </c>
    </row>
    <row r="13" spans="1:10" ht="14.4" customHeight="1" x14ac:dyDescent="0.3">
      <c r="A13" s="346" t="s">
        <v>293</v>
      </c>
      <c r="B13" s="347" t="s">
        <v>293</v>
      </c>
      <c r="C13" s="348" t="s">
        <v>293</v>
      </c>
      <c r="D13" s="348" t="s">
        <v>293</v>
      </c>
      <c r="E13" s="348"/>
      <c r="F13" s="348" t="s">
        <v>293</v>
      </c>
      <c r="G13" s="348" t="s">
        <v>293</v>
      </c>
      <c r="H13" s="348" t="s">
        <v>293</v>
      </c>
      <c r="I13" s="349" t="s">
        <v>293</v>
      </c>
      <c r="J13" s="350" t="s">
        <v>298</v>
      </c>
    </row>
    <row r="14" spans="1:10" ht="14.4" customHeight="1" x14ac:dyDescent="0.3">
      <c r="A14" s="346" t="s">
        <v>291</v>
      </c>
      <c r="B14" s="347" t="s">
        <v>294</v>
      </c>
      <c r="C14" s="348">
        <v>0</v>
      </c>
      <c r="D14" s="348">
        <v>0.40909000000000001</v>
      </c>
      <c r="E14" s="348"/>
      <c r="F14" s="348">
        <v>0.15182999999999999</v>
      </c>
      <c r="G14" s="348">
        <v>1.6666666666666667</v>
      </c>
      <c r="H14" s="348">
        <v>-1.5148366666666668</v>
      </c>
      <c r="I14" s="349">
        <v>9.1097999999999998E-2</v>
      </c>
      <c r="J14" s="350" t="s">
        <v>295</v>
      </c>
    </row>
  </sheetData>
  <mergeCells count="3">
    <mergeCell ref="F3:I3"/>
    <mergeCell ref="C4:D4"/>
    <mergeCell ref="A1:I1"/>
  </mergeCells>
  <conditionalFormatting sqref="F8 F15:F65537">
    <cfRule type="cellIs" dxfId="40" priority="18" stopIfTrue="1" operator="greaterThan">
      <formula>1</formula>
    </cfRule>
  </conditionalFormatting>
  <conditionalFormatting sqref="H5:H7">
    <cfRule type="expression" dxfId="39" priority="14">
      <formula>$H5&gt;0</formula>
    </cfRule>
  </conditionalFormatting>
  <conditionalFormatting sqref="I5:I7">
    <cfRule type="expression" dxfId="38" priority="15">
      <formula>$I5&gt;1</formula>
    </cfRule>
  </conditionalFormatting>
  <conditionalFormatting sqref="B5:B7">
    <cfRule type="expression" dxfId="37" priority="11">
      <formula>OR($J5="NS",$J5="SumaNS",$J5="Účet")</formula>
    </cfRule>
  </conditionalFormatting>
  <conditionalFormatting sqref="B5:D7 F5:I7">
    <cfRule type="expression" dxfId="36" priority="17">
      <formula>AND($J5&lt;&gt;"",$J5&lt;&gt;"mezeraKL")</formula>
    </cfRule>
  </conditionalFormatting>
  <conditionalFormatting sqref="B5:D7 F5:I7">
    <cfRule type="expression" dxfId="35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4" priority="13">
      <formula>OR($J5="SumaNS",$J5="NS")</formula>
    </cfRule>
  </conditionalFormatting>
  <conditionalFormatting sqref="A5:A7">
    <cfRule type="expression" dxfId="33" priority="9">
      <formula>AND($J5&lt;&gt;"mezeraKL",$J5&lt;&gt;"")</formula>
    </cfRule>
  </conditionalFormatting>
  <conditionalFormatting sqref="A5:A7">
    <cfRule type="expression" dxfId="32" priority="10">
      <formula>AND($J5&lt;&gt;"",$J5&lt;&gt;"mezeraKL")</formula>
    </cfRule>
  </conditionalFormatting>
  <conditionalFormatting sqref="H9:H14">
    <cfRule type="expression" dxfId="31" priority="5">
      <formula>$H9&gt;0</formula>
    </cfRule>
  </conditionalFormatting>
  <conditionalFormatting sqref="A9:A14">
    <cfRule type="expression" dxfId="30" priority="2">
      <formula>AND($J9&lt;&gt;"mezeraKL",$J9&lt;&gt;"")</formula>
    </cfRule>
  </conditionalFormatting>
  <conditionalFormatting sqref="I9:I14">
    <cfRule type="expression" dxfId="29" priority="6">
      <formula>$I9&gt;1</formula>
    </cfRule>
  </conditionalFormatting>
  <conditionalFormatting sqref="B9:B14">
    <cfRule type="expression" dxfId="28" priority="1">
      <formula>OR($J9="NS",$J9="SumaNS",$J9="Účet")</formula>
    </cfRule>
  </conditionalFormatting>
  <conditionalFormatting sqref="A9:D14 F9:I14">
    <cfRule type="expression" dxfId="27" priority="8">
      <formula>AND($J9&lt;&gt;"",$J9&lt;&gt;"mezeraKL")</formula>
    </cfRule>
  </conditionalFormatting>
  <conditionalFormatting sqref="B9:D14 F9:I14">
    <cfRule type="expression" dxfId="26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5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0">
    <tabColor theme="0" tint="-0.249977111117893"/>
    <pageSetUpPr fitToPage="1"/>
  </sheetPr>
  <dimension ref="A1:N5"/>
  <sheetViews>
    <sheetView showGridLines="0" showRowColHeaders="0" workbookViewId="0">
      <pane ySplit="4" topLeftCell="A5" activePane="bottomLeft" state="frozen"/>
      <selection activeCell="A2" sqref="A2:I2"/>
      <selection pane="bottomLeft" sqref="A1:N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4" bestFit="1" customWidth="1" collapsed="1"/>
    <col min="4" max="4" width="18.77734375" style="168" customWidth="1"/>
    <col min="5" max="5" width="9" style="164" bestFit="1" customWidth="1"/>
    <col min="6" max="6" width="18.77734375" style="168" customWidth="1"/>
    <col min="7" max="7" width="5" style="164" customWidth="1"/>
    <col min="8" max="8" width="12.44140625" style="164" hidden="1" customWidth="1" outlineLevel="1"/>
    <col min="9" max="9" width="8.5546875" style="164" hidden="1" customWidth="1" outlineLevel="1"/>
    <col min="10" max="10" width="25.77734375" style="164" customWidth="1" collapsed="1"/>
    <col min="11" max="11" width="8.77734375" style="164" customWidth="1"/>
    <col min="12" max="13" width="7.77734375" style="162" customWidth="1"/>
    <col min="14" max="14" width="11.109375" style="162" customWidth="1"/>
    <col min="15" max="16384" width="8.88671875" style="96"/>
  </cols>
  <sheetData>
    <row r="1" spans="1:14" ht="18.600000000000001" customHeight="1" thickBot="1" x14ac:dyDescent="0.4">
      <c r="A1" s="307" t="s">
        <v>93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</row>
    <row r="2" spans="1:14" ht="14.4" customHeight="1" thickBot="1" x14ac:dyDescent="0.35">
      <c r="A2" s="174" t="s">
        <v>177</v>
      </c>
      <c r="B2" s="57"/>
      <c r="C2" s="166"/>
      <c r="D2" s="166"/>
      <c r="E2" s="166"/>
      <c r="F2" s="166"/>
      <c r="G2" s="166"/>
      <c r="H2" s="166"/>
      <c r="I2" s="166"/>
      <c r="J2" s="166"/>
      <c r="K2" s="166"/>
      <c r="L2" s="167"/>
      <c r="M2" s="167"/>
      <c r="N2" s="167"/>
    </row>
    <row r="3" spans="1:14" ht="14.4" customHeight="1" thickBot="1" x14ac:dyDescent="0.35">
      <c r="A3" s="57"/>
      <c r="B3" s="57"/>
      <c r="C3" s="303"/>
      <c r="D3" s="304"/>
      <c r="E3" s="304"/>
      <c r="F3" s="304"/>
      <c r="G3" s="304"/>
      <c r="H3" s="304"/>
      <c r="I3" s="304"/>
      <c r="J3" s="305" t="s">
        <v>75</v>
      </c>
      <c r="K3" s="306"/>
      <c r="L3" s="71">
        <f>IF(M3&lt;&gt;0,N3/M3,0)</f>
        <v>50.608657946192274</v>
      </c>
      <c r="M3" s="71">
        <f>SUBTOTAL(9,M5:M1048576)</f>
        <v>3</v>
      </c>
      <c r="N3" s="72">
        <f>SUBTOTAL(9,N5:N1048576)</f>
        <v>151.82597383857683</v>
      </c>
    </row>
    <row r="4" spans="1:14" s="163" customFormat="1" ht="14.4" customHeight="1" thickBot="1" x14ac:dyDescent="0.35">
      <c r="A4" s="351" t="s">
        <v>3</v>
      </c>
      <c r="B4" s="352" t="s">
        <v>4</v>
      </c>
      <c r="C4" s="352" t="s">
        <v>0</v>
      </c>
      <c r="D4" s="352" t="s">
        <v>5</v>
      </c>
      <c r="E4" s="352" t="s">
        <v>6</v>
      </c>
      <c r="F4" s="352" t="s">
        <v>1</v>
      </c>
      <c r="G4" s="352" t="s">
        <v>7</v>
      </c>
      <c r="H4" s="352" t="s">
        <v>8</v>
      </c>
      <c r="I4" s="352" t="s">
        <v>9</v>
      </c>
      <c r="J4" s="353" t="s">
        <v>10</v>
      </c>
      <c r="K4" s="353" t="s">
        <v>11</v>
      </c>
      <c r="L4" s="354" t="s">
        <v>81</v>
      </c>
      <c r="M4" s="354" t="s">
        <v>12</v>
      </c>
      <c r="N4" s="355" t="s">
        <v>89</v>
      </c>
    </row>
    <row r="5" spans="1:14" ht="14.4" customHeight="1" thickBot="1" x14ac:dyDescent="0.35">
      <c r="A5" s="356" t="s">
        <v>291</v>
      </c>
      <c r="B5" s="357" t="s">
        <v>292</v>
      </c>
      <c r="C5" s="358" t="s">
        <v>296</v>
      </c>
      <c r="D5" s="359" t="s">
        <v>292</v>
      </c>
      <c r="E5" s="358" t="s">
        <v>299</v>
      </c>
      <c r="F5" s="359" t="s">
        <v>304</v>
      </c>
      <c r="G5" s="358" t="s">
        <v>300</v>
      </c>
      <c r="H5" s="358" t="s">
        <v>301</v>
      </c>
      <c r="I5" s="358" t="s">
        <v>302</v>
      </c>
      <c r="J5" s="358" t="s">
        <v>303</v>
      </c>
      <c r="K5" s="358"/>
      <c r="L5" s="360">
        <v>50.608657946192274</v>
      </c>
      <c r="M5" s="360">
        <v>3</v>
      </c>
      <c r="N5" s="361">
        <v>151.82597383857683</v>
      </c>
    </row>
  </sheetData>
  <autoFilter ref="A4:N4"/>
  <mergeCells count="3">
    <mergeCell ref="C3:I3"/>
    <mergeCell ref="J3:K3"/>
    <mergeCell ref="A1:N1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63" customWidth="1"/>
    <col min="2" max="2" width="5.44140625" style="162" bestFit="1" customWidth="1"/>
    <col min="3" max="3" width="6.109375" style="162" bestFit="1" customWidth="1"/>
    <col min="4" max="4" width="7.44140625" style="162" bestFit="1" customWidth="1"/>
    <col min="5" max="5" width="6.21875" style="162" bestFit="1" customWidth="1"/>
    <col min="6" max="6" width="6.33203125" style="165" bestFit="1" customWidth="1"/>
    <col min="7" max="7" width="6.109375" style="165" bestFit="1" customWidth="1"/>
    <col min="8" max="8" width="7.44140625" style="165" bestFit="1" customWidth="1"/>
    <col min="9" max="9" width="6.21875" style="165" bestFit="1" customWidth="1"/>
    <col min="10" max="10" width="5.44140625" style="162" bestFit="1" customWidth="1"/>
    <col min="11" max="11" width="6.109375" style="162" bestFit="1" customWidth="1"/>
    <col min="12" max="12" width="7.44140625" style="162" bestFit="1" customWidth="1"/>
    <col min="13" max="13" width="6.21875" style="162" bestFit="1" customWidth="1"/>
    <col min="14" max="14" width="5.33203125" style="165" bestFit="1" customWidth="1"/>
    <col min="15" max="15" width="6.109375" style="165" bestFit="1" customWidth="1"/>
    <col min="16" max="16" width="7.44140625" style="165" bestFit="1" customWidth="1"/>
    <col min="17" max="17" width="6.21875" style="165" bestFit="1" customWidth="1"/>
    <col min="18" max="16384" width="8.88671875" style="96"/>
  </cols>
  <sheetData>
    <row r="1" spans="1:17" ht="18.600000000000001" customHeight="1" thickBot="1" x14ac:dyDescent="0.4">
      <c r="A1" s="308" t="s">
        <v>138</v>
      </c>
      <c r="B1" s="308"/>
      <c r="C1" s="308"/>
      <c r="D1" s="308"/>
      <c r="E1" s="308"/>
      <c r="F1" s="272"/>
      <c r="G1" s="272"/>
      <c r="H1" s="272"/>
      <c r="I1" s="272"/>
      <c r="J1" s="302"/>
      <c r="K1" s="302"/>
      <c r="L1" s="302"/>
      <c r="M1" s="302"/>
      <c r="N1" s="302"/>
      <c r="O1" s="302"/>
      <c r="P1" s="302"/>
      <c r="Q1" s="302"/>
    </row>
    <row r="2" spans="1:17" ht="14.4" customHeight="1" thickBot="1" x14ac:dyDescent="0.35">
      <c r="A2" s="174" t="s">
        <v>177</v>
      </c>
      <c r="B2" s="169"/>
      <c r="C2" s="169"/>
      <c r="D2" s="169"/>
      <c r="E2" s="169"/>
    </row>
    <row r="3" spans="1:17" ht="14.4" customHeight="1" thickBot="1" x14ac:dyDescent="0.35">
      <c r="A3" s="252" t="s">
        <v>2</v>
      </c>
      <c r="B3" s="256">
        <f>SUM(B6:B1048576)</f>
        <v>7</v>
      </c>
      <c r="C3" s="257">
        <f>SUM(C6:C1048576)</f>
        <v>0</v>
      </c>
      <c r="D3" s="257">
        <f>SUM(D6:D1048576)</f>
        <v>0</v>
      </c>
      <c r="E3" s="258">
        <f>SUM(E6:E1048576)</f>
        <v>0</v>
      </c>
      <c r="F3" s="255">
        <f>IF(SUM($B3:$E3)=0,"",B3/SUM($B3:$E3))</f>
        <v>1</v>
      </c>
      <c r="G3" s="253">
        <f t="shared" ref="G3:I3" si="0">IF(SUM($B3:$E3)=0,"",C3/SUM($B3:$E3))</f>
        <v>0</v>
      </c>
      <c r="H3" s="253">
        <f t="shared" si="0"/>
        <v>0</v>
      </c>
      <c r="I3" s="254">
        <f t="shared" si="0"/>
        <v>0</v>
      </c>
      <c r="J3" s="257">
        <f>SUM(J6:J1048576)</f>
        <v>5</v>
      </c>
      <c r="K3" s="257">
        <f>SUM(K6:K1048576)</f>
        <v>0</v>
      </c>
      <c r="L3" s="257">
        <f>SUM(L6:L1048576)</f>
        <v>0</v>
      </c>
      <c r="M3" s="258">
        <f>SUM(M6:M1048576)</f>
        <v>0</v>
      </c>
      <c r="N3" s="255">
        <f>IF(SUM($J3:$M3)=0,"",J3/SUM($J3:$M3))</f>
        <v>1</v>
      </c>
      <c r="O3" s="253">
        <f t="shared" ref="O3:Q3" si="1">IF(SUM($J3:$M3)=0,"",K3/SUM($J3:$M3))</f>
        <v>0</v>
      </c>
      <c r="P3" s="253">
        <f t="shared" si="1"/>
        <v>0</v>
      </c>
      <c r="Q3" s="254">
        <f t="shared" si="1"/>
        <v>0</v>
      </c>
    </row>
    <row r="4" spans="1:17" ht="14.4" customHeight="1" thickBot="1" x14ac:dyDescent="0.35">
      <c r="A4" s="251"/>
      <c r="B4" s="312" t="s">
        <v>140</v>
      </c>
      <c r="C4" s="313"/>
      <c r="D4" s="313"/>
      <c r="E4" s="314"/>
      <c r="F4" s="309" t="s">
        <v>145</v>
      </c>
      <c r="G4" s="310"/>
      <c r="H4" s="310"/>
      <c r="I4" s="311"/>
      <c r="J4" s="312" t="s">
        <v>146</v>
      </c>
      <c r="K4" s="313"/>
      <c r="L4" s="313"/>
      <c r="M4" s="314"/>
      <c r="N4" s="309" t="s">
        <v>147</v>
      </c>
      <c r="O4" s="310"/>
      <c r="P4" s="310"/>
      <c r="Q4" s="311"/>
    </row>
    <row r="5" spans="1:17" ht="14.4" customHeight="1" thickBot="1" x14ac:dyDescent="0.35">
      <c r="A5" s="362" t="s">
        <v>139</v>
      </c>
      <c r="B5" s="363" t="s">
        <v>141</v>
      </c>
      <c r="C5" s="363" t="s">
        <v>142</v>
      </c>
      <c r="D5" s="363" t="s">
        <v>143</v>
      </c>
      <c r="E5" s="364" t="s">
        <v>144</v>
      </c>
      <c r="F5" s="365" t="s">
        <v>141</v>
      </c>
      <c r="G5" s="366" t="s">
        <v>142</v>
      </c>
      <c r="H5" s="366" t="s">
        <v>143</v>
      </c>
      <c r="I5" s="367" t="s">
        <v>144</v>
      </c>
      <c r="J5" s="363" t="s">
        <v>141</v>
      </c>
      <c r="K5" s="363" t="s">
        <v>142</v>
      </c>
      <c r="L5" s="363" t="s">
        <v>143</v>
      </c>
      <c r="M5" s="364" t="s">
        <v>144</v>
      </c>
      <c r="N5" s="365" t="s">
        <v>141</v>
      </c>
      <c r="O5" s="366" t="s">
        <v>142</v>
      </c>
      <c r="P5" s="366" t="s">
        <v>143</v>
      </c>
      <c r="Q5" s="367" t="s">
        <v>144</v>
      </c>
    </row>
    <row r="6" spans="1:17" ht="14.4" customHeight="1" x14ac:dyDescent="0.3">
      <c r="A6" s="374" t="s">
        <v>305</v>
      </c>
      <c r="B6" s="378"/>
      <c r="C6" s="368"/>
      <c r="D6" s="368"/>
      <c r="E6" s="380"/>
      <c r="F6" s="376"/>
      <c r="G6" s="369"/>
      <c r="H6" s="369"/>
      <c r="I6" s="382"/>
      <c r="J6" s="378"/>
      <c r="K6" s="368"/>
      <c r="L6" s="368"/>
      <c r="M6" s="380"/>
      <c r="N6" s="376"/>
      <c r="O6" s="369"/>
      <c r="P6" s="369"/>
      <c r="Q6" s="370"/>
    </row>
    <row r="7" spans="1:17" ht="14.4" customHeight="1" thickBot="1" x14ac:dyDescent="0.35">
      <c r="A7" s="375" t="s">
        <v>306</v>
      </c>
      <c r="B7" s="379">
        <v>7</v>
      </c>
      <c r="C7" s="371"/>
      <c r="D7" s="371"/>
      <c r="E7" s="381"/>
      <c r="F7" s="377">
        <v>1</v>
      </c>
      <c r="G7" s="372">
        <v>0</v>
      </c>
      <c r="H7" s="372">
        <v>0</v>
      </c>
      <c r="I7" s="383">
        <v>0</v>
      </c>
      <c r="J7" s="379">
        <v>5</v>
      </c>
      <c r="K7" s="371"/>
      <c r="L7" s="371"/>
      <c r="M7" s="381"/>
      <c r="N7" s="377">
        <v>1</v>
      </c>
      <c r="O7" s="372">
        <v>0</v>
      </c>
      <c r="P7" s="372">
        <v>0</v>
      </c>
      <c r="Q7" s="373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4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3" customWidth="1"/>
    <col min="2" max="2" width="61.109375" style="163" customWidth="1"/>
    <col min="3" max="3" width="9.5546875" style="96" customWidth="1"/>
    <col min="4" max="4" width="9.5546875" style="164" customWidth="1"/>
    <col min="5" max="5" width="2.21875" style="164" customWidth="1"/>
    <col min="6" max="6" width="9.5546875" style="165" customWidth="1"/>
    <col min="7" max="7" width="9.5546875" style="162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300" t="s">
        <v>78</v>
      </c>
      <c r="B1" s="301"/>
      <c r="C1" s="301"/>
      <c r="D1" s="301"/>
      <c r="E1" s="301"/>
      <c r="F1" s="301"/>
      <c r="G1" s="272"/>
      <c r="H1" s="302"/>
      <c r="I1" s="302"/>
    </row>
    <row r="2" spans="1:10" ht="14.4" customHeight="1" thickBot="1" x14ac:dyDescent="0.35">
      <c r="A2" s="174" t="s">
        <v>177</v>
      </c>
      <c r="B2" s="161"/>
      <c r="C2" s="161"/>
      <c r="D2" s="161"/>
      <c r="E2" s="161"/>
      <c r="F2" s="161"/>
    </row>
    <row r="3" spans="1:10" ht="14.4" customHeight="1" thickBot="1" x14ac:dyDescent="0.35">
      <c r="A3" s="174"/>
      <c r="B3" s="161"/>
      <c r="C3" s="243">
        <v>2014</v>
      </c>
      <c r="D3" s="244">
        <v>2015</v>
      </c>
      <c r="E3" s="7"/>
      <c r="F3" s="295">
        <v>2016</v>
      </c>
      <c r="G3" s="296"/>
      <c r="H3" s="296"/>
      <c r="I3" s="297"/>
    </row>
    <row r="4" spans="1:10" ht="14.4" customHeight="1" thickBot="1" x14ac:dyDescent="0.35">
      <c r="A4" s="248" t="s">
        <v>0</v>
      </c>
      <c r="B4" s="249" t="s">
        <v>137</v>
      </c>
      <c r="C4" s="298" t="s">
        <v>55</v>
      </c>
      <c r="D4" s="299"/>
      <c r="E4" s="250"/>
      <c r="F4" s="245" t="s">
        <v>55</v>
      </c>
      <c r="G4" s="246" t="s">
        <v>56</v>
      </c>
      <c r="H4" s="246" t="s">
        <v>52</v>
      </c>
      <c r="I4" s="247" t="s">
        <v>57</v>
      </c>
    </row>
    <row r="5" spans="1:10" ht="14.4" customHeight="1" x14ac:dyDescent="0.3">
      <c r="A5" s="346" t="s">
        <v>291</v>
      </c>
      <c r="B5" s="347" t="s">
        <v>292</v>
      </c>
      <c r="C5" s="348" t="s">
        <v>293</v>
      </c>
      <c r="D5" s="348" t="s">
        <v>293</v>
      </c>
      <c r="E5" s="348"/>
      <c r="F5" s="348" t="s">
        <v>293</v>
      </c>
      <c r="G5" s="348" t="s">
        <v>293</v>
      </c>
      <c r="H5" s="348" t="s">
        <v>293</v>
      </c>
      <c r="I5" s="349" t="s">
        <v>293</v>
      </c>
      <c r="J5" s="350" t="s">
        <v>53</v>
      </c>
    </row>
    <row r="6" spans="1:10" ht="14.4" customHeight="1" x14ac:dyDescent="0.3">
      <c r="A6" s="346" t="s">
        <v>291</v>
      </c>
      <c r="B6" s="347" t="s">
        <v>187</v>
      </c>
      <c r="C6" s="348">
        <v>24.291959999999996</v>
      </c>
      <c r="D6" s="348">
        <v>20.67116</v>
      </c>
      <c r="E6" s="348"/>
      <c r="F6" s="348">
        <v>25.181959999999997</v>
      </c>
      <c r="G6" s="348">
        <v>21.000005788768998</v>
      </c>
      <c r="H6" s="348">
        <v>4.1819542112309982</v>
      </c>
      <c r="I6" s="349">
        <v>1.1991406218310448</v>
      </c>
      <c r="J6" s="350" t="s">
        <v>1</v>
      </c>
    </row>
    <row r="7" spans="1:10" ht="14.4" customHeight="1" x14ac:dyDescent="0.3">
      <c r="A7" s="346" t="s">
        <v>291</v>
      </c>
      <c r="B7" s="347" t="s">
        <v>188</v>
      </c>
      <c r="C7" s="348">
        <v>0</v>
      </c>
      <c r="D7" s="348">
        <v>0</v>
      </c>
      <c r="E7" s="348"/>
      <c r="F7" s="348">
        <v>0</v>
      </c>
      <c r="G7" s="348">
        <v>1.333333700874</v>
      </c>
      <c r="H7" s="348">
        <v>-1.333333700874</v>
      </c>
      <c r="I7" s="349">
        <v>0</v>
      </c>
      <c r="J7" s="350" t="s">
        <v>1</v>
      </c>
    </row>
    <row r="8" spans="1:10" ht="14.4" customHeight="1" x14ac:dyDescent="0.3">
      <c r="A8" s="346" t="s">
        <v>291</v>
      </c>
      <c r="B8" s="347" t="s">
        <v>189</v>
      </c>
      <c r="C8" s="348">
        <v>0</v>
      </c>
      <c r="D8" s="348">
        <v>0</v>
      </c>
      <c r="E8" s="348"/>
      <c r="F8" s="348">
        <v>0</v>
      </c>
      <c r="G8" s="348">
        <v>4.7333346381000001E-2</v>
      </c>
      <c r="H8" s="348">
        <v>-4.7333346381000001E-2</v>
      </c>
      <c r="I8" s="349">
        <v>0</v>
      </c>
      <c r="J8" s="350" t="s">
        <v>1</v>
      </c>
    </row>
    <row r="9" spans="1:10" ht="14.4" customHeight="1" x14ac:dyDescent="0.3">
      <c r="A9" s="346" t="s">
        <v>291</v>
      </c>
      <c r="B9" s="347" t="s">
        <v>294</v>
      </c>
      <c r="C9" s="348">
        <v>24.291959999999996</v>
      </c>
      <c r="D9" s="348">
        <v>20.67116</v>
      </c>
      <c r="E9" s="348"/>
      <c r="F9" s="348">
        <v>25.181959999999997</v>
      </c>
      <c r="G9" s="348">
        <v>22.380672836023997</v>
      </c>
      <c r="H9" s="348">
        <v>2.8012871639759993</v>
      </c>
      <c r="I9" s="349">
        <v>1.1251654579154136</v>
      </c>
      <c r="J9" s="350" t="s">
        <v>295</v>
      </c>
    </row>
    <row r="11" spans="1:10" ht="14.4" customHeight="1" x14ac:dyDescent="0.3">
      <c r="A11" s="346" t="s">
        <v>291</v>
      </c>
      <c r="B11" s="347" t="s">
        <v>292</v>
      </c>
      <c r="C11" s="348" t="s">
        <v>293</v>
      </c>
      <c r="D11" s="348" t="s">
        <v>293</v>
      </c>
      <c r="E11" s="348"/>
      <c r="F11" s="348" t="s">
        <v>293</v>
      </c>
      <c r="G11" s="348" t="s">
        <v>293</v>
      </c>
      <c r="H11" s="348" t="s">
        <v>293</v>
      </c>
      <c r="I11" s="349" t="s">
        <v>293</v>
      </c>
      <c r="J11" s="350" t="s">
        <v>53</v>
      </c>
    </row>
    <row r="12" spans="1:10" ht="14.4" customHeight="1" x14ac:dyDescent="0.3">
      <c r="A12" s="346" t="s">
        <v>296</v>
      </c>
      <c r="B12" s="347" t="s">
        <v>292</v>
      </c>
      <c r="C12" s="348" t="s">
        <v>293</v>
      </c>
      <c r="D12" s="348" t="s">
        <v>293</v>
      </c>
      <c r="E12" s="348"/>
      <c r="F12" s="348" t="s">
        <v>293</v>
      </c>
      <c r="G12" s="348" t="s">
        <v>293</v>
      </c>
      <c r="H12" s="348" t="s">
        <v>293</v>
      </c>
      <c r="I12" s="349" t="s">
        <v>293</v>
      </c>
      <c r="J12" s="350" t="s">
        <v>0</v>
      </c>
    </row>
    <row r="13" spans="1:10" ht="14.4" customHeight="1" x14ac:dyDescent="0.3">
      <c r="A13" s="346" t="s">
        <v>296</v>
      </c>
      <c r="B13" s="347" t="s">
        <v>187</v>
      </c>
      <c r="C13" s="348">
        <v>24.291959999999996</v>
      </c>
      <c r="D13" s="348">
        <v>20.67116</v>
      </c>
      <c r="E13" s="348"/>
      <c r="F13" s="348">
        <v>25.181959999999997</v>
      </c>
      <c r="G13" s="348">
        <v>21.000005788768998</v>
      </c>
      <c r="H13" s="348">
        <v>4.1819542112309982</v>
      </c>
      <c r="I13" s="349">
        <v>1.1991406218310448</v>
      </c>
      <c r="J13" s="350" t="s">
        <v>1</v>
      </c>
    </row>
    <row r="14" spans="1:10" ht="14.4" customHeight="1" x14ac:dyDescent="0.3">
      <c r="A14" s="346" t="s">
        <v>296</v>
      </c>
      <c r="B14" s="347" t="s">
        <v>188</v>
      </c>
      <c r="C14" s="348">
        <v>0</v>
      </c>
      <c r="D14" s="348">
        <v>0</v>
      </c>
      <c r="E14" s="348"/>
      <c r="F14" s="348">
        <v>0</v>
      </c>
      <c r="G14" s="348">
        <v>1.333333700874</v>
      </c>
      <c r="H14" s="348">
        <v>-1.333333700874</v>
      </c>
      <c r="I14" s="349">
        <v>0</v>
      </c>
      <c r="J14" s="350" t="s">
        <v>1</v>
      </c>
    </row>
    <row r="15" spans="1:10" ht="14.4" customHeight="1" x14ac:dyDescent="0.3">
      <c r="A15" s="346" t="s">
        <v>296</v>
      </c>
      <c r="B15" s="347" t="s">
        <v>189</v>
      </c>
      <c r="C15" s="348">
        <v>0</v>
      </c>
      <c r="D15" s="348">
        <v>0</v>
      </c>
      <c r="E15" s="348"/>
      <c r="F15" s="348">
        <v>0</v>
      </c>
      <c r="G15" s="348">
        <v>4.7333346381000001E-2</v>
      </c>
      <c r="H15" s="348">
        <v>-4.7333346381000001E-2</v>
      </c>
      <c r="I15" s="349">
        <v>0</v>
      </c>
      <c r="J15" s="350" t="s">
        <v>1</v>
      </c>
    </row>
    <row r="16" spans="1:10" ht="14.4" customHeight="1" x14ac:dyDescent="0.3">
      <c r="A16" s="346" t="s">
        <v>296</v>
      </c>
      <c r="B16" s="347" t="s">
        <v>294</v>
      </c>
      <c r="C16" s="348">
        <v>24.291959999999996</v>
      </c>
      <c r="D16" s="348">
        <v>20.67116</v>
      </c>
      <c r="E16" s="348"/>
      <c r="F16" s="348">
        <v>25.181959999999997</v>
      </c>
      <c r="G16" s="348">
        <v>22.380672836023997</v>
      </c>
      <c r="H16" s="348">
        <v>2.8012871639759993</v>
      </c>
      <c r="I16" s="349">
        <v>1.1251654579154136</v>
      </c>
      <c r="J16" s="350" t="s">
        <v>297</v>
      </c>
    </row>
    <row r="17" spans="1:10" ht="14.4" customHeight="1" x14ac:dyDescent="0.3">
      <c r="A17" s="346" t="s">
        <v>293</v>
      </c>
      <c r="B17" s="347" t="s">
        <v>293</v>
      </c>
      <c r="C17" s="348" t="s">
        <v>293</v>
      </c>
      <c r="D17" s="348" t="s">
        <v>293</v>
      </c>
      <c r="E17" s="348"/>
      <c r="F17" s="348" t="s">
        <v>293</v>
      </c>
      <c r="G17" s="348" t="s">
        <v>293</v>
      </c>
      <c r="H17" s="348" t="s">
        <v>293</v>
      </c>
      <c r="I17" s="349" t="s">
        <v>293</v>
      </c>
      <c r="J17" s="350" t="s">
        <v>298</v>
      </c>
    </row>
    <row r="18" spans="1:10" ht="14.4" customHeight="1" x14ac:dyDescent="0.3">
      <c r="A18" s="346" t="s">
        <v>291</v>
      </c>
      <c r="B18" s="347" t="s">
        <v>294</v>
      </c>
      <c r="C18" s="348">
        <v>24.291959999999996</v>
      </c>
      <c r="D18" s="348">
        <v>20.67116</v>
      </c>
      <c r="E18" s="348"/>
      <c r="F18" s="348">
        <v>25.181959999999997</v>
      </c>
      <c r="G18" s="348">
        <v>22.380672836023997</v>
      </c>
      <c r="H18" s="348">
        <v>2.8012871639759993</v>
      </c>
      <c r="I18" s="349">
        <v>1.1251654579154136</v>
      </c>
      <c r="J18" s="350" t="s">
        <v>295</v>
      </c>
    </row>
  </sheetData>
  <mergeCells count="3">
    <mergeCell ref="A1:I1"/>
    <mergeCell ref="F3:I3"/>
    <mergeCell ref="C4:D4"/>
  </mergeCells>
  <conditionalFormatting sqref="F10 F19:F65537">
    <cfRule type="cellIs" dxfId="23" priority="18" stopIfTrue="1" operator="greaterThan">
      <formula>1</formula>
    </cfRule>
  </conditionalFormatting>
  <conditionalFormatting sqref="H5:H9">
    <cfRule type="expression" dxfId="22" priority="14">
      <formula>$H5&gt;0</formula>
    </cfRule>
  </conditionalFormatting>
  <conditionalFormatting sqref="I5:I9">
    <cfRule type="expression" dxfId="21" priority="15">
      <formula>$I5&gt;1</formula>
    </cfRule>
  </conditionalFormatting>
  <conditionalFormatting sqref="B5:B9">
    <cfRule type="expression" dxfId="20" priority="11">
      <formula>OR($J5="NS",$J5="SumaNS",$J5="Účet")</formula>
    </cfRule>
  </conditionalFormatting>
  <conditionalFormatting sqref="F5:I9 B5:D9">
    <cfRule type="expression" dxfId="19" priority="17">
      <formula>AND($J5&lt;&gt;"",$J5&lt;&gt;"mezeraKL")</formula>
    </cfRule>
  </conditionalFormatting>
  <conditionalFormatting sqref="B5:D9 F5:I9">
    <cfRule type="expression" dxfId="18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7" priority="13">
      <formula>OR($J5="SumaNS",$J5="NS")</formula>
    </cfRule>
  </conditionalFormatting>
  <conditionalFormatting sqref="A5:A9">
    <cfRule type="expression" dxfId="16" priority="9">
      <formula>AND($J5&lt;&gt;"mezeraKL",$J5&lt;&gt;"")</formula>
    </cfRule>
  </conditionalFormatting>
  <conditionalFormatting sqref="A5:A9">
    <cfRule type="expression" dxfId="15" priority="10">
      <formula>AND($J5&lt;&gt;"",$J5&lt;&gt;"mezeraKL")</formula>
    </cfRule>
  </conditionalFormatting>
  <conditionalFormatting sqref="H11:H18">
    <cfRule type="expression" dxfId="14" priority="5">
      <formula>$H11&gt;0</formula>
    </cfRule>
  </conditionalFormatting>
  <conditionalFormatting sqref="A11:A18">
    <cfRule type="expression" dxfId="13" priority="2">
      <formula>AND($J11&lt;&gt;"mezeraKL",$J11&lt;&gt;"")</formula>
    </cfRule>
  </conditionalFormatting>
  <conditionalFormatting sqref="I11:I18">
    <cfRule type="expression" dxfId="12" priority="6">
      <formula>$I11&gt;1</formula>
    </cfRule>
  </conditionalFormatting>
  <conditionalFormatting sqref="B11:B18">
    <cfRule type="expression" dxfId="11" priority="1">
      <formula>OR($J11="NS",$J11="SumaNS",$J11="Účet")</formula>
    </cfRule>
  </conditionalFormatting>
  <conditionalFormatting sqref="A11:D18 F11:I18">
    <cfRule type="expression" dxfId="10" priority="8">
      <formula>AND($J11&lt;&gt;"",$J11&lt;&gt;"mezeraKL")</formula>
    </cfRule>
  </conditionalFormatting>
  <conditionalFormatting sqref="B11:D18 F11:I18">
    <cfRule type="expression" dxfId="9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8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Obsah</vt:lpstr>
      <vt:lpstr>Motivace</vt:lpstr>
      <vt:lpstr>HI</vt:lpstr>
      <vt:lpstr>Man Tab</vt:lpstr>
      <vt:lpstr>HV</vt:lpstr>
      <vt:lpstr>Léky Žádanky</vt:lpstr>
      <vt:lpstr>LŽ Detail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Berger Martin, Mgr.</cp:lastModifiedBy>
  <cp:lastPrinted>2014-08-21T08:13:26Z</cp:lastPrinted>
  <dcterms:created xsi:type="dcterms:W3CDTF">2013-04-17T20:15:29Z</dcterms:created>
  <dcterms:modified xsi:type="dcterms:W3CDTF">2016-05-23T12:22:39Z</dcterms:modified>
</cp:coreProperties>
</file>