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Statim" sheetId="427" r:id="rId8"/>
    <sheet name="Materiál Žádanky" sheetId="420" r:id="rId9"/>
    <sheet name="MŽ Detail" sheetId="403" r:id="rId10"/>
    <sheet name="Osobní náklady" sheetId="431" r:id="rId11"/>
    <sheet name="ON Data" sheetId="432" state="hidden" r:id="rId12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Statim'!$A$5:$I$5</definedName>
    <definedName name="_xlnm._FilterDatabase" localSheetId="3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doměsíce">#REF!</definedName>
    <definedName name="Obdobi" localSheetId="11">'ON Data'!$B$3:$B$16</definedName>
    <definedName name="Obdobi" localSheetId="10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D12" i="431"/>
  <c r="D16" i="431"/>
  <c r="E11" i="431"/>
  <c r="E15" i="431"/>
  <c r="F10" i="431"/>
  <c r="F14" i="431"/>
  <c r="G9" i="431"/>
  <c r="G13" i="431"/>
  <c r="G17" i="431"/>
  <c r="H12" i="431"/>
  <c r="H16" i="431"/>
  <c r="I15" i="431"/>
  <c r="J10" i="431"/>
  <c r="K9" i="431"/>
  <c r="K17" i="431"/>
  <c r="L16" i="431"/>
  <c r="N10" i="431"/>
  <c r="O9" i="431"/>
  <c r="O17" i="431"/>
  <c r="P16" i="431"/>
  <c r="Q15" i="431"/>
  <c r="C14" i="431"/>
  <c r="D9" i="431"/>
  <c r="D17" i="431"/>
  <c r="E16" i="431"/>
  <c r="F15" i="431"/>
  <c r="G14" i="431"/>
  <c r="H13" i="431"/>
  <c r="I12" i="431"/>
  <c r="J11" i="431"/>
  <c r="K10" i="431"/>
  <c r="K14" i="431"/>
  <c r="L13" i="431"/>
  <c r="M12" i="431"/>
  <c r="N11" i="431"/>
  <c r="O10" i="431"/>
  <c r="P9" i="431"/>
  <c r="P17" i="431"/>
  <c r="Q16" i="431"/>
  <c r="C15" i="431"/>
  <c r="D14" i="431"/>
  <c r="E13" i="431"/>
  <c r="F16" i="431"/>
  <c r="G15" i="431"/>
  <c r="H10" i="431"/>
  <c r="I9" i="431"/>
  <c r="I17" i="431"/>
  <c r="J16" i="431"/>
  <c r="K15" i="431"/>
  <c r="L14" i="431"/>
  <c r="M13" i="431"/>
  <c r="N12" i="431"/>
  <c r="O11" i="431"/>
  <c r="P10" i="431"/>
  <c r="Q9" i="431"/>
  <c r="Q17" i="431"/>
  <c r="C12" i="431"/>
  <c r="C16" i="431"/>
  <c r="D11" i="431"/>
  <c r="D15" i="431"/>
  <c r="E10" i="431"/>
  <c r="E14" i="431"/>
  <c r="F9" i="431"/>
  <c r="F13" i="431"/>
  <c r="F17" i="431"/>
  <c r="G12" i="431"/>
  <c r="G16" i="431"/>
  <c r="H11" i="431"/>
  <c r="H15" i="431"/>
  <c r="I10" i="431"/>
  <c r="I14" i="431"/>
  <c r="J9" i="431"/>
  <c r="J13" i="431"/>
  <c r="J17" i="431"/>
  <c r="K12" i="431"/>
  <c r="K16" i="431"/>
  <c r="L11" i="431"/>
  <c r="L15" i="431"/>
  <c r="M10" i="431"/>
  <c r="M14" i="431"/>
  <c r="N9" i="431"/>
  <c r="N13" i="431"/>
  <c r="N17" i="431"/>
  <c r="O12" i="431"/>
  <c r="O16" i="431"/>
  <c r="P11" i="431"/>
  <c r="P15" i="431"/>
  <c r="Q10" i="431"/>
  <c r="Q14" i="431"/>
  <c r="I11" i="431"/>
  <c r="J14" i="431"/>
  <c r="K13" i="431"/>
  <c r="L12" i="431"/>
  <c r="M11" i="431"/>
  <c r="M15" i="431"/>
  <c r="N14" i="431"/>
  <c r="O13" i="431"/>
  <c r="P12" i="431"/>
  <c r="Q11" i="431"/>
  <c r="C10" i="431"/>
  <c r="D13" i="431"/>
  <c r="E12" i="431"/>
  <c r="F11" i="431"/>
  <c r="G10" i="431"/>
  <c r="H9" i="431"/>
  <c r="H17" i="431"/>
  <c r="I16" i="431"/>
  <c r="J15" i="431"/>
  <c r="L9" i="431"/>
  <c r="L17" i="431"/>
  <c r="M16" i="431"/>
  <c r="N15" i="431"/>
  <c r="O14" i="431"/>
  <c r="P13" i="431"/>
  <c r="Q12" i="431"/>
  <c r="C11" i="431"/>
  <c r="D10" i="431"/>
  <c r="E9" i="431"/>
  <c r="E17" i="431"/>
  <c r="F12" i="431"/>
  <c r="G11" i="431"/>
  <c r="H14" i="431"/>
  <c r="I13" i="431"/>
  <c r="J12" i="431"/>
  <c r="K11" i="431"/>
  <c r="L10" i="431"/>
  <c r="M9" i="431"/>
  <c r="M17" i="431"/>
  <c r="N16" i="431"/>
  <c r="O15" i="431"/>
  <c r="P14" i="431"/>
  <c r="Q13" i="431"/>
  <c r="K8" i="431"/>
  <c r="H8" i="431"/>
  <c r="E8" i="431"/>
  <c r="O8" i="431"/>
  <c r="L8" i="431"/>
  <c r="I8" i="431"/>
  <c r="M8" i="431"/>
  <c r="C8" i="431"/>
  <c r="J8" i="431"/>
  <c r="P8" i="431"/>
  <c r="G8" i="431"/>
  <c r="D8" i="431"/>
  <c r="F8" i="431"/>
  <c r="Q8" i="431"/>
  <c r="N8" i="431"/>
  <c r="R13" i="431" l="1"/>
  <c r="S13" i="431"/>
  <c r="S12" i="431"/>
  <c r="R12" i="431"/>
  <c r="S11" i="431"/>
  <c r="R11" i="431"/>
  <c r="S14" i="431"/>
  <c r="R14" i="431"/>
  <c r="R10" i="431"/>
  <c r="S10" i="431"/>
  <c r="R17" i="431"/>
  <c r="S17" i="431"/>
  <c r="S9" i="431"/>
  <c r="R9" i="431"/>
  <c r="S16" i="431"/>
  <c r="R16" i="431"/>
  <c r="R15" i="431"/>
  <c r="S15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E11" i="339" l="1"/>
  <c r="C11" i="339"/>
  <c r="A8" i="414" l="1"/>
  <c r="A7" i="414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13" i="383" l="1"/>
  <c r="A10" i="383"/>
  <c r="A7" i="33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B11" i="339" l="1"/>
  <c r="J11" i="339" s="1"/>
  <c r="I11" i="339" l="1"/>
  <c r="F11" i="339"/>
  <c r="H11" i="339" l="1"/>
  <c r="G11" i="339"/>
  <c r="A12" i="414"/>
  <c r="A13" i="414"/>
  <c r="A4" i="414"/>
  <c r="A6" i="339" l="1"/>
  <c r="A5" i="339"/>
  <c r="C16" i="414"/>
  <c r="C13" i="414"/>
  <c r="D13" i="414"/>
  <c r="D4" i="414"/>
  <c r="D16" i="414"/>
  <c r="C12" i="414" l="1"/>
  <c r="C7" i="414"/>
  <c r="E12" i="414" l="1"/>
  <c r="E7" i="414"/>
  <c r="K3" i="403" l="1"/>
  <c r="J3" i="403"/>
  <c r="I3" i="403" s="1"/>
  <c r="M3" i="220" l="1"/>
  <c r="E12" i="339" l="1"/>
  <c r="C12" i="339"/>
  <c r="F12" i="339" s="1"/>
  <c r="B12" i="339"/>
  <c r="J12" i="339" s="1"/>
  <c r="N3" i="220"/>
  <c r="L3" i="220" s="1"/>
  <c r="C17" i="414"/>
  <c r="D17" i="414"/>
  <c r="I12" i="339" l="1"/>
  <c r="I13" i="339" s="1"/>
  <c r="F13" i="339"/>
  <c r="E13" i="339"/>
  <c r="E15" i="339" s="1"/>
  <c r="H12" i="339"/>
  <c r="G12" i="339"/>
  <c r="A4" i="383"/>
  <c r="A15" i="383"/>
  <c r="A14" i="383"/>
  <c r="A11" i="383"/>
  <c r="A7" i="383"/>
  <c r="A6" i="383"/>
  <c r="A5" i="383"/>
  <c r="C13" i="339"/>
  <c r="C15" i="339" s="1"/>
  <c r="B13" i="339"/>
  <c r="D15" i="414"/>
  <c r="C4" i="414"/>
  <c r="H13" i="339" l="1"/>
  <c r="F15" i="339"/>
  <c r="J13" i="339"/>
  <c r="B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<sst xmlns="http://schemas.openxmlformats.org/spreadsheetml/2006/main" count="764" uniqueCount="381">
  <si>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</si>
  <si>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</si>
  <si>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</si>
  <si>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</si>
  <si>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</si>
  <si>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</si>
  <si>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</si>
  <si>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</si>
  <si>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</si>
  <si>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</si>
  <si>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</si>
  <si>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</si>
  <si>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</si>
  <si>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</si>
  <si>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</si>
  <si>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</si>
  <si>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</si>
  <si>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</si>
  <si>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</si>
  <si>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</si>
  <si>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</si>
  <si>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</si>
  <si>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</si>
  <si>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</si>
  <si>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</si>
  <si>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</si>
  <si>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</si>
  <si>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</si>
  <si>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</si>
  <si>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</si>
  <si>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</si>
  <si>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</si>
  <si>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</si>
  <si>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</si>
  <si>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</si>
  <si>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</si>
  <si>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</si>
  <si>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</si>
  <si>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</si>
  <si>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</si>
  <si>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</si>
  <si>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</si>
  <si>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</si>
  <si>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</si>
  <si>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</si>
  <si>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</si>
  <si>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</si>
  <si>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</si>
  <si>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</si>
  <si>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</si>
  <si>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</si>
  <si>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</si>
  <si>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</si>
  <si>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</si>
  <si>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</si>
  <si>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</si>
  <si>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</si>
  <si>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</si>
  <si>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</si>
  <si>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</si>
  <si>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</si>
  <si>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</si>
  <si>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</si>
  <si>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</si>
  <si>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</si>
  <si>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</si>
  <si>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</si>
  <si>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</si>
  <si>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</si>
  <si>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</si>
  <si>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</si>
  <si>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</si>
  <si>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</si>
  <si>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</si>
  <si>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</si>
  <si>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</si>
  <si>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</si>
  <si>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</si>
  <si>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</si>
  <si>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</si>
  <si>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</si>
  <si>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</si>
  <si>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</si>
  <si>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</si>
  <si>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</si>
  <si>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</si>
  <si>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</si>
  <si>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</si>
  <si>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</si>
  <si>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</si>
  <si>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</si>
  <si>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</si>
  <si>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</si>
  <si>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</si>
  <si>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</si>
  <si>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</si>
  <si>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</si>
  <si>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</si>
  <si>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</si>
  <si>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</si>
  <si>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</si>
  <si>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</si>
  <si>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</si>
  <si>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</si>
  <si>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</si>
  <si>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</si>
  <si>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</si>
  <si>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</si>
  <si>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</si>
  <si>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</si>
  <si>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</si>
  <si>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</si>
  <si>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</si>
  <si>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</si>
  <si>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</si>
  <si>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</si>
  <si>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</si>
  <si>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</si>
  <si>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</si>
  <si>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</si>
  <si>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</si>
  <si>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</si>
  <si>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</si>
  <si>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</si>
  <si>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</si>
  <si>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</si>
  <si>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</si>
  <si>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</si>
  <si>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</si>
  <si>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</si>
  <si>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</si>
  <si>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</si>
  <si>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</si>
  <si>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</si>
  <si>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</si>
  <si>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</si>
  <si>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</si>
  <si>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</si>
  <si>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</si>
  <si>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</si>
  <si>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</si>
  <si>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</si>
  <si>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</si>
  <si>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</si>
  <si>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</si>
  <si>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</si>
  <si>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</si>
  <si>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</si>
  <si>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</si>
  <si>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</si>
  <si>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</si>
  <si>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</si>
  <si>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</si>
  <si>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</si>
  <si>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</si>
  <si>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</si>
  <si>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Rozpočet výnosů pro rok 2017 je stanoven jako 100% skutečnosti referenčního období (2016)</t>
  </si>
  <si>
    <t>Rozdíl 2015</t>
  </si>
  <si>
    <t>Plnění 2015</t>
  </si>
  <si>
    <t>2017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</si>
  <si>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</si>
  <si>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</si>
  <si>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</si>
  <si>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</si>
  <si>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</si>
  <si>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</si>
  <si>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</si>
  <si>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</si>
  <si>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</si>
  <si>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</si>
  <si>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</si>
  <si>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</si>
  <si>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</si>
  <si>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</si>
  <si>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</si>
  <si>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</si>
  <si>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</si>
  <si>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</si>
  <si>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</si>
  <si>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</si>
  <si>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</si>
  <si>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</si>
  <si>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</si>
  <si>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</si>
  <si>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</si>
  <si>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</si>
  <si>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</si>
  <si>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</si>
  <si>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</si>
  <si>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</si>
  <si>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</si>
  <si>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</si>
  <si>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Oddělení nemocniční hygieny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</si>
  <si>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</si>
  <si>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</si>
  <si>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</si>
  <si>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</si>
  <si>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</si>
  <si>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</si>
  <si>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</si>
  <si>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</si>
  <si>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</si>
  <si>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50115050     obvazový materiál (Z502)</t>
  </si>
  <si>
    <t>50115067     ZPr - rukavice (Z532)</t>
  </si>
  <si>
    <t>--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</si>
  <si>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</si>
  <si>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</si>
  <si>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</si>
  <si>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</si>
  <si>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</si>
  <si>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</si>
  <si>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</si>
  <si>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</si>
  <si>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</si>
  <si>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</si>
  <si>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</si>
  <si>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</si>
  <si>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</si>
  <si>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</si>
  <si>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</si>
  <si>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</si>
  <si>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</si>
  <si>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</si>
  <si>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</si>
  <si>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</si>
  <si>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</si>
  <si>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</si>
  <si>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</si>
  <si>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</si>
  <si>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</si>
  <si>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</si>
  <si>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</si>
  <si>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</si>
  <si>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</si>
  <si>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</si>
  <si>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</si>
  <si>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</si>
  <si>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</si>
  <si>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</si>
  <si>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</si>
  <si>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</si>
  <si>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</si>
  <si>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</si>
  <si>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</si>
  <si>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</si>
  <si>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51808013     revize - kalibrace - metrolog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</si>
  <si>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</si>
  <si>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</si>
  <si>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</si>
  <si>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</si>
  <si>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</si>
  <si>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</si>
  <si>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</si>
  <si>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</si>
  <si>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</si>
  <si>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</si>
  <si>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</si>
  <si>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</si>
  <si>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</si>
  <si>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</si>
  <si>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</si>
  <si>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</si>
  <si>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</si>
  <si>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</si>
  <si>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</si>
  <si>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</si>
  <si>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</si>
  <si>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</si>
  <si>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</si>
  <si>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</si>
  <si>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</si>
  <si>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</si>
  <si>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542     Jiné pokuty a penále</t>
  </si>
  <si>
    <t>54201     Jiné pokuty a penále(dle dokladů)</t>
  </si>
  <si>
    <t>54201013     ostatní pokuty a penále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</si>
  <si>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</si>
  <si>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</si>
  <si>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</si>
  <si>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</si>
  <si>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</si>
  <si>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</si>
  <si>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</si>
  <si>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</si>
  <si>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</si>
  <si>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</si>
  <si>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</si>
  <si>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</si>
  <si>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</si>
  <si>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6     Účtová třída 6 - Výnosy</t>
  </si>
  <si>
    <t>60     Tržby za vlastní výkony a zboží</t>
  </si>
  <si>
    <t>602     Výnosy z prodeje služeb</t>
  </si>
  <si>
    <t>60228     Zdr. výkony - VZP sledov.položky    OZPI</t>
  </si>
  <si>
    <t>60228191     výkony za cizince (mimo EHS)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</si>
  <si>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</si>
  <si>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</si>
  <si>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</si>
  <si>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</si>
  <si>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</si>
  <si>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64924     Ostatní služby - mimo zdrav.výkony  FAKTURACE</t>
  </si>
  <si>
    <t>64924442     telekom.služby, soukr. hovory</t>
  </si>
  <si>
    <t>64924449     ostatní provoz.sl.-hl.čin.</t>
  </si>
  <si>
    <t>7     Účtová třída 7 - Vnitropodnikové účetnictví - náklady</t>
  </si>
  <si>
    <t>79     Vnitropodnikové náklady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</si>
  <si>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</si>
  <si>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</si>
  <si>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</si>
  <si>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</si>
  <si>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</si>
  <si>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</si>
  <si>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</si>
  <si>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</si>
  <si>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</si>
  <si>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</si>
  <si>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</si>
  <si>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54</t>
  </si>
  <si>
    <t>ONH: Oddělení nemocniční hygieny</t>
  </si>
  <si>
    <t/>
  </si>
  <si>
    <t>50113001 - léky - paušál (LEK)</t>
  </si>
  <si>
    <t>ONH: Oddělení nemocniční hygieny Celkem</t>
  </si>
  <si>
    <t>SumaKL</t>
  </si>
  <si>
    <t>5498</t>
  </si>
  <si>
    <t>SumaNS</t>
  </si>
  <si>
    <t>mezeraNS</t>
  </si>
  <si>
    <t>léky - paušál (LEK)</t>
  </si>
  <si>
    <t>O</t>
  </si>
  <si>
    <t>KL MS HYDROG.PEROX. 3% 500g</t>
  </si>
  <si>
    <t>KL PRIPRAVEK</t>
  </si>
  <si>
    <t>54 - Oddělení nemocniční hygieny</t>
  </si>
  <si>
    <t>5498 - Oddělení nemocniční hygieny</t>
  </si>
  <si>
    <t>50115020 - laboratorní diagnostika-LEK (Z501)</t>
  </si>
  <si>
    <t>50115050 - obvazový materiál (Z502)</t>
  </si>
  <si>
    <t>50115067 - ZPr - rukavice (Z532)</t>
  </si>
  <si>
    <t>50115020</t>
  </si>
  <si>
    <t>laboratorní diagnostika-LEK (Z501)</t>
  </si>
  <si>
    <t>DD143</t>
  </si>
  <si>
    <t>CINIDLO PRO TEST PYR</t>
  </si>
  <si>
    <t>DC859</t>
  </si>
  <si>
    <t>COLUMBIA AGAR</t>
  </si>
  <si>
    <t>DD558</t>
  </si>
  <si>
    <t>ENDO AGAR</t>
  </si>
  <si>
    <t>DB001</t>
  </si>
  <si>
    <t>Glukózový bujon (5 ml)</t>
  </si>
  <si>
    <t>DC521</t>
  </si>
  <si>
    <t>OXITEST</t>
  </si>
  <si>
    <t>DE728</t>
  </si>
  <si>
    <t>PASTOREX STAPH PLUS 1x50 testů</t>
  </si>
  <si>
    <t>DA999</t>
  </si>
  <si>
    <t>Půda s bromkresolem (kontrola sterility)</t>
  </si>
  <si>
    <t>DB423</t>
  </si>
  <si>
    <t>PYRATEST</t>
  </si>
  <si>
    <t>DD596</t>
  </si>
  <si>
    <t>Sabouraud agar s CMP</t>
  </si>
  <si>
    <t>50115050</t>
  </si>
  <si>
    <t>obvazový materiál (Z502)</t>
  </si>
  <si>
    <t>ZA604</t>
  </si>
  <si>
    <t>Tyčinka vatová sterilní jednotlivě balalená bal. á 1000 ks 5100/SG/CS</t>
  </si>
  <si>
    <t>50115067</t>
  </si>
  <si>
    <t>ZPr - rukavice (Z532)</t>
  </si>
  <si>
    <t>ZM292</t>
  </si>
  <si>
    <t>Rukavice nitril sempercare bez p. M bal. á 200 ks 30803</t>
  </si>
  <si>
    <t>Spotřeba zdravotnického materiálu - orientační přehled</t>
  </si>
  <si>
    <t>2 VŠ NLZP</t>
  </si>
  <si>
    <t>3 NLZP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</si>
  <si>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</si>
  <si>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</si>
  <si>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</si>
  <si>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</si>
  <si>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</si>
  <si>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</si>
  <si>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</si>
  <si>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</si>
  <si>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</si>
  <si>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</si>
  <si>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ON Data</t>
  </si>
  <si>
    <t>lékaři pod odborným dozorem</t>
  </si>
  <si>
    <t>lékaři specialisté</t>
  </si>
  <si>
    <t>odborní pracovníci v lab. metodách</t>
  </si>
  <si>
    <t>odb. pracovníci v ochraně veřejného zdraví</t>
  </si>
  <si>
    <t>abs. stud. oboru přirodověd. zaměření</t>
  </si>
  <si>
    <t>všeobecné sestry bez dohl.</t>
  </si>
  <si>
    <t>zdravotní laboranti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</si>
</sst>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18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1" xfId="0" applyFont="1" applyFill="1" applyBorder="1" applyAlignment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49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6" xfId="0" applyNumberFormat="1" applyFont="1" applyFill="1" applyBorder="1"/>
    <xf numFmtId="3" fontId="39" fillId="2" borderId="47" xfId="0" applyNumberFormat="1" applyFont="1" applyFill="1" applyBorder="1"/>
    <xf numFmtId="9" fontId="39" fillId="2" borderId="50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48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48" xfId="1" applyFont="1" applyFill="1" applyBorder="1" applyAlignment="1">
      <alignment horizontal="left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76" xfId="74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67" xfId="0" applyFont="1" applyFill="1" applyBorder="1"/>
    <xf numFmtId="0" fontId="32" fillId="0" borderId="68" xfId="0" applyFont="1" applyBorder="1" applyAlignment="1"/>
    <xf numFmtId="9" fontId="32" fillId="0" borderId="6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66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2" xfId="0" applyNumberFormat="1" applyFont="1" applyBorder="1" applyAlignment="1">
      <alignment horizontal="right" vertical="center"/>
    </xf>
    <xf numFmtId="9" fontId="39" fillId="0" borderId="83" xfId="0" applyNumberFormat="1" applyFont="1" applyBorder="1" applyAlignment="1">
      <alignment horizontal="right" vertical="center"/>
    </xf>
    <xf numFmtId="173" fontId="39" fillId="0" borderId="83" xfId="0" applyNumberFormat="1" applyFont="1" applyBorder="1" applyAlignment="1">
      <alignment horizontal="right" vertical="center"/>
    </xf>
    <xf numFmtId="173" fontId="39" fillId="0" borderId="54" xfId="0" applyNumberFormat="1" applyFont="1" applyBorder="1" applyAlignment="1">
      <alignment horizontal="right" vertical="center"/>
    </xf>
    <xf numFmtId="173" fontId="39" fillId="0" borderId="56" xfId="0" applyNumberFormat="1" applyFont="1" applyBorder="1" applyAlignment="1">
      <alignment vertical="center"/>
    </xf>
    <xf numFmtId="173" fontId="39" fillId="0" borderId="84" xfId="0" applyNumberFormat="1" applyFont="1" applyBorder="1" applyAlignment="1">
      <alignment vertical="center"/>
    </xf>
    <xf numFmtId="173" fontId="39" fillId="0" borderId="83" xfId="0" applyNumberFormat="1" applyFont="1" applyBorder="1" applyAlignment="1">
      <alignment vertical="center"/>
    </xf>
    <xf numFmtId="173" fontId="39" fillId="0" borderId="54" xfId="0" applyNumberFormat="1" applyFont="1" applyBorder="1" applyAlignment="1">
      <alignment vertical="center"/>
    </xf>
    <xf numFmtId="173" fontId="39" fillId="0" borderId="85" xfId="0" applyNumberFormat="1" applyFont="1" applyBorder="1" applyAlignment="1">
      <alignment vertical="center"/>
    </xf>
    <xf numFmtId="174" fontId="39" fillId="0" borderId="86" xfId="0" applyNumberFormat="1" applyFont="1" applyBorder="1" applyAlignment="1">
      <alignment vertical="center"/>
    </xf>
    <xf numFmtId="174" fontId="39" fillId="0" borderId="83" xfId="0" applyNumberFormat="1" applyFont="1" applyBorder="1" applyAlignment="1">
      <alignment vertical="center"/>
    </xf>
    <xf numFmtId="174" fontId="39" fillId="0" borderId="54" xfId="0" applyNumberFormat="1" applyFont="1" applyBorder="1" applyAlignment="1">
      <alignment vertical="center"/>
    </xf>
    <xf numFmtId="168" fontId="39" fillId="0" borderId="77" xfId="0" applyNumberFormat="1" applyFont="1" applyBorder="1" applyAlignment="1">
      <alignment vertical="center"/>
    </xf>
    <xf numFmtId="0" fontId="32" fillId="0" borderId="84" xfId="0" applyFont="1" applyBorder="1" applyAlignment="1">
      <alignment horizontal="center" vertical="center"/>
    </xf>
    <xf numFmtId="166" fontId="39" fillId="2" borderId="54" xfId="0" applyNumberFormat="1" applyFont="1" applyFill="1" applyBorder="1" applyAlignment="1">
      <alignment horizontal="center" vertical="center"/>
    </xf>
    <xf numFmtId="173" fontId="39" fillId="0" borderId="63" xfId="0" applyNumberFormat="1" applyFont="1" applyBorder="1" applyAlignment="1">
      <alignment horizontal="right" vertical="center"/>
    </xf>
    <xf numFmtId="175" fontId="39" fillId="0" borderId="62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6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6" fontId="39" fillId="0" borderId="6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66" xfId="0" quotePrefix="1" applyFont="1" applyFill="1" applyBorder="1" applyAlignment="1">
      <alignment horizontal="center" vertical="center" wrapText="1"/>
    </xf>
    <xf numFmtId="0" fontId="40" fillId="9" borderId="66" xfId="0" quotePrefix="1" applyFont="1" applyFill="1" applyBorder="1" applyAlignment="1">
      <alignment horizontal="center" vertical="center" wrapText="1"/>
    </xf>
    <xf numFmtId="0" fontId="40" fillId="9" borderId="6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2" xfId="0" applyNumberFormat="1" applyFont="1" applyFill="1" applyBorder="1"/>
    <xf numFmtId="3" fontId="0" fillId="7" borderId="55" xfId="0" applyNumberFormat="1" applyFont="1" applyFill="1" applyBorder="1"/>
    <xf numFmtId="0" fontId="0" fillId="0" borderId="93" xfId="0" applyNumberFormat="1" applyFont="1" applyBorder="1"/>
    <xf numFmtId="3" fontId="0" fillId="0" borderId="94" xfId="0" applyNumberFormat="1" applyFont="1" applyBorder="1"/>
    <xf numFmtId="0" fontId="0" fillId="7" borderId="93" xfId="0" applyNumberFormat="1" applyFont="1" applyFill="1" applyBorder="1"/>
    <xf numFmtId="3" fontId="0" fillId="7" borderId="94" xfId="0" applyNumberFormat="1" applyFont="1" applyFill="1" applyBorder="1"/>
    <xf numFmtId="0" fontId="52" fillId="8" borderId="93" xfId="0" applyNumberFormat="1" applyFont="1" applyFill="1" applyBorder="1"/>
    <xf numFmtId="3" fontId="52" fillId="8" borderId="94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3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76" xfId="81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4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/>
    <xf numFmtId="9" fontId="3" fillId="2" borderId="79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78" xfId="80" applyNumberFormat="1" applyFont="1" applyFill="1" applyBorder="1" applyAlignment="1">
      <alignment horizontal="left"/>
    </xf>
    <xf numFmtId="3" fontId="3" fillId="2" borderId="73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4" fillId="4" borderId="69" xfId="0" applyNumberFormat="1" applyFont="1" applyFill="1" applyBorder="1" applyAlignment="1">
      <alignment horizontal="center" vertical="center"/>
    </xf>
    <xf numFmtId="3" fontId="54" fillId="4" borderId="81" xfId="0" applyNumberFormat="1" applyFont="1" applyFill="1" applyBorder="1" applyAlignment="1">
      <alignment horizontal="center" vertical="center"/>
    </xf>
    <xf numFmtId="9" fontId="54" fillId="4" borderId="69" xfId="0" applyNumberFormat="1" applyFont="1" applyFill="1" applyBorder="1" applyAlignment="1">
      <alignment horizontal="center" vertical="center"/>
    </xf>
    <xf numFmtId="9" fontId="54" fillId="4" borderId="81" xfId="0" applyNumberFormat="1" applyFont="1" applyFill="1" applyBorder="1" applyAlignment="1">
      <alignment horizontal="center" vertical="center"/>
    </xf>
    <xf numFmtId="3" fontId="54" fillId="4" borderId="70" xfId="0" applyNumberFormat="1" applyFont="1" applyFill="1" applyBorder="1" applyAlignment="1">
      <alignment horizontal="center" vertical="center" wrapText="1"/>
    </xf>
    <xf numFmtId="3" fontId="54" fillId="4" borderId="82" xfId="0" applyNumberFormat="1" applyFont="1" applyFill="1" applyBorder="1" applyAlignment="1">
      <alignment horizontal="center" vertical="center" wrapText="1"/>
    </xf>
    <xf numFmtId="0" fontId="39" fillId="2" borderId="89" xfId="0" applyFont="1" applyFill="1" applyBorder="1" applyAlignment="1">
      <alignment horizontal="center" vertical="center" wrapText="1"/>
    </xf>
    <xf numFmtId="0" fontId="39" fillId="2" borderId="73" xfId="0" applyFont="1" applyFill="1" applyBorder="1" applyAlignment="1">
      <alignment horizontal="center" vertical="center" wrapText="1"/>
    </xf>
    <xf numFmtId="0" fontId="54" fillId="9" borderId="91" xfId="0" applyFont="1" applyFill="1" applyBorder="1" applyAlignment="1">
      <alignment horizontal="center"/>
    </xf>
    <xf numFmtId="0" fontId="54" fillId="9" borderId="90" xfId="0" applyFont="1" applyFill="1" applyBorder="1" applyAlignment="1">
      <alignment horizontal="center"/>
    </xf>
    <xf numFmtId="0" fontId="54" fillId="9" borderId="68" xfId="0" applyFont="1" applyFill="1" applyBorder="1" applyAlignment="1">
      <alignment horizontal="center"/>
    </xf>
    <xf numFmtId="0" fontId="54" fillId="2" borderId="70" xfId="0" applyFont="1" applyFill="1" applyBorder="1" applyAlignment="1">
      <alignment horizontal="center" vertical="center" wrapText="1"/>
    </xf>
    <xf numFmtId="0" fontId="54" fillId="2" borderId="82" xfId="0" applyFont="1" applyFill="1" applyBorder="1" applyAlignment="1">
      <alignment horizontal="center" vertical="center" wrapText="1"/>
    </xf>
    <xf numFmtId="166" fontId="39" fillId="2" borderId="61" xfId="0" applyNumberFormat="1" applyFont="1" applyFill="1" applyBorder="1" applyAlignment="1">
      <alignment horizontal="center" vertical="center"/>
    </xf>
    <xf numFmtId="0" fontId="32" fillId="0" borderId="87" xfId="0" applyFont="1" applyBorder="1" applyAlignment="1">
      <alignment horizontal="center" vertical="center"/>
    </xf>
    <xf numFmtId="0" fontId="54" fillId="4" borderId="80" xfId="0" applyFont="1" applyFill="1" applyBorder="1" applyAlignment="1">
      <alignment horizontal="center" vertical="center" wrapText="1"/>
    </xf>
    <xf numFmtId="0" fontId="54" fillId="4" borderId="88" xfId="0" applyFont="1" applyFill="1" applyBorder="1" applyAlignment="1">
      <alignment horizontal="center" vertical="center" wrapText="1"/>
    </xf>
    <xf numFmtId="0" fontId="54" fillId="4" borderId="69" xfId="0" applyFont="1" applyFill="1" applyBorder="1" applyAlignment="1">
      <alignment horizontal="center" vertical="center" wrapText="1"/>
    </xf>
    <xf numFmtId="0" fontId="54" fillId="4" borderId="81" xfId="0" applyFont="1" applyFill="1" applyBorder="1" applyAlignment="1">
      <alignment horizontal="center" vertical="center" wrapText="1"/>
    </xf>
    <xf numFmtId="0" fontId="54" fillId="4" borderId="70" xfId="0" applyFont="1" applyFill="1" applyBorder="1" applyAlignment="1">
      <alignment horizontal="center" vertical="center" wrapText="1"/>
    </xf>
    <xf numFmtId="0" fontId="54" fillId="4" borderId="82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0" xfId="0" applyNumberFormat="1" applyFont="1" applyFill="1" applyBorder="1" applyAlignment="1">
      <alignment horizontal="center" vertical="center" wrapText="1"/>
    </xf>
    <xf numFmtId="168" fontId="54" fillId="2" borderId="88" xfId="0" applyNumberFormat="1" applyFont="1" applyFill="1" applyBorder="1" applyAlignment="1">
      <alignment horizontal="center" vertical="center" wrapText="1"/>
    </xf>
    <xf numFmtId="0" fontId="54" fillId="2" borderId="69" xfId="0" applyFont="1" applyFill="1" applyBorder="1" applyAlignment="1">
      <alignment horizontal="center" vertical="center" wrapText="1"/>
    </xf>
    <xf numFmtId="0" fontId="54" fillId="2" borderId="81" xfId="0" applyFont="1" applyFill="1" applyBorder="1" applyAlignment="1">
      <alignment horizontal="center" vertical="center" wrapText="1"/>
    </xf>
    <xf numFmtId="0" fontId="39" fillId="4" borderId="77" xfId="0" applyFont="1" applyFill="1" applyBorder="1" applyAlignment="1">
      <alignment horizontal="center" vertical="center" wrapText="1"/>
    </xf>
    <xf numFmtId="0" fontId="39" fillId="4" borderId="57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4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59" xfId="0" applyFont="1" applyFill="1" applyBorder="1" applyAlignment="1">
      <alignment horizontal="center"/>
    </xf>
    <xf numFmtId="0" fontId="58" fillId="4" borderId="60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59" xfId="0" applyFont="1" applyFill="1" applyBorder="1" applyAlignment="1">
      <alignment horizontal="center"/>
    </xf>
    <xf numFmtId="0" fontId="58" fillId="2" borderId="60" xfId="0" applyFont="1" applyFill="1" applyBorder="1" applyAlignment="1">
      <alignment horizontal="center"/>
    </xf>
    <xf numFmtId="3" fontId="33" fillId="10" borderId="96" xfId="0" applyNumberFormat="1" applyFont="1" applyFill="1" applyBorder="1" applyAlignment="1">
      <alignment horizontal="right" vertical="top"/>
    </xf>
    <xf numFmtId="3" fontId="33" fillId="10" borderId="97" xfId="0" applyNumberFormat="1" applyFont="1" applyFill="1" applyBorder="1" applyAlignment="1">
      <alignment horizontal="right" vertical="top"/>
    </xf>
    <xf numFmtId="177" fontId="33" fillId="10" borderId="98" xfId="0" applyNumberFormat="1" applyFont="1" applyFill="1" applyBorder="1" applyAlignment="1">
      <alignment horizontal="right" vertical="top"/>
    </xf>
    <xf numFmtId="3" fontId="33" fillId="0" borderId="96" xfId="0" applyNumberFormat="1" applyFont="1" applyBorder="1" applyAlignment="1">
      <alignment horizontal="right" vertical="top"/>
    </xf>
    <xf numFmtId="177" fontId="33" fillId="10" borderId="99" xfId="0" applyNumberFormat="1" applyFont="1" applyFill="1" applyBorder="1" applyAlignment="1">
      <alignment horizontal="right" vertical="top"/>
    </xf>
    <xf numFmtId="3" fontId="35" fillId="10" borderId="101" xfId="0" applyNumberFormat="1" applyFont="1" applyFill="1" applyBorder="1" applyAlignment="1">
      <alignment horizontal="right" vertical="top"/>
    </xf>
    <xf numFmtId="3" fontId="35" fillId="10" borderId="102" xfId="0" applyNumberFormat="1" applyFont="1" applyFill="1" applyBorder="1" applyAlignment="1">
      <alignment horizontal="right" vertical="top"/>
    </xf>
    <xf numFmtId="177" fontId="35" fillId="10" borderId="103" xfId="0" applyNumberFormat="1" applyFont="1" applyFill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177" fontId="35" fillId="10" borderId="104" xfId="0" applyNumberFormat="1" applyFont="1" applyFill="1" applyBorder="1" applyAlignment="1">
      <alignment horizontal="right" vertical="top"/>
    </xf>
    <xf numFmtId="0" fontId="33" fillId="10" borderId="99" xfId="0" applyFont="1" applyFill="1" applyBorder="1" applyAlignment="1">
      <alignment horizontal="right" vertical="top"/>
    </xf>
    <xf numFmtId="0" fontId="33" fillId="10" borderId="98" xfId="0" applyFont="1" applyFill="1" applyBorder="1" applyAlignment="1">
      <alignment horizontal="right" vertical="top"/>
    </xf>
    <xf numFmtId="0" fontId="35" fillId="10" borderId="104" xfId="0" applyFont="1" applyFill="1" applyBorder="1" applyAlignment="1">
      <alignment horizontal="right" vertical="top"/>
    </xf>
    <xf numFmtId="0" fontId="35" fillId="10" borderId="103" xfId="0" applyFont="1" applyFill="1" applyBorder="1" applyAlignment="1">
      <alignment horizontal="right" vertical="top"/>
    </xf>
    <xf numFmtId="3" fontId="35" fillId="0" borderId="105" xfId="0" applyNumberFormat="1" applyFont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177" fontId="35" fillId="10" borderId="108" xfId="0" applyNumberFormat="1" applyFont="1" applyFill="1" applyBorder="1" applyAlignment="1">
      <alignment horizontal="right" vertical="top"/>
    </xf>
    <xf numFmtId="0" fontId="37" fillId="11" borderId="95" xfId="0" applyFont="1" applyFill="1" applyBorder="1" applyAlignment="1">
      <alignment vertical="top"/>
    </xf>
    <xf numFmtId="0" fontId="37" fillId="11" borderId="95" xfId="0" applyFont="1" applyFill="1" applyBorder="1" applyAlignment="1">
      <alignment vertical="top" indent="2"/>
    </xf>
    <xf numFmtId="0" fontId="37" fillId="11" borderId="95" xfId="0" applyFont="1" applyFill="1" applyBorder="1" applyAlignment="1">
      <alignment vertical="top" indent="4"/>
    </xf>
    <xf numFmtId="0" fontId="38" fillId="11" borderId="100" xfId="0" applyFont="1" applyFill="1" applyBorder="1" applyAlignment="1">
      <alignment vertical="top" indent="6"/>
    </xf>
    <xf numFmtId="0" fontId="37" fillId="11" borderId="95" xfId="0" applyFont="1" applyFill="1" applyBorder="1" applyAlignment="1">
      <alignment vertical="top" indent="8"/>
    </xf>
    <xf numFmtId="0" fontId="38" fillId="11" borderId="100" xfId="0" applyFont="1" applyFill="1" applyBorder="1" applyAlignment="1">
      <alignment vertical="top" indent="2"/>
    </xf>
    <xf numFmtId="0" fontId="37" fillId="11" borderId="95" xfId="0" applyFont="1" applyFill="1" applyBorder="1" applyAlignment="1">
      <alignment vertical="top" indent="6"/>
    </xf>
    <xf numFmtId="0" fontId="38" fillId="11" borderId="100" xfId="0" applyFont="1" applyFill="1" applyBorder="1" applyAlignment="1">
      <alignment vertical="top" indent="4"/>
    </xf>
    <xf numFmtId="0" fontId="32" fillId="11" borderId="95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85" xfId="53" applyNumberFormat="1" applyFont="1" applyFill="1" applyBorder="1" applyAlignment="1">
      <alignment horizontal="left"/>
    </xf>
    <xf numFmtId="164" fontId="31" fillId="2" borderId="109" xfId="53" applyNumberFormat="1" applyFont="1" applyFill="1" applyBorder="1" applyAlignment="1">
      <alignment horizontal="left"/>
    </xf>
    <xf numFmtId="0" fontId="31" fillId="2" borderId="109" xfId="53" applyNumberFormat="1" applyFont="1" applyFill="1" applyBorder="1" applyAlignment="1">
      <alignment horizontal="left"/>
    </xf>
    <xf numFmtId="164" fontId="31" fillId="2" borderId="83" xfId="53" applyNumberFormat="1" applyFont="1" applyFill="1" applyBorder="1" applyAlignment="1">
      <alignment horizontal="left"/>
    </xf>
    <xf numFmtId="3" fontId="31" fillId="2" borderId="83" xfId="53" applyNumberFormat="1" applyFont="1" applyFill="1" applyBorder="1" applyAlignment="1">
      <alignment horizontal="left"/>
    </xf>
    <xf numFmtId="3" fontId="31" fillId="2" borderId="52" xfId="53" applyNumberFormat="1" applyFont="1" applyFill="1" applyBorder="1" applyAlignment="1">
      <alignment horizontal="left"/>
    </xf>
    <xf numFmtId="0" fontId="32" fillId="0" borderId="58" xfId="0" applyFont="1" applyFill="1" applyBorder="1"/>
    <xf numFmtId="0" fontId="32" fillId="0" borderId="59" xfId="0" applyFont="1" applyFill="1" applyBorder="1"/>
    <xf numFmtId="164" fontId="32" fillId="0" borderId="59" xfId="0" applyNumberFormat="1" applyFont="1" applyFill="1" applyBorder="1"/>
    <xf numFmtId="164" fontId="32" fillId="0" borderId="59" xfId="0" applyNumberFormat="1" applyFont="1" applyFill="1" applyBorder="1" applyAlignment="1">
      <alignment horizontal="right"/>
    </xf>
    <xf numFmtId="0" fontId="32" fillId="0" borderId="59" xfId="0" applyNumberFormat="1" applyFont="1" applyFill="1" applyBorder="1"/>
    <xf numFmtId="3" fontId="32" fillId="0" borderId="59" xfId="0" applyNumberFormat="1" applyFont="1" applyFill="1" applyBorder="1"/>
    <xf numFmtId="3" fontId="32" fillId="0" borderId="60" xfId="0" applyNumberFormat="1" applyFont="1" applyFill="1" applyBorder="1"/>
    <xf numFmtId="0" fontId="32" fillId="0" borderId="61" xfId="0" applyFont="1" applyFill="1" applyBorder="1"/>
    <xf numFmtId="0" fontId="32" fillId="0" borderId="62" xfId="0" applyFont="1" applyFill="1" applyBorder="1"/>
    <xf numFmtId="164" fontId="32" fillId="0" borderId="62" xfId="0" applyNumberFormat="1" applyFont="1" applyFill="1" applyBorder="1"/>
    <xf numFmtId="164" fontId="32" fillId="0" borderId="62" xfId="0" applyNumberFormat="1" applyFont="1" applyFill="1" applyBorder="1" applyAlignment="1">
      <alignment horizontal="right"/>
    </xf>
    <xf numFmtId="0" fontId="32" fillId="0" borderId="62" xfId="0" applyNumberFormat="1" applyFont="1" applyFill="1" applyBorder="1"/>
    <xf numFmtId="3" fontId="32" fillId="0" borderId="62" xfId="0" applyNumberFormat="1" applyFont="1" applyFill="1" applyBorder="1"/>
    <xf numFmtId="3" fontId="32" fillId="0" borderId="63" xfId="0" applyNumberFormat="1" applyFont="1" applyFill="1" applyBorder="1"/>
    <xf numFmtId="0" fontId="3" fillId="2" borderId="85" xfId="79" applyFont="1" applyFill="1" applyBorder="1" applyAlignment="1">
      <alignment horizontal="left"/>
    </xf>
    <xf numFmtId="3" fontId="3" fillId="2" borderId="69" xfId="80" applyNumberFormat="1" applyFont="1" applyFill="1" applyBorder="1"/>
    <xf numFmtId="3" fontId="3" fillId="2" borderId="70" xfId="80" applyNumberFormat="1" applyFont="1" applyFill="1" applyBorder="1"/>
    <xf numFmtId="9" fontId="3" fillId="2" borderId="110" xfId="80" applyNumberFormat="1" applyFont="1" applyFill="1" applyBorder="1"/>
    <xf numFmtId="9" fontId="3" fillId="2" borderId="69" xfId="80" applyNumberFormat="1" applyFont="1" applyFill="1" applyBorder="1"/>
    <xf numFmtId="9" fontId="3" fillId="2" borderId="70" xfId="80" applyNumberFormat="1" applyFont="1" applyFill="1" applyBorder="1"/>
    <xf numFmtId="9" fontId="32" fillId="0" borderId="59" xfId="0" applyNumberFormat="1" applyFont="1" applyFill="1" applyBorder="1"/>
    <xf numFmtId="9" fontId="32" fillId="0" borderId="60" xfId="0" applyNumberFormat="1" applyFont="1" applyFill="1" applyBorder="1"/>
    <xf numFmtId="9" fontId="32" fillId="0" borderId="62" xfId="0" applyNumberFormat="1" applyFont="1" applyFill="1" applyBorder="1"/>
    <xf numFmtId="9" fontId="32" fillId="0" borderId="63" xfId="0" applyNumberFormat="1" applyFont="1" applyFill="1" applyBorder="1"/>
    <xf numFmtId="0" fontId="39" fillId="0" borderId="76" xfId="0" applyFont="1" applyFill="1" applyBorder="1"/>
    <xf numFmtId="0" fontId="39" fillId="0" borderId="75" xfId="0" applyFont="1" applyFill="1" applyBorder="1" applyAlignment="1">
      <alignment horizontal="left" indent="1"/>
    </xf>
    <xf numFmtId="9" fontId="32" fillId="0" borderId="111" xfId="0" applyNumberFormat="1" applyFont="1" applyFill="1" applyBorder="1"/>
    <xf numFmtId="9" fontId="32" fillId="0" borderId="72" xfId="0" applyNumberFormat="1" applyFont="1" applyFill="1" applyBorder="1"/>
    <xf numFmtId="3" fontId="32" fillId="0" borderId="58" xfId="0" applyNumberFormat="1" applyFont="1" applyFill="1" applyBorder="1"/>
    <xf numFmtId="3" fontId="32" fillId="0" borderId="61" xfId="0" applyNumberFormat="1" applyFont="1" applyFill="1" applyBorder="1"/>
    <xf numFmtId="9" fontId="32" fillId="0" borderId="112" xfId="0" applyNumberFormat="1" applyFont="1" applyFill="1" applyBorder="1"/>
    <xf numFmtId="9" fontId="32" fillId="0" borderId="87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7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6"/>
      <tableStyleElement type="headerRow" dxfId="85"/>
      <tableStyleElement type="totalRow" dxfId="84"/>
      <tableStyleElement type="firstColumn" dxfId="83"/>
      <tableStyleElement type="lastColumn" dxfId="82"/>
      <tableStyleElement type="firstRowStripe" dxfId="81"/>
      <tableStyleElement type="firstColumnStripe" dxfId="80"/>
    </tableStyle>
    <tableStyle name="TableStyleMedium2 2" pivot="0" count="7">
      <tableStyleElement type="wholeTable" dxfId="79"/>
      <tableStyleElement type="headerRow" dxfId="78"/>
      <tableStyleElement type="totalRow" dxfId="77"/>
      <tableStyleElement type="firstColumn" dxfId="76"/>
      <tableStyleElement type="lastColumn" dxfId="75"/>
      <tableStyleElement type="firstRowStripe" dxfId="74"/>
      <tableStyleElement type="firstColumnStripe" dxfId="7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6" name="Tabulka" displayName="Tabulka" ref="A7:S17" totalsRowShown="0" headerRowDxfId="72" tableBorderDxfId="71">
  <autoFilter ref="A7:S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0"/>
    <tableColumn id="2" name="popis" dataDxfId="69"/>
    <tableColumn id="3" name="01 uv_sk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3">
      <calculatedColumnFormula>IF(Tabulka[[#This Row],[15_vzpl]]=0,"",Tabulka[[#This Row],[14_vzsk]]/Tabulka[[#This Row],[15_vzpl]])</calculatedColumnFormula>
    </tableColumn>
    <tableColumn id="20" name="17_vzroz" dataDxfId="5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97" totalsRowShown="0">
  <autoFilter ref="C3:S97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5" bestFit="1" customWidth="1"/>
    <col min="2" max="2" width="102.21875" style="95" bestFit="1" customWidth="1"/>
    <col min="3" max="3" width="16.109375" style="42" hidden="1" customWidth="1"/>
    <col min="4" max="16384" width="8.88671875" style="95"/>
  </cols>
  <sheetData>
    <row r="1" spans="1:3" ht="18.600000000000001" customHeight="1" thickBot="1" x14ac:dyDescent="0.4">
      <c r="A1" s="257" t="s">
        <v>62</v>
      </c>
      <c r="B1" s="257"/>
    </row>
    <row r="2" spans="1:3" ht="14.4" customHeight="1" thickBot="1" x14ac:dyDescent="0.35">
      <c r="A2" s="170" t="s">
        <v>192</v>
      </c>
      <c r="B2" s="41"/>
    </row>
    <row r="3" spans="1:3" ht="14.4" customHeight="1" thickBot="1" x14ac:dyDescent="0.35">
      <c r="A3" s="253" t="s">
        <v>78</v>
      </c>
      <c r="B3" s="254"/>
    </row>
    <row r="4" spans="1:3" ht="14.4" customHeight="1" x14ac:dyDescent="0.3">
      <c r="A4" s="108" t="str">
        <f t="shared" ref="A4:A7" si="0">HYPERLINK("#'"&amp;C4&amp;"'!A1",C4)</f>
        <v>Motivace</v>
      </c>
      <c r="B4" s="61" t="s">
        <v>72</v>
      </c>
      <c r="C4" s="42" t="s">
        <v>73</v>
      </c>
    </row>
    <row r="5" spans="1:3" ht="14.4" customHeight="1" x14ac:dyDescent="0.3">
      <c r="A5" s="109" t="str">
        <f t="shared" si="0"/>
        <v>HI</v>
      </c>
      <c r="B5" s="62" t="s">
        <v>75</v>
      </c>
      <c r="C5" s="42" t="s">
        <v>65</v>
      </c>
    </row>
    <row r="6" spans="1:3" ht="14.4" customHeight="1" x14ac:dyDescent="0.3">
      <c r="A6" s="110" t="str">
        <f t="shared" si="0"/>
        <v>Man Tab</v>
      </c>
      <c r="B6" s="63" t="s">
        <v>194</v>
      </c>
      <c r="C6" s="42" t="s">
        <v>66</v>
      </c>
    </row>
    <row r="7" spans="1:3" ht="14.4" customHeight="1" thickBot="1" x14ac:dyDescent="0.35">
      <c r="A7" s="111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55" t="s">
        <v>63</v>
      </c>
      <c r="B9" s="254"/>
    </row>
    <row r="10" spans="1:3" ht="14.4" customHeight="1" x14ac:dyDescent="0.3">
      <c r="A10" s="112" t="str">
        <f t="shared" ref="A10" si="1">HYPERLINK("#'"&amp;C10&amp;"'!A1",C10)</f>
        <v>Léky Žádanky</v>
      </c>
      <c r="B10" s="62" t="s">
        <v>76</v>
      </c>
      <c r="C10" s="42" t="s">
        <v>67</v>
      </c>
    </row>
    <row r="11" spans="1:3" ht="14.4" customHeight="1" x14ac:dyDescent="0.3">
      <c r="A11" s="110" t="str">
        <f t="shared" ref="A11:A15" si="2">HYPERLINK("#'"&amp;C11&amp;"'!A1",C11)</f>
        <v>LŽ Detail</v>
      </c>
      <c r="B11" s="63" t="s">
        <v>92</v>
      </c>
      <c r="C11" s="42" t="s">
        <v>68</v>
      </c>
    </row>
    <row r="12" spans="1:3" ht="14.4" customHeight="1" x14ac:dyDescent="0.3">
      <c r="A12" s="110" t="str">
        <f t="shared" si="2"/>
        <v>LŽ Statim</v>
      </c>
      <c r="B12" s="192" t="s">
        <v>123</v>
      </c>
      <c r="C12" s="42" t="s">
        <v>133</v>
      </c>
    </row>
    <row r="13" spans="1:3" ht="14.4" customHeight="1" x14ac:dyDescent="0.3">
      <c r="A13" s="112" t="str">
        <f t="shared" ref="A13" si="3">HYPERLINK("#'"&amp;C13&amp;"'!A1",C13)</f>
        <v>Materiál Žádanky</v>
      </c>
      <c r="B13" s="63" t="s">
        <v>77</v>
      </c>
      <c r="C13" s="42" t="s">
        <v>69</v>
      </c>
    </row>
    <row r="14" spans="1:3" ht="14.4" customHeight="1" x14ac:dyDescent="0.3">
      <c r="A14" s="110" t="str">
        <f t="shared" si="2"/>
        <v>MŽ Detail</v>
      </c>
      <c r="B14" s="63" t="s">
        <v>360</v>
      </c>
      <c r="C14" s="42" t="s">
        <v>70</v>
      </c>
    </row>
    <row r="15" spans="1:3" ht="14.4" customHeight="1" thickBot="1" x14ac:dyDescent="0.35">
      <c r="A15" s="112" t="str">
        <f t="shared" si="2"/>
        <v>Osobní náklady</v>
      </c>
      <c r="B15" s="63" t="s">
        <v>60</v>
      </c>
      <c r="C15" s="42" t="s">
        <v>71</v>
      </c>
    </row>
    <row r="16" spans="1:3" ht="14.4" customHeight="1" thickBot="1" x14ac:dyDescent="0.35">
      <c r="A16" s="66"/>
      <c r="B16" s="66"/>
    </row>
    <row r="17" spans="1:2" ht="14.4" customHeight="1" thickBot="1" x14ac:dyDescent="0.35">
      <c r="A17" s="256" t="s">
        <v>64</v>
      </c>
      <c r="B17" s="254"/>
    </row>
  </sheetData>
  <mergeCells count="4">
    <mergeCell ref="A3:B3"/>
    <mergeCell ref="A9:B9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5" hidden="1" customWidth="1" outlineLevel="1"/>
    <col min="2" max="2" width="28.33203125" style="95" hidden="1" customWidth="1" outlineLevel="1"/>
    <col min="3" max="3" width="5.33203125" style="163" bestFit="1" customWidth="1" collapsed="1"/>
    <col min="4" max="4" width="18.77734375" style="167" customWidth="1"/>
    <col min="5" max="5" width="9" style="163" bestFit="1" customWidth="1"/>
    <col min="6" max="6" width="18.77734375" style="167" customWidth="1"/>
    <col min="7" max="7" width="12.44140625" style="163" hidden="1" customWidth="1" outlineLevel="1"/>
    <col min="8" max="8" width="25.77734375" style="163" customWidth="1" collapsed="1"/>
    <col min="9" max="9" width="7.77734375" style="161" customWidth="1"/>
    <col min="10" max="10" width="10" style="161" customWidth="1"/>
    <col min="11" max="11" width="11.109375" style="161" customWidth="1"/>
    <col min="12" max="16384" width="8.88671875" style="95"/>
  </cols>
  <sheetData>
    <row r="1" spans="1:11" ht="18.600000000000001" customHeight="1" thickBot="1" x14ac:dyDescent="0.4">
      <c r="A1" s="294" t="s">
        <v>360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spans="1:11" ht="14.4" customHeight="1" thickBot="1" x14ac:dyDescent="0.35">
      <c r="A2" s="170" t="s">
        <v>192</v>
      </c>
      <c r="B2" s="57"/>
      <c r="C2" s="165"/>
      <c r="D2" s="165"/>
      <c r="E2" s="165"/>
      <c r="F2" s="165"/>
      <c r="G2" s="165"/>
      <c r="H2" s="165"/>
      <c r="I2" s="166"/>
      <c r="J2" s="166"/>
      <c r="K2" s="166"/>
    </row>
    <row r="3" spans="1:11" ht="14.4" customHeight="1" thickBot="1" x14ac:dyDescent="0.35">
      <c r="A3" s="57"/>
      <c r="B3" s="57"/>
      <c r="C3" s="290"/>
      <c r="D3" s="291"/>
      <c r="E3" s="291"/>
      <c r="F3" s="291"/>
      <c r="G3" s="291"/>
      <c r="H3" s="107" t="s">
        <v>74</v>
      </c>
      <c r="I3" s="71">
        <f>IF(J3&lt;&gt;0,K3/J3,0)</f>
        <v>9.6204547105811518</v>
      </c>
      <c r="J3" s="71">
        <f>SUBTOTAL(9,J5:J1048576)</f>
        <v>5037</v>
      </c>
      <c r="K3" s="72">
        <f>SUBTOTAL(9,K5:K1048576)</f>
        <v>48458.230377197266</v>
      </c>
    </row>
    <row r="4" spans="1:11" s="162" customFormat="1" ht="14.4" customHeight="1" thickBot="1" x14ac:dyDescent="0.35">
      <c r="A4" s="374" t="s">
        <v>3</v>
      </c>
      <c r="B4" s="375" t="s">
        <v>4</v>
      </c>
      <c r="C4" s="375" t="s">
        <v>0</v>
      </c>
      <c r="D4" s="375" t="s">
        <v>5</v>
      </c>
      <c r="E4" s="375" t="s">
        <v>6</v>
      </c>
      <c r="F4" s="375" t="s">
        <v>1</v>
      </c>
      <c r="G4" s="375" t="s">
        <v>53</v>
      </c>
      <c r="H4" s="377" t="s">
        <v>10</v>
      </c>
      <c r="I4" s="378" t="s">
        <v>80</v>
      </c>
      <c r="J4" s="378" t="s">
        <v>12</v>
      </c>
      <c r="K4" s="379" t="s">
        <v>88</v>
      </c>
    </row>
    <row r="5" spans="1:11" ht="14.4" customHeight="1" x14ac:dyDescent="0.3">
      <c r="A5" s="380" t="s">
        <v>314</v>
      </c>
      <c r="B5" s="381" t="s">
        <v>315</v>
      </c>
      <c r="C5" s="382" t="s">
        <v>320</v>
      </c>
      <c r="D5" s="383" t="s">
        <v>315</v>
      </c>
      <c r="E5" s="382" t="s">
        <v>332</v>
      </c>
      <c r="F5" s="383" t="s">
        <v>333</v>
      </c>
      <c r="G5" s="382" t="s">
        <v>334</v>
      </c>
      <c r="H5" s="382" t="s">
        <v>335</v>
      </c>
      <c r="I5" s="385">
        <v>482.79000854492187</v>
      </c>
      <c r="J5" s="385">
        <v>2</v>
      </c>
      <c r="K5" s="386">
        <v>965.58001708984375</v>
      </c>
    </row>
    <row r="6" spans="1:11" ht="14.4" customHeight="1" x14ac:dyDescent="0.3">
      <c r="A6" s="412" t="s">
        <v>314</v>
      </c>
      <c r="B6" s="413" t="s">
        <v>315</v>
      </c>
      <c r="C6" s="414" t="s">
        <v>320</v>
      </c>
      <c r="D6" s="415" t="s">
        <v>315</v>
      </c>
      <c r="E6" s="414" t="s">
        <v>332</v>
      </c>
      <c r="F6" s="415" t="s">
        <v>333</v>
      </c>
      <c r="G6" s="414" t="s">
        <v>336</v>
      </c>
      <c r="H6" s="414" t="s">
        <v>337</v>
      </c>
      <c r="I6" s="416">
        <v>12.305600060356987</v>
      </c>
      <c r="J6" s="416">
        <v>380</v>
      </c>
      <c r="K6" s="417">
        <v>4675.9599914550781</v>
      </c>
    </row>
    <row r="7" spans="1:11" ht="14.4" customHeight="1" x14ac:dyDescent="0.3">
      <c r="A7" s="412" t="s">
        <v>314</v>
      </c>
      <c r="B7" s="413" t="s">
        <v>315</v>
      </c>
      <c r="C7" s="414" t="s">
        <v>320</v>
      </c>
      <c r="D7" s="415" t="s">
        <v>315</v>
      </c>
      <c r="E7" s="414" t="s">
        <v>332</v>
      </c>
      <c r="F7" s="415" t="s">
        <v>333</v>
      </c>
      <c r="G7" s="414" t="s">
        <v>338</v>
      </c>
      <c r="H7" s="414" t="s">
        <v>339</v>
      </c>
      <c r="I7" s="416">
        <v>15.54888359705607</v>
      </c>
      <c r="J7" s="416">
        <v>220</v>
      </c>
      <c r="K7" s="417">
        <v>3420.6699829101562</v>
      </c>
    </row>
    <row r="8" spans="1:11" ht="14.4" customHeight="1" x14ac:dyDescent="0.3">
      <c r="A8" s="412" t="s">
        <v>314</v>
      </c>
      <c r="B8" s="413" t="s">
        <v>315</v>
      </c>
      <c r="C8" s="414" t="s">
        <v>320</v>
      </c>
      <c r="D8" s="415" t="s">
        <v>315</v>
      </c>
      <c r="E8" s="414" t="s">
        <v>332</v>
      </c>
      <c r="F8" s="415" t="s">
        <v>333</v>
      </c>
      <c r="G8" s="414" t="s">
        <v>340</v>
      </c>
      <c r="H8" s="414" t="s">
        <v>341</v>
      </c>
      <c r="I8" s="416">
        <v>15.814669799804687</v>
      </c>
      <c r="J8" s="416">
        <v>1650</v>
      </c>
      <c r="K8" s="417">
        <v>26094.0703125</v>
      </c>
    </row>
    <row r="9" spans="1:11" ht="14.4" customHeight="1" x14ac:dyDescent="0.3">
      <c r="A9" s="412" t="s">
        <v>314</v>
      </c>
      <c r="B9" s="413" t="s">
        <v>315</v>
      </c>
      <c r="C9" s="414" t="s">
        <v>320</v>
      </c>
      <c r="D9" s="415" t="s">
        <v>315</v>
      </c>
      <c r="E9" s="414" t="s">
        <v>332</v>
      </c>
      <c r="F9" s="415" t="s">
        <v>333</v>
      </c>
      <c r="G9" s="414" t="s">
        <v>342</v>
      </c>
      <c r="H9" s="414" t="s">
        <v>343</v>
      </c>
      <c r="I9" s="416">
        <v>151.25</v>
      </c>
      <c r="J9" s="416">
        <v>2</v>
      </c>
      <c r="K9" s="417">
        <v>302.5</v>
      </c>
    </row>
    <row r="10" spans="1:11" ht="14.4" customHeight="1" x14ac:dyDescent="0.3">
      <c r="A10" s="412" t="s">
        <v>314</v>
      </c>
      <c r="B10" s="413" t="s">
        <v>315</v>
      </c>
      <c r="C10" s="414" t="s">
        <v>320</v>
      </c>
      <c r="D10" s="415" t="s">
        <v>315</v>
      </c>
      <c r="E10" s="414" t="s">
        <v>332</v>
      </c>
      <c r="F10" s="415" t="s">
        <v>333</v>
      </c>
      <c r="G10" s="414" t="s">
        <v>344</v>
      </c>
      <c r="H10" s="414" t="s">
        <v>345</v>
      </c>
      <c r="I10" s="416">
        <v>2087.25</v>
      </c>
      <c r="J10" s="416">
        <v>1</v>
      </c>
      <c r="K10" s="417">
        <v>2087.25</v>
      </c>
    </row>
    <row r="11" spans="1:11" ht="14.4" customHeight="1" x14ac:dyDescent="0.3">
      <c r="A11" s="412" t="s">
        <v>314</v>
      </c>
      <c r="B11" s="413" t="s">
        <v>315</v>
      </c>
      <c r="C11" s="414" t="s">
        <v>320</v>
      </c>
      <c r="D11" s="415" t="s">
        <v>315</v>
      </c>
      <c r="E11" s="414" t="s">
        <v>332</v>
      </c>
      <c r="F11" s="415" t="s">
        <v>333</v>
      </c>
      <c r="G11" s="414" t="s">
        <v>346</v>
      </c>
      <c r="H11" s="414" t="s">
        <v>347</v>
      </c>
      <c r="I11" s="416">
        <v>18.150799942016601</v>
      </c>
      <c r="J11" s="416">
        <v>180</v>
      </c>
      <c r="K11" s="417">
        <v>3267.1200256347656</v>
      </c>
    </row>
    <row r="12" spans="1:11" ht="14.4" customHeight="1" x14ac:dyDescent="0.3">
      <c r="A12" s="412" t="s">
        <v>314</v>
      </c>
      <c r="B12" s="413" t="s">
        <v>315</v>
      </c>
      <c r="C12" s="414" t="s">
        <v>320</v>
      </c>
      <c r="D12" s="415" t="s">
        <v>315</v>
      </c>
      <c r="E12" s="414" t="s">
        <v>332</v>
      </c>
      <c r="F12" s="415" t="s">
        <v>333</v>
      </c>
      <c r="G12" s="414" t="s">
        <v>348</v>
      </c>
      <c r="H12" s="414" t="s">
        <v>349</v>
      </c>
      <c r="I12" s="416">
        <v>719.95001220703125</v>
      </c>
      <c r="J12" s="416">
        <v>2</v>
      </c>
      <c r="K12" s="417">
        <v>1439.9000244140625</v>
      </c>
    </row>
    <row r="13" spans="1:11" ht="14.4" customHeight="1" x14ac:dyDescent="0.3">
      <c r="A13" s="412" t="s">
        <v>314</v>
      </c>
      <c r="B13" s="413" t="s">
        <v>315</v>
      </c>
      <c r="C13" s="414" t="s">
        <v>320</v>
      </c>
      <c r="D13" s="415" t="s">
        <v>315</v>
      </c>
      <c r="E13" s="414" t="s">
        <v>332</v>
      </c>
      <c r="F13" s="415" t="s">
        <v>333</v>
      </c>
      <c r="G13" s="414" t="s">
        <v>350</v>
      </c>
      <c r="H13" s="414" t="s">
        <v>351</v>
      </c>
      <c r="I13" s="416">
        <v>17.546516736348469</v>
      </c>
      <c r="J13" s="416">
        <v>200</v>
      </c>
      <c r="K13" s="417">
        <v>3509.1800231933594</v>
      </c>
    </row>
    <row r="14" spans="1:11" ht="14.4" customHeight="1" x14ac:dyDescent="0.3">
      <c r="A14" s="412" t="s">
        <v>314</v>
      </c>
      <c r="B14" s="413" t="s">
        <v>315</v>
      </c>
      <c r="C14" s="414" t="s">
        <v>320</v>
      </c>
      <c r="D14" s="415" t="s">
        <v>315</v>
      </c>
      <c r="E14" s="414" t="s">
        <v>352</v>
      </c>
      <c r="F14" s="415" t="s">
        <v>353</v>
      </c>
      <c r="G14" s="414" t="s">
        <v>354</v>
      </c>
      <c r="H14" s="414" t="s">
        <v>355</v>
      </c>
      <c r="I14" s="416">
        <v>1.2100000381469727</v>
      </c>
      <c r="J14" s="416">
        <v>2000</v>
      </c>
      <c r="K14" s="417">
        <v>2420</v>
      </c>
    </row>
    <row r="15" spans="1:11" ht="14.4" customHeight="1" thickBot="1" x14ac:dyDescent="0.35">
      <c r="A15" s="387" t="s">
        <v>314</v>
      </c>
      <c r="B15" s="388" t="s">
        <v>315</v>
      </c>
      <c r="C15" s="389" t="s">
        <v>320</v>
      </c>
      <c r="D15" s="390" t="s">
        <v>315</v>
      </c>
      <c r="E15" s="389" t="s">
        <v>356</v>
      </c>
      <c r="F15" s="390" t="s">
        <v>357</v>
      </c>
      <c r="G15" s="389" t="s">
        <v>358</v>
      </c>
      <c r="H15" s="389" t="s">
        <v>359</v>
      </c>
      <c r="I15" s="392">
        <v>0.68999999761581421</v>
      </c>
      <c r="J15" s="392">
        <v>400</v>
      </c>
      <c r="K15" s="393">
        <v>276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3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05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69" customWidth="1"/>
    <col min="18" max="18" width="7.33203125" style="204" customWidth="1"/>
    <col min="19" max="19" width="8" style="169" customWidth="1"/>
    <col min="21" max="21" width="11.21875" bestFit="1" customWidth="1"/>
  </cols>
  <sheetData>
    <row r="1" spans="1:19" ht="18.600000000000001" thickBot="1" x14ac:dyDescent="0.4">
      <c r="A1" s="302" t="s">
        <v>60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</row>
    <row r="2" spans="1:19" ht="15" thickBot="1" x14ac:dyDescent="0.35">
      <c r="A2" s="170" t="s">
        <v>192</v>
      </c>
      <c r="B2" s="171"/>
    </row>
    <row r="3" spans="1:19" x14ac:dyDescent="0.3">
      <c r="A3" s="330" t="s">
        <v>118</v>
      </c>
      <c r="B3" s="331"/>
      <c r="C3" s="332" t="s">
        <v>107</v>
      </c>
      <c r="D3" s="333"/>
      <c r="E3" s="333"/>
      <c r="F3" s="334"/>
      <c r="G3" s="335" t="s">
        <v>108</v>
      </c>
      <c r="H3" s="336"/>
      <c r="I3" s="336"/>
      <c r="J3" s="337"/>
      <c r="K3" s="338" t="s">
        <v>117</v>
      </c>
      <c r="L3" s="339"/>
      <c r="M3" s="339"/>
      <c r="N3" s="339"/>
      <c r="O3" s="340"/>
      <c r="P3" s="336" t="s">
        <v>189</v>
      </c>
      <c r="Q3" s="336"/>
      <c r="R3" s="336"/>
      <c r="S3" s="337"/>
    </row>
    <row r="4" spans="1:19" ht="15" thickBot="1" x14ac:dyDescent="0.35">
      <c r="A4" s="324">
        <v>2017</v>
      </c>
      <c r="B4" s="325"/>
      <c r="C4" s="326" t="s">
        <v>188</v>
      </c>
      <c r="D4" s="328" t="s">
        <v>61</v>
      </c>
      <c r="E4" s="328" t="s">
        <v>56</v>
      </c>
      <c r="F4" s="314" t="s">
        <v>51</v>
      </c>
      <c r="G4" s="318" t="s">
        <v>109</v>
      </c>
      <c r="H4" s="320" t="s">
        <v>113</v>
      </c>
      <c r="I4" s="320" t="s">
        <v>187</v>
      </c>
      <c r="J4" s="322" t="s">
        <v>110</v>
      </c>
      <c r="K4" s="311" t="s">
        <v>186</v>
      </c>
      <c r="L4" s="312"/>
      <c r="M4" s="312"/>
      <c r="N4" s="313"/>
      <c r="O4" s="314" t="s">
        <v>185</v>
      </c>
      <c r="P4" s="303" t="s">
        <v>184</v>
      </c>
      <c r="Q4" s="303" t="s">
        <v>120</v>
      </c>
      <c r="R4" s="305" t="s">
        <v>56</v>
      </c>
      <c r="S4" s="307" t="s">
        <v>119</v>
      </c>
    </row>
    <row r="5" spans="1:19" s="239" customFormat="1" ht="19.2" customHeight="1" x14ac:dyDescent="0.3">
      <c r="A5" s="309" t="s">
        <v>183</v>
      </c>
      <c r="B5" s="310"/>
      <c r="C5" s="327"/>
      <c r="D5" s="329"/>
      <c r="E5" s="329"/>
      <c r="F5" s="315"/>
      <c r="G5" s="319"/>
      <c r="H5" s="321"/>
      <c r="I5" s="321"/>
      <c r="J5" s="323"/>
      <c r="K5" s="242" t="s">
        <v>111</v>
      </c>
      <c r="L5" s="241" t="s">
        <v>112</v>
      </c>
      <c r="M5" s="241" t="s">
        <v>182</v>
      </c>
      <c r="N5" s="240" t="s">
        <v>2</v>
      </c>
      <c r="O5" s="315"/>
      <c r="P5" s="304"/>
      <c r="Q5" s="304"/>
      <c r="R5" s="306"/>
      <c r="S5" s="308"/>
    </row>
    <row r="6" spans="1:19" ht="15" thickBot="1" x14ac:dyDescent="0.35">
      <c r="A6" s="316" t="s">
        <v>106</v>
      </c>
      <c r="B6" s="317"/>
      <c r="C6" s="238">
        <f ca="1">SUM(Tabulka[01 uv_sk])/2</f>
        <v>4</v>
      </c>
      <c r="D6" s="236"/>
      <c r="E6" s="236"/>
      <c r="F6" s="235"/>
      <c r="G6" s="237">
        <f ca="1">SUM(Tabulka[05 h_vram])/2</f>
        <v>6240</v>
      </c>
      <c r="H6" s="236">
        <f ca="1">SUM(Tabulka[06 h_naduv])/2</f>
        <v>0</v>
      </c>
      <c r="I6" s="236">
        <f ca="1">SUM(Tabulka[07 h_nadzk])/2</f>
        <v>0</v>
      </c>
      <c r="J6" s="235">
        <f ca="1">SUM(Tabulka[08 h_oon])/2</f>
        <v>200</v>
      </c>
      <c r="K6" s="237">
        <f ca="1">SUM(Tabulka[09 m_kl])/2</f>
        <v>0</v>
      </c>
      <c r="L6" s="236">
        <f ca="1">SUM(Tabulka[10 m_gr])/2</f>
        <v>0</v>
      </c>
      <c r="M6" s="236">
        <f ca="1">SUM(Tabulka[11 m_jo])/2</f>
        <v>153878</v>
      </c>
      <c r="N6" s="236">
        <f ca="1">SUM(Tabulka[12 m_oc])/2</f>
        <v>153878</v>
      </c>
      <c r="O6" s="235">
        <f ca="1">SUM(Tabulka[13 m_sk])/2</f>
        <v>2025491</v>
      </c>
      <c r="P6" s="234">
        <f ca="1">SUM(Tabulka[14_vzsk])/2</f>
        <v>14100</v>
      </c>
      <c r="Q6" s="234">
        <f ca="1">SUM(Tabulka[15_vzpl])/2</f>
        <v>6861.4630082704152</v>
      </c>
      <c r="R6" s="233">
        <f ca="1">IF(Q6=0,0,P6/Q6)</f>
        <v>2.0549553328502488</v>
      </c>
      <c r="S6" s="232">
        <f ca="1">Q6-P6</f>
        <v>-7238.5369917295848</v>
      </c>
    </row>
    <row r="7" spans="1:19" hidden="1" x14ac:dyDescent="0.3">
      <c r="A7" s="231" t="s">
        <v>181</v>
      </c>
      <c r="B7" s="230" t="s">
        <v>180</v>
      </c>
      <c r="C7" s="229" t="s">
        <v>179</v>
      </c>
      <c r="D7" s="228" t="s">
        <v>178</v>
      </c>
      <c r="E7" s="227" t="s">
        <v>177</v>
      </c>
      <c r="F7" s="226" t="s">
        <v>176</v>
      </c>
      <c r="G7" s="225" t="s">
        <v>175</v>
      </c>
      <c r="H7" s="223" t="s">
        <v>174</v>
      </c>
      <c r="I7" s="223" t="s">
        <v>173</v>
      </c>
      <c r="J7" s="222" t="s">
        <v>172</v>
      </c>
      <c r="K7" s="224" t="s">
        <v>171</v>
      </c>
      <c r="L7" s="223" t="s">
        <v>170</v>
      </c>
      <c r="M7" s="223" t="s">
        <v>169</v>
      </c>
      <c r="N7" s="222" t="s">
        <v>168</v>
      </c>
      <c r="O7" s="221" t="s">
        <v>167</v>
      </c>
      <c r="P7" s="220" t="s">
        <v>166</v>
      </c>
      <c r="Q7" s="219" t="s">
        <v>165</v>
      </c>
      <c r="R7" s="218" t="s">
        <v>164</v>
      </c>
      <c r="S7" s="217" t="s">
        <v>163</v>
      </c>
    </row>
    <row r="8" spans="1:19" x14ac:dyDescent="0.3">
      <c r="A8" s="214" t="s">
        <v>162</v>
      </c>
      <c r="B8" s="213"/>
      <c r="C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3112</v>
      </c>
      <c r="H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</v>
      </c>
      <c r="K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130905</v>
      </c>
      <c r="N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130905</v>
      </c>
      <c r="O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1397120</v>
      </c>
      <c r="P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2900</v>
      </c>
      <c r="Q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4778.1296749370822</v>
      </c>
      <c r="R8" s="216">
        <f ca="1">IF(Tabulka[[#This Row],[15_vzpl]]=0,"",Tabulka[[#This Row],[14_vzsk]]/Tabulka[[#This Row],[15_vzpl]])</f>
        <v>0.60693204188481698</v>
      </c>
      <c r="S8" s="215">
        <f ca="1">IF(Tabulka[[#This Row],[15_vzpl]]-Tabulka[[#This Row],[14_vzsk]]=0,"",Tabulka[[#This Row],[15_vzpl]]-Tabulka[[#This Row],[14_vzsk]])</f>
        <v>1878.1296749370822</v>
      </c>
    </row>
    <row r="9" spans="1:19" x14ac:dyDescent="0.3">
      <c r="A9" s="214">
        <v>99</v>
      </c>
      <c r="B9" s="213" t="s">
        <v>374</v>
      </c>
      <c r="C9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2900</v>
      </c>
      <c r="Q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4778.1296749370822</v>
      </c>
      <c r="R9" s="216">
        <f ca="1">IF(Tabulka[[#This Row],[15_vzpl]]=0,"",Tabulka[[#This Row],[14_vzsk]]/Tabulka[[#This Row],[15_vzpl]])</f>
        <v>0.60693204188481698</v>
      </c>
      <c r="S9" s="215">
        <f ca="1">IF(Tabulka[[#This Row],[15_vzpl]]-Tabulka[[#This Row],[14_vzsk]]=0,"",Tabulka[[#This Row],[15_vzpl]]-Tabulka[[#This Row],[14_vzsk]])</f>
        <v>1878.1296749370822</v>
      </c>
    </row>
    <row r="10" spans="1:19" x14ac:dyDescent="0.3">
      <c r="A10" s="214">
        <v>101</v>
      </c>
      <c r="B10" s="213" t="s">
        <v>375</v>
      </c>
      <c r="C10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0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3112</v>
      </c>
      <c r="H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</v>
      </c>
      <c r="K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130905</v>
      </c>
      <c r="N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130905</v>
      </c>
      <c r="O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1397120</v>
      </c>
      <c r="P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16" t="str">
        <f ca="1">IF(Tabulka[[#This Row],[15_vzpl]]=0,"",Tabulka[[#This Row],[14_vzsk]]/Tabulka[[#This Row],[15_vzpl]])</f>
        <v/>
      </c>
      <c r="S10" s="215" t="str">
        <f ca="1">IF(Tabulka[[#This Row],[15_vzpl]]-Tabulka[[#This Row],[14_vzsk]]=0,"",Tabulka[[#This Row],[15_vzpl]]-Tabulka[[#This Row],[14_vzsk]])</f>
        <v/>
      </c>
    </row>
    <row r="11" spans="1:19" x14ac:dyDescent="0.3">
      <c r="A11" s="214" t="s">
        <v>361</v>
      </c>
      <c r="B11" s="213"/>
      <c r="C11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1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1536</v>
      </c>
      <c r="H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13684</v>
      </c>
      <c r="N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13684</v>
      </c>
      <c r="O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321683</v>
      </c>
      <c r="P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10700</v>
      </c>
      <c r="Q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2083.333333333333</v>
      </c>
      <c r="R11" s="216">
        <f ca="1">IF(Tabulka[[#This Row],[15_vzpl]]=0,"",Tabulka[[#This Row],[14_vzsk]]/Tabulka[[#This Row],[15_vzpl]])</f>
        <v>5.136000000000001</v>
      </c>
      <c r="S11" s="215">
        <f ca="1">IF(Tabulka[[#This Row],[15_vzpl]]-Tabulka[[#This Row],[14_vzsk]]=0,"",Tabulka[[#This Row],[15_vzpl]]-Tabulka[[#This Row],[14_vzsk]])</f>
        <v>-8616.6666666666679</v>
      </c>
    </row>
    <row r="12" spans="1:19" x14ac:dyDescent="0.3">
      <c r="A12" s="214">
        <v>526</v>
      </c>
      <c r="B12" s="213" t="s">
        <v>376</v>
      </c>
      <c r="C12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3630</v>
      </c>
      <c r="P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10700</v>
      </c>
      <c r="Q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2083.333333333333</v>
      </c>
      <c r="R12" s="216">
        <f ca="1">IF(Tabulka[[#This Row],[15_vzpl]]=0,"",Tabulka[[#This Row],[14_vzsk]]/Tabulka[[#This Row],[15_vzpl]])</f>
        <v>5.136000000000001</v>
      </c>
      <c r="S12" s="215">
        <f ca="1">IF(Tabulka[[#This Row],[15_vzpl]]-Tabulka[[#This Row],[14_vzsk]]=0,"",Tabulka[[#This Row],[15_vzpl]]-Tabulka[[#This Row],[14_vzsk]])</f>
        <v>-8616.6666666666679</v>
      </c>
    </row>
    <row r="13" spans="1:19" x14ac:dyDescent="0.3">
      <c r="A13" s="214">
        <v>528</v>
      </c>
      <c r="B13" s="213" t="s">
        <v>377</v>
      </c>
      <c r="C13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1536</v>
      </c>
      <c r="H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13684</v>
      </c>
      <c r="N13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13684</v>
      </c>
      <c r="O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316253</v>
      </c>
      <c r="P13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16" t="str">
        <f ca="1">IF(Tabulka[[#This Row],[15_vzpl]]=0,"",Tabulka[[#This Row],[14_vzsk]]/Tabulka[[#This Row],[15_vzpl]])</f>
        <v/>
      </c>
      <c r="S13" s="215" t="str">
        <f ca="1">IF(Tabulka[[#This Row],[15_vzpl]]-Tabulka[[#This Row],[14_vzsk]]=0,"",Tabulka[[#This Row],[15_vzpl]]-Tabulka[[#This Row],[14_vzsk]])</f>
        <v/>
      </c>
    </row>
    <row r="14" spans="1:19" x14ac:dyDescent="0.3">
      <c r="A14" s="214">
        <v>746</v>
      </c>
      <c r="B14" s="213" t="s">
        <v>378</v>
      </c>
      <c r="C14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4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1800</v>
      </c>
      <c r="P14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16" t="str">
        <f ca="1">IF(Tabulka[[#This Row],[15_vzpl]]=0,"",Tabulka[[#This Row],[14_vzsk]]/Tabulka[[#This Row],[15_vzpl]])</f>
        <v/>
      </c>
      <c r="S14" s="215" t="str">
        <f ca="1">IF(Tabulka[[#This Row],[15_vzpl]]-Tabulka[[#This Row],[14_vzsk]]=0,"",Tabulka[[#This Row],[15_vzpl]]-Tabulka[[#This Row],[14_vzsk]])</f>
        <v/>
      </c>
    </row>
    <row r="15" spans="1:19" x14ac:dyDescent="0.3">
      <c r="A15" s="214" t="s">
        <v>362</v>
      </c>
      <c r="B15" s="213"/>
      <c r="C15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1592</v>
      </c>
      <c r="H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9289</v>
      </c>
      <c r="N15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9289</v>
      </c>
      <c r="O15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306688</v>
      </c>
      <c r="P15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</v>
      </c>
      <c r="Q15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16" t="str">
        <f ca="1">IF(Tabulka[[#This Row],[15_vzpl]]=0,"",Tabulka[[#This Row],[14_vzsk]]/Tabulka[[#This Row],[15_vzpl]])</f>
        <v/>
      </c>
      <c r="S15" s="215">
        <f ca="1">IF(Tabulka[[#This Row],[15_vzpl]]-Tabulka[[#This Row],[14_vzsk]]=0,"",Tabulka[[#This Row],[15_vzpl]]-Tabulka[[#This Row],[14_vzsk]])</f>
        <v>-500</v>
      </c>
    </row>
    <row r="16" spans="1:19" x14ac:dyDescent="0.3">
      <c r="A16" s="214">
        <v>303</v>
      </c>
      <c r="B16" s="213" t="s">
        <v>379</v>
      </c>
      <c r="C16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6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</v>
      </c>
      <c r="Q16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16" t="str">
        <f ca="1">IF(Tabulka[[#This Row],[15_vzpl]]=0,"",Tabulka[[#This Row],[14_vzsk]]/Tabulka[[#This Row],[15_vzpl]])</f>
        <v/>
      </c>
      <c r="S16" s="215">
        <f ca="1">IF(Tabulka[[#This Row],[15_vzpl]]-Tabulka[[#This Row],[14_vzsk]]=0,"",Tabulka[[#This Row],[15_vzpl]]-Tabulka[[#This Row],[14_vzsk]])</f>
        <v>-500</v>
      </c>
    </row>
    <row r="17" spans="1:19" x14ac:dyDescent="0.3">
      <c r="A17" s="214">
        <v>409</v>
      </c>
      <c r="B17" s="213" t="s">
        <v>380</v>
      </c>
      <c r="C17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1592</v>
      </c>
      <c r="H17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9289</v>
      </c>
      <c r="N17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9289</v>
      </c>
      <c r="O17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306688</v>
      </c>
      <c r="P17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16" t="str">
        <f ca="1">IF(Tabulka[[#This Row],[15_vzpl]]=0,"",Tabulka[[#This Row],[14_vzsk]]/Tabulka[[#This Row],[15_vzpl]])</f>
        <v/>
      </c>
      <c r="S17" s="215" t="str">
        <f ca="1">IF(Tabulka[[#This Row],[15_vzpl]]-Tabulka[[#This Row],[14_vzsk]]=0,"",Tabulka[[#This Row],[15_vzpl]]-Tabulka[[#This Row],[14_vzsk]])</f>
        <v/>
      </c>
    </row>
    <row r="18" spans="1:19" x14ac:dyDescent="0.3">
      <c r="A18" t="s">
        <v>191</v>
      </c>
    </row>
    <row r="19" spans="1:19" x14ac:dyDescent="0.3">
      <c r="A19" s="79" t="s">
        <v>89</v>
      </c>
    </row>
    <row r="20" spans="1:19" x14ac:dyDescent="0.3">
      <c r="A20" s="80" t="s">
        <v>161</v>
      </c>
    </row>
    <row r="21" spans="1:19" x14ac:dyDescent="0.3">
      <c r="A21" s="206" t="s">
        <v>160</v>
      </c>
    </row>
    <row r="22" spans="1:19" x14ac:dyDescent="0.3">
      <c r="A22" s="173" t="s">
        <v>116</v>
      </c>
    </row>
    <row r="23" spans="1:19" x14ac:dyDescent="0.3">
      <c r="A23" s="175" t="s">
        <v>121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7">
    <cfRule type="cellIs" dxfId="3" priority="3" operator="lessThan">
      <formula>0</formula>
    </cfRule>
  </conditionalFormatting>
  <conditionalFormatting sqref="R6:R17">
    <cfRule type="cellIs" dxfId="2" priority="4" operator="greaterThan">
      <formula>1</formula>
    </cfRule>
  </conditionalFormatting>
  <conditionalFormatting sqref="A8:S17">
    <cfRule type="expression" dxfId="1" priority="2">
      <formula>$B8=""</formula>
    </cfRule>
  </conditionalFormatting>
  <conditionalFormatting sqref="P8:S17">
    <cfRule type="expression" dxfId="0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97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373</v>
      </c>
    </row>
    <row r="2" spans="1:19" x14ac:dyDescent="0.3">
      <c r="A2" s="170" t="s">
        <v>192</v>
      </c>
    </row>
    <row r="3" spans="1:19" x14ac:dyDescent="0.3">
      <c r="A3" s="252" t="s">
        <v>93</v>
      </c>
      <c r="B3" s="251" t="s">
        <v>159</v>
      </c>
      <c r="C3" t="s">
        <v>190</v>
      </c>
      <c r="D3" t="s">
        <v>181</v>
      </c>
      <c r="E3" t="s">
        <v>179</v>
      </c>
      <c r="F3" t="s">
        <v>178</v>
      </c>
      <c r="G3" t="s">
        <v>177</v>
      </c>
      <c r="H3" t="s">
        <v>176</v>
      </c>
      <c r="I3" t="s">
        <v>175</v>
      </c>
      <c r="J3" t="s">
        <v>174</v>
      </c>
      <c r="K3" t="s">
        <v>173</v>
      </c>
      <c r="L3" t="s">
        <v>172</v>
      </c>
      <c r="M3" t="s">
        <v>171</v>
      </c>
      <c r="N3" t="s">
        <v>170</v>
      </c>
      <c r="O3" t="s">
        <v>169</v>
      </c>
      <c r="P3" t="s">
        <v>168</v>
      </c>
      <c r="Q3" t="s">
        <v>167</v>
      </c>
      <c r="R3" t="s">
        <v>166</v>
      </c>
      <c r="S3" t="s">
        <v>165</v>
      </c>
    </row>
    <row r="4" spans="1:19" x14ac:dyDescent="0.3">
      <c r="A4" s="250" t="s">
        <v>94</v>
      </c>
      <c r="B4" s="249">
        <v>1</v>
      </c>
      <c r="C4" s="244">
        <v>1</v>
      </c>
      <c r="D4" s="244" t="s">
        <v>162</v>
      </c>
      <c r="E4" s="243">
        <v>2</v>
      </c>
      <c r="F4" s="243"/>
      <c r="G4" s="243"/>
      <c r="H4" s="243"/>
      <c r="I4" s="243">
        <v>344</v>
      </c>
      <c r="J4" s="243"/>
      <c r="K4" s="243"/>
      <c r="L4" s="243">
        <v>20</v>
      </c>
      <c r="M4" s="243"/>
      <c r="N4" s="243"/>
      <c r="O4" s="243"/>
      <c r="P4" s="243"/>
      <c r="Q4" s="243">
        <v>126408</v>
      </c>
      <c r="R4" s="243"/>
      <c r="S4" s="243">
        <v>477.8129674937083</v>
      </c>
    </row>
    <row r="5" spans="1:19" x14ac:dyDescent="0.3">
      <c r="A5" s="248" t="s">
        <v>95</v>
      </c>
      <c r="B5" s="247">
        <v>2</v>
      </c>
      <c r="C5">
        <v>1</v>
      </c>
      <c r="D5">
        <v>99</v>
      </c>
      <c r="S5">
        <v>477.8129674937083</v>
      </c>
    </row>
    <row r="6" spans="1:19" x14ac:dyDescent="0.3">
      <c r="A6" s="250" t="s">
        <v>96</v>
      </c>
      <c r="B6" s="249">
        <v>3</v>
      </c>
      <c r="C6">
        <v>1</v>
      </c>
      <c r="D6">
        <v>101</v>
      </c>
      <c r="E6">
        <v>2</v>
      </c>
      <c r="I6">
        <v>344</v>
      </c>
      <c r="L6">
        <v>20</v>
      </c>
      <c r="Q6">
        <v>126408</v>
      </c>
    </row>
    <row r="7" spans="1:19" x14ac:dyDescent="0.3">
      <c r="A7" s="248" t="s">
        <v>97</v>
      </c>
      <c r="B7" s="247">
        <v>4</v>
      </c>
      <c r="C7">
        <v>1</v>
      </c>
      <c r="D7" t="s">
        <v>361</v>
      </c>
      <c r="E7">
        <v>1</v>
      </c>
      <c r="I7">
        <v>176</v>
      </c>
      <c r="Q7">
        <v>30170</v>
      </c>
      <c r="R7">
        <v>3940</v>
      </c>
      <c r="S7">
        <v>208.33333333333334</v>
      </c>
    </row>
    <row r="8" spans="1:19" x14ac:dyDescent="0.3">
      <c r="A8" s="250" t="s">
        <v>98</v>
      </c>
      <c r="B8" s="249">
        <v>5</v>
      </c>
      <c r="C8">
        <v>1</v>
      </c>
      <c r="D8">
        <v>526</v>
      </c>
      <c r="R8">
        <v>3940</v>
      </c>
      <c r="S8">
        <v>208.33333333333334</v>
      </c>
    </row>
    <row r="9" spans="1:19" x14ac:dyDescent="0.3">
      <c r="A9" s="248" t="s">
        <v>99</v>
      </c>
      <c r="B9" s="247">
        <v>6</v>
      </c>
      <c r="C9">
        <v>1</v>
      </c>
      <c r="D9">
        <v>528</v>
      </c>
      <c r="E9">
        <v>1</v>
      </c>
      <c r="I9">
        <v>176</v>
      </c>
      <c r="Q9">
        <v>29570</v>
      </c>
    </row>
    <row r="10" spans="1:19" x14ac:dyDescent="0.3">
      <c r="A10" s="250" t="s">
        <v>100</v>
      </c>
      <c r="B10" s="249">
        <v>7</v>
      </c>
      <c r="C10">
        <v>1</v>
      </c>
      <c r="D10">
        <v>746</v>
      </c>
      <c r="Q10">
        <v>600</v>
      </c>
    </row>
    <row r="11" spans="1:19" x14ac:dyDescent="0.3">
      <c r="A11" s="248" t="s">
        <v>101</v>
      </c>
      <c r="B11" s="247">
        <v>8</v>
      </c>
      <c r="C11">
        <v>1</v>
      </c>
      <c r="D11" t="s">
        <v>362</v>
      </c>
      <c r="E11">
        <v>1</v>
      </c>
      <c r="I11">
        <v>168</v>
      </c>
      <c r="Q11">
        <v>29109</v>
      </c>
    </row>
    <row r="12" spans="1:19" x14ac:dyDescent="0.3">
      <c r="A12" s="250" t="s">
        <v>102</v>
      </c>
      <c r="B12" s="249">
        <v>9</v>
      </c>
      <c r="C12">
        <v>1</v>
      </c>
      <c r="D12">
        <v>409</v>
      </c>
      <c r="E12">
        <v>1</v>
      </c>
      <c r="I12">
        <v>168</v>
      </c>
      <c r="Q12">
        <v>29109</v>
      </c>
    </row>
    <row r="13" spans="1:19" x14ac:dyDescent="0.3">
      <c r="A13" s="248" t="s">
        <v>103</v>
      </c>
      <c r="B13" s="247">
        <v>10</v>
      </c>
      <c r="C13" t="s">
        <v>363</v>
      </c>
      <c r="E13">
        <v>4</v>
      </c>
      <c r="I13">
        <v>688</v>
      </c>
      <c r="L13">
        <v>20</v>
      </c>
      <c r="Q13">
        <v>185687</v>
      </c>
      <c r="R13">
        <v>3940</v>
      </c>
      <c r="S13">
        <v>686.14630082704161</v>
      </c>
    </row>
    <row r="14" spans="1:19" x14ac:dyDescent="0.3">
      <c r="A14" s="250" t="s">
        <v>104</v>
      </c>
      <c r="B14" s="249">
        <v>11</v>
      </c>
      <c r="C14">
        <v>2</v>
      </c>
      <c r="D14" t="s">
        <v>162</v>
      </c>
      <c r="E14">
        <v>2</v>
      </c>
      <c r="I14">
        <v>312</v>
      </c>
      <c r="L14">
        <v>20</v>
      </c>
      <c r="Q14">
        <v>126627</v>
      </c>
      <c r="S14">
        <v>477.8129674937083</v>
      </c>
    </row>
    <row r="15" spans="1:19" x14ac:dyDescent="0.3">
      <c r="A15" s="248" t="s">
        <v>105</v>
      </c>
      <c r="B15" s="247">
        <v>12</v>
      </c>
      <c r="C15">
        <v>2</v>
      </c>
      <c r="D15">
        <v>99</v>
      </c>
      <c r="S15">
        <v>477.8129674937083</v>
      </c>
    </row>
    <row r="16" spans="1:19" x14ac:dyDescent="0.3">
      <c r="A16" s="246" t="s">
        <v>93</v>
      </c>
      <c r="B16" s="245">
        <v>2017</v>
      </c>
      <c r="C16">
        <v>2</v>
      </c>
      <c r="D16">
        <v>101</v>
      </c>
      <c r="E16">
        <v>2</v>
      </c>
      <c r="I16">
        <v>312</v>
      </c>
      <c r="L16">
        <v>20</v>
      </c>
      <c r="Q16">
        <v>126627</v>
      </c>
    </row>
    <row r="17" spans="3:19" x14ac:dyDescent="0.3">
      <c r="C17">
        <v>2</v>
      </c>
      <c r="D17" t="s">
        <v>361</v>
      </c>
      <c r="E17">
        <v>1</v>
      </c>
      <c r="I17">
        <v>152</v>
      </c>
      <c r="Q17">
        <v>30291</v>
      </c>
      <c r="R17">
        <v>3860</v>
      </c>
      <c r="S17">
        <v>208.33333333333334</v>
      </c>
    </row>
    <row r="18" spans="3:19" x14ac:dyDescent="0.3">
      <c r="C18">
        <v>2</v>
      </c>
      <c r="D18">
        <v>526</v>
      </c>
      <c r="R18">
        <v>3860</v>
      </c>
      <c r="S18">
        <v>208.33333333333334</v>
      </c>
    </row>
    <row r="19" spans="3:19" x14ac:dyDescent="0.3">
      <c r="C19">
        <v>2</v>
      </c>
      <c r="D19">
        <v>528</v>
      </c>
      <c r="E19">
        <v>1</v>
      </c>
      <c r="I19">
        <v>152</v>
      </c>
      <c r="Q19">
        <v>29691</v>
      </c>
    </row>
    <row r="20" spans="3:19" x14ac:dyDescent="0.3">
      <c r="C20">
        <v>2</v>
      </c>
      <c r="D20">
        <v>746</v>
      </c>
      <c r="Q20">
        <v>600</v>
      </c>
    </row>
    <row r="21" spans="3:19" x14ac:dyDescent="0.3">
      <c r="C21">
        <v>2</v>
      </c>
      <c r="D21" t="s">
        <v>362</v>
      </c>
      <c r="E21">
        <v>1</v>
      </c>
      <c r="I21">
        <v>160</v>
      </c>
      <c r="Q21">
        <v>29040</v>
      </c>
    </row>
    <row r="22" spans="3:19" x14ac:dyDescent="0.3">
      <c r="C22">
        <v>2</v>
      </c>
      <c r="D22">
        <v>409</v>
      </c>
      <c r="E22">
        <v>1</v>
      </c>
      <c r="I22">
        <v>160</v>
      </c>
      <c r="Q22">
        <v>29040</v>
      </c>
    </row>
    <row r="23" spans="3:19" x14ac:dyDescent="0.3">
      <c r="C23" t="s">
        <v>364</v>
      </c>
      <c r="E23">
        <v>4</v>
      </c>
      <c r="I23">
        <v>624</v>
      </c>
      <c r="L23">
        <v>20</v>
      </c>
      <c r="Q23">
        <v>185958</v>
      </c>
      <c r="R23">
        <v>3860</v>
      </c>
      <c r="S23">
        <v>686.14630082704161</v>
      </c>
    </row>
    <row r="24" spans="3:19" x14ac:dyDescent="0.3">
      <c r="C24">
        <v>3</v>
      </c>
      <c r="D24" t="s">
        <v>162</v>
      </c>
      <c r="E24">
        <v>2</v>
      </c>
      <c r="I24">
        <v>360</v>
      </c>
      <c r="L24">
        <v>20</v>
      </c>
      <c r="O24">
        <v>10000</v>
      </c>
      <c r="P24">
        <v>10000</v>
      </c>
      <c r="Q24">
        <v>136506</v>
      </c>
      <c r="S24">
        <v>477.8129674937083</v>
      </c>
    </row>
    <row r="25" spans="3:19" x14ac:dyDescent="0.3">
      <c r="C25">
        <v>3</v>
      </c>
      <c r="D25">
        <v>99</v>
      </c>
      <c r="S25">
        <v>477.8129674937083</v>
      </c>
    </row>
    <row r="26" spans="3:19" x14ac:dyDescent="0.3">
      <c r="C26">
        <v>3</v>
      </c>
      <c r="D26">
        <v>101</v>
      </c>
      <c r="E26">
        <v>2</v>
      </c>
      <c r="I26">
        <v>360</v>
      </c>
      <c r="L26">
        <v>20</v>
      </c>
      <c r="O26">
        <v>10000</v>
      </c>
      <c r="P26">
        <v>10000</v>
      </c>
      <c r="Q26">
        <v>136506</v>
      </c>
    </row>
    <row r="27" spans="3:19" x14ac:dyDescent="0.3">
      <c r="C27">
        <v>3</v>
      </c>
      <c r="D27" t="s">
        <v>361</v>
      </c>
      <c r="E27">
        <v>1</v>
      </c>
      <c r="I27">
        <v>144</v>
      </c>
      <c r="Q27">
        <v>31738</v>
      </c>
      <c r="R27">
        <v>700</v>
      </c>
      <c r="S27">
        <v>208.33333333333334</v>
      </c>
    </row>
    <row r="28" spans="3:19" x14ac:dyDescent="0.3">
      <c r="C28">
        <v>3</v>
      </c>
      <c r="D28">
        <v>526</v>
      </c>
      <c r="R28">
        <v>700</v>
      </c>
      <c r="S28">
        <v>208.33333333333334</v>
      </c>
    </row>
    <row r="29" spans="3:19" x14ac:dyDescent="0.3">
      <c r="C29">
        <v>3</v>
      </c>
      <c r="D29">
        <v>528</v>
      </c>
      <c r="E29">
        <v>1</v>
      </c>
      <c r="I29">
        <v>144</v>
      </c>
      <c r="Q29">
        <v>31138</v>
      </c>
    </row>
    <row r="30" spans="3:19" x14ac:dyDescent="0.3">
      <c r="C30">
        <v>3</v>
      </c>
      <c r="D30">
        <v>746</v>
      </c>
      <c r="Q30">
        <v>600</v>
      </c>
    </row>
    <row r="31" spans="3:19" x14ac:dyDescent="0.3">
      <c r="C31">
        <v>3</v>
      </c>
      <c r="D31" t="s">
        <v>362</v>
      </c>
      <c r="E31">
        <v>1</v>
      </c>
      <c r="I31">
        <v>184</v>
      </c>
      <c r="Q31">
        <v>29040</v>
      </c>
    </row>
    <row r="32" spans="3:19" x14ac:dyDescent="0.3">
      <c r="C32">
        <v>3</v>
      </c>
      <c r="D32">
        <v>409</v>
      </c>
      <c r="E32">
        <v>1</v>
      </c>
      <c r="I32">
        <v>184</v>
      </c>
      <c r="Q32">
        <v>29040</v>
      </c>
    </row>
    <row r="33" spans="3:19" x14ac:dyDescent="0.3">
      <c r="C33" t="s">
        <v>365</v>
      </c>
      <c r="E33">
        <v>4</v>
      </c>
      <c r="I33">
        <v>688</v>
      </c>
      <c r="L33">
        <v>20</v>
      </c>
      <c r="O33">
        <v>10000</v>
      </c>
      <c r="P33">
        <v>10000</v>
      </c>
      <c r="Q33">
        <v>197284</v>
      </c>
      <c r="R33">
        <v>700</v>
      </c>
      <c r="S33">
        <v>686.14630082704161</v>
      </c>
    </row>
    <row r="34" spans="3:19" x14ac:dyDescent="0.3">
      <c r="C34">
        <v>4</v>
      </c>
      <c r="D34" t="s">
        <v>162</v>
      </c>
      <c r="E34">
        <v>2</v>
      </c>
      <c r="I34">
        <v>304</v>
      </c>
      <c r="L34">
        <v>20</v>
      </c>
      <c r="Q34">
        <v>126443</v>
      </c>
      <c r="R34">
        <v>700</v>
      </c>
      <c r="S34">
        <v>477.8129674937083</v>
      </c>
    </row>
    <row r="35" spans="3:19" x14ac:dyDescent="0.3">
      <c r="C35">
        <v>4</v>
      </c>
      <c r="D35">
        <v>99</v>
      </c>
      <c r="R35">
        <v>700</v>
      </c>
      <c r="S35">
        <v>477.8129674937083</v>
      </c>
    </row>
    <row r="36" spans="3:19" x14ac:dyDescent="0.3">
      <c r="C36">
        <v>4</v>
      </c>
      <c r="D36">
        <v>101</v>
      </c>
      <c r="E36">
        <v>2</v>
      </c>
      <c r="I36">
        <v>304</v>
      </c>
      <c r="L36">
        <v>20</v>
      </c>
      <c r="Q36">
        <v>126443</v>
      </c>
    </row>
    <row r="37" spans="3:19" x14ac:dyDescent="0.3">
      <c r="C37">
        <v>4</v>
      </c>
      <c r="D37" t="s">
        <v>361</v>
      </c>
      <c r="E37">
        <v>1</v>
      </c>
      <c r="I37">
        <v>152</v>
      </c>
      <c r="Q37">
        <v>30153</v>
      </c>
      <c r="S37">
        <v>208.33333333333334</v>
      </c>
    </row>
    <row r="38" spans="3:19" x14ac:dyDescent="0.3">
      <c r="C38">
        <v>4</v>
      </c>
      <c r="D38">
        <v>526</v>
      </c>
      <c r="Q38">
        <v>600</v>
      </c>
      <c r="S38">
        <v>208.33333333333334</v>
      </c>
    </row>
    <row r="39" spans="3:19" x14ac:dyDescent="0.3">
      <c r="C39">
        <v>4</v>
      </c>
      <c r="D39">
        <v>528</v>
      </c>
      <c r="E39">
        <v>1</v>
      </c>
      <c r="I39">
        <v>152</v>
      </c>
      <c r="Q39">
        <v>29553</v>
      </c>
    </row>
    <row r="40" spans="3:19" x14ac:dyDescent="0.3">
      <c r="C40">
        <v>4</v>
      </c>
      <c r="D40" t="s">
        <v>362</v>
      </c>
      <c r="E40">
        <v>1</v>
      </c>
      <c r="I40">
        <v>152</v>
      </c>
      <c r="Q40">
        <v>29016</v>
      </c>
    </row>
    <row r="41" spans="3:19" x14ac:dyDescent="0.3">
      <c r="C41">
        <v>4</v>
      </c>
      <c r="D41">
        <v>409</v>
      </c>
      <c r="E41">
        <v>1</v>
      </c>
      <c r="I41">
        <v>152</v>
      </c>
      <c r="Q41">
        <v>29016</v>
      </c>
    </row>
    <row r="42" spans="3:19" x14ac:dyDescent="0.3">
      <c r="C42" t="s">
        <v>366</v>
      </c>
      <c r="E42">
        <v>4</v>
      </c>
      <c r="I42">
        <v>608</v>
      </c>
      <c r="L42">
        <v>20</v>
      </c>
      <c r="Q42">
        <v>185612</v>
      </c>
      <c r="R42">
        <v>700</v>
      </c>
      <c r="S42">
        <v>686.14630082704161</v>
      </c>
    </row>
    <row r="43" spans="3:19" x14ac:dyDescent="0.3">
      <c r="C43">
        <v>5</v>
      </c>
      <c r="D43" t="s">
        <v>162</v>
      </c>
      <c r="E43">
        <v>2</v>
      </c>
      <c r="I43">
        <v>336</v>
      </c>
      <c r="L43">
        <v>20</v>
      </c>
      <c r="Q43">
        <v>128416</v>
      </c>
      <c r="S43">
        <v>477.8129674937083</v>
      </c>
    </row>
    <row r="44" spans="3:19" x14ac:dyDescent="0.3">
      <c r="C44">
        <v>5</v>
      </c>
      <c r="D44">
        <v>99</v>
      </c>
      <c r="S44">
        <v>477.8129674937083</v>
      </c>
    </row>
    <row r="45" spans="3:19" x14ac:dyDescent="0.3">
      <c r="C45">
        <v>5</v>
      </c>
      <c r="D45">
        <v>101</v>
      </c>
      <c r="E45">
        <v>2</v>
      </c>
      <c r="I45">
        <v>336</v>
      </c>
      <c r="L45">
        <v>20</v>
      </c>
      <c r="Q45">
        <v>128416</v>
      </c>
    </row>
    <row r="46" spans="3:19" x14ac:dyDescent="0.3">
      <c r="C46">
        <v>5</v>
      </c>
      <c r="D46" t="s">
        <v>361</v>
      </c>
      <c r="E46">
        <v>1</v>
      </c>
      <c r="I46">
        <v>176</v>
      </c>
      <c r="Q46">
        <v>30294</v>
      </c>
      <c r="S46">
        <v>208.33333333333334</v>
      </c>
    </row>
    <row r="47" spans="3:19" x14ac:dyDescent="0.3">
      <c r="C47">
        <v>5</v>
      </c>
      <c r="D47">
        <v>526</v>
      </c>
      <c r="Q47">
        <v>548</v>
      </c>
      <c r="S47">
        <v>208.33333333333334</v>
      </c>
    </row>
    <row r="48" spans="3:19" x14ac:dyDescent="0.3">
      <c r="C48">
        <v>5</v>
      </c>
      <c r="D48">
        <v>528</v>
      </c>
      <c r="E48">
        <v>1</v>
      </c>
      <c r="I48">
        <v>176</v>
      </c>
      <c r="Q48">
        <v>29746</v>
      </c>
    </row>
    <row r="49" spans="3:19" x14ac:dyDescent="0.3">
      <c r="C49">
        <v>5</v>
      </c>
      <c r="D49" t="s">
        <v>362</v>
      </c>
      <c r="E49">
        <v>1</v>
      </c>
      <c r="I49">
        <v>176</v>
      </c>
      <c r="Q49">
        <v>29206</v>
      </c>
    </row>
    <row r="50" spans="3:19" x14ac:dyDescent="0.3">
      <c r="C50">
        <v>5</v>
      </c>
      <c r="D50">
        <v>409</v>
      </c>
      <c r="E50">
        <v>1</v>
      </c>
      <c r="I50">
        <v>176</v>
      </c>
      <c r="Q50">
        <v>29206</v>
      </c>
    </row>
    <row r="51" spans="3:19" x14ac:dyDescent="0.3">
      <c r="C51" t="s">
        <v>367</v>
      </c>
      <c r="E51">
        <v>4</v>
      </c>
      <c r="I51">
        <v>688</v>
      </c>
      <c r="L51">
        <v>20</v>
      </c>
      <c r="Q51">
        <v>187916</v>
      </c>
      <c r="S51">
        <v>686.14630082704161</v>
      </c>
    </row>
    <row r="52" spans="3:19" x14ac:dyDescent="0.3">
      <c r="C52">
        <v>6</v>
      </c>
      <c r="D52" t="s">
        <v>162</v>
      </c>
      <c r="E52">
        <v>2</v>
      </c>
      <c r="I52">
        <v>288</v>
      </c>
      <c r="L52">
        <v>20</v>
      </c>
      <c r="Q52">
        <v>129721</v>
      </c>
      <c r="S52">
        <v>477.8129674937083</v>
      </c>
    </row>
    <row r="53" spans="3:19" x14ac:dyDescent="0.3">
      <c r="C53">
        <v>6</v>
      </c>
      <c r="D53">
        <v>99</v>
      </c>
      <c r="S53">
        <v>477.8129674937083</v>
      </c>
    </row>
    <row r="54" spans="3:19" x14ac:dyDescent="0.3">
      <c r="C54">
        <v>6</v>
      </c>
      <c r="D54">
        <v>101</v>
      </c>
      <c r="E54">
        <v>2</v>
      </c>
      <c r="I54">
        <v>288</v>
      </c>
      <c r="L54">
        <v>20</v>
      </c>
      <c r="Q54">
        <v>129721</v>
      </c>
    </row>
    <row r="55" spans="3:19" x14ac:dyDescent="0.3">
      <c r="C55">
        <v>6</v>
      </c>
      <c r="D55" t="s">
        <v>361</v>
      </c>
      <c r="E55">
        <v>1</v>
      </c>
      <c r="I55">
        <v>168</v>
      </c>
      <c r="Q55">
        <v>31166</v>
      </c>
      <c r="S55">
        <v>208.33333333333334</v>
      </c>
    </row>
    <row r="56" spans="3:19" x14ac:dyDescent="0.3">
      <c r="C56">
        <v>6</v>
      </c>
      <c r="D56">
        <v>526</v>
      </c>
      <c r="Q56">
        <v>600</v>
      </c>
      <c r="S56">
        <v>208.33333333333334</v>
      </c>
    </row>
    <row r="57" spans="3:19" x14ac:dyDescent="0.3">
      <c r="C57">
        <v>6</v>
      </c>
      <c r="D57">
        <v>528</v>
      </c>
      <c r="E57">
        <v>1</v>
      </c>
      <c r="I57">
        <v>168</v>
      </c>
      <c r="Q57">
        <v>30566</v>
      </c>
    </row>
    <row r="58" spans="3:19" x14ac:dyDescent="0.3">
      <c r="C58">
        <v>6</v>
      </c>
      <c r="D58" t="s">
        <v>362</v>
      </c>
      <c r="E58">
        <v>1</v>
      </c>
      <c r="I58">
        <v>176</v>
      </c>
      <c r="Q58">
        <v>30540</v>
      </c>
    </row>
    <row r="59" spans="3:19" x14ac:dyDescent="0.3">
      <c r="C59">
        <v>6</v>
      </c>
      <c r="D59">
        <v>409</v>
      </c>
      <c r="E59">
        <v>1</v>
      </c>
      <c r="I59">
        <v>176</v>
      </c>
      <c r="Q59">
        <v>30540</v>
      </c>
    </row>
    <row r="60" spans="3:19" x14ac:dyDescent="0.3">
      <c r="C60" t="s">
        <v>368</v>
      </c>
      <c r="E60">
        <v>4</v>
      </c>
      <c r="I60">
        <v>632</v>
      </c>
      <c r="L60">
        <v>20</v>
      </c>
      <c r="Q60">
        <v>191427</v>
      </c>
      <c r="S60">
        <v>686.14630082704161</v>
      </c>
    </row>
    <row r="61" spans="3:19" x14ac:dyDescent="0.3">
      <c r="C61">
        <v>7</v>
      </c>
      <c r="D61" t="s">
        <v>162</v>
      </c>
      <c r="E61">
        <v>2</v>
      </c>
      <c r="I61">
        <v>336</v>
      </c>
      <c r="L61">
        <v>20</v>
      </c>
      <c r="O61">
        <v>70905</v>
      </c>
      <c r="P61">
        <v>70905</v>
      </c>
      <c r="Q61">
        <v>196635</v>
      </c>
      <c r="S61">
        <v>477.8129674937083</v>
      </c>
    </row>
    <row r="62" spans="3:19" x14ac:dyDescent="0.3">
      <c r="C62">
        <v>7</v>
      </c>
      <c r="D62">
        <v>99</v>
      </c>
      <c r="S62">
        <v>477.8129674937083</v>
      </c>
    </row>
    <row r="63" spans="3:19" x14ac:dyDescent="0.3">
      <c r="C63">
        <v>7</v>
      </c>
      <c r="D63">
        <v>101</v>
      </c>
      <c r="E63">
        <v>2</v>
      </c>
      <c r="I63">
        <v>336</v>
      </c>
      <c r="L63">
        <v>20</v>
      </c>
      <c r="O63">
        <v>70905</v>
      </c>
      <c r="P63">
        <v>70905</v>
      </c>
      <c r="Q63">
        <v>196635</v>
      </c>
    </row>
    <row r="64" spans="3:19" x14ac:dyDescent="0.3">
      <c r="C64">
        <v>7</v>
      </c>
      <c r="D64" t="s">
        <v>361</v>
      </c>
      <c r="E64">
        <v>1</v>
      </c>
      <c r="I64">
        <v>128</v>
      </c>
      <c r="O64">
        <v>10684</v>
      </c>
      <c r="P64">
        <v>10684</v>
      </c>
      <c r="Q64">
        <v>41296</v>
      </c>
      <c r="S64">
        <v>208.33333333333334</v>
      </c>
    </row>
    <row r="65" spans="3:19" x14ac:dyDescent="0.3">
      <c r="C65">
        <v>7</v>
      </c>
      <c r="D65">
        <v>526</v>
      </c>
      <c r="Q65">
        <v>371</v>
      </c>
      <c r="S65">
        <v>208.33333333333334</v>
      </c>
    </row>
    <row r="66" spans="3:19" x14ac:dyDescent="0.3">
      <c r="C66">
        <v>7</v>
      </c>
      <c r="D66">
        <v>528</v>
      </c>
      <c r="E66">
        <v>1</v>
      </c>
      <c r="I66">
        <v>128</v>
      </c>
      <c r="O66">
        <v>10684</v>
      </c>
      <c r="P66">
        <v>10684</v>
      </c>
      <c r="Q66">
        <v>40925</v>
      </c>
    </row>
    <row r="67" spans="3:19" x14ac:dyDescent="0.3">
      <c r="C67">
        <v>7</v>
      </c>
      <c r="D67" t="s">
        <v>362</v>
      </c>
      <c r="E67">
        <v>1</v>
      </c>
      <c r="I67">
        <v>96</v>
      </c>
      <c r="O67">
        <v>9289</v>
      </c>
      <c r="P67">
        <v>9289</v>
      </c>
      <c r="Q67">
        <v>39221</v>
      </c>
    </row>
    <row r="68" spans="3:19" x14ac:dyDescent="0.3">
      <c r="C68">
        <v>7</v>
      </c>
      <c r="D68">
        <v>409</v>
      </c>
      <c r="E68">
        <v>1</v>
      </c>
      <c r="I68">
        <v>96</v>
      </c>
      <c r="O68">
        <v>9289</v>
      </c>
      <c r="P68">
        <v>9289</v>
      </c>
      <c r="Q68">
        <v>39221</v>
      </c>
    </row>
    <row r="69" spans="3:19" x14ac:dyDescent="0.3">
      <c r="C69" t="s">
        <v>369</v>
      </c>
      <c r="E69">
        <v>4</v>
      </c>
      <c r="I69">
        <v>560</v>
      </c>
      <c r="L69">
        <v>20</v>
      </c>
      <c r="O69">
        <v>90878</v>
      </c>
      <c r="P69">
        <v>90878</v>
      </c>
      <c r="Q69">
        <v>277152</v>
      </c>
      <c r="S69">
        <v>686.14630082704161</v>
      </c>
    </row>
    <row r="70" spans="3:19" x14ac:dyDescent="0.3">
      <c r="C70">
        <v>8</v>
      </c>
      <c r="D70" t="s">
        <v>162</v>
      </c>
      <c r="E70">
        <v>2</v>
      </c>
      <c r="I70">
        <v>232</v>
      </c>
      <c r="L70">
        <v>20</v>
      </c>
      <c r="Q70">
        <v>130045</v>
      </c>
      <c r="S70">
        <v>477.8129674937083</v>
      </c>
    </row>
    <row r="71" spans="3:19" x14ac:dyDescent="0.3">
      <c r="C71">
        <v>8</v>
      </c>
      <c r="D71">
        <v>99</v>
      </c>
      <c r="S71">
        <v>477.8129674937083</v>
      </c>
    </row>
    <row r="72" spans="3:19" x14ac:dyDescent="0.3">
      <c r="C72">
        <v>8</v>
      </c>
      <c r="D72">
        <v>101</v>
      </c>
      <c r="E72">
        <v>2</v>
      </c>
      <c r="I72">
        <v>232</v>
      </c>
      <c r="L72">
        <v>20</v>
      </c>
      <c r="Q72">
        <v>130045</v>
      </c>
    </row>
    <row r="73" spans="3:19" x14ac:dyDescent="0.3">
      <c r="C73">
        <v>8</v>
      </c>
      <c r="D73" t="s">
        <v>361</v>
      </c>
      <c r="E73">
        <v>1</v>
      </c>
      <c r="I73">
        <v>152</v>
      </c>
      <c r="Q73">
        <v>31135</v>
      </c>
      <c r="S73">
        <v>208.33333333333334</v>
      </c>
    </row>
    <row r="74" spans="3:19" x14ac:dyDescent="0.3">
      <c r="C74">
        <v>8</v>
      </c>
      <c r="D74">
        <v>526</v>
      </c>
      <c r="Q74">
        <v>339</v>
      </c>
      <c r="S74">
        <v>208.33333333333334</v>
      </c>
    </row>
    <row r="75" spans="3:19" x14ac:dyDescent="0.3">
      <c r="C75">
        <v>8</v>
      </c>
      <c r="D75">
        <v>528</v>
      </c>
      <c r="E75">
        <v>1</v>
      </c>
      <c r="I75">
        <v>152</v>
      </c>
      <c r="Q75">
        <v>30796</v>
      </c>
    </row>
    <row r="76" spans="3:19" x14ac:dyDescent="0.3">
      <c r="C76">
        <v>8</v>
      </c>
      <c r="D76" t="s">
        <v>362</v>
      </c>
      <c r="E76">
        <v>1</v>
      </c>
      <c r="I76">
        <v>176</v>
      </c>
      <c r="Q76">
        <v>30600</v>
      </c>
    </row>
    <row r="77" spans="3:19" x14ac:dyDescent="0.3">
      <c r="C77">
        <v>8</v>
      </c>
      <c r="D77">
        <v>409</v>
      </c>
      <c r="E77">
        <v>1</v>
      </c>
      <c r="I77">
        <v>176</v>
      </c>
      <c r="Q77">
        <v>30600</v>
      </c>
    </row>
    <row r="78" spans="3:19" x14ac:dyDescent="0.3">
      <c r="C78" t="s">
        <v>370</v>
      </c>
      <c r="E78">
        <v>4</v>
      </c>
      <c r="I78">
        <v>560</v>
      </c>
      <c r="L78">
        <v>20</v>
      </c>
      <c r="Q78">
        <v>191780</v>
      </c>
      <c r="S78">
        <v>686.14630082704161</v>
      </c>
    </row>
    <row r="79" spans="3:19" x14ac:dyDescent="0.3">
      <c r="C79">
        <v>9</v>
      </c>
      <c r="D79" t="s">
        <v>162</v>
      </c>
      <c r="E79">
        <v>2</v>
      </c>
      <c r="I79">
        <v>304</v>
      </c>
      <c r="L79">
        <v>20</v>
      </c>
      <c r="O79">
        <v>50000</v>
      </c>
      <c r="P79">
        <v>50000</v>
      </c>
      <c r="Q79">
        <v>175849</v>
      </c>
      <c r="R79">
        <v>2200</v>
      </c>
      <c r="S79">
        <v>477.8129674937083</v>
      </c>
    </row>
    <row r="80" spans="3:19" x14ac:dyDescent="0.3">
      <c r="C80">
        <v>9</v>
      </c>
      <c r="D80">
        <v>99</v>
      </c>
      <c r="R80">
        <v>2200</v>
      </c>
      <c r="S80">
        <v>477.8129674937083</v>
      </c>
    </row>
    <row r="81" spans="3:19" x14ac:dyDescent="0.3">
      <c r="C81">
        <v>9</v>
      </c>
      <c r="D81">
        <v>101</v>
      </c>
      <c r="E81">
        <v>2</v>
      </c>
      <c r="I81">
        <v>304</v>
      </c>
      <c r="L81">
        <v>20</v>
      </c>
      <c r="O81">
        <v>50000</v>
      </c>
      <c r="P81">
        <v>50000</v>
      </c>
      <c r="Q81">
        <v>175849</v>
      </c>
    </row>
    <row r="82" spans="3:19" x14ac:dyDescent="0.3">
      <c r="C82">
        <v>9</v>
      </c>
      <c r="D82" t="s">
        <v>361</v>
      </c>
      <c r="E82">
        <v>1</v>
      </c>
      <c r="I82">
        <v>136</v>
      </c>
      <c r="O82">
        <v>2250</v>
      </c>
      <c r="P82">
        <v>2250</v>
      </c>
      <c r="Q82">
        <v>31534</v>
      </c>
      <c r="R82">
        <v>2200</v>
      </c>
      <c r="S82">
        <v>208.33333333333334</v>
      </c>
    </row>
    <row r="83" spans="3:19" x14ac:dyDescent="0.3">
      <c r="C83">
        <v>9</v>
      </c>
      <c r="D83">
        <v>526</v>
      </c>
      <c r="Q83">
        <v>572</v>
      </c>
      <c r="R83">
        <v>2200</v>
      </c>
      <c r="S83">
        <v>208.33333333333334</v>
      </c>
    </row>
    <row r="84" spans="3:19" x14ac:dyDescent="0.3">
      <c r="C84">
        <v>9</v>
      </c>
      <c r="D84">
        <v>528</v>
      </c>
      <c r="E84">
        <v>1</v>
      </c>
      <c r="I84">
        <v>136</v>
      </c>
      <c r="O84">
        <v>2250</v>
      </c>
      <c r="P84">
        <v>2250</v>
      </c>
      <c r="Q84">
        <v>30962</v>
      </c>
    </row>
    <row r="85" spans="3:19" x14ac:dyDescent="0.3">
      <c r="C85">
        <v>9</v>
      </c>
      <c r="D85" t="s">
        <v>362</v>
      </c>
      <c r="E85">
        <v>1</v>
      </c>
      <c r="I85">
        <v>136</v>
      </c>
      <c r="Q85">
        <v>30270</v>
      </c>
      <c r="R85">
        <v>500</v>
      </c>
    </row>
    <row r="86" spans="3:19" x14ac:dyDescent="0.3">
      <c r="C86">
        <v>9</v>
      </c>
      <c r="D86">
        <v>303</v>
      </c>
      <c r="R86">
        <v>500</v>
      </c>
    </row>
    <row r="87" spans="3:19" x14ac:dyDescent="0.3">
      <c r="C87">
        <v>9</v>
      </c>
      <c r="D87">
        <v>409</v>
      </c>
      <c r="E87">
        <v>1</v>
      </c>
      <c r="I87">
        <v>136</v>
      </c>
      <c r="Q87">
        <v>30270</v>
      </c>
    </row>
    <row r="88" spans="3:19" x14ac:dyDescent="0.3">
      <c r="C88" t="s">
        <v>371</v>
      </c>
      <c r="E88">
        <v>4</v>
      </c>
      <c r="I88">
        <v>576</v>
      </c>
      <c r="L88">
        <v>20</v>
      </c>
      <c r="O88">
        <v>52250</v>
      </c>
      <c r="P88">
        <v>52250</v>
      </c>
      <c r="Q88">
        <v>237653</v>
      </c>
      <c r="R88">
        <v>4900</v>
      </c>
      <c r="S88">
        <v>686.14630082704161</v>
      </c>
    </row>
    <row r="89" spans="3:19" x14ac:dyDescent="0.3">
      <c r="C89">
        <v>10</v>
      </c>
      <c r="D89" t="s">
        <v>162</v>
      </c>
      <c r="E89">
        <v>2</v>
      </c>
      <c r="I89">
        <v>296</v>
      </c>
      <c r="L89">
        <v>20</v>
      </c>
      <c r="Q89">
        <v>120470</v>
      </c>
      <c r="S89">
        <v>477.8129674937083</v>
      </c>
    </row>
    <row r="90" spans="3:19" x14ac:dyDescent="0.3">
      <c r="C90">
        <v>10</v>
      </c>
      <c r="D90">
        <v>99</v>
      </c>
      <c r="S90">
        <v>477.8129674937083</v>
      </c>
    </row>
    <row r="91" spans="3:19" x14ac:dyDescent="0.3">
      <c r="C91">
        <v>10</v>
      </c>
      <c r="D91">
        <v>101</v>
      </c>
      <c r="E91">
        <v>2</v>
      </c>
      <c r="I91">
        <v>296</v>
      </c>
      <c r="L91">
        <v>20</v>
      </c>
      <c r="Q91">
        <v>120470</v>
      </c>
    </row>
    <row r="92" spans="3:19" x14ac:dyDescent="0.3">
      <c r="C92">
        <v>10</v>
      </c>
      <c r="D92" t="s">
        <v>361</v>
      </c>
      <c r="E92">
        <v>1</v>
      </c>
      <c r="I92">
        <v>152</v>
      </c>
      <c r="O92">
        <v>750</v>
      </c>
      <c r="P92">
        <v>750</v>
      </c>
      <c r="Q92">
        <v>33906</v>
      </c>
      <c r="S92">
        <v>208.33333333333334</v>
      </c>
    </row>
    <row r="93" spans="3:19" x14ac:dyDescent="0.3">
      <c r="C93">
        <v>10</v>
      </c>
      <c r="D93">
        <v>526</v>
      </c>
      <c r="Q93">
        <v>600</v>
      </c>
      <c r="S93">
        <v>208.33333333333334</v>
      </c>
    </row>
    <row r="94" spans="3:19" x14ac:dyDescent="0.3">
      <c r="C94">
        <v>10</v>
      </c>
      <c r="D94">
        <v>528</v>
      </c>
      <c r="E94">
        <v>1</v>
      </c>
      <c r="I94">
        <v>152</v>
      </c>
      <c r="O94">
        <v>750</v>
      </c>
      <c r="P94">
        <v>750</v>
      </c>
      <c r="Q94">
        <v>33306</v>
      </c>
    </row>
    <row r="95" spans="3:19" x14ac:dyDescent="0.3">
      <c r="C95">
        <v>10</v>
      </c>
      <c r="D95" t="s">
        <v>362</v>
      </c>
      <c r="E95">
        <v>1</v>
      </c>
      <c r="I95">
        <v>168</v>
      </c>
      <c r="Q95">
        <v>30646</v>
      </c>
    </row>
    <row r="96" spans="3:19" x14ac:dyDescent="0.3">
      <c r="C96">
        <v>10</v>
      </c>
      <c r="D96">
        <v>409</v>
      </c>
      <c r="E96">
        <v>1</v>
      </c>
      <c r="I96">
        <v>168</v>
      </c>
      <c r="Q96">
        <v>30646</v>
      </c>
    </row>
    <row r="97" spans="3:19" x14ac:dyDescent="0.3">
      <c r="C97" t="s">
        <v>372</v>
      </c>
      <c r="E97">
        <v>4</v>
      </c>
      <c r="I97">
        <v>616</v>
      </c>
      <c r="L97">
        <v>20</v>
      </c>
      <c r="O97">
        <v>750</v>
      </c>
      <c r="P97">
        <v>750</v>
      </c>
      <c r="Q97">
        <v>185022</v>
      </c>
      <c r="S97">
        <v>686.14630082704161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3" bestFit="1" customWidth="1"/>
    <col min="2" max="2" width="11.6640625" style="113" hidden="1" customWidth="1"/>
    <col min="3" max="4" width="11" style="115" customWidth="1"/>
    <col min="5" max="5" width="11" style="116" customWidth="1"/>
    <col min="6" max="16384" width="8.88671875" style="113"/>
  </cols>
  <sheetData>
    <row r="1" spans="1:5" ht="18.600000000000001" thickBot="1" x14ac:dyDescent="0.4">
      <c r="A1" s="257" t="s">
        <v>72</v>
      </c>
      <c r="B1" s="257"/>
      <c r="C1" s="258"/>
      <c r="D1" s="258"/>
      <c r="E1" s="258"/>
    </row>
    <row r="2" spans="1:5" ht="14.4" customHeight="1" thickBot="1" x14ac:dyDescent="0.35">
      <c r="A2" s="170" t="s">
        <v>192</v>
      </c>
      <c r="B2" s="114"/>
    </row>
    <row r="3" spans="1:5" ht="14.4" customHeight="1" thickBot="1" x14ac:dyDescent="0.35">
      <c r="A3" s="117"/>
      <c r="C3" s="118" t="s">
        <v>61</v>
      </c>
      <c r="D3" s="119" t="s">
        <v>54</v>
      </c>
      <c r="E3" s="120" t="s">
        <v>56</v>
      </c>
    </row>
    <row r="4" spans="1:5" ht="14.4" customHeight="1" thickBot="1" x14ac:dyDescent="0.35">
      <c r="A4" s="121" t="str">
        <f>HYPERLINK("#HI!A1","NÁKLADY CELKEM (v tisících Kč)")</f>
        <v>NÁKLADY CELKEM (v tisících Kč)</v>
      </c>
      <c r="B4" s="122"/>
      <c r="C4" s="123">
        <f ca="1">IF(ISERROR(VLOOKUP("Náklady celkem",INDIRECT("HI!$A:$G"),6,0)),0,VLOOKUP("Náklady celkem",INDIRECT("HI!$A:$G"),6,0))</f>
        <v>2905.2572512664797</v>
      </c>
      <c r="D4" s="123">
        <f ca="1">IF(ISERROR(VLOOKUP("Náklady celkem",INDIRECT("HI!$A:$G"),5,0)),0,VLOOKUP("Náklady celkem",INDIRECT("HI!$A:$G"),5,0))</f>
        <v>3262.1970600000004</v>
      </c>
      <c r="E4" s="124">
        <f ca="1">IF(C4=0,0,D4/C4)</f>
        <v>1.1228599665581838</v>
      </c>
    </row>
    <row r="5" spans="1:5" ht="14.4" customHeight="1" x14ac:dyDescent="0.3">
      <c r="A5" s="125" t="s">
        <v>81</v>
      </c>
      <c r="B5" s="126"/>
      <c r="C5" s="127"/>
      <c r="D5" s="127"/>
      <c r="E5" s="128"/>
    </row>
    <row r="6" spans="1:5" ht="14.4" customHeight="1" x14ac:dyDescent="0.3">
      <c r="A6" s="129" t="s">
        <v>86</v>
      </c>
      <c r="B6" s="130"/>
      <c r="C6" s="131"/>
      <c r="D6" s="131"/>
      <c r="E6" s="128"/>
    </row>
    <row r="7" spans="1:5" ht="14.4" customHeight="1" x14ac:dyDescent="0.3">
      <c r="A7" s="19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0" t="s">
        <v>65</v>
      </c>
      <c r="C7" s="131">
        <f>IF(ISERROR(HI!F5),"",HI!F5)</f>
        <v>4.1666665039062503</v>
      </c>
      <c r="D7" s="131">
        <f>IF(ISERROR(HI!E5),"",HI!E5)</f>
        <v>0.73538999999999999</v>
      </c>
      <c r="E7" s="128">
        <f t="shared" ref="E7:E12" si="0">IF(C7=0,0,D7/C7)</f>
        <v>0.17649360689428151</v>
      </c>
    </row>
    <row r="8" spans="1:5" ht="14.4" customHeight="1" x14ac:dyDescent="0.3">
      <c r="A8" s="195" t="str">
        <f>HYPERLINK("#'LŽ Statim'!A1","Podíl statimových žádanek (max. 30%)")</f>
        <v>Podíl statimových žádanek (max. 30%)</v>
      </c>
      <c r="B8" s="193" t="s">
        <v>133</v>
      </c>
      <c r="C8" s="194">
        <v>0.3</v>
      </c>
      <c r="D8" s="194">
        <f>IF('LŽ Statim'!G3="",0,'LŽ Statim'!G3)</f>
        <v>0</v>
      </c>
      <c r="E8" s="128">
        <f>IF(C8=0,0,D8/C8)</f>
        <v>0</v>
      </c>
    </row>
    <row r="9" spans="1:5" ht="14.4" customHeight="1" x14ac:dyDescent="0.3">
      <c r="A9" s="132" t="s">
        <v>82</v>
      </c>
      <c r="B9" s="130"/>
      <c r="C9" s="131"/>
      <c r="D9" s="131"/>
      <c r="E9" s="128"/>
    </row>
    <row r="10" spans="1:5" ht="14.4" customHeight="1" x14ac:dyDescent="0.3">
      <c r="A10" s="132" t="s">
        <v>83</v>
      </c>
      <c r="B10" s="130"/>
      <c r="C10" s="131"/>
      <c r="D10" s="131"/>
      <c r="E10" s="128"/>
    </row>
    <row r="11" spans="1:5" ht="14.4" customHeight="1" x14ac:dyDescent="0.3">
      <c r="A11" s="133" t="s">
        <v>87</v>
      </c>
      <c r="B11" s="130"/>
      <c r="C11" s="127"/>
      <c r="D11" s="127"/>
      <c r="E11" s="128"/>
    </row>
    <row r="12" spans="1:5" ht="14.4" customHeight="1" x14ac:dyDescent="0.3">
      <c r="A12" s="13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0" t="s">
        <v>65</v>
      </c>
      <c r="C12" s="131">
        <f>IF(ISERROR(HI!F6),"",HI!F6)</f>
        <v>53.333333496093751</v>
      </c>
      <c r="D12" s="131">
        <f>IF(ISERROR(HI!E6),"",HI!E6)</f>
        <v>51.633229999999998</v>
      </c>
      <c r="E12" s="128">
        <f t="shared" si="0"/>
        <v>0.9681230595455228</v>
      </c>
    </row>
    <row r="13" spans="1:5" ht="14.4" customHeight="1" thickBot="1" x14ac:dyDescent="0.35">
      <c r="A13" s="135" t="str">
        <f>HYPERLINK("#HI!A1","Osobní náklady")</f>
        <v>Osobní náklady</v>
      </c>
      <c r="B13" s="130"/>
      <c r="C13" s="127">
        <f ca="1">IF(ISERROR(VLOOKUP("Osobní náklady (Kč) *",INDIRECT("HI!$A:$G"),6,0)),0,VLOOKUP("Osobní náklady (Kč) *",INDIRECT("HI!$A:$G"),6,0))</f>
        <v>2464.1667539062501</v>
      </c>
      <c r="D13" s="127">
        <f ca="1">IF(ISERROR(VLOOKUP("Osobní náklady (Kč) *",INDIRECT("HI!$A:$G"),5,0)),0,VLOOKUP("Osobní náklady (Kč) *",INDIRECT("HI!$A:$G"),5,0))</f>
        <v>2757.6917699999999</v>
      </c>
      <c r="E13" s="128">
        <f ca="1">IF(C13=0,0,D13/C13)</f>
        <v>1.1191173509781542</v>
      </c>
    </row>
    <row r="14" spans="1:5" ht="14.4" customHeight="1" thickBot="1" x14ac:dyDescent="0.35">
      <c r="A14" s="139"/>
      <c r="B14" s="140"/>
      <c r="C14" s="141"/>
      <c r="D14" s="141"/>
      <c r="E14" s="142"/>
    </row>
    <row r="15" spans="1:5" ht="14.4" customHeight="1" thickBot="1" x14ac:dyDescent="0.35">
      <c r="A15" s="143" t="str">
        <f>HYPERLINK("#HI!A1","VÝNOSY CELKEM (v tisících)")</f>
        <v>VÝNOSY CELKEM (v tisících)</v>
      </c>
      <c r="B15" s="144"/>
      <c r="C15" s="145">
        <f ca="1">IF(ISERROR(VLOOKUP("Výnosy celkem",INDIRECT("HI!$A:$G"),6,0)),0,VLOOKUP("Výnosy celkem",INDIRECT("HI!$A:$G"),6,0))</f>
        <v>0</v>
      </c>
      <c r="D15" s="145">
        <f ca="1">IF(ISERROR(VLOOKUP("Výnosy celkem",INDIRECT("HI!$A:$G"),5,0)),0,VLOOKUP("Výnosy celkem",INDIRECT("HI!$A:$G"),5,0))</f>
        <v>0</v>
      </c>
      <c r="E15" s="146">
        <f t="shared" ref="E15:E16" ca="1" si="1">IF(C15=0,0,D15/C15)</f>
        <v>0</v>
      </c>
    </row>
    <row r="16" spans="1:5" ht="14.4" customHeight="1" x14ac:dyDescent="0.3">
      <c r="A16" s="147" t="str">
        <f>HYPERLINK("#HI!A1","Ambulance (body za výkony + Kč za ZUM a ZULP)")</f>
        <v>Ambulance (body za výkony + Kč za ZUM a ZULP)</v>
      </c>
      <c r="B16" s="126"/>
      <c r="C16" s="127">
        <f ca="1">IF(ISERROR(VLOOKUP("Ambulance *",INDIRECT("HI!$A:$G"),6,0)),0,VLOOKUP("Ambulance *",INDIRECT("HI!$A:$G"),6,0))</f>
        <v>0</v>
      </c>
      <c r="D16" s="127">
        <f ca="1">IF(ISERROR(VLOOKUP("Ambulance *",INDIRECT("HI!$A:$G"),5,0)),0,VLOOKUP("Ambulance *",INDIRECT("HI!$A:$G"),5,0))</f>
        <v>0</v>
      </c>
      <c r="E16" s="128">
        <f t="shared" ca="1" si="1"/>
        <v>0</v>
      </c>
    </row>
    <row r="17" spans="1:5" ht="14.4" customHeight="1" x14ac:dyDescent="0.3">
      <c r="A17" s="148" t="str">
        <f>HYPERLINK("#HI!A1","Hospitalizace (casemix * 30000)")</f>
        <v>Hospitalizace (casemix * 30000)</v>
      </c>
      <c r="B17" s="130"/>
      <c r="C17" s="127">
        <f ca="1">IF(ISERROR(VLOOKUP("Hospitalizace *",INDIRECT("HI!$A:$G"),6,0)),0,VLOOKUP("Hospitalizace *",INDIRECT("HI!$A:$G"),6,0))</f>
        <v>0</v>
      </c>
      <c r="D17" s="127">
        <f ca="1">IF(ISERROR(VLOOKUP("Hospitalizace *",INDIRECT("HI!$A:$G"),5,0)),0,VLOOKUP("Hospitalizace *",INDIRECT("HI!$A:$G"),5,0))</f>
        <v>0</v>
      </c>
      <c r="E17" s="128">
        <f ca="1">IF(C17=0,0,D17/C17)</f>
        <v>0</v>
      </c>
    </row>
    <row r="18" spans="1:5" ht="14.4" customHeight="1" thickBot="1" x14ac:dyDescent="0.35">
      <c r="A18" s="149" t="s">
        <v>84</v>
      </c>
      <c r="B18" s="136"/>
      <c r="C18" s="137"/>
      <c r="D18" s="137"/>
      <c r="E18" s="138"/>
    </row>
    <row r="19" spans="1:5" ht="14.4" customHeight="1" thickBot="1" x14ac:dyDescent="0.35">
      <c r="A19" s="150"/>
      <c r="B19" s="151"/>
      <c r="C19" s="152"/>
      <c r="D19" s="152"/>
      <c r="E19" s="153"/>
    </row>
    <row r="20" spans="1:5" ht="14.4" customHeight="1" thickBot="1" x14ac:dyDescent="0.35">
      <c r="A20" s="154" t="s">
        <v>85</v>
      </c>
      <c r="B20" s="155"/>
      <c r="C20" s="156"/>
      <c r="D20" s="156"/>
      <c r="E20" s="157"/>
    </row>
  </sheetData>
  <mergeCells count="1">
    <mergeCell ref="A1:E1"/>
  </mergeCells>
  <conditionalFormatting sqref="E5">
    <cfRule type="cellIs" dxfId="5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7">
    <cfRule type="cellIs" dxfId="4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45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4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3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95" bestFit="1" customWidth="1"/>
    <col min="2" max="2" width="9.5546875" style="95" hidden="1" customWidth="1" outlineLevel="1"/>
    <col min="3" max="3" width="9.5546875" style="95" customWidth="1" collapsed="1"/>
    <col min="4" max="4" width="2.21875" style="95" customWidth="1"/>
    <col min="5" max="8" width="9.5546875" style="95" customWidth="1"/>
    <col min="9" max="10" width="9.77734375" style="95" hidden="1" customWidth="1" outlineLevel="1"/>
    <col min="11" max="11" width="8.88671875" style="95" collapsed="1"/>
    <col min="12" max="16384" width="8.88671875" style="95"/>
  </cols>
  <sheetData>
    <row r="1" spans="1:10" ht="18.600000000000001" customHeight="1" thickBot="1" x14ac:dyDescent="0.4">
      <c r="A1" s="268" t="s">
        <v>75</v>
      </c>
      <c r="B1" s="268"/>
      <c r="C1" s="268"/>
      <c r="D1" s="268"/>
      <c r="E1" s="268"/>
      <c r="F1" s="268"/>
      <c r="G1" s="268"/>
      <c r="H1" s="268"/>
      <c r="I1" s="268"/>
      <c r="J1" s="268"/>
    </row>
    <row r="2" spans="1:10" ht="14.4" customHeight="1" thickBot="1" x14ac:dyDescent="0.35">
      <c r="A2" s="170" t="s">
        <v>192</v>
      </c>
      <c r="B2" s="77"/>
      <c r="C2" s="77"/>
      <c r="D2" s="77"/>
      <c r="E2" s="77"/>
      <c r="F2" s="77"/>
    </row>
    <row r="3" spans="1:10" ht="14.4" customHeight="1" x14ac:dyDescent="0.3">
      <c r="A3" s="259"/>
      <c r="B3" s="73">
        <v>2015</v>
      </c>
      <c r="C3" s="40">
        <v>2016</v>
      </c>
      <c r="D3" s="7"/>
      <c r="E3" s="263">
        <v>2017</v>
      </c>
      <c r="F3" s="264"/>
      <c r="G3" s="264"/>
      <c r="H3" s="265"/>
      <c r="I3" s="266">
        <v>2017</v>
      </c>
      <c r="J3" s="267"/>
    </row>
    <row r="4" spans="1:10" ht="14.4" customHeight="1" thickBot="1" x14ac:dyDescent="0.35">
      <c r="A4" s="260"/>
      <c r="B4" s="261" t="s">
        <v>54</v>
      </c>
      <c r="C4" s="262"/>
      <c r="D4" s="7"/>
      <c r="E4" s="94" t="s">
        <v>54</v>
      </c>
      <c r="F4" s="75" t="s">
        <v>55</v>
      </c>
      <c r="G4" s="75" t="s">
        <v>51</v>
      </c>
      <c r="H4" s="76" t="s">
        <v>56</v>
      </c>
      <c r="I4" s="198" t="s">
        <v>157</v>
      </c>
      <c r="J4" s="199" t="s">
        <v>158</v>
      </c>
    </row>
    <row r="5" spans="1:10" ht="14.4" customHeight="1" x14ac:dyDescent="0.3">
      <c r="A5" s="78" t="str">
        <f>HYPERLINK("#'Léky Žádanky'!A1","Léky (Kč)")</f>
        <v>Léky (Kč)</v>
      </c>
      <c r="B5" s="27">
        <v>0.40908999999999995</v>
      </c>
      <c r="C5" s="29">
        <v>0.45740999999999998</v>
      </c>
      <c r="D5" s="8"/>
      <c r="E5" s="83">
        <v>0.73538999999999999</v>
      </c>
      <c r="F5" s="28">
        <v>4.1666665039062503</v>
      </c>
      <c r="G5" s="82">
        <f>E5-F5</f>
        <v>-3.4312765039062505</v>
      </c>
      <c r="H5" s="88">
        <f>IF(F5&lt;0.00000001,"",E5/F5)</f>
        <v>0.17649360689428151</v>
      </c>
    </row>
    <row r="6" spans="1:10" ht="14.4" customHeight="1" x14ac:dyDescent="0.3">
      <c r="A6" s="78" t="str">
        <f>HYPERLINK("#'Materiál Žádanky'!A1","Materiál - SZM (Kč)")</f>
        <v>Materiál - SZM (Kč)</v>
      </c>
      <c r="B6" s="10">
        <v>45.462820000000001</v>
      </c>
      <c r="C6" s="31">
        <v>52.703960000000002</v>
      </c>
      <c r="D6" s="8"/>
      <c r="E6" s="84">
        <v>51.633229999999998</v>
      </c>
      <c r="F6" s="30">
        <v>53.333333496093751</v>
      </c>
      <c r="G6" s="85">
        <f>E6-F6</f>
        <v>-1.7001034960937531</v>
      </c>
      <c r="H6" s="89">
        <f>IF(F6&lt;0.00000001,"",E6/F6)</f>
        <v>0.9681230595455228</v>
      </c>
    </row>
    <row r="7" spans="1:10" ht="14.4" customHeight="1" x14ac:dyDescent="0.3">
      <c r="A7" s="78" t="str">
        <f>HYPERLINK("#'Osobní náklady'!A1","Osobní náklady (Kč) *")</f>
        <v>Osobní náklady (Kč) *</v>
      </c>
      <c r="B7" s="10">
        <v>2303.8520700000004</v>
      </c>
      <c r="C7" s="31">
        <v>2424.23558</v>
      </c>
      <c r="D7" s="8"/>
      <c r="E7" s="84">
        <v>2757.6917699999999</v>
      </c>
      <c r="F7" s="30">
        <v>2464.1667539062501</v>
      </c>
      <c r="G7" s="85">
        <f>E7-F7</f>
        <v>293.52501609374985</v>
      </c>
      <c r="H7" s="89">
        <f>IF(F7&lt;0.00000001,"",E7/F7)</f>
        <v>1.1191173509781542</v>
      </c>
    </row>
    <row r="8" spans="1:10" ht="14.4" customHeight="1" thickBot="1" x14ac:dyDescent="0.35">
      <c r="A8" s="1" t="s">
        <v>57</v>
      </c>
      <c r="B8" s="11">
        <v>441.74131000000017</v>
      </c>
      <c r="C8" s="33">
        <v>433.81866000000019</v>
      </c>
      <c r="D8" s="8"/>
      <c r="E8" s="86">
        <v>452.13667000000009</v>
      </c>
      <c r="F8" s="32">
        <v>383.59049736022962</v>
      </c>
      <c r="G8" s="87">
        <f>E8-F8</f>
        <v>68.546172639770475</v>
      </c>
      <c r="H8" s="90">
        <f>IF(F8&lt;0.00000001,"",E8/F8)</f>
        <v>1.1786962219123973</v>
      </c>
    </row>
    <row r="9" spans="1:10" ht="14.4" customHeight="1" thickBot="1" x14ac:dyDescent="0.35">
      <c r="A9" s="2" t="s">
        <v>58</v>
      </c>
      <c r="B9" s="3">
        <v>2791.4652900000006</v>
      </c>
      <c r="C9" s="35">
        <v>2911.2156100000002</v>
      </c>
      <c r="D9" s="8"/>
      <c r="E9" s="3">
        <v>3262.1970600000004</v>
      </c>
      <c r="F9" s="34">
        <v>2905.2572512664797</v>
      </c>
      <c r="G9" s="34">
        <f>E9-F9</f>
        <v>356.93980873352075</v>
      </c>
      <c r="H9" s="91">
        <f>IF(F9&lt;0.00000001,"",E9/F9)</f>
        <v>1.1228599665581838</v>
      </c>
    </row>
    <row r="10" spans="1:10" ht="14.4" customHeight="1" thickBot="1" x14ac:dyDescent="0.35">
      <c r="A10" s="12"/>
      <c r="B10" s="12"/>
      <c r="C10" s="74"/>
      <c r="D10" s="8"/>
      <c r="E10" s="12"/>
      <c r="F10" s="13"/>
    </row>
    <row r="11" spans="1:10" ht="14.4" customHeight="1" x14ac:dyDescent="0.3">
      <c r="A11" s="98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3">
        <f>IF(ISERROR(VLOOKUP("Celkem:",#REF!,8,0)),0,VLOOKUP("Celkem:",#REF!,8,0)/1000)</f>
        <v>0</v>
      </c>
      <c r="F11" s="28">
        <f>C11</f>
        <v>0</v>
      </c>
      <c r="G11" s="82">
        <f>E11-F11</f>
        <v>0</v>
      </c>
      <c r="H11" s="88" t="str">
        <f>IF(F11&lt;0.00000001,"",E11/F11)</f>
        <v/>
      </c>
      <c r="I11" s="82">
        <f>E11-B11</f>
        <v>0</v>
      </c>
      <c r="J11" s="88" t="str">
        <f>IF(B11&lt;0.00000001,"",E11/B11)</f>
        <v/>
      </c>
    </row>
    <row r="12" spans="1:10" ht="14.4" customHeight="1" thickBot="1" x14ac:dyDescent="0.35">
      <c r="A12" s="9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C12</f>
        <v>0</v>
      </c>
      <c r="G12" s="87">
        <f>E12-F12</f>
        <v>0</v>
      </c>
      <c r="H12" s="90" t="str">
        <f>IF(F12&lt;0.00000001,"",E12/F12)</f>
        <v/>
      </c>
      <c r="I12" s="87">
        <f>E12-B12</f>
        <v>0</v>
      </c>
      <c r="J12" s="90" t="str">
        <f>IF(B12&lt;0.00000001,"",E12/B12)</f>
        <v/>
      </c>
    </row>
    <row r="13" spans="1:10" ht="14.4" customHeight="1" thickBot="1" x14ac:dyDescent="0.35">
      <c r="A13" s="4" t="s">
        <v>59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  <c r="I13" s="36">
        <f>SUM(I11:I12)</f>
        <v>0</v>
      </c>
      <c r="J13" s="92" t="str">
        <f>IF(B13&lt;0.00000001,"",E13/B13)</f>
        <v/>
      </c>
    </row>
    <row r="14" spans="1:10" ht="14.4" customHeight="1" thickBot="1" x14ac:dyDescent="0.35">
      <c r="A14" s="12"/>
      <c r="B14" s="12"/>
      <c r="C14" s="74"/>
      <c r="D14" s="8"/>
      <c r="E14" s="12"/>
      <c r="F14" s="13"/>
    </row>
    <row r="15" spans="1:10" ht="14.4" customHeight="1" thickBot="1" x14ac:dyDescent="0.35">
      <c r="A15" s="100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89</v>
      </c>
    </row>
    <row r="18" spans="1:8" ht="14.4" customHeight="1" x14ac:dyDescent="0.3">
      <c r="A18" s="173" t="s">
        <v>115</v>
      </c>
      <c r="B18" s="174"/>
      <c r="C18" s="174"/>
      <c r="D18" s="174"/>
      <c r="E18" s="174"/>
      <c r="F18" s="174"/>
      <c r="G18" s="174"/>
      <c r="H18" s="174"/>
    </row>
    <row r="19" spans="1:8" x14ac:dyDescent="0.3">
      <c r="A19" s="172" t="s">
        <v>114</v>
      </c>
      <c r="B19" s="174"/>
      <c r="C19" s="174"/>
      <c r="D19" s="174"/>
      <c r="E19" s="174"/>
      <c r="F19" s="174"/>
      <c r="G19" s="174"/>
      <c r="H19" s="174"/>
    </row>
    <row r="20" spans="1:8" ht="14.4" customHeight="1" x14ac:dyDescent="0.3">
      <c r="A20" s="80" t="s">
        <v>134</v>
      </c>
    </row>
    <row r="21" spans="1:8" ht="14.4" customHeight="1" x14ac:dyDescent="0.3">
      <c r="A21" s="80" t="s">
        <v>90</v>
      </c>
    </row>
    <row r="22" spans="1:8" ht="14.4" customHeight="1" x14ac:dyDescent="0.3">
      <c r="A22" s="81" t="s">
        <v>156</v>
      </c>
    </row>
    <row r="23" spans="1:8" ht="14.4" customHeight="1" x14ac:dyDescent="0.3">
      <c r="A23" s="81" t="s">
        <v>91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2" priority="8" operator="greaterThan">
      <formula>0</formula>
    </cfRule>
  </conditionalFormatting>
  <conditionalFormatting sqref="G11:G13 G15">
    <cfRule type="cellIs" dxfId="41" priority="7" operator="lessThan">
      <formula>0</formula>
    </cfRule>
  </conditionalFormatting>
  <conditionalFormatting sqref="H5:H9">
    <cfRule type="cellIs" dxfId="40" priority="6" operator="greaterThan">
      <formula>1</formula>
    </cfRule>
  </conditionalFormatting>
  <conditionalFormatting sqref="H11:H13 H15">
    <cfRule type="cellIs" dxfId="39" priority="5" operator="lessThan">
      <formula>1</formula>
    </cfRule>
  </conditionalFormatting>
  <conditionalFormatting sqref="I11:I13">
    <cfRule type="cellIs" dxfId="38" priority="4" operator="lessThan">
      <formula>0</formula>
    </cfRule>
  </conditionalFormatting>
  <conditionalFormatting sqref="J11:J13">
    <cfRule type="cellIs" dxfId="37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5" bestFit="1" customWidth="1"/>
    <col min="2" max="2" width="12.77734375" style="95" bestFit="1" customWidth="1"/>
    <col min="3" max="3" width="13.6640625" style="95" bestFit="1" customWidth="1"/>
    <col min="4" max="15" width="7.77734375" style="95" bestFit="1" customWidth="1"/>
    <col min="16" max="16" width="8.88671875" style="95" customWidth="1"/>
    <col min="17" max="17" width="6.6640625" style="95" bestFit="1" customWidth="1"/>
    <col min="18" max="16384" width="8.88671875" style="95"/>
  </cols>
  <sheetData>
    <row r="1" spans="1:17" s="158" customFormat="1" ht="18.600000000000001" customHeight="1" thickBot="1" x14ac:dyDescent="0.4">
      <c r="A1" s="269" t="s">
        <v>194</v>
      </c>
      <c r="B1" s="269"/>
      <c r="C1" s="269"/>
      <c r="D1" s="269"/>
      <c r="E1" s="269"/>
      <c r="F1" s="269"/>
      <c r="G1" s="269"/>
      <c r="H1" s="257"/>
      <c r="I1" s="257"/>
      <c r="J1" s="257"/>
      <c r="K1" s="257"/>
      <c r="L1" s="257"/>
      <c r="M1" s="257"/>
      <c r="N1" s="257"/>
      <c r="O1" s="257"/>
      <c r="P1" s="257"/>
      <c r="Q1" s="257"/>
    </row>
    <row r="2" spans="1:17" s="158" customFormat="1" ht="14.4" customHeight="1" thickBot="1" x14ac:dyDescent="0.3">
      <c r="A2" s="170" t="s">
        <v>192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7" ht="14.4" customHeight="1" x14ac:dyDescent="0.3">
      <c r="A3" s="58"/>
      <c r="B3" s="270" t="s">
        <v>13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103"/>
      <c r="Q3" s="105"/>
    </row>
    <row r="4" spans="1:17" ht="14.4" customHeight="1" x14ac:dyDescent="0.3">
      <c r="A4" s="59"/>
      <c r="B4" s="20">
        <v>2017</v>
      </c>
      <c r="C4" s="104" t="s">
        <v>14</v>
      </c>
      <c r="D4" s="197" t="s">
        <v>135</v>
      </c>
      <c r="E4" s="197" t="s">
        <v>136</v>
      </c>
      <c r="F4" s="197" t="s">
        <v>137</v>
      </c>
      <c r="G4" s="197" t="s">
        <v>138</v>
      </c>
      <c r="H4" s="197" t="s">
        <v>139</v>
      </c>
      <c r="I4" s="197" t="s">
        <v>140</v>
      </c>
      <c r="J4" s="197" t="s">
        <v>141</v>
      </c>
      <c r="K4" s="197" t="s">
        <v>142</v>
      </c>
      <c r="L4" s="197" t="s">
        <v>143</v>
      </c>
      <c r="M4" s="197" t="s">
        <v>144</v>
      </c>
      <c r="N4" s="197" t="s">
        <v>145</v>
      </c>
      <c r="O4" s="197" t="s">
        <v>146</v>
      </c>
      <c r="P4" s="272" t="s">
        <v>2</v>
      </c>
      <c r="Q4" s="273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193</v>
      </c>
    </row>
    <row r="7" spans="1:17" ht="14.4" customHeight="1" x14ac:dyDescent="0.3">
      <c r="A7" s="15" t="s">
        <v>19</v>
      </c>
      <c r="B7" s="46">
        <v>5</v>
      </c>
      <c r="C7" s="47">
        <v>0.416666666666</v>
      </c>
      <c r="D7" s="47">
        <v>0.41959999999999997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0.31579000000000002</v>
      </c>
      <c r="L7" s="47">
        <v>0</v>
      </c>
      <c r="M7" s="47">
        <v>0</v>
      </c>
      <c r="N7" s="47">
        <v>0</v>
      </c>
      <c r="O7" s="47">
        <v>0</v>
      </c>
      <c r="P7" s="48">
        <v>0.73538999999999999</v>
      </c>
      <c r="Q7" s="68">
        <v>0.1764936</v>
      </c>
    </row>
    <row r="8" spans="1:17" ht="14.4" customHeight="1" x14ac:dyDescent="0.3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193</v>
      </c>
    </row>
    <row r="9" spans="1:17" ht="14.4" customHeight="1" x14ac:dyDescent="0.3">
      <c r="A9" s="15" t="s">
        <v>21</v>
      </c>
      <c r="B9" s="46">
        <v>64</v>
      </c>
      <c r="C9" s="47">
        <v>5.333333333333</v>
      </c>
      <c r="D9" s="47">
        <v>9.3679900000000007</v>
      </c>
      <c r="E9" s="47">
        <v>1.4279999999999999</v>
      </c>
      <c r="F9" s="47">
        <v>13.380990000000001</v>
      </c>
      <c r="G9" s="47">
        <v>2.8639999999999999</v>
      </c>
      <c r="H9" s="47">
        <v>3.1110000000000002</v>
      </c>
      <c r="I9" s="47">
        <v>4.9139999999999997</v>
      </c>
      <c r="J9" s="47">
        <v>3.1749999999999998</v>
      </c>
      <c r="K9" s="47">
        <v>5.2502500000000003</v>
      </c>
      <c r="L9" s="47">
        <v>4.9790000000000001</v>
      </c>
      <c r="M9" s="47">
        <v>3.1629999999999998</v>
      </c>
      <c r="N9" s="47">
        <v>0</v>
      </c>
      <c r="O9" s="47">
        <v>0</v>
      </c>
      <c r="P9" s="48">
        <v>51.633229999999998</v>
      </c>
      <c r="Q9" s="68">
        <v>0.96812306250000002</v>
      </c>
    </row>
    <row r="10" spans="1:17" ht="14.4" customHeight="1" x14ac:dyDescent="0.3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193</v>
      </c>
    </row>
    <row r="11" spans="1:17" ht="14.4" customHeight="1" x14ac:dyDescent="0.3">
      <c r="A11" s="15" t="s">
        <v>23</v>
      </c>
      <c r="B11" s="46">
        <v>196.08063025581299</v>
      </c>
      <c r="C11" s="47">
        <v>16.340052521316998</v>
      </c>
      <c r="D11" s="47">
        <v>31.756910000000001</v>
      </c>
      <c r="E11" s="47">
        <v>5.2434500000000002</v>
      </c>
      <c r="F11" s="47">
        <v>9.4149600000000007</v>
      </c>
      <c r="G11" s="47">
        <v>19.804449999999999</v>
      </c>
      <c r="H11" s="47">
        <v>21.524840000000001</v>
      </c>
      <c r="I11" s="47">
        <v>14.799899999999999</v>
      </c>
      <c r="J11" s="47">
        <v>13.588139999999999</v>
      </c>
      <c r="K11" s="47">
        <v>40.060169999999999</v>
      </c>
      <c r="L11" s="47">
        <v>5.1798099999999998</v>
      </c>
      <c r="M11" s="47">
        <v>17.646750000000001</v>
      </c>
      <c r="N11" s="47">
        <v>0</v>
      </c>
      <c r="O11" s="47">
        <v>0</v>
      </c>
      <c r="P11" s="48">
        <v>179.01938000000001</v>
      </c>
      <c r="Q11" s="68">
        <v>1.095586319361</v>
      </c>
    </row>
    <row r="12" spans="1:17" ht="14.4" customHeight="1" x14ac:dyDescent="0.3">
      <c r="A12" s="15" t="s">
        <v>24</v>
      </c>
      <c r="B12" s="46">
        <v>0.28258659069399999</v>
      </c>
      <c r="C12" s="47">
        <v>2.3548882556999998E-2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0.1646</v>
      </c>
      <c r="M12" s="47">
        <v>0</v>
      </c>
      <c r="N12" s="47">
        <v>0</v>
      </c>
      <c r="O12" s="47">
        <v>0</v>
      </c>
      <c r="P12" s="48">
        <v>0.1646</v>
      </c>
      <c r="Q12" s="68">
        <v>0.69897159491700001</v>
      </c>
    </row>
    <row r="13" spans="1:17" ht="14.4" customHeight="1" x14ac:dyDescent="0.3">
      <c r="A13" s="15" t="s">
        <v>25</v>
      </c>
      <c r="B13" s="46">
        <v>0</v>
      </c>
      <c r="C13" s="47">
        <v>0</v>
      </c>
      <c r="D13" s="47">
        <v>0</v>
      </c>
      <c r="E13" s="47">
        <v>0</v>
      </c>
      <c r="F13" s="47">
        <v>0.26378000000000001</v>
      </c>
      <c r="G13" s="47">
        <v>0</v>
      </c>
      <c r="H13" s="47">
        <v>0</v>
      </c>
      <c r="I13" s="47">
        <v>0.31218000000000001</v>
      </c>
      <c r="J13" s="47">
        <v>1.0708500000000001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1.6468100000000001</v>
      </c>
      <c r="Q13" s="68" t="s">
        <v>193</v>
      </c>
    </row>
    <row r="14" spans="1:17" ht="14.4" customHeight="1" x14ac:dyDescent="0.3">
      <c r="A14" s="15" t="s">
        <v>26</v>
      </c>
      <c r="B14" s="46">
        <v>66.868659554657995</v>
      </c>
      <c r="C14" s="47">
        <v>5.5723882962209998</v>
      </c>
      <c r="D14" s="47">
        <v>4.1040000000000001</v>
      </c>
      <c r="E14" s="47">
        <v>3.726</v>
      </c>
      <c r="F14" s="47">
        <v>3.84</v>
      </c>
      <c r="G14" s="47">
        <v>3.5459999999999998</v>
      </c>
      <c r="H14" s="47">
        <v>4.0620000000000003</v>
      </c>
      <c r="I14" s="47">
        <v>4.13</v>
      </c>
      <c r="J14" s="47">
        <v>3.722</v>
      </c>
      <c r="K14" s="47">
        <v>4.2649999999999997</v>
      </c>
      <c r="L14" s="47">
        <v>3.7240000000000002</v>
      </c>
      <c r="M14" s="47">
        <v>3.9620000000000002</v>
      </c>
      <c r="N14" s="47">
        <v>0</v>
      </c>
      <c r="O14" s="47">
        <v>0</v>
      </c>
      <c r="P14" s="48">
        <v>39.081000000000003</v>
      </c>
      <c r="Q14" s="68">
        <v>0.70133303572000005</v>
      </c>
    </row>
    <row r="15" spans="1:17" ht="14.4" customHeight="1" x14ac:dyDescent="0.3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193</v>
      </c>
    </row>
    <row r="16" spans="1:17" ht="14.4" customHeight="1" x14ac:dyDescent="0.3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193</v>
      </c>
    </row>
    <row r="17" spans="1:17" ht="14.4" customHeight="1" x14ac:dyDescent="0.3">
      <c r="A17" s="15" t="s">
        <v>29</v>
      </c>
      <c r="B17" s="46">
        <v>2.517552208528</v>
      </c>
      <c r="C17" s="47">
        <v>0.20979601737699999</v>
      </c>
      <c r="D17" s="47">
        <v>0</v>
      </c>
      <c r="E17" s="47">
        <v>0</v>
      </c>
      <c r="F17" s="47">
        <v>0</v>
      </c>
      <c r="G17" s="47">
        <v>0</v>
      </c>
      <c r="H17" s="47">
        <v>1.2584</v>
      </c>
      <c r="I17" s="47">
        <v>0.68244000000000005</v>
      </c>
      <c r="J17" s="47">
        <v>2.6619999999999999</v>
      </c>
      <c r="K17" s="47">
        <v>39.291119999999999</v>
      </c>
      <c r="L17" s="47">
        <v>0</v>
      </c>
      <c r="M17" s="47">
        <v>0</v>
      </c>
      <c r="N17" s="47">
        <v>0</v>
      </c>
      <c r="O17" s="47">
        <v>0</v>
      </c>
      <c r="P17" s="48">
        <v>43.89396</v>
      </c>
      <c r="Q17" s="68">
        <v>20.922208414015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0.14399999999999999</v>
      </c>
      <c r="E18" s="47">
        <v>3.18</v>
      </c>
      <c r="F18" s="47">
        <v>10.766</v>
      </c>
      <c r="G18" s="47">
        <v>-5.63</v>
      </c>
      <c r="H18" s="47">
        <v>3.5539999999999998</v>
      </c>
      <c r="I18" s="47">
        <v>2.9279999999999999</v>
      </c>
      <c r="J18" s="47">
        <v>0.51800000000000002</v>
      </c>
      <c r="K18" s="47">
        <v>0.35099999999999998</v>
      </c>
      <c r="L18" s="47">
        <v>1.4239999999999999</v>
      </c>
      <c r="M18" s="47">
        <v>0.33500000000000002</v>
      </c>
      <c r="N18" s="47">
        <v>0</v>
      </c>
      <c r="O18" s="47">
        <v>0</v>
      </c>
      <c r="P18" s="48">
        <v>17.57</v>
      </c>
      <c r="Q18" s="68" t="s">
        <v>193</v>
      </c>
    </row>
    <row r="19" spans="1:17" ht="14.4" customHeight="1" x14ac:dyDescent="0.3">
      <c r="A19" s="15" t="s">
        <v>31</v>
      </c>
      <c r="B19" s="46">
        <v>122.55917399851501</v>
      </c>
      <c r="C19" s="47">
        <v>10.213264499876001</v>
      </c>
      <c r="D19" s="47">
        <v>4.7518200000000004</v>
      </c>
      <c r="E19" s="47">
        <v>7.2326600000000001</v>
      </c>
      <c r="F19" s="47">
        <v>34.160260000000001</v>
      </c>
      <c r="G19" s="47">
        <v>9.1048200000000001</v>
      </c>
      <c r="H19" s="47">
        <v>10.49995</v>
      </c>
      <c r="I19" s="47">
        <v>11.908759999999999</v>
      </c>
      <c r="J19" s="47">
        <v>3.4510900000000002</v>
      </c>
      <c r="K19" s="47">
        <v>3.3175699999999999</v>
      </c>
      <c r="L19" s="47">
        <v>4.2329100000000004</v>
      </c>
      <c r="M19" s="47">
        <v>3.2820800000000001</v>
      </c>
      <c r="N19" s="47">
        <v>0</v>
      </c>
      <c r="O19" s="47">
        <v>0</v>
      </c>
      <c r="P19" s="48">
        <v>91.941919999999996</v>
      </c>
      <c r="Q19" s="68">
        <v>0.90022068850799997</v>
      </c>
    </row>
    <row r="20" spans="1:17" ht="14.4" customHeight="1" x14ac:dyDescent="0.3">
      <c r="A20" s="15" t="s">
        <v>32</v>
      </c>
      <c r="B20" s="46">
        <v>2957</v>
      </c>
      <c r="C20" s="47">
        <v>246.416666666667</v>
      </c>
      <c r="D20" s="47">
        <v>252.43528000000001</v>
      </c>
      <c r="E20" s="47">
        <v>252.80431999999999</v>
      </c>
      <c r="F20" s="47">
        <v>268.20652000000001</v>
      </c>
      <c r="G20" s="47">
        <v>252.33235999999999</v>
      </c>
      <c r="H20" s="47">
        <v>255.46589</v>
      </c>
      <c r="I20" s="47">
        <v>260.23962</v>
      </c>
      <c r="J20" s="47">
        <v>376.82681000000002</v>
      </c>
      <c r="K20" s="47">
        <v>260.72244000000097</v>
      </c>
      <c r="L20" s="47">
        <v>326.12258000000003</v>
      </c>
      <c r="M20" s="47">
        <v>252.53595000000001</v>
      </c>
      <c r="N20" s="47">
        <v>0</v>
      </c>
      <c r="O20" s="47">
        <v>0</v>
      </c>
      <c r="P20" s="48">
        <v>2757.6917699999999</v>
      </c>
      <c r="Q20" s="68">
        <v>1.1191173905980001</v>
      </c>
    </row>
    <row r="21" spans="1:17" ht="14.4" customHeight="1" x14ac:dyDescent="0.3">
      <c r="A21" s="16" t="s">
        <v>33</v>
      </c>
      <c r="B21" s="46">
        <v>72</v>
      </c>
      <c r="C21" s="47">
        <v>6</v>
      </c>
      <c r="D21" s="47">
        <v>5.9379999999999997</v>
      </c>
      <c r="E21" s="47">
        <v>5.9379999999999997</v>
      </c>
      <c r="F21" s="47">
        <v>5.9379999999999997</v>
      </c>
      <c r="G21" s="47">
        <v>5.9379999999999997</v>
      </c>
      <c r="H21" s="47">
        <v>5.9379999999999997</v>
      </c>
      <c r="I21" s="47">
        <v>5.9370000000000003</v>
      </c>
      <c r="J21" s="47">
        <v>6.0229999999999997</v>
      </c>
      <c r="K21" s="47">
        <v>6.0229999999999997</v>
      </c>
      <c r="L21" s="47">
        <v>6.0229999999999997</v>
      </c>
      <c r="M21" s="47">
        <v>6.0229999999999997</v>
      </c>
      <c r="N21" s="47">
        <v>0</v>
      </c>
      <c r="O21" s="47">
        <v>0</v>
      </c>
      <c r="P21" s="48">
        <v>59.719000000000001</v>
      </c>
      <c r="Q21" s="68">
        <v>0.99531666666600005</v>
      </c>
    </row>
    <row r="22" spans="1:17" ht="14.4" customHeight="1" x14ac:dyDescent="0.3">
      <c r="A22" s="15" t="s">
        <v>34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8" t="s">
        <v>193</v>
      </c>
    </row>
    <row r="23" spans="1:17" ht="14.4" customHeight="1" x14ac:dyDescent="0.3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193</v>
      </c>
    </row>
    <row r="24" spans="1:17" ht="14.4" customHeight="1" x14ac:dyDescent="0.3">
      <c r="A24" s="16" t="s">
        <v>36</v>
      </c>
      <c r="B24" s="46">
        <v>0</v>
      </c>
      <c r="C24" s="47">
        <v>0</v>
      </c>
      <c r="D24" s="47">
        <v>0</v>
      </c>
      <c r="E24" s="47">
        <v>3.94</v>
      </c>
      <c r="F24" s="47">
        <v>4.5599999999999996</v>
      </c>
      <c r="G24" s="47">
        <v>0</v>
      </c>
      <c r="H24" s="47">
        <v>5.6843418860808002E-14</v>
      </c>
      <c r="I24" s="47">
        <v>4.9999999999989999</v>
      </c>
      <c r="J24" s="47">
        <v>-5.6843418860808002E-14</v>
      </c>
      <c r="K24" s="47">
        <v>0</v>
      </c>
      <c r="L24" s="47">
        <v>4.3999999999990003</v>
      </c>
      <c r="M24" s="47">
        <v>1.1999999999990001</v>
      </c>
      <c r="N24" s="47">
        <v>0</v>
      </c>
      <c r="O24" s="47">
        <v>0</v>
      </c>
      <c r="P24" s="48">
        <v>19.099999999999</v>
      </c>
      <c r="Q24" s="68"/>
    </row>
    <row r="25" spans="1:17" ht="14.4" customHeight="1" x14ac:dyDescent="0.3">
      <c r="A25" s="17" t="s">
        <v>37</v>
      </c>
      <c r="B25" s="49">
        <v>3486.3086026082101</v>
      </c>
      <c r="C25" s="50">
        <v>290.52571688401702</v>
      </c>
      <c r="D25" s="50">
        <v>308.91759999999999</v>
      </c>
      <c r="E25" s="50">
        <v>283.49243000000001</v>
      </c>
      <c r="F25" s="50">
        <v>350.53051000000102</v>
      </c>
      <c r="G25" s="50">
        <v>287.95963</v>
      </c>
      <c r="H25" s="50">
        <v>305.41408000000001</v>
      </c>
      <c r="I25" s="50">
        <v>310.8519</v>
      </c>
      <c r="J25" s="50">
        <v>411.03689000000003</v>
      </c>
      <c r="K25" s="50">
        <v>359.59634000000102</v>
      </c>
      <c r="L25" s="50">
        <v>356.24990000000003</v>
      </c>
      <c r="M25" s="50">
        <v>288.14778000000001</v>
      </c>
      <c r="N25" s="50">
        <v>0</v>
      </c>
      <c r="O25" s="50">
        <v>0</v>
      </c>
      <c r="P25" s="51">
        <v>3262.19706</v>
      </c>
      <c r="Q25" s="69">
        <v>1.1228599984150001</v>
      </c>
    </row>
    <row r="26" spans="1:17" ht="14.4" customHeight="1" x14ac:dyDescent="0.3">
      <c r="A26" s="15" t="s">
        <v>38</v>
      </c>
      <c r="B26" s="46">
        <v>442.79417767830699</v>
      </c>
      <c r="C26" s="47">
        <v>36.899514806524998</v>
      </c>
      <c r="D26" s="47">
        <v>37.882550000000002</v>
      </c>
      <c r="E26" s="47">
        <v>29.726120000000002</v>
      </c>
      <c r="F26" s="47">
        <v>42.121760000000002</v>
      </c>
      <c r="G26" s="47">
        <v>34.057929999999999</v>
      </c>
      <c r="H26" s="47">
        <v>39.053240000000002</v>
      </c>
      <c r="I26" s="47">
        <v>39.704320000000003</v>
      </c>
      <c r="J26" s="47">
        <v>47.188780000000001</v>
      </c>
      <c r="K26" s="47">
        <v>53.748040000000003</v>
      </c>
      <c r="L26" s="47">
        <v>38.801580000000001</v>
      </c>
      <c r="M26" s="47">
        <v>48.445979999999999</v>
      </c>
      <c r="N26" s="47">
        <v>0</v>
      </c>
      <c r="O26" s="47">
        <v>0</v>
      </c>
      <c r="P26" s="48">
        <v>410.7303</v>
      </c>
      <c r="Q26" s="68">
        <v>1.1131048799779999</v>
      </c>
    </row>
    <row r="27" spans="1:17" ht="14.4" customHeight="1" x14ac:dyDescent="0.3">
      <c r="A27" s="18" t="s">
        <v>39</v>
      </c>
      <c r="B27" s="49">
        <v>3929.1027802865201</v>
      </c>
      <c r="C27" s="50">
        <v>327.425231690543</v>
      </c>
      <c r="D27" s="50">
        <v>346.80014999999997</v>
      </c>
      <c r="E27" s="50">
        <v>313.21854999999999</v>
      </c>
      <c r="F27" s="50">
        <v>392.65227000000101</v>
      </c>
      <c r="G27" s="50">
        <v>322.01756</v>
      </c>
      <c r="H27" s="50">
        <v>344.46731999999997</v>
      </c>
      <c r="I27" s="50">
        <v>350.55622</v>
      </c>
      <c r="J27" s="50">
        <v>458.22566999999998</v>
      </c>
      <c r="K27" s="50">
        <v>413.34438000000102</v>
      </c>
      <c r="L27" s="50">
        <v>395.05148000000003</v>
      </c>
      <c r="M27" s="50">
        <v>336.59375999999997</v>
      </c>
      <c r="N27" s="50">
        <v>0</v>
      </c>
      <c r="O27" s="50">
        <v>0</v>
      </c>
      <c r="P27" s="51">
        <v>3672.9273600000001</v>
      </c>
      <c r="Q27" s="69">
        <v>1.1217606355609999</v>
      </c>
    </row>
    <row r="28" spans="1:17" ht="14.4" customHeight="1" x14ac:dyDescent="0.3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0</v>
      </c>
    </row>
    <row r="29" spans="1:17" ht="14.4" customHeight="1" x14ac:dyDescent="0.3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193</v>
      </c>
    </row>
    <row r="30" spans="1:17" ht="14.4" customHeight="1" x14ac:dyDescent="0.3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0</v>
      </c>
    </row>
    <row r="31" spans="1:17" ht="14.4" customHeight="1" thickBot="1" x14ac:dyDescent="0.3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193</v>
      </c>
    </row>
    <row r="32" spans="1:17" ht="14.4" customHeight="1" x14ac:dyDescent="0.3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17" ht="14.4" customHeight="1" x14ac:dyDescent="0.3">
      <c r="A33" s="79" t="s">
        <v>89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17" ht="14.4" customHeight="1" x14ac:dyDescent="0.3">
      <c r="A34" s="101" t="s">
        <v>147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ht="14.4" customHeight="1" x14ac:dyDescent="0.3">
      <c r="A35" s="102" t="s">
        <v>44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3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5" customWidth="1"/>
    <col min="2" max="11" width="10" style="95" customWidth="1"/>
    <col min="12" max="16384" width="8.88671875" style="95"/>
  </cols>
  <sheetData>
    <row r="1" spans="1:11" s="55" customFormat="1" ht="18.600000000000001" customHeight="1" thickBot="1" x14ac:dyDescent="0.4">
      <c r="A1" s="269" t="s">
        <v>45</v>
      </c>
      <c r="B1" s="269"/>
      <c r="C1" s="269"/>
      <c r="D1" s="269"/>
      <c r="E1" s="269"/>
      <c r="F1" s="269"/>
      <c r="G1" s="269"/>
      <c r="H1" s="274"/>
      <c r="I1" s="274"/>
      <c r="J1" s="274"/>
      <c r="K1" s="274"/>
    </row>
    <row r="2" spans="1:11" s="55" customFormat="1" ht="14.4" customHeight="1" thickBot="1" x14ac:dyDescent="0.35">
      <c r="A2" s="170" t="s">
        <v>192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70" t="s">
        <v>46</v>
      </c>
      <c r="C3" s="271"/>
      <c r="D3" s="271"/>
      <c r="E3" s="271"/>
      <c r="F3" s="277" t="s">
        <v>47</v>
      </c>
      <c r="G3" s="271"/>
      <c r="H3" s="271"/>
      <c r="I3" s="271"/>
      <c r="J3" s="271"/>
      <c r="K3" s="278"/>
    </row>
    <row r="4" spans="1:11" ht="14.4" customHeight="1" x14ac:dyDescent="0.3">
      <c r="A4" s="59"/>
      <c r="B4" s="275"/>
      <c r="C4" s="276"/>
      <c r="D4" s="276"/>
      <c r="E4" s="276"/>
      <c r="F4" s="279" t="s">
        <v>148</v>
      </c>
      <c r="G4" s="281" t="s">
        <v>48</v>
      </c>
      <c r="H4" s="106" t="s">
        <v>79</v>
      </c>
      <c r="I4" s="279" t="s">
        <v>49</v>
      </c>
      <c r="J4" s="281" t="s">
        <v>155</v>
      </c>
      <c r="K4" s="282" t="s">
        <v>149</v>
      </c>
    </row>
    <row r="5" spans="1:11" ht="42" thickBot="1" x14ac:dyDescent="0.35">
      <c r="A5" s="60"/>
      <c r="B5" s="24" t="s">
        <v>151</v>
      </c>
      <c r="C5" s="25" t="s">
        <v>152</v>
      </c>
      <c r="D5" s="26" t="s">
        <v>153</v>
      </c>
      <c r="E5" s="26" t="s">
        <v>154</v>
      </c>
      <c r="F5" s="280"/>
      <c r="G5" s="280"/>
      <c r="H5" s="25" t="s">
        <v>150</v>
      </c>
      <c r="I5" s="280"/>
      <c r="J5" s="280"/>
      <c r="K5" s="283"/>
    </row>
    <row r="6" spans="1:11" ht="14.4" customHeight="1" thickBot="1" x14ac:dyDescent="0.35">
      <c r="A6" s="359" t="s">
        <v>195</v>
      </c>
      <c r="B6" s="341">
        <v>3502.1181136721002</v>
      </c>
      <c r="C6" s="341">
        <v>3642.5749700000001</v>
      </c>
      <c r="D6" s="342">
        <v>140.456856327899</v>
      </c>
      <c r="E6" s="343">
        <v>1.0401062590600001</v>
      </c>
      <c r="F6" s="341">
        <v>3486.3086026082101</v>
      </c>
      <c r="G6" s="342">
        <v>2905.2571688401699</v>
      </c>
      <c r="H6" s="344">
        <v>288.14778000000001</v>
      </c>
      <c r="I6" s="341">
        <v>3262.19706</v>
      </c>
      <c r="J6" s="342">
        <v>356.939891159826</v>
      </c>
      <c r="K6" s="345">
        <v>0.93571666534599995</v>
      </c>
    </row>
    <row r="7" spans="1:11" ht="14.4" customHeight="1" thickBot="1" x14ac:dyDescent="0.35">
      <c r="A7" s="360" t="s">
        <v>196</v>
      </c>
      <c r="B7" s="341">
        <v>364.95377963261501</v>
      </c>
      <c r="C7" s="341">
        <v>303.10581999999999</v>
      </c>
      <c r="D7" s="342">
        <v>-61.847959632614</v>
      </c>
      <c r="E7" s="343">
        <v>0.83053207533600004</v>
      </c>
      <c r="F7" s="341">
        <v>332.23187640116601</v>
      </c>
      <c r="G7" s="342">
        <v>276.85989700097201</v>
      </c>
      <c r="H7" s="344">
        <v>24.771750000000001</v>
      </c>
      <c r="I7" s="341">
        <v>272.28041000000002</v>
      </c>
      <c r="J7" s="342">
        <v>-4.5794870009709996</v>
      </c>
      <c r="K7" s="345">
        <v>0.81954932485499998</v>
      </c>
    </row>
    <row r="8" spans="1:11" ht="14.4" customHeight="1" thickBot="1" x14ac:dyDescent="0.35">
      <c r="A8" s="361" t="s">
        <v>197</v>
      </c>
      <c r="B8" s="341">
        <v>269.07206975175899</v>
      </c>
      <c r="C8" s="341">
        <v>237.94882000000001</v>
      </c>
      <c r="D8" s="342">
        <v>-31.123249751759001</v>
      </c>
      <c r="E8" s="343">
        <v>0.88433117647399995</v>
      </c>
      <c r="F8" s="341">
        <v>265.36321684650801</v>
      </c>
      <c r="G8" s="342">
        <v>221.136014038757</v>
      </c>
      <c r="H8" s="344">
        <v>20.809750000000001</v>
      </c>
      <c r="I8" s="341">
        <v>233.19941</v>
      </c>
      <c r="J8" s="342">
        <v>12.063395961243</v>
      </c>
      <c r="K8" s="345">
        <v>0.87879327350299996</v>
      </c>
    </row>
    <row r="9" spans="1:11" ht="14.4" customHeight="1" thickBot="1" x14ac:dyDescent="0.35">
      <c r="A9" s="362" t="s">
        <v>198</v>
      </c>
      <c r="B9" s="346">
        <v>4.9999990731189996</v>
      </c>
      <c r="C9" s="346">
        <v>0.45740999999999998</v>
      </c>
      <c r="D9" s="347">
        <v>-4.5425890731190002</v>
      </c>
      <c r="E9" s="348">
        <v>9.1482016957999998E-2</v>
      </c>
      <c r="F9" s="346">
        <v>5</v>
      </c>
      <c r="G9" s="347">
        <v>4.1666666666659999</v>
      </c>
      <c r="H9" s="349">
        <v>0</v>
      </c>
      <c r="I9" s="346">
        <v>0.73538999999999999</v>
      </c>
      <c r="J9" s="347">
        <v>-3.4312766666660002</v>
      </c>
      <c r="K9" s="350">
        <v>0.14707799999999999</v>
      </c>
    </row>
    <row r="10" spans="1:11" ht="14.4" customHeight="1" thickBot="1" x14ac:dyDescent="0.35">
      <c r="A10" s="363" t="s">
        <v>199</v>
      </c>
      <c r="B10" s="341">
        <v>4.9999990731189996</v>
      </c>
      <c r="C10" s="341">
        <v>0.45740999999999998</v>
      </c>
      <c r="D10" s="342">
        <v>-4.5425890731190002</v>
      </c>
      <c r="E10" s="343">
        <v>9.1482016957999998E-2</v>
      </c>
      <c r="F10" s="341">
        <v>5</v>
      </c>
      <c r="G10" s="342">
        <v>4.1666666666659999</v>
      </c>
      <c r="H10" s="344">
        <v>0</v>
      </c>
      <c r="I10" s="341">
        <v>0.73538999999999999</v>
      </c>
      <c r="J10" s="342">
        <v>-3.4312766666660002</v>
      </c>
      <c r="K10" s="345">
        <v>0.14707799999999999</v>
      </c>
    </row>
    <row r="11" spans="1:11" ht="14.4" customHeight="1" thickBot="1" x14ac:dyDescent="0.35">
      <c r="A11" s="362" t="s">
        <v>200</v>
      </c>
      <c r="B11" s="346">
        <v>67.142006061545004</v>
      </c>
      <c r="C11" s="346">
        <v>61.033059999999999</v>
      </c>
      <c r="D11" s="347">
        <v>-6.1089460615449998</v>
      </c>
      <c r="E11" s="348">
        <v>0.90901454365300005</v>
      </c>
      <c r="F11" s="346">
        <v>64</v>
      </c>
      <c r="G11" s="347">
        <v>53.333333333333002</v>
      </c>
      <c r="H11" s="349">
        <v>3.1629999999999998</v>
      </c>
      <c r="I11" s="346">
        <v>51.633229999999998</v>
      </c>
      <c r="J11" s="347">
        <v>-1.700103333333</v>
      </c>
      <c r="K11" s="350">
        <v>0.80676921874999996</v>
      </c>
    </row>
    <row r="12" spans="1:11" ht="14.4" customHeight="1" thickBot="1" x14ac:dyDescent="0.35">
      <c r="A12" s="363" t="s">
        <v>201</v>
      </c>
      <c r="B12" s="341">
        <v>63.000005687607</v>
      </c>
      <c r="C12" s="341">
        <v>58.613059999999997</v>
      </c>
      <c r="D12" s="342">
        <v>-4.3869456876069997</v>
      </c>
      <c r="E12" s="343">
        <v>0.93036594775299997</v>
      </c>
      <c r="F12" s="341">
        <v>60</v>
      </c>
      <c r="G12" s="342">
        <v>50</v>
      </c>
      <c r="H12" s="344">
        <v>3.1629999999999998</v>
      </c>
      <c r="I12" s="341">
        <v>48.93723</v>
      </c>
      <c r="J12" s="342">
        <v>-1.0627699999989999</v>
      </c>
      <c r="K12" s="345">
        <v>0.81562049999999997</v>
      </c>
    </row>
    <row r="13" spans="1:11" ht="14.4" customHeight="1" thickBot="1" x14ac:dyDescent="0.35">
      <c r="A13" s="363" t="s">
        <v>202</v>
      </c>
      <c r="B13" s="341">
        <v>4.0000003611170003</v>
      </c>
      <c r="C13" s="341">
        <v>2.42</v>
      </c>
      <c r="D13" s="342">
        <v>-1.5800003611169999</v>
      </c>
      <c r="E13" s="343">
        <v>0.60499994538000001</v>
      </c>
      <c r="F13" s="341">
        <v>4</v>
      </c>
      <c r="G13" s="342">
        <v>3.333333333333</v>
      </c>
      <c r="H13" s="344">
        <v>0</v>
      </c>
      <c r="I13" s="341">
        <v>2.42</v>
      </c>
      <c r="J13" s="342">
        <v>-0.91333333333300004</v>
      </c>
      <c r="K13" s="345">
        <v>0.60499999999999998</v>
      </c>
    </row>
    <row r="14" spans="1:11" ht="14.4" customHeight="1" thickBot="1" x14ac:dyDescent="0.35">
      <c r="A14" s="363" t="s">
        <v>203</v>
      </c>
      <c r="B14" s="341">
        <v>0.14200001281899999</v>
      </c>
      <c r="C14" s="341">
        <v>0</v>
      </c>
      <c r="D14" s="342">
        <v>-0.14200001281899999</v>
      </c>
      <c r="E14" s="343">
        <v>0</v>
      </c>
      <c r="F14" s="341">
        <v>0</v>
      </c>
      <c r="G14" s="342">
        <v>0</v>
      </c>
      <c r="H14" s="344">
        <v>0</v>
      </c>
      <c r="I14" s="341">
        <v>0.27600000000000002</v>
      </c>
      <c r="J14" s="342">
        <v>0.27600000000000002</v>
      </c>
      <c r="K14" s="351" t="s">
        <v>204</v>
      </c>
    </row>
    <row r="15" spans="1:11" ht="14.4" customHeight="1" thickBot="1" x14ac:dyDescent="0.35">
      <c r="A15" s="362" t="s">
        <v>205</v>
      </c>
      <c r="B15" s="346">
        <v>196.43142752793401</v>
      </c>
      <c r="C15" s="346">
        <v>175.56406999999999</v>
      </c>
      <c r="D15" s="347">
        <v>-20.867357527932999</v>
      </c>
      <c r="E15" s="348">
        <v>0.89376772448999997</v>
      </c>
      <c r="F15" s="346">
        <v>196.08063025581299</v>
      </c>
      <c r="G15" s="347">
        <v>163.40052521317801</v>
      </c>
      <c r="H15" s="349">
        <v>17.646750000000001</v>
      </c>
      <c r="I15" s="346">
        <v>179.01938000000001</v>
      </c>
      <c r="J15" s="347">
        <v>15.618854786822</v>
      </c>
      <c r="K15" s="350">
        <v>0.91298859946699995</v>
      </c>
    </row>
    <row r="16" spans="1:11" ht="14.4" customHeight="1" thickBot="1" x14ac:dyDescent="0.35">
      <c r="A16" s="363" t="s">
        <v>206</v>
      </c>
      <c r="B16" s="341">
        <v>0</v>
      </c>
      <c r="C16" s="341">
        <v>0</v>
      </c>
      <c r="D16" s="342">
        <v>0</v>
      </c>
      <c r="E16" s="343">
        <v>1</v>
      </c>
      <c r="F16" s="341">
        <v>0</v>
      </c>
      <c r="G16" s="342">
        <v>0</v>
      </c>
      <c r="H16" s="344">
        <v>0</v>
      </c>
      <c r="I16" s="341">
        <v>3.0249999999999999</v>
      </c>
      <c r="J16" s="342">
        <v>3.0249999999999999</v>
      </c>
      <c r="K16" s="351" t="s">
        <v>204</v>
      </c>
    </row>
    <row r="17" spans="1:11" ht="14.4" customHeight="1" thickBot="1" x14ac:dyDescent="0.35">
      <c r="A17" s="363" t="s">
        <v>207</v>
      </c>
      <c r="B17" s="341">
        <v>0</v>
      </c>
      <c r="C17" s="341">
        <v>1.6930000000000001E-2</v>
      </c>
      <c r="D17" s="342">
        <v>1.6930000000000001E-2</v>
      </c>
      <c r="E17" s="352" t="s">
        <v>204</v>
      </c>
      <c r="F17" s="341">
        <v>0</v>
      </c>
      <c r="G17" s="342">
        <v>0</v>
      </c>
      <c r="H17" s="344">
        <v>0</v>
      </c>
      <c r="I17" s="341">
        <v>3.9574699999999998</v>
      </c>
      <c r="J17" s="342">
        <v>3.9574699999999998</v>
      </c>
      <c r="K17" s="351" t="s">
        <v>193</v>
      </c>
    </row>
    <row r="18" spans="1:11" ht="14.4" customHeight="1" thickBot="1" x14ac:dyDescent="0.35">
      <c r="A18" s="363" t="s">
        <v>208</v>
      </c>
      <c r="B18" s="341">
        <v>1.2216282037790001</v>
      </c>
      <c r="C18" s="341">
        <v>5.0527499999999996</v>
      </c>
      <c r="D18" s="342">
        <v>3.8311217962200002</v>
      </c>
      <c r="E18" s="343">
        <v>4.1360783783189996</v>
      </c>
      <c r="F18" s="341">
        <v>6.0605417942940001</v>
      </c>
      <c r="G18" s="342">
        <v>5.0504514952450004</v>
      </c>
      <c r="H18" s="344">
        <v>1.60141</v>
      </c>
      <c r="I18" s="341">
        <v>5.9874099999999997</v>
      </c>
      <c r="J18" s="342">
        <v>0.936958504754</v>
      </c>
      <c r="K18" s="345">
        <v>0.98793312598500005</v>
      </c>
    </row>
    <row r="19" spans="1:11" ht="14.4" customHeight="1" thickBot="1" x14ac:dyDescent="0.35">
      <c r="A19" s="363" t="s">
        <v>209</v>
      </c>
      <c r="B19" s="341">
        <v>7.2780101808030002</v>
      </c>
      <c r="C19" s="341">
        <v>4.2870600000000003</v>
      </c>
      <c r="D19" s="342">
        <v>-2.9909501808029999</v>
      </c>
      <c r="E19" s="343">
        <v>0.58904286934100003</v>
      </c>
      <c r="F19" s="341">
        <v>5</v>
      </c>
      <c r="G19" s="342">
        <v>4.1666666666659999</v>
      </c>
      <c r="H19" s="344">
        <v>0</v>
      </c>
      <c r="I19" s="341">
        <v>6.50197</v>
      </c>
      <c r="J19" s="342">
        <v>2.335303333333</v>
      </c>
      <c r="K19" s="345">
        <v>1.300394</v>
      </c>
    </row>
    <row r="20" spans="1:11" ht="14.4" customHeight="1" thickBot="1" x14ac:dyDescent="0.35">
      <c r="A20" s="363" t="s">
        <v>210</v>
      </c>
      <c r="B20" s="341">
        <v>0.19923769720000001</v>
      </c>
      <c r="C20" s="341">
        <v>0</v>
      </c>
      <c r="D20" s="342">
        <v>-0.19923769720000001</v>
      </c>
      <c r="E20" s="343">
        <v>0</v>
      </c>
      <c r="F20" s="341">
        <v>0</v>
      </c>
      <c r="G20" s="342">
        <v>0</v>
      </c>
      <c r="H20" s="344">
        <v>0</v>
      </c>
      <c r="I20" s="341">
        <v>6.4100000000000004E-2</v>
      </c>
      <c r="J20" s="342">
        <v>6.4100000000000004E-2</v>
      </c>
      <c r="K20" s="351" t="s">
        <v>204</v>
      </c>
    </row>
    <row r="21" spans="1:11" ht="14.4" customHeight="1" thickBot="1" x14ac:dyDescent="0.35">
      <c r="A21" s="363" t="s">
        <v>211</v>
      </c>
      <c r="B21" s="341">
        <v>182.85581176229701</v>
      </c>
      <c r="C21" s="341">
        <v>154.42044999999999</v>
      </c>
      <c r="D21" s="342">
        <v>-28.435361762296001</v>
      </c>
      <c r="E21" s="343">
        <v>0.84449298336</v>
      </c>
      <c r="F21" s="341">
        <v>176.485181920347</v>
      </c>
      <c r="G21" s="342">
        <v>147.07098493362301</v>
      </c>
      <c r="H21" s="344">
        <v>13.613250000000001</v>
      </c>
      <c r="I21" s="341">
        <v>142.81765999999999</v>
      </c>
      <c r="J21" s="342">
        <v>-4.2533249336220003</v>
      </c>
      <c r="K21" s="345">
        <v>0.80923315173499999</v>
      </c>
    </row>
    <row r="22" spans="1:11" ht="14.4" customHeight="1" thickBot="1" x14ac:dyDescent="0.35">
      <c r="A22" s="363" t="s">
        <v>212</v>
      </c>
      <c r="B22" s="341">
        <v>4.2506330407900004</v>
      </c>
      <c r="C22" s="341">
        <v>10.4933</v>
      </c>
      <c r="D22" s="342">
        <v>6.2426669592090001</v>
      </c>
      <c r="E22" s="343">
        <v>2.468644058262</v>
      </c>
      <c r="F22" s="341">
        <v>6.5349065411709999</v>
      </c>
      <c r="G22" s="342">
        <v>5.4457554509759998</v>
      </c>
      <c r="H22" s="344">
        <v>2.4320900000000001</v>
      </c>
      <c r="I22" s="341">
        <v>10.114739999999999</v>
      </c>
      <c r="J22" s="342">
        <v>4.6689845490230004</v>
      </c>
      <c r="K22" s="345">
        <v>1.5478017835869999</v>
      </c>
    </row>
    <row r="23" spans="1:11" ht="14.4" customHeight="1" thickBot="1" x14ac:dyDescent="0.35">
      <c r="A23" s="363" t="s">
        <v>213</v>
      </c>
      <c r="B23" s="341">
        <v>0</v>
      </c>
      <c r="C23" s="341">
        <v>0</v>
      </c>
      <c r="D23" s="342">
        <v>0</v>
      </c>
      <c r="E23" s="343">
        <v>1</v>
      </c>
      <c r="F23" s="341">
        <v>0</v>
      </c>
      <c r="G23" s="342">
        <v>0</v>
      </c>
      <c r="H23" s="344">
        <v>0</v>
      </c>
      <c r="I23" s="341">
        <v>2.7578999999999998</v>
      </c>
      <c r="J23" s="342">
        <v>2.7578999999999998</v>
      </c>
      <c r="K23" s="351" t="s">
        <v>204</v>
      </c>
    </row>
    <row r="24" spans="1:11" ht="14.4" customHeight="1" thickBot="1" x14ac:dyDescent="0.35">
      <c r="A24" s="363" t="s">
        <v>214</v>
      </c>
      <c r="B24" s="341">
        <v>0.62610664306200003</v>
      </c>
      <c r="C24" s="341">
        <v>1.29358</v>
      </c>
      <c r="D24" s="342">
        <v>0.66747335693700005</v>
      </c>
      <c r="E24" s="343">
        <v>2.0660697571769999</v>
      </c>
      <c r="F24" s="341">
        <v>2</v>
      </c>
      <c r="G24" s="342">
        <v>1.6666666666659999</v>
      </c>
      <c r="H24" s="344">
        <v>0</v>
      </c>
      <c r="I24" s="341">
        <v>3.2607300000000001</v>
      </c>
      <c r="J24" s="342">
        <v>1.5940633333330001</v>
      </c>
      <c r="K24" s="345">
        <v>1.6303650000000001</v>
      </c>
    </row>
    <row r="25" spans="1:11" ht="14.4" customHeight="1" thickBot="1" x14ac:dyDescent="0.35">
      <c r="A25" s="363" t="s">
        <v>215</v>
      </c>
      <c r="B25" s="341">
        <v>0</v>
      </c>
      <c r="C25" s="341">
        <v>0</v>
      </c>
      <c r="D25" s="342">
        <v>0</v>
      </c>
      <c r="E25" s="343">
        <v>1</v>
      </c>
      <c r="F25" s="341">
        <v>0</v>
      </c>
      <c r="G25" s="342">
        <v>0</v>
      </c>
      <c r="H25" s="344">
        <v>0</v>
      </c>
      <c r="I25" s="341">
        <v>0.53239999999999998</v>
      </c>
      <c r="J25" s="342">
        <v>0.53239999999999998</v>
      </c>
      <c r="K25" s="351" t="s">
        <v>204</v>
      </c>
    </row>
    <row r="26" spans="1:11" ht="14.4" customHeight="1" thickBot="1" x14ac:dyDescent="0.35">
      <c r="A26" s="362" t="s">
        <v>216</v>
      </c>
      <c r="B26" s="346">
        <v>0.295110016295</v>
      </c>
      <c r="C26" s="346">
        <v>0.26991999999999999</v>
      </c>
      <c r="D26" s="347">
        <v>-2.5190016294999999E-2</v>
      </c>
      <c r="E26" s="348">
        <v>0.91464194739299998</v>
      </c>
      <c r="F26" s="346">
        <v>0.28258659069399999</v>
      </c>
      <c r="G26" s="347">
        <v>0.23548882557799999</v>
      </c>
      <c r="H26" s="349">
        <v>0</v>
      </c>
      <c r="I26" s="346">
        <v>0.1646</v>
      </c>
      <c r="J26" s="347">
        <v>-7.0888825577999998E-2</v>
      </c>
      <c r="K26" s="350">
        <v>0.58247632909699998</v>
      </c>
    </row>
    <row r="27" spans="1:11" ht="14.4" customHeight="1" thickBot="1" x14ac:dyDescent="0.35">
      <c r="A27" s="363" t="s">
        <v>217</v>
      </c>
      <c r="B27" s="341">
        <v>0.295110016295</v>
      </c>
      <c r="C27" s="341">
        <v>0.26991999999999999</v>
      </c>
      <c r="D27" s="342">
        <v>-2.5190016294999999E-2</v>
      </c>
      <c r="E27" s="343">
        <v>0.91464194739299998</v>
      </c>
      <c r="F27" s="341">
        <v>0.28258659069399999</v>
      </c>
      <c r="G27" s="342">
        <v>0.23548882557799999</v>
      </c>
      <c r="H27" s="344">
        <v>0</v>
      </c>
      <c r="I27" s="341">
        <v>0.1646</v>
      </c>
      <c r="J27" s="342">
        <v>-7.0888825577999998E-2</v>
      </c>
      <c r="K27" s="345">
        <v>0.58247632909699998</v>
      </c>
    </row>
    <row r="28" spans="1:11" ht="14.4" customHeight="1" thickBot="1" x14ac:dyDescent="0.35">
      <c r="A28" s="362" t="s">
        <v>218</v>
      </c>
      <c r="B28" s="346">
        <v>0.20352707286499999</v>
      </c>
      <c r="C28" s="346">
        <v>0.62436000000000003</v>
      </c>
      <c r="D28" s="347">
        <v>0.420832927134</v>
      </c>
      <c r="E28" s="348">
        <v>3.0676999929790001</v>
      </c>
      <c r="F28" s="346">
        <v>0</v>
      </c>
      <c r="G28" s="347">
        <v>0</v>
      </c>
      <c r="H28" s="349">
        <v>0</v>
      </c>
      <c r="I28" s="346">
        <v>1.6468100000000001</v>
      </c>
      <c r="J28" s="347">
        <v>1.6468100000000001</v>
      </c>
      <c r="K28" s="353" t="s">
        <v>193</v>
      </c>
    </row>
    <row r="29" spans="1:11" ht="14.4" customHeight="1" thickBot="1" x14ac:dyDescent="0.35">
      <c r="A29" s="363" t="s">
        <v>219</v>
      </c>
      <c r="B29" s="341">
        <v>0</v>
      </c>
      <c r="C29" s="341">
        <v>0.62436000000000003</v>
      </c>
      <c r="D29" s="342">
        <v>0.62436000000000003</v>
      </c>
      <c r="E29" s="352" t="s">
        <v>193</v>
      </c>
      <c r="F29" s="341">
        <v>0</v>
      </c>
      <c r="G29" s="342">
        <v>0</v>
      </c>
      <c r="H29" s="344">
        <v>0</v>
      </c>
      <c r="I29" s="341">
        <v>1.6468100000000001</v>
      </c>
      <c r="J29" s="342">
        <v>1.6468100000000001</v>
      </c>
      <c r="K29" s="351" t="s">
        <v>193</v>
      </c>
    </row>
    <row r="30" spans="1:11" ht="14.4" customHeight="1" thickBot="1" x14ac:dyDescent="0.35">
      <c r="A30" s="363" t="s">
        <v>220</v>
      </c>
      <c r="B30" s="341">
        <v>7.9894707789E-2</v>
      </c>
      <c r="C30" s="341">
        <v>0</v>
      </c>
      <c r="D30" s="342">
        <v>-7.9894707789E-2</v>
      </c>
      <c r="E30" s="343">
        <v>0</v>
      </c>
      <c r="F30" s="341">
        <v>0</v>
      </c>
      <c r="G30" s="342">
        <v>0</v>
      </c>
      <c r="H30" s="344">
        <v>0</v>
      </c>
      <c r="I30" s="341">
        <v>0</v>
      </c>
      <c r="J30" s="342">
        <v>0</v>
      </c>
      <c r="K30" s="345">
        <v>0</v>
      </c>
    </row>
    <row r="31" spans="1:11" ht="14.4" customHeight="1" thickBot="1" x14ac:dyDescent="0.35">
      <c r="A31" s="363" t="s">
        <v>221</v>
      </c>
      <c r="B31" s="341">
        <v>0.123632365075</v>
      </c>
      <c r="C31" s="341">
        <v>0</v>
      </c>
      <c r="D31" s="342">
        <v>-0.123632365075</v>
      </c>
      <c r="E31" s="343">
        <v>0</v>
      </c>
      <c r="F31" s="341">
        <v>0</v>
      </c>
      <c r="G31" s="342">
        <v>0</v>
      </c>
      <c r="H31" s="344">
        <v>0</v>
      </c>
      <c r="I31" s="341">
        <v>0</v>
      </c>
      <c r="J31" s="342">
        <v>0</v>
      </c>
      <c r="K31" s="345">
        <v>0</v>
      </c>
    </row>
    <row r="32" spans="1:11" ht="14.4" customHeight="1" thickBot="1" x14ac:dyDescent="0.35">
      <c r="A32" s="361" t="s">
        <v>26</v>
      </c>
      <c r="B32" s="341">
        <v>95.881709880854999</v>
      </c>
      <c r="C32" s="341">
        <v>65.156999999999996</v>
      </c>
      <c r="D32" s="342">
        <v>-30.724709880854999</v>
      </c>
      <c r="E32" s="343">
        <v>0.67955609136399997</v>
      </c>
      <c r="F32" s="341">
        <v>66.868659554657995</v>
      </c>
      <c r="G32" s="342">
        <v>55.723882962215001</v>
      </c>
      <c r="H32" s="344">
        <v>3.9620000000000002</v>
      </c>
      <c r="I32" s="341">
        <v>39.081000000000003</v>
      </c>
      <c r="J32" s="342">
        <v>-16.642882962215001</v>
      </c>
      <c r="K32" s="345">
        <v>0.58444419643300005</v>
      </c>
    </row>
    <row r="33" spans="1:11" ht="14.4" customHeight="1" thickBot="1" x14ac:dyDescent="0.35">
      <c r="A33" s="362" t="s">
        <v>222</v>
      </c>
      <c r="B33" s="346">
        <v>95.881709880854999</v>
      </c>
      <c r="C33" s="346">
        <v>65.156999999999996</v>
      </c>
      <c r="D33" s="347">
        <v>-30.724709880854999</v>
      </c>
      <c r="E33" s="348">
        <v>0.67955609136399997</v>
      </c>
      <c r="F33" s="346">
        <v>66.868659554657995</v>
      </c>
      <c r="G33" s="347">
        <v>55.723882962215001</v>
      </c>
      <c r="H33" s="349">
        <v>3.9620000000000002</v>
      </c>
      <c r="I33" s="346">
        <v>39.081000000000003</v>
      </c>
      <c r="J33" s="347">
        <v>-16.642882962215001</v>
      </c>
      <c r="K33" s="350">
        <v>0.58444419643300005</v>
      </c>
    </row>
    <row r="34" spans="1:11" ht="14.4" customHeight="1" thickBot="1" x14ac:dyDescent="0.35">
      <c r="A34" s="363" t="s">
        <v>223</v>
      </c>
      <c r="B34" s="341">
        <v>41.658870331895997</v>
      </c>
      <c r="C34" s="341">
        <v>37.850999999999999</v>
      </c>
      <c r="D34" s="342">
        <v>-3.8078703318949998</v>
      </c>
      <c r="E34" s="343">
        <v>0.90859400887300001</v>
      </c>
      <c r="F34" s="341">
        <v>38.999999999998998</v>
      </c>
      <c r="G34" s="342">
        <v>32.499999999998998</v>
      </c>
      <c r="H34" s="344">
        <v>3.3730000000000002</v>
      </c>
      <c r="I34" s="341">
        <v>33.046999999999997</v>
      </c>
      <c r="J34" s="342">
        <v>0.54700000000000004</v>
      </c>
      <c r="K34" s="345">
        <v>0.84735897435800001</v>
      </c>
    </row>
    <row r="35" spans="1:11" ht="14.4" customHeight="1" thickBot="1" x14ac:dyDescent="0.35">
      <c r="A35" s="363" t="s">
        <v>224</v>
      </c>
      <c r="B35" s="341">
        <v>7.2946743808649996</v>
      </c>
      <c r="C35" s="341">
        <v>7.2859999999999996</v>
      </c>
      <c r="D35" s="342">
        <v>-8.6743808649999993E-3</v>
      </c>
      <c r="E35" s="343">
        <v>0.99881086112700002</v>
      </c>
      <c r="F35" s="341">
        <v>7.8686595546579996</v>
      </c>
      <c r="G35" s="342">
        <v>6.5572162955479998</v>
      </c>
      <c r="H35" s="344">
        <v>0.58899999999999997</v>
      </c>
      <c r="I35" s="341">
        <v>6.0339999999999998</v>
      </c>
      <c r="J35" s="342">
        <v>-0.52321629554799998</v>
      </c>
      <c r="K35" s="345">
        <v>0.76683963235200003</v>
      </c>
    </row>
    <row r="36" spans="1:11" ht="14.4" customHeight="1" thickBot="1" x14ac:dyDescent="0.35">
      <c r="A36" s="363" t="s">
        <v>225</v>
      </c>
      <c r="B36" s="341">
        <v>46.928165168093997</v>
      </c>
      <c r="C36" s="341">
        <v>20.02</v>
      </c>
      <c r="D36" s="342">
        <v>-26.908165168094001</v>
      </c>
      <c r="E36" s="343">
        <v>0.42660947702200003</v>
      </c>
      <c r="F36" s="341">
        <v>19.999999999999002</v>
      </c>
      <c r="G36" s="342">
        <v>16.666666666666</v>
      </c>
      <c r="H36" s="344">
        <v>0</v>
      </c>
      <c r="I36" s="341">
        <v>0</v>
      </c>
      <c r="J36" s="342">
        <v>-16.666666666666</v>
      </c>
      <c r="K36" s="345">
        <v>0</v>
      </c>
    </row>
    <row r="37" spans="1:11" ht="14.4" customHeight="1" thickBot="1" x14ac:dyDescent="0.35">
      <c r="A37" s="364" t="s">
        <v>226</v>
      </c>
      <c r="B37" s="346">
        <v>234.16391219154599</v>
      </c>
      <c r="C37" s="346">
        <v>205.61169000000001</v>
      </c>
      <c r="D37" s="347">
        <v>-28.552222191544999</v>
      </c>
      <c r="E37" s="348">
        <v>0.87806736774899996</v>
      </c>
      <c r="F37" s="346">
        <v>125.076726207043</v>
      </c>
      <c r="G37" s="347">
        <v>104.230605172536</v>
      </c>
      <c r="H37" s="349">
        <v>3.6170800000000001</v>
      </c>
      <c r="I37" s="346">
        <v>153.40588</v>
      </c>
      <c r="J37" s="347">
        <v>49.175274827464001</v>
      </c>
      <c r="K37" s="350">
        <v>1.2264942060120001</v>
      </c>
    </row>
    <row r="38" spans="1:11" ht="14.4" customHeight="1" thickBot="1" x14ac:dyDescent="0.35">
      <c r="A38" s="361" t="s">
        <v>29</v>
      </c>
      <c r="B38" s="341">
        <v>47.732521713368001</v>
      </c>
      <c r="C38" s="341">
        <v>3.0953599999999999</v>
      </c>
      <c r="D38" s="342">
        <v>-44.637161713368002</v>
      </c>
      <c r="E38" s="343">
        <v>6.4848029998999995E-2</v>
      </c>
      <c r="F38" s="341">
        <v>2.517552208528</v>
      </c>
      <c r="G38" s="342">
        <v>2.097960173773</v>
      </c>
      <c r="H38" s="344">
        <v>0</v>
      </c>
      <c r="I38" s="341">
        <v>43.89396</v>
      </c>
      <c r="J38" s="342">
        <v>41.795999826226002</v>
      </c>
      <c r="K38" s="345">
        <v>17.435173678346001</v>
      </c>
    </row>
    <row r="39" spans="1:11" ht="14.4" customHeight="1" thickBot="1" x14ac:dyDescent="0.35">
      <c r="A39" s="365" t="s">
        <v>227</v>
      </c>
      <c r="B39" s="341">
        <v>47.732521713368001</v>
      </c>
      <c r="C39" s="341">
        <v>3.0953599999999999</v>
      </c>
      <c r="D39" s="342">
        <v>-44.637161713368002</v>
      </c>
      <c r="E39" s="343">
        <v>6.4848029998999995E-2</v>
      </c>
      <c r="F39" s="341">
        <v>2.517552208528</v>
      </c>
      <c r="G39" s="342">
        <v>2.097960173773</v>
      </c>
      <c r="H39" s="344">
        <v>0</v>
      </c>
      <c r="I39" s="341">
        <v>43.89396</v>
      </c>
      <c r="J39" s="342">
        <v>41.795999826226002</v>
      </c>
      <c r="K39" s="345">
        <v>17.435173678346001</v>
      </c>
    </row>
    <row r="40" spans="1:11" ht="14.4" customHeight="1" thickBot="1" x14ac:dyDescent="0.35">
      <c r="A40" s="363" t="s">
        <v>228</v>
      </c>
      <c r="B40" s="341">
        <v>46.401899205451002</v>
      </c>
      <c r="C40" s="341">
        <v>0</v>
      </c>
      <c r="D40" s="342">
        <v>-46.401899205451002</v>
      </c>
      <c r="E40" s="343">
        <v>0</v>
      </c>
      <c r="F40" s="341">
        <v>0</v>
      </c>
      <c r="G40" s="342">
        <v>0</v>
      </c>
      <c r="H40" s="344">
        <v>0</v>
      </c>
      <c r="I40" s="341">
        <v>41.460650000000001</v>
      </c>
      <c r="J40" s="342">
        <v>41.460650000000001</v>
      </c>
      <c r="K40" s="351" t="s">
        <v>204</v>
      </c>
    </row>
    <row r="41" spans="1:11" ht="14.4" customHeight="1" thickBot="1" x14ac:dyDescent="0.35">
      <c r="A41" s="363" t="s">
        <v>229</v>
      </c>
      <c r="B41" s="341">
        <v>0.95754424446499997</v>
      </c>
      <c r="C41" s="341">
        <v>1.92523</v>
      </c>
      <c r="D41" s="342">
        <v>0.96768575553400005</v>
      </c>
      <c r="E41" s="343">
        <v>2.0105911670690002</v>
      </c>
      <c r="F41" s="341">
        <v>2.517552208528</v>
      </c>
      <c r="G41" s="342">
        <v>2.097960173773</v>
      </c>
      <c r="H41" s="344">
        <v>0</v>
      </c>
      <c r="I41" s="341">
        <v>1.7508699999999999</v>
      </c>
      <c r="J41" s="342">
        <v>-0.347090173773</v>
      </c>
      <c r="K41" s="345">
        <v>0.69546521977499998</v>
      </c>
    </row>
    <row r="42" spans="1:11" ht="14.4" customHeight="1" thickBot="1" x14ac:dyDescent="0.35">
      <c r="A42" s="363" t="s">
        <v>230</v>
      </c>
      <c r="B42" s="341">
        <v>0.37307826345099998</v>
      </c>
      <c r="C42" s="341">
        <v>1.1701299999999999</v>
      </c>
      <c r="D42" s="342">
        <v>0.79705173654799999</v>
      </c>
      <c r="E42" s="343">
        <v>3.1364196594410001</v>
      </c>
      <c r="F42" s="341">
        <v>0</v>
      </c>
      <c r="G42" s="342">
        <v>0</v>
      </c>
      <c r="H42" s="344">
        <v>0</v>
      </c>
      <c r="I42" s="341">
        <v>0.68244000000000005</v>
      </c>
      <c r="J42" s="342">
        <v>0.68244000000000005</v>
      </c>
      <c r="K42" s="351" t="s">
        <v>193</v>
      </c>
    </row>
    <row r="43" spans="1:11" ht="14.4" customHeight="1" thickBot="1" x14ac:dyDescent="0.35">
      <c r="A43" s="366" t="s">
        <v>30</v>
      </c>
      <c r="B43" s="346">
        <v>0</v>
      </c>
      <c r="C43" s="346">
        <v>16.734999999999999</v>
      </c>
      <c r="D43" s="347">
        <v>16.734999999999999</v>
      </c>
      <c r="E43" s="354" t="s">
        <v>193</v>
      </c>
      <c r="F43" s="346">
        <v>0</v>
      </c>
      <c r="G43" s="347">
        <v>0</v>
      </c>
      <c r="H43" s="349">
        <v>0.33500000000000002</v>
      </c>
      <c r="I43" s="346">
        <v>17.57</v>
      </c>
      <c r="J43" s="347">
        <v>17.57</v>
      </c>
      <c r="K43" s="353" t="s">
        <v>193</v>
      </c>
    </row>
    <row r="44" spans="1:11" ht="14.4" customHeight="1" thickBot="1" x14ac:dyDescent="0.35">
      <c r="A44" s="362" t="s">
        <v>231</v>
      </c>
      <c r="B44" s="346">
        <v>0</v>
      </c>
      <c r="C44" s="346">
        <v>16.734999999999999</v>
      </c>
      <c r="D44" s="347">
        <v>16.734999999999999</v>
      </c>
      <c r="E44" s="354" t="s">
        <v>193</v>
      </c>
      <c r="F44" s="346">
        <v>0</v>
      </c>
      <c r="G44" s="347">
        <v>0</v>
      </c>
      <c r="H44" s="349">
        <v>0.33500000000000002</v>
      </c>
      <c r="I44" s="346">
        <v>17.57</v>
      </c>
      <c r="J44" s="347">
        <v>17.57</v>
      </c>
      <c r="K44" s="353" t="s">
        <v>193</v>
      </c>
    </row>
    <row r="45" spans="1:11" ht="14.4" customHeight="1" thickBot="1" x14ac:dyDescent="0.35">
      <c r="A45" s="363" t="s">
        <v>232</v>
      </c>
      <c r="B45" s="341">
        <v>0</v>
      </c>
      <c r="C45" s="341">
        <v>13</v>
      </c>
      <c r="D45" s="342">
        <v>13</v>
      </c>
      <c r="E45" s="352" t="s">
        <v>193</v>
      </c>
      <c r="F45" s="341">
        <v>0</v>
      </c>
      <c r="G45" s="342">
        <v>0</v>
      </c>
      <c r="H45" s="344">
        <v>0.33500000000000002</v>
      </c>
      <c r="I45" s="341">
        <v>13.42</v>
      </c>
      <c r="J45" s="342">
        <v>13.42</v>
      </c>
      <c r="K45" s="351" t="s">
        <v>193</v>
      </c>
    </row>
    <row r="46" spans="1:11" ht="14.4" customHeight="1" thickBot="1" x14ac:dyDescent="0.35">
      <c r="A46" s="363" t="s">
        <v>233</v>
      </c>
      <c r="B46" s="341">
        <v>0</v>
      </c>
      <c r="C46" s="341">
        <v>3.7349999999999999</v>
      </c>
      <c r="D46" s="342">
        <v>3.7349999999999999</v>
      </c>
      <c r="E46" s="352" t="s">
        <v>193</v>
      </c>
      <c r="F46" s="341">
        <v>0</v>
      </c>
      <c r="G46" s="342">
        <v>0</v>
      </c>
      <c r="H46" s="344">
        <v>0</v>
      </c>
      <c r="I46" s="341">
        <v>4.1500000000000004</v>
      </c>
      <c r="J46" s="342">
        <v>4.1500000000000004</v>
      </c>
      <c r="K46" s="351" t="s">
        <v>193</v>
      </c>
    </row>
    <row r="47" spans="1:11" ht="14.4" customHeight="1" thickBot="1" x14ac:dyDescent="0.35">
      <c r="A47" s="361" t="s">
        <v>31</v>
      </c>
      <c r="B47" s="341">
        <v>186.43139047817701</v>
      </c>
      <c r="C47" s="341">
        <v>185.78133</v>
      </c>
      <c r="D47" s="342">
        <v>-0.65006047817699997</v>
      </c>
      <c r="E47" s="343">
        <v>0.99651313828300003</v>
      </c>
      <c r="F47" s="341">
        <v>122.55917399851501</v>
      </c>
      <c r="G47" s="342">
        <v>102.132644998762</v>
      </c>
      <c r="H47" s="344">
        <v>3.2820800000000001</v>
      </c>
      <c r="I47" s="341">
        <v>91.941919999999996</v>
      </c>
      <c r="J47" s="342">
        <v>-10.190724998762001</v>
      </c>
      <c r="K47" s="345">
        <v>0.75018390709000005</v>
      </c>
    </row>
    <row r="48" spans="1:11" ht="14.4" customHeight="1" thickBot="1" x14ac:dyDescent="0.35">
      <c r="A48" s="362" t="s">
        <v>234</v>
      </c>
      <c r="B48" s="346">
        <v>13.846899152162999</v>
      </c>
      <c r="C48" s="346">
        <v>9.7275799999999997</v>
      </c>
      <c r="D48" s="347">
        <v>-4.1193191521630004</v>
      </c>
      <c r="E48" s="348">
        <v>0.70250962999699995</v>
      </c>
      <c r="F48" s="346">
        <v>11.046915470491999</v>
      </c>
      <c r="G48" s="347">
        <v>9.2057628920770007</v>
      </c>
      <c r="H48" s="349">
        <v>0.28034999999999999</v>
      </c>
      <c r="I48" s="346">
        <v>6.2991999999999999</v>
      </c>
      <c r="J48" s="347">
        <v>-2.9065628920769999</v>
      </c>
      <c r="K48" s="350">
        <v>0.57022252200800005</v>
      </c>
    </row>
    <row r="49" spans="1:11" ht="14.4" customHeight="1" thickBot="1" x14ac:dyDescent="0.35">
      <c r="A49" s="363" t="s">
        <v>235</v>
      </c>
      <c r="B49" s="341">
        <v>0.104713913428</v>
      </c>
      <c r="C49" s="341">
        <v>0.22869999999999999</v>
      </c>
      <c r="D49" s="342">
        <v>0.12398608657100001</v>
      </c>
      <c r="E49" s="343">
        <v>2.184045964014</v>
      </c>
      <c r="F49" s="341">
        <v>0.227604475232</v>
      </c>
      <c r="G49" s="342">
        <v>0.189670396026</v>
      </c>
      <c r="H49" s="344">
        <v>0</v>
      </c>
      <c r="I49" s="341">
        <v>2.6599999999999999E-2</v>
      </c>
      <c r="J49" s="342">
        <v>-0.16307039602599999</v>
      </c>
      <c r="K49" s="345">
        <v>0.116869406776</v>
      </c>
    </row>
    <row r="50" spans="1:11" ht="14.4" customHeight="1" thickBot="1" x14ac:dyDescent="0.35">
      <c r="A50" s="363" t="s">
        <v>236</v>
      </c>
      <c r="B50" s="341">
        <v>13.742185238734001</v>
      </c>
      <c r="C50" s="341">
        <v>9.4988799999999998</v>
      </c>
      <c r="D50" s="342">
        <v>-4.243305238734</v>
      </c>
      <c r="E50" s="343">
        <v>0.69122048895199995</v>
      </c>
      <c r="F50" s="341">
        <v>10.81931099526</v>
      </c>
      <c r="G50" s="342">
        <v>9.0160924960499997</v>
      </c>
      <c r="H50" s="344">
        <v>0.28034999999999999</v>
      </c>
      <c r="I50" s="341">
        <v>6.2725999999999997</v>
      </c>
      <c r="J50" s="342">
        <v>-2.74349249605</v>
      </c>
      <c r="K50" s="345">
        <v>0.57975965407999996</v>
      </c>
    </row>
    <row r="51" spans="1:11" ht="14.4" customHeight="1" thickBot="1" x14ac:dyDescent="0.35">
      <c r="A51" s="362" t="s">
        <v>237</v>
      </c>
      <c r="B51" s="346">
        <v>0.99999840846400001</v>
      </c>
      <c r="C51" s="346">
        <v>0.54</v>
      </c>
      <c r="D51" s="347">
        <v>-0.45999840846399997</v>
      </c>
      <c r="E51" s="348">
        <v>0.54000085942999998</v>
      </c>
      <c r="F51" s="346">
        <v>1</v>
      </c>
      <c r="G51" s="347">
        <v>0.83333333333299997</v>
      </c>
      <c r="H51" s="349">
        <v>0.13500000000000001</v>
      </c>
      <c r="I51" s="346">
        <v>0.54</v>
      </c>
      <c r="J51" s="347">
        <v>-0.29333333333299999</v>
      </c>
      <c r="K51" s="350">
        <v>0.53999999999899995</v>
      </c>
    </row>
    <row r="52" spans="1:11" ht="14.4" customHeight="1" thickBot="1" x14ac:dyDescent="0.35">
      <c r="A52" s="363" t="s">
        <v>238</v>
      </c>
      <c r="B52" s="341">
        <v>0.99999840846400001</v>
      </c>
      <c r="C52" s="341">
        <v>0.54</v>
      </c>
      <c r="D52" s="342">
        <v>-0.45999840846399997</v>
      </c>
      <c r="E52" s="343">
        <v>0.54000085942999998</v>
      </c>
      <c r="F52" s="341">
        <v>1</v>
      </c>
      <c r="G52" s="342">
        <v>0.83333333333299997</v>
      </c>
      <c r="H52" s="344">
        <v>0.13500000000000001</v>
      </c>
      <c r="I52" s="341">
        <v>0.54</v>
      </c>
      <c r="J52" s="342">
        <v>-0.29333333333299999</v>
      </c>
      <c r="K52" s="345">
        <v>0.53999999999899995</v>
      </c>
    </row>
    <row r="53" spans="1:11" ht="14.4" customHeight="1" thickBot="1" x14ac:dyDescent="0.35">
      <c r="A53" s="362" t="s">
        <v>239</v>
      </c>
      <c r="B53" s="346">
        <v>32.861592169601998</v>
      </c>
      <c r="C53" s="346">
        <v>30.953659999999999</v>
      </c>
      <c r="D53" s="347">
        <v>-1.907932169602</v>
      </c>
      <c r="E53" s="348">
        <v>0.94194036126500003</v>
      </c>
      <c r="F53" s="346">
        <v>18.134994819422001</v>
      </c>
      <c r="G53" s="347">
        <v>15.112495682851</v>
      </c>
      <c r="H53" s="349">
        <v>2.81873</v>
      </c>
      <c r="I53" s="346">
        <v>25.911580000000001</v>
      </c>
      <c r="J53" s="347">
        <v>10.799084317148001</v>
      </c>
      <c r="K53" s="350">
        <v>1.428816509627</v>
      </c>
    </row>
    <row r="54" spans="1:11" ht="14.4" customHeight="1" thickBot="1" x14ac:dyDescent="0.35">
      <c r="A54" s="363" t="s">
        <v>240</v>
      </c>
      <c r="B54" s="341">
        <v>18.301082131855999</v>
      </c>
      <c r="C54" s="341">
        <v>16.41048</v>
      </c>
      <c r="D54" s="342">
        <v>-1.890602131856</v>
      </c>
      <c r="E54" s="343">
        <v>0.89669451684599999</v>
      </c>
      <c r="F54" s="341">
        <v>0</v>
      </c>
      <c r="G54" s="342">
        <v>0</v>
      </c>
      <c r="H54" s="344">
        <v>1.3105500000000001</v>
      </c>
      <c r="I54" s="341">
        <v>12.86966</v>
      </c>
      <c r="J54" s="342">
        <v>12.86966</v>
      </c>
      <c r="K54" s="351" t="s">
        <v>193</v>
      </c>
    </row>
    <row r="55" spans="1:11" ht="14.4" customHeight="1" thickBot="1" x14ac:dyDescent="0.35">
      <c r="A55" s="363" t="s">
        <v>241</v>
      </c>
      <c r="B55" s="341">
        <v>14.560510037746001</v>
      </c>
      <c r="C55" s="341">
        <v>14.54318</v>
      </c>
      <c r="D55" s="342">
        <v>-1.7330037746000001E-2</v>
      </c>
      <c r="E55" s="343">
        <v>0.99880979184700003</v>
      </c>
      <c r="F55" s="341">
        <v>18.134994819422001</v>
      </c>
      <c r="G55" s="342">
        <v>15.112495682851</v>
      </c>
      <c r="H55" s="344">
        <v>1.5081800000000001</v>
      </c>
      <c r="I55" s="341">
        <v>13.041919999999999</v>
      </c>
      <c r="J55" s="342">
        <v>-2.070575682851</v>
      </c>
      <c r="K55" s="345">
        <v>0.71915763582299996</v>
      </c>
    </row>
    <row r="56" spans="1:11" ht="14.4" customHeight="1" thickBot="1" x14ac:dyDescent="0.35">
      <c r="A56" s="362" t="s">
        <v>242</v>
      </c>
      <c r="B56" s="346">
        <v>55.103205567407002</v>
      </c>
      <c r="C56" s="346">
        <v>84.803089999999997</v>
      </c>
      <c r="D56" s="347">
        <v>29.699884432592</v>
      </c>
      <c r="E56" s="348">
        <v>1.538986509528</v>
      </c>
      <c r="F56" s="346">
        <v>91.502317430000005</v>
      </c>
      <c r="G56" s="347">
        <v>76.251931191666998</v>
      </c>
      <c r="H56" s="349">
        <v>0</v>
      </c>
      <c r="I56" s="346">
        <v>40.257640000000002</v>
      </c>
      <c r="J56" s="347">
        <v>-35.994291191667003</v>
      </c>
      <c r="K56" s="350">
        <v>0.43996306466000001</v>
      </c>
    </row>
    <row r="57" spans="1:11" ht="14.4" customHeight="1" thickBot="1" x14ac:dyDescent="0.35">
      <c r="A57" s="363" t="s">
        <v>243</v>
      </c>
      <c r="B57" s="341">
        <v>2.999995225393</v>
      </c>
      <c r="C57" s="341">
        <v>0</v>
      </c>
      <c r="D57" s="342">
        <v>-2.999995225393</v>
      </c>
      <c r="E57" s="343">
        <v>0</v>
      </c>
      <c r="F57" s="341">
        <v>0</v>
      </c>
      <c r="G57" s="342">
        <v>0</v>
      </c>
      <c r="H57" s="344">
        <v>0</v>
      </c>
      <c r="I57" s="341">
        <v>1.5336700000000001</v>
      </c>
      <c r="J57" s="342">
        <v>1.5336700000000001</v>
      </c>
      <c r="K57" s="351" t="s">
        <v>204</v>
      </c>
    </row>
    <row r="58" spans="1:11" ht="14.4" customHeight="1" thickBot="1" x14ac:dyDescent="0.35">
      <c r="A58" s="363" t="s">
        <v>244</v>
      </c>
      <c r="B58" s="341">
        <v>10.686596694457</v>
      </c>
      <c r="C58" s="341">
        <v>15.186</v>
      </c>
      <c r="D58" s="342">
        <v>4.4994033055429998</v>
      </c>
      <c r="E58" s="343">
        <v>1.4210323860980001</v>
      </c>
      <c r="F58" s="341">
        <v>15.387200494781</v>
      </c>
      <c r="G58" s="342">
        <v>12.822667078984001</v>
      </c>
      <c r="H58" s="344">
        <v>0</v>
      </c>
      <c r="I58" s="341">
        <v>6.5430000000000001</v>
      </c>
      <c r="J58" s="342">
        <v>-6.2796670789839997</v>
      </c>
      <c r="K58" s="345">
        <v>0.425223548768</v>
      </c>
    </row>
    <row r="59" spans="1:11" ht="14.4" customHeight="1" thickBot="1" x14ac:dyDescent="0.35">
      <c r="A59" s="363" t="s">
        <v>245</v>
      </c>
      <c r="B59" s="341">
        <v>41.416613647557</v>
      </c>
      <c r="C59" s="341">
        <v>69.617090000000005</v>
      </c>
      <c r="D59" s="342">
        <v>28.200476352441999</v>
      </c>
      <c r="E59" s="343">
        <v>1.6808976849820001</v>
      </c>
      <c r="F59" s="341">
        <v>76.115116935217998</v>
      </c>
      <c r="G59" s="342">
        <v>63.429264112681999</v>
      </c>
      <c r="H59" s="344">
        <v>0</v>
      </c>
      <c r="I59" s="341">
        <v>32.180970000000002</v>
      </c>
      <c r="J59" s="342">
        <v>-31.248294112682</v>
      </c>
      <c r="K59" s="345">
        <v>0.42279341208100002</v>
      </c>
    </row>
    <row r="60" spans="1:11" ht="14.4" customHeight="1" thickBot="1" x14ac:dyDescent="0.35">
      <c r="A60" s="362" t="s">
        <v>246</v>
      </c>
      <c r="B60" s="346">
        <v>83.619695180538997</v>
      </c>
      <c r="C60" s="346">
        <v>59.756999999999998</v>
      </c>
      <c r="D60" s="347">
        <v>-23.862695180538999</v>
      </c>
      <c r="E60" s="348">
        <v>0.71462829266399996</v>
      </c>
      <c r="F60" s="346">
        <v>0.87494627859899998</v>
      </c>
      <c r="G60" s="347">
        <v>0.72912189883199996</v>
      </c>
      <c r="H60" s="349">
        <v>4.8000000000000001E-2</v>
      </c>
      <c r="I60" s="346">
        <v>18.933499999999999</v>
      </c>
      <c r="J60" s="347">
        <v>18.204378101166999</v>
      </c>
      <c r="K60" s="350">
        <v>21.639614297588</v>
      </c>
    </row>
    <row r="61" spans="1:11" ht="14.4" customHeight="1" thickBot="1" x14ac:dyDescent="0.35">
      <c r="A61" s="363" t="s">
        <v>247</v>
      </c>
      <c r="B61" s="341">
        <v>0.98448469295899999</v>
      </c>
      <c r="C61" s="341">
        <v>0.29899999999999999</v>
      </c>
      <c r="D61" s="342">
        <v>-0.68548469295900005</v>
      </c>
      <c r="E61" s="343">
        <v>0.30371218784600001</v>
      </c>
      <c r="F61" s="341">
        <v>0.87494627859899998</v>
      </c>
      <c r="G61" s="342">
        <v>0.72912189883199996</v>
      </c>
      <c r="H61" s="344">
        <v>0</v>
      </c>
      <c r="I61" s="341">
        <v>1.0389999999999999</v>
      </c>
      <c r="J61" s="342">
        <v>0.30987810116699999</v>
      </c>
      <c r="K61" s="345">
        <v>1.1875014791339999</v>
      </c>
    </row>
    <row r="62" spans="1:11" ht="14.4" customHeight="1" thickBot="1" x14ac:dyDescent="0.35">
      <c r="A62" s="363" t="s">
        <v>248</v>
      </c>
      <c r="B62" s="341">
        <v>30.183894459967998</v>
      </c>
      <c r="C62" s="341">
        <v>28.704999999999998</v>
      </c>
      <c r="D62" s="342">
        <v>-1.4788944599680001</v>
      </c>
      <c r="E62" s="343">
        <v>0.951003855319</v>
      </c>
      <c r="F62" s="341">
        <v>0</v>
      </c>
      <c r="G62" s="342">
        <v>0</v>
      </c>
      <c r="H62" s="344">
        <v>4.8000000000000001E-2</v>
      </c>
      <c r="I62" s="341">
        <v>17.894500000000001</v>
      </c>
      <c r="J62" s="342">
        <v>17.894500000000001</v>
      </c>
      <c r="K62" s="351" t="s">
        <v>193</v>
      </c>
    </row>
    <row r="63" spans="1:11" ht="14.4" customHeight="1" thickBot="1" x14ac:dyDescent="0.35">
      <c r="A63" s="363" t="s">
        <v>249</v>
      </c>
      <c r="B63" s="341">
        <v>52.451316027611</v>
      </c>
      <c r="C63" s="341">
        <v>30.753</v>
      </c>
      <c r="D63" s="342">
        <v>-21.698316027611</v>
      </c>
      <c r="E63" s="343">
        <v>0.58631512665499996</v>
      </c>
      <c r="F63" s="341">
        <v>0</v>
      </c>
      <c r="G63" s="342">
        <v>0</v>
      </c>
      <c r="H63" s="344">
        <v>0</v>
      </c>
      <c r="I63" s="341">
        <v>0</v>
      </c>
      <c r="J63" s="342">
        <v>0</v>
      </c>
      <c r="K63" s="351" t="s">
        <v>193</v>
      </c>
    </row>
    <row r="64" spans="1:11" ht="14.4" customHeight="1" thickBot="1" x14ac:dyDescent="0.35">
      <c r="A64" s="360" t="s">
        <v>32</v>
      </c>
      <c r="B64" s="341">
        <v>2831.0002555812498</v>
      </c>
      <c r="C64" s="341">
        <v>3042.8712599999999</v>
      </c>
      <c r="D64" s="342">
        <v>211.87100441875501</v>
      </c>
      <c r="E64" s="343">
        <v>1.0748396274430001</v>
      </c>
      <c r="F64" s="341">
        <v>2957</v>
      </c>
      <c r="G64" s="342">
        <v>2464.1666666666702</v>
      </c>
      <c r="H64" s="344">
        <v>252.53595000000001</v>
      </c>
      <c r="I64" s="341">
        <v>2757.6917699999999</v>
      </c>
      <c r="J64" s="342">
        <v>293.52510333333402</v>
      </c>
      <c r="K64" s="345">
        <v>0.93259782549799997</v>
      </c>
    </row>
    <row r="65" spans="1:11" ht="14.4" customHeight="1" thickBot="1" x14ac:dyDescent="0.35">
      <c r="A65" s="366" t="s">
        <v>250</v>
      </c>
      <c r="B65" s="346">
        <v>2106.00019012861</v>
      </c>
      <c r="C65" s="346">
        <v>2246.328</v>
      </c>
      <c r="D65" s="347">
        <v>140.32780987138801</v>
      </c>
      <c r="E65" s="348">
        <v>1.0666323823370001</v>
      </c>
      <c r="F65" s="346">
        <v>2192</v>
      </c>
      <c r="G65" s="347">
        <v>1826.6666666666699</v>
      </c>
      <c r="H65" s="349">
        <v>185.77199999999999</v>
      </c>
      <c r="I65" s="346">
        <v>2028.491</v>
      </c>
      <c r="J65" s="347">
        <v>201.82433333333299</v>
      </c>
      <c r="K65" s="350">
        <v>0.92540647810200005</v>
      </c>
    </row>
    <row r="66" spans="1:11" ht="14.4" customHeight="1" thickBot="1" x14ac:dyDescent="0.35">
      <c r="A66" s="362" t="s">
        <v>251</v>
      </c>
      <c r="B66" s="346">
        <v>2040.0001841701701</v>
      </c>
      <c r="C66" s="346">
        <v>2186.328</v>
      </c>
      <c r="D66" s="347">
        <v>146.32781582983401</v>
      </c>
      <c r="E66" s="348">
        <v>1.0717293150089999</v>
      </c>
      <c r="F66" s="346">
        <v>2126</v>
      </c>
      <c r="G66" s="347">
        <v>1771.6666666666699</v>
      </c>
      <c r="H66" s="349">
        <v>180.02199999999999</v>
      </c>
      <c r="I66" s="346">
        <v>1975.491</v>
      </c>
      <c r="J66" s="347">
        <v>203.82433333333299</v>
      </c>
      <c r="K66" s="350">
        <v>0.92920555032899999</v>
      </c>
    </row>
    <row r="67" spans="1:11" ht="14.4" customHeight="1" thickBot="1" x14ac:dyDescent="0.35">
      <c r="A67" s="363" t="s">
        <v>252</v>
      </c>
      <c r="B67" s="341">
        <v>2040.0001841701701</v>
      </c>
      <c r="C67" s="341">
        <v>2186.328</v>
      </c>
      <c r="D67" s="342">
        <v>146.32781582983401</v>
      </c>
      <c r="E67" s="343">
        <v>1.0717293150089999</v>
      </c>
      <c r="F67" s="341">
        <v>2126</v>
      </c>
      <c r="G67" s="342">
        <v>1771.6666666666699</v>
      </c>
      <c r="H67" s="344">
        <v>180.02199999999999</v>
      </c>
      <c r="I67" s="341">
        <v>1975.491</v>
      </c>
      <c r="J67" s="342">
        <v>203.82433333333299</v>
      </c>
      <c r="K67" s="345">
        <v>0.92920555032899999</v>
      </c>
    </row>
    <row r="68" spans="1:11" ht="14.4" customHeight="1" thickBot="1" x14ac:dyDescent="0.35">
      <c r="A68" s="362" t="s">
        <v>253</v>
      </c>
      <c r="B68" s="346">
        <v>60.000005416769</v>
      </c>
      <c r="C68" s="346">
        <v>60</v>
      </c>
      <c r="D68" s="347">
        <v>-5.4167695893170301E-6</v>
      </c>
      <c r="E68" s="348">
        <v>0.99999990971999997</v>
      </c>
      <c r="F68" s="346">
        <v>60</v>
      </c>
      <c r="G68" s="347">
        <v>50</v>
      </c>
      <c r="H68" s="349">
        <v>5</v>
      </c>
      <c r="I68" s="346">
        <v>50</v>
      </c>
      <c r="J68" s="347">
        <v>6.3948846218409004E-14</v>
      </c>
      <c r="K68" s="350">
        <v>0.83333333333299997</v>
      </c>
    </row>
    <row r="69" spans="1:11" ht="14.4" customHeight="1" thickBot="1" x14ac:dyDescent="0.35">
      <c r="A69" s="363" t="s">
        <v>254</v>
      </c>
      <c r="B69" s="341">
        <v>60.000005416769</v>
      </c>
      <c r="C69" s="341">
        <v>60</v>
      </c>
      <c r="D69" s="342">
        <v>-5.4167695893170301E-6</v>
      </c>
      <c r="E69" s="343">
        <v>0.99999990971999997</v>
      </c>
      <c r="F69" s="341">
        <v>60</v>
      </c>
      <c r="G69" s="342">
        <v>50</v>
      </c>
      <c r="H69" s="344">
        <v>5</v>
      </c>
      <c r="I69" s="341">
        <v>50</v>
      </c>
      <c r="J69" s="342">
        <v>6.3948846218409004E-14</v>
      </c>
      <c r="K69" s="345">
        <v>0.83333333333299997</v>
      </c>
    </row>
    <row r="70" spans="1:11" ht="14.4" customHeight="1" thickBot="1" x14ac:dyDescent="0.35">
      <c r="A70" s="362" t="s">
        <v>255</v>
      </c>
      <c r="B70" s="346">
        <v>6.0000005416760001</v>
      </c>
      <c r="C70" s="346">
        <v>0</v>
      </c>
      <c r="D70" s="347">
        <v>-6.0000005416760001</v>
      </c>
      <c r="E70" s="348">
        <v>0</v>
      </c>
      <c r="F70" s="346">
        <v>6</v>
      </c>
      <c r="G70" s="347">
        <v>5</v>
      </c>
      <c r="H70" s="349">
        <v>0</v>
      </c>
      <c r="I70" s="346">
        <v>0</v>
      </c>
      <c r="J70" s="347">
        <v>-5</v>
      </c>
      <c r="K70" s="350">
        <v>0</v>
      </c>
    </row>
    <row r="71" spans="1:11" ht="14.4" customHeight="1" thickBot="1" x14ac:dyDescent="0.35">
      <c r="A71" s="363" t="s">
        <v>256</v>
      </c>
      <c r="B71" s="341">
        <v>6.0000005416760001</v>
      </c>
      <c r="C71" s="341">
        <v>0</v>
      </c>
      <c r="D71" s="342">
        <v>-6.0000005416760001</v>
      </c>
      <c r="E71" s="343">
        <v>0</v>
      </c>
      <c r="F71" s="341">
        <v>6</v>
      </c>
      <c r="G71" s="342">
        <v>5</v>
      </c>
      <c r="H71" s="344">
        <v>0</v>
      </c>
      <c r="I71" s="341">
        <v>0</v>
      </c>
      <c r="J71" s="342">
        <v>-5</v>
      </c>
      <c r="K71" s="345">
        <v>0</v>
      </c>
    </row>
    <row r="72" spans="1:11" ht="14.4" customHeight="1" thickBot="1" x14ac:dyDescent="0.35">
      <c r="A72" s="365" t="s">
        <v>257</v>
      </c>
      <c r="B72" s="341">
        <v>0</v>
      </c>
      <c r="C72" s="341">
        <v>0</v>
      </c>
      <c r="D72" s="342">
        <v>0</v>
      </c>
      <c r="E72" s="343">
        <v>1</v>
      </c>
      <c r="F72" s="341">
        <v>0</v>
      </c>
      <c r="G72" s="342">
        <v>0</v>
      </c>
      <c r="H72" s="344">
        <v>0.75</v>
      </c>
      <c r="I72" s="341">
        <v>3</v>
      </c>
      <c r="J72" s="342">
        <v>3</v>
      </c>
      <c r="K72" s="351" t="s">
        <v>204</v>
      </c>
    </row>
    <row r="73" spans="1:11" ht="14.4" customHeight="1" thickBot="1" x14ac:dyDescent="0.35">
      <c r="A73" s="363" t="s">
        <v>258</v>
      </c>
      <c r="B73" s="341">
        <v>0</v>
      </c>
      <c r="C73" s="341">
        <v>0</v>
      </c>
      <c r="D73" s="342">
        <v>0</v>
      </c>
      <c r="E73" s="343">
        <v>1</v>
      </c>
      <c r="F73" s="341">
        <v>0</v>
      </c>
      <c r="G73" s="342">
        <v>0</v>
      </c>
      <c r="H73" s="344">
        <v>0.75</v>
      </c>
      <c r="I73" s="341">
        <v>3</v>
      </c>
      <c r="J73" s="342">
        <v>3</v>
      </c>
      <c r="K73" s="351" t="s">
        <v>204</v>
      </c>
    </row>
    <row r="74" spans="1:11" ht="14.4" customHeight="1" thickBot="1" x14ac:dyDescent="0.35">
      <c r="A74" s="361" t="s">
        <v>259</v>
      </c>
      <c r="B74" s="341">
        <v>694.00006265396905</v>
      </c>
      <c r="C74" s="341">
        <v>763.75121000000001</v>
      </c>
      <c r="D74" s="342">
        <v>69.751147346031004</v>
      </c>
      <c r="E74" s="343">
        <v>1.100505966929</v>
      </c>
      <c r="F74" s="341">
        <v>721.99999999999898</v>
      </c>
      <c r="G74" s="342">
        <v>601.66666666666595</v>
      </c>
      <c r="H74" s="344">
        <v>63.162700000000001</v>
      </c>
      <c r="I74" s="341">
        <v>689.68609000000004</v>
      </c>
      <c r="J74" s="342">
        <v>88.019423333334004</v>
      </c>
      <c r="K74" s="345">
        <v>0.95524389196600001</v>
      </c>
    </row>
    <row r="75" spans="1:11" ht="14.4" customHeight="1" thickBot="1" x14ac:dyDescent="0.35">
      <c r="A75" s="362" t="s">
        <v>260</v>
      </c>
      <c r="B75" s="346">
        <v>184.00001661142699</v>
      </c>
      <c r="C75" s="346">
        <v>202.16917000000001</v>
      </c>
      <c r="D75" s="347">
        <v>18.169153388573001</v>
      </c>
      <c r="E75" s="348">
        <v>1.098745389936</v>
      </c>
      <c r="F75" s="346">
        <v>190.99999999999901</v>
      </c>
      <c r="G75" s="347">
        <v>159.166666666666</v>
      </c>
      <c r="H75" s="349">
        <v>16.7197</v>
      </c>
      <c r="I75" s="346">
        <v>182.56331</v>
      </c>
      <c r="J75" s="347">
        <v>23.396643333334001</v>
      </c>
      <c r="K75" s="350">
        <v>0.95582884816699998</v>
      </c>
    </row>
    <row r="76" spans="1:11" ht="14.4" customHeight="1" thickBot="1" x14ac:dyDescent="0.35">
      <c r="A76" s="363" t="s">
        <v>261</v>
      </c>
      <c r="B76" s="341">
        <v>184.00001661142699</v>
      </c>
      <c r="C76" s="341">
        <v>202.16917000000001</v>
      </c>
      <c r="D76" s="342">
        <v>18.169153388573001</v>
      </c>
      <c r="E76" s="343">
        <v>1.098745389936</v>
      </c>
      <c r="F76" s="341">
        <v>190.99999999999901</v>
      </c>
      <c r="G76" s="342">
        <v>159.166666666666</v>
      </c>
      <c r="H76" s="344">
        <v>16.7197</v>
      </c>
      <c r="I76" s="341">
        <v>182.56331</v>
      </c>
      <c r="J76" s="342">
        <v>23.396643333334001</v>
      </c>
      <c r="K76" s="345">
        <v>0.95582884816699998</v>
      </c>
    </row>
    <row r="77" spans="1:11" ht="14.4" customHeight="1" thickBot="1" x14ac:dyDescent="0.35">
      <c r="A77" s="362" t="s">
        <v>262</v>
      </c>
      <c r="B77" s="346">
        <v>510.00004604254201</v>
      </c>
      <c r="C77" s="346">
        <v>561.58204000000001</v>
      </c>
      <c r="D77" s="347">
        <v>51.581993957458003</v>
      </c>
      <c r="E77" s="348">
        <v>1.101141155491</v>
      </c>
      <c r="F77" s="346">
        <v>531</v>
      </c>
      <c r="G77" s="347">
        <v>442.5</v>
      </c>
      <c r="H77" s="349">
        <v>46.442999999999998</v>
      </c>
      <c r="I77" s="346">
        <v>507.12277999999998</v>
      </c>
      <c r="J77" s="347">
        <v>64.622780000000006</v>
      </c>
      <c r="K77" s="350">
        <v>0.95503348399200005</v>
      </c>
    </row>
    <row r="78" spans="1:11" ht="14.4" customHeight="1" thickBot="1" x14ac:dyDescent="0.35">
      <c r="A78" s="363" t="s">
        <v>263</v>
      </c>
      <c r="B78" s="341">
        <v>510.00004604254201</v>
      </c>
      <c r="C78" s="341">
        <v>561.58204000000001</v>
      </c>
      <c r="D78" s="342">
        <v>51.581993957458003</v>
      </c>
      <c r="E78" s="343">
        <v>1.101141155491</v>
      </c>
      <c r="F78" s="341">
        <v>531</v>
      </c>
      <c r="G78" s="342">
        <v>442.5</v>
      </c>
      <c r="H78" s="344">
        <v>46.442999999999998</v>
      </c>
      <c r="I78" s="341">
        <v>507.12277999999998</v>
      </c>
      <c r="J78" s="342">
        <v>64.622780000000006</v>
      </c>
      <c r="K78" s="345">
        <v>0.95503348399200005</v>
      </c>
    </row>
    <row r="79" spans="1:11" ht="14.4" customHeight="1" thickBot="1" x14ac:dyDescent="0.35">
      <c r="A79" s="361" t="s">
        <v>264</v>
      </c>
      <c r="B79" s="341">
        <v>31.000002798663999</v>
      </c>
      <c r="C79" s="341">
        <v>32.792050000000003</v>
      </c>
      <c r="D79" s="342">
        <v>1.792047201335</v>
      </c>
      <c r="E79" s="343">
        <v>1.0578079690169999</v>
      </c>
      <c r="F79" s="341">
        <v>43</v>
      </c>
      <c r="G79" s="342">
        <v>35.833333333333002</v>
      </c>
      <c r="H79" s="344">
        <v>3.6012499999999998</v>
      </c>
      <c r="I79" s="341">
        <v>39.514679999999998</v>
      </c>
      <c r="J79" s="342">
        <v>3.6813466666660002</v>
      </c>
      <c r="K79" s="345">
        <v>0.91894604651099998</v>
      </c>
    </row>
    <row r="80" spans="1:11" ht="14.4" customHeight="1" thickBot="1" x14ac:dyDescent="0.35">
      <c r="A80" s="362" t="s">
        <v>265</v>
      </c>
      <c r="B80" s="346">
        <v>31.000002798663999</v>
      </c>
      <c r="C80" s="346">
        <v>32.792050000000003</v>
      </c>
      <c r="D80" s="347">
        <v>1.792047201335</v>
      </c>
      <c r="E80" s="348">
        <v>1.0578079690169999</v>
      </c>
      <c r="F80" s="346">
        <v>43</v>
      </c>
      <c r="G80" s="347">
        <v>35.833333333333002</v>
      </c>
      <c r="H80" s="349">
        <v>3.6012499999999998</v>
      </c>
      <c r="I80" s="346">
        <v>39.514679999999998</v>
      </c>
      <c r="J80" s="347">
        <v>3.6813466666660002</v>
      </c>
      <c r="K80" s="350">
        <v>0.91894604651099998</v>
      </c>
    </row>
    <row r="81" spans="1:11" ht="14.4" customHeight="1" thickBot="1" x14ac:dyDescent="0.35">
      <c r="A81" s="363" t="s">
        <v>266</v>
      </c>
      <c r="B81" s="341">
        <v>31.000002798663999</v>
      </c>
      <c r="C81" s="341">
        <v>32.792050000000003</v>
      </c>
      <c r="D81" s="342">
        <v>1.792047201335</v>
      </c>
      <c r="E81" s="343">
        <v>1.0578079690169999</v>
      </c>
      <c r="F81" s="341">
        <v>43</v>
      </c>
      <c r="G81" s="342">
        <v>35.833333333333002</v>
      </c>
      <c r="H81" s="344">
        <v>3.6012499999999998</v>
      </c>
      <c r="I81" s="341">
        <v>39.514679999999998</v>
      </c>
      <c r="J81" s="342">
        <v>3.6813466666660002</v>
      </c>
      <c r="K81" s="345">
        <v>0.91894604651099998</v>
      </c>
    </row>
    <row r="82" spans="1:11" ht="14.4" customHeight="1" thickBot="1" x14ac:dyDescent="0.35">
      <c r="A82" s="360" t="s">
        <v>267</v>
      </c>
      <c r="B82" s="341">
        <v>0</v>
      </c>
      <c r="C82" s="341">
        <v>0</v>
      </c>
      <c r="D82" s="342">
        <v>0</v>
      </c>
      <c r="E82" s="343">
        <v>1</v>
      </c>
      <c r="F82" s="341">
        <v>0</v>
      </c>
      <c r="G82" s="342">
        <v>0</v>
      </c>
      <c r="H82" s="344">
        <v>0</v>
      </c>
      <c r="I82" s="341">
        <v>1</v>
      </c>
      <c r="J82" s="342">
        <v>1</v>
      </c>
      <c r="K82" s="351" t="s">
        <v>204</v>
      </c>
    </row>
    <row r="83" spans="1:11" ht="14.4" customHeight="1" thickBot="1" x14ac:dyDescent="0.35">
      <c r="A83" s="361" t="s">
        <v>268</v>
      </c>
      <c r="B83" s="341">
        <v>0</v>
      </c>
      <c r="C83" s="341">
        <v>0</v>
      </c>
      <c r="D83" s="342">
        <v>0</v>
      </c>
      <c r="E83" s="343">
        <v>1</v>
      </c>
      <c r="F83" s="341">
        <v>0</v>
      </c>
      <c r="G83" s="342">
        <v>0</v>
      </c>
      <c r="H83" s="344">
        <v>0</v>
      </c>
      <c r="I83" s="341">
        <v>1</v>
      </c>
      <c r="J83" s="342">
        <v>1</v>
      </c>
      <c r="K83" s="351" t="s">
        <v>204</v>
      </c>
    </row>
    <row r="84" spans="1:11" ht="14.4" customHeight="1" thickBot="1" x14ac:dyDescent="0.35">
      <c r="A84" s="362" t="s">
        <v>269</v>
      </c>
      <c r="B84" s="346">
        <v>0</v>
      </c>
      <c r="C84" s="346">
        <v>0</v>
      </c>
      <c r="D84" s="347">
        <v>0</v>
      </c>
      <c r="E84" s="348">
        <v>1</v>
      </c>
      <c r="F84" s="346">
        <v>0</v>
      </c>
      <c r="G84" s="347">
        <v>0</v>
      </c>
      <c r="H84" s="349">
        <v>0</v>
      </c>
      <c r="I84" s="346">
        <v>1</v>
      </c>
      <c r="J84" s="347">
        <v>1</v>
      </c>
      <c r="K84" s="353" t="s">
        <v>204</v>
      </c>
    </row>
    <row r="85" spans="1:11" ht="14.4" customHeight="1" thickBot="1" x14ac:dyDescent="0.35">
      <c r="A85" s="363" t="s">
        <v>270</v>
      </c>
      <c r="B85" s="341">
        <v>0</v>
      </c>
      <c r="C85" s="341">
        <v>0</v>
      </c>
      <c r="D85" s="342">
        <v>0</v>
      </c>
      <c r="E85" s="343">
        <v>1</v>
      </c>
      <c r="F85" s="341">
        <v>0</v>
      </c>
      <c r="G85" s="342">
        <v>0</v>
      </c>
      <c r="H85" s="344">
        <v>0</v>
      </c>
      <c r="I85" s="341">
        <v>1</v>
      </c>
      <c r="J85" s="342">
        <v>1</v>
      </c>
      <c r="K85" s="351" t="s">
        <v>204</v>
      </c>
    </row>
    <row r="86" spans="1:11" ht="14.4" customHeight="1" thickBot="1" x14ac:dyDescent="0.35">
      <c r="A86" s="360" t="s">
        <v>271</v>
      </c>
      <c r="B86" s="341">
        <v>0</v>
      </c>
      <c r="C86" s="341">
        <v>19.7302</v>
      </c>
      <c r="D86" s="342">
        <v>19.7302</v>
      </c>
      <c r="E86" s="352" t="s">
        <v>193</v>
      </c>
      <c r="F86" s="341">
        <v>0</v>
      </c>
      <c r="G86" s="342">
        <v>0</v>
      </c>
      <c r="H86" s="344">
        <v>1.2</v>
      </c>
      <c r="I86" s="341">
        <v>18.100000000000001</v>
      </c>
      <c r="J86" s="342">
        <v>18.100000000000001</v>
      </c>
      <c r="K86" s="351" t="s">
        <v>193</v>
      </c>
    </row>
    <row r="87" spans="1:11" ht="14.4" customHeight="1" thickBot="1" x14ac:dyDescent="0.35">
      <c r="A87" s="361" t="s">
        <v>272</v>
      </c>
      <c r="B87" s="341">
        <v>0</v>
      </c>
      <c r="C87" s="341">
        <v>0</v>
      </c>
      <c r="D87" s="342">
        <v>0</v>
      </c>
      <c r="E87" s="343">
        <v>1</v>
      </c>
      <c r="F87" s="341">
        <v>0</v>
      </c>
      <c r="G87" s="342">
        <v>0</v>
      </c>
      <c r="H87" s="344">
        <v>0</v>
      </c>
      <c r="I87" s="341">
        <v>4</v>
      </c>
      <c r="J87" s="342">
        <v>4</v>
      </c>
      <c r="K87" s="351" t="s">
        <v>204</v>
      </c>
    </row>
    <row r="88" spans="1:11" ht="14.4" customHeight="1" thickBot="1" x14ac:dyDescent="0.35">
      <c r="A88" s="362" t="s">
        <v>273</v>
      </c>
      <c r="B88" s="346">
        <v>0</v>
      </c>
      <c r="C88" s="346">
        <v>0</v>
      </c>
      <c r="D88" s="347">
        <v>0</v>
      </c>
      <c r="E88" s="348">
        <v>1</v>
      </c>
      <c r="F88" s="346">
        <v>0</v>
      </c>
      <c r="G88" s="347">
        <v>0</v>
      </c>
      <c r="H88" s="349">
        <v>0</v>
      </c>
      <c r="I88" s="346">
        <v>4</v>
      </c>
      <c r="J88" s="347">
        <v>4</v>
      </c>
      <c r="K88" s="353" t="s">
        <v>204</v>
      </c>
    </row>
    <row r="89" spans="1:11" ht="14.4" customHeight="1" thickBot="1" x14ac:dyDescent="0.35">
      <c r="A89" s="363" t="s">
        <v>274</v>
      </c>
      <c r="B89" s="341">
        <v>0</v>
      </c>
      <c r="C89" s="341">
        <v>0</v>
      </c>
      <c r="D89" s="342">
        <v>0</v>
      </c>
      <c r="E89" s="343">
        <v>1</v>
      </c>
      <c r="F89" s="341">
        <v>0</v>
      </c>
      <c r="G89" s="342">
        <v>0</v>
      </c>
      <c r="H89" s="344">
        <v>0</v>
      </c>
      <c r="I89" s="341">
        <v>4</v>
      </c>
      <c r="J89" s="342">
        <v>4</v>
      </c>
      <c r="K89" s="351" t="s">
        <v>204</v>
      </c>
    </row>
    <row r="90" spans="1:11" ht="14.4" customHeight="1" thickBot="1" x14ac:dyDescent="0.35">
      <c r="A90" s="361" t="s">
        <v>275</v>
      </c>
      <c r="B90" s="341">
        <v>0</v>
      </c>
      <c r="C90" s="341">
        <v>19.7302</v>
      </c>
      <c r="D90" s="342">
        <v>19.7302</v>
      </c>
      <c r="E90" s="352" t="s">
        <v>193</v>
      </c>
      <c r="F90" s="341">
        <v>0</v>
      </c>
      <c r="G90" s="342">
        <v>0</v>
      </c>
      <c r="H90" s="344">
        <v>1.2</v>
      </c>
      <c r="I90" s="341">
        <v>14.1</v>
      </c>
      <c r="J90" s="342">
        <v>14.1</v>
      </c>
      <c r="K90" s="351" t="s">
        <v>193</v>
      </c>
    </row>
    <row r="91" spans="1:11" ht="14.4" customHeight="1" thickBot="1" x14ac:dyDescent="0.35">
      <c r="A91" s="362" t="s">
        <v>276</v>
      </c>
      <c r="B91" s="346">
        <v>0</v>
      </c>
      <c r="C91" s="346">
        <v>18.280200000000001</v>
      </c>
      <c r="D91" s="347">
        <v>18.280200000000001</v>
      </c>
      <c r="E91" s="354" t="s">
        <v>193</v>
      </c>
      <c r="F91" s="346">
        <v>0</v>
      </c>
      <c r="G91" s="347">
        <v>0</v>
      </c>
      <c r="H91" s="349">
        <v>1.2</v>
      </c>
      <c r="I91" s="346">
        <v>14.1</v>
      </c>
      <c r="J91" s="347">
        <v>14.1</v>
      </c>
      <c r="K91" s="353" t="s">
        <v>193</v>
      </c>
    </row>
    <row r="92" spans="1:11" ht="14.4" customHeight="1" thickBot="1" x14ac:dyDescent="0.35">
      <c r="A92" s="363" t="s">
        <v>277</v>
      </c>
      <c r="B92" s="341">
        <v>0</v>
      </c>
      <c r="C92" s="341">
        <v>0.38719999999999999</v>
      </c>
      <c r="D92" s="342">
        <v>0.38719999999999999</v>
      </c>
      <c r="E92" s="352" t="s">
        <v>204</v>
      </c>
      <c r="F92" s="341">
        <v>0</v>
      </c>
      <c r="G92" s="342">
        <v>0</v>
      </c>
      <c r="H92" s="344">
        <v>0</v>
      </c>
      <c r="I92" s="341">
        <v>0</v>
      </c>
      <c r="J92" s="342">
        <v>0</v>
      </c>
      <c r="K92" s="351" t="s">
        <v>193</v>
      </c>
    </row>
    <row r="93" spans="1:11" ht="14.4" customHeight="1" thickBot="1" x14ac:dyDescent="0.35">
      <c r="A93" s="363" t="s">
        <v>278</v>
      </c>
      <c r="B93" s="341">
        <v>0</v>
      </c>
      <c r="C93" s="341">
        <v>0</v>
      </c>
      <c r="D93" s="342">
        <v>0</v>
      </c>
      <c r="E93" s="352" t="s">
        <v>193</v>
      </c>
      <c r="F93" s="341">
        <v>0</v>
      </c>
      <c r="G93" s="342">
        <v>0</v>
      </c>
      <c r="H93" s="344">
        <v>0.7</v>
      </c>
      <c r="I93" s="341">
        <v>0.7</v>
      </c>
      <c r="J93" s="342">
        <v>0.7</v>
      </c>
      <c r="K93" s="351" t="s">
        <v>204</v>
      </c>
    </row>
    <row r="94" spans="1:11" ht="14.4" customHeight="1" thickBot="1" x14ac:dyDescent="0.35">
      <c r="A94" s="363" t="s">
        <v>279</v>
      </c>
      <c r="B94" s="341">
        <v>0</v>
      </c>
      <c r="C94" s="341">
        <v>17.562999999999999</v>
      </c>
      <c r="D94" s="342">
        <v>17.562999999999999</v>
      </c>
      <c r="E94" s="352" t="s">
        <v>193</v>
      </c>
      <c r="F94" s="341">
        <v>0</v>
      </c>
      <c r="G94" s="342">
        <v>0</v>
      </c>
      <c r="H94" s="344">
        <v>0.5</v>
      </c>
      <c r="I94" s="341">
        <v>13.4</v>
      </c>
      <c r="J94" s="342">
        <v>13.4</v>
      </c>
      <c r="K94" s="351" t="s">
        <v>193</v>
      </c>
    </row>
    <row r="95" spans="1:11" ht="14.4" customHeight="1" thickBot="1" x14ac:dyDescent="0.35">
      <c r="A95" s="363" t="s">
        <v>280</v>
      </c>
      <c r="B95" s="341">
        <v>0</v>
      </c>
      <c r="C95" s="341">
        <v>0.33</v>
      </c>
      <c r="D95" s="342">
        <v>0.33</v>
      </c>
      <c r="E95" s="352" t="s">
        <v>193</v>
      </c>
      <c r="F95" s="341">
        <v>0</v>
      </c>
      <c r="G95" s="342">
        <v>0</v>
      </c>
      <c r="H95" s="344">
        <v>0</v>
      </c>
      <c r="I95" s="341">
        <v>0</v>
      </c>
      <c r="J95" s="342">
        <v>0</v>
      </c>
      <c r="K95" s="351" t="s">
        <v>193</v>
      </c>
    </row>
    <row r="96" spans="1:11" ht="14.4" customHeight="1" thickBot="1" x14ac:dyDescent="0.35">
      <c r="A96" s="365" t="s">
        <v>281</v>
      </c>
      <c r="B96" s="341">
        <v>0</v>
      </c>
      <c r="C96" s="341">
        <v>1.45</v>
      </c>
      <c r="D96" s="342">
        <v>1.45</v>
      </c>
      <c r="E96" s="352" t="s">
        <v>193</v>
      </c>
      <c r="F96" s="341">
        <v>0</v>
      </c>
      <c r="G96" s="342">
        <v>0</v>
      </c>
      <c r="H96" s="344">
        <v>0</v>
      </c>
      <c r="I96" s="341">
        <v>0</v>
      </c>
      <c r="J96" s="342">
        <v>0</v>
      </c>
      <c r="K96" s="351" t="s">
        <v>193</v>
      </c>
    </row>
    <row r="97" spans="1:11" ht="14.4" customHeight="1" thickBot="1" x14ac:dyDescent="0.35">
      <c r="A97" s="363" t="s">
        <v>282</v>
      </c>
      <c r="B97" s="341">
        <v>0</v>
      </c>
      <c r="C97" s="341">
        <v>1.45</v>
      </c>
      <c r="D97" s="342">
        <v>1.45</v>
      </c>
      <c r="E97" s="352" t="s">
        <v>193</v>
      </c>
      <c r="F97" s="341">
        <v>0</v>
      </c>
      <c r="G97" s="342">
        <v>0</v>
      </c>
      <c r="H97" s="344">
        <v>0</v>
      </c>
      <c r="I97" s="341">
        <v>0</v>
      </c>
      <c r="J97" s="342">
        <v>0</v>
      </c>
      <c r="K97" s="351" t="s">
        <v>193</v>
      </c>
    </row>
    <row r="98" spans="1:11" ht="14.4" customHeight="1" thickBot="1" x14ac:dyDescent="0.35">
      <c r="A98" s="360" t="s">
        <v>283</v>
      </c>
      <c r="B98" s="341">
        <v>72.000166266695004</v>
      </c>
      <c r="C98" s="341">
        <v>71.256</v>
      </c>
      <c r="D98" s="342">
        <v>-0.74416626669499997</v>
      </c>
      <c r="E98" s="343">
        <v>0.98966438127400003</v>
      </c>
      <c r="F98" s="341">
        <v>72</v>
      </c>
      <c r="G98" s="342">
        <v>60</v>
      </c>
      <c r="H98" s="344">
        <v>6.0229999999999997</v>
      </c>
      <c r="I98" s="341">
        <v>59.719000000000001</v>
      </c>
      <c r="J98" s="342">
        <v>-0.28100000000000003</v>
      </c>
      <c r="K98" s="345">
        <v>0.829430555555</v>
      </c>
    </row>
    <row r="99" spans="1:11" ht="14.4" customHeight="1" thickBot="1" x14ac:dyDescent="0.35">
      <c r="A99" s="361" t="s">
        <v>284</v>
      </c>
      <c r="B99" s="341">
        <v>72.000166266695004</v>
      </c>
      <c r="C99" s="341">
        <v>71.256</v>
      </c>
      <c r="D99" s="342">
        <v>-0.74416626669499997</v>
      </c>
      <c r="E99" s="343">
        <v>0.98966438127400003</v>
      </c>
      <c r="F99" s="341">
        <v>72</v>
      </c>
      <c r="G99" s="342">
        <v>60</v>
      </c>
      <c r="H99" s="344">
        <v>6.0229999999999997</v>
      </c>
      <c r="I99" s="341">
        <v>59.719000000000001</v>
      </c>
      <c r="J99" s="342">
        <v>-0.28100000000000003</v>
      </c>
      <c r="K99" s="345">
        <v>0.829430555555</v>
      </c>
    </row>
    <row r="100" spans="1:11" ht="14.4" customHeight="1" thickBot="1" x14ac:dyDescent="0.35">
      <c r="A100" s="362" t="s">
        <v>285</v>
      </c>
      <c r="B100" s="346">
        <v>72.000166266695004</v>
      </c>
      <c r="C100" s="346">
        <v>71.256</v>
      </c>
      <c r="D100" s="347">
        <v>-0.74416626669499997</v>
      </c>
      <c r="E100" s="348">
        <v>0.98966438127400003</v>
      </c>
      <c r="F100" s="346">
        <v>72</v>
      </c>
      <c r="G100" s="347">
        <v>60</v>
      </c>
      <c r="H100" s="349">
        <v>6.0229999999999997</v>
      </c>
      <c r="I100" s="346">
        <v>59.719000000000001</v>
      </c>
      <c r="J100" s="347">
        <v>-0.28100000000000003</v>
      </c>
      <c r="K100" s="350">
        <v>0.829430555555</v>
      </c>
    </row>
    <row r="101" spans="1:11" ht="14.4" customHeight="1" thickBot="1" x14ac:dyDescent="0.35">
      <c r="A101" s="363" t="s">
        <v>286</v>
      </c>
      <c r="B101" s="341">
        <v>15.000034638894</v>
      </c>
      <c r="C101" s="341">
        <v>14.58</v>
      </c>
      <c r="D101" s="342">
        <v>-0.420034638894</v>
      </c>
      <c r="E101" s="343">
        <v>0.97199775540400002</v>
      </c>
      <c r="F101" s="341">
        <v>15</v>
      </c>
      <c r="G101" s="342">
        <v>12.5</v>
      </c>
      <c r="H101" s="344">
        <v>1.3009999999999999</v>
      </c>
      <c r="I101" s="341">
        <v>12.494</v>
      </c>
      <c r="J101" s="342">
        <v>-6.0000000000000001E-3</v>
      </c>
      <c r="K101" s="345">
        <v>0.83293333333300001</v>
      </c>
    </row>
    <row r="102" spans="1:11" ht="14.4" customHeight="1" thickBot="1" x14ac:dyDescent="0.35">
      <c r="A102" s="363" t="s">
        <v>287</v>
      </c>
      <c r="B102" s="341">
        <v>57.000131627800002</v>
      </c>
      <c r="C102" s="341">
        <v>56.676000000000002</v>
      </c>
      <c r="D102" s="342">
        <v>-0.32413162779999999</v>
      </c>
      <c r="E102" s="343">
        <v>0.99431349334499997</v>
      </c>
      <c r="F102" s="341">
        <v>57</v>
      </c>
      <c r="G102" s="342">
        <v>47.5</v>
      </c>
      <c r="H102" s="344">
        <v>4.7220000000000004</v>
      </c>
      <c r="I102" s="341">
        <v>47.225000000000001</v>
      </c>
      <c r="J102" s="342">
        <v>-0.27500000000000002</v>
      </c>
      <c r="K102" s="345">
        <v>0.82850877192899997</v>
      </c>
    </row>
    <row r="103" spans="1:11" ht="14.4" customHeight="1" thickBot="1" x14ac:dyDescent="0.35">
      <c r="A103" s="359" t="s">
        <v>288</v>
      </c>
      <c r="B103" s="341">
        <v>149.91698991823799</v>
      </c>
      <c r="C103" s="341">
        <v>6.1600799999999998</v>
      </c>
      <c r="D103" s="342">
        <v>-143.75690991823799</v>
      </c>
      <c r="E103" s="343">
        <v>4.1089939194000002E-2</v>
      </c>
      <c r="F103" s="341">
        <v>5.2240593417429997</v>
      </c>
      <c r="G103" s="342">
        <v>4.3533827847859996</v>
      </c>
      <c r="H103" s="344">
        <v>0.79500000000000004</v>
      </c>
      <c r="I103" s="341">
        <v>3.58</v>
      </c>
      <c r="J103" s="342">
        <v>-0.77338278478599998</v>
      </c>
      <c r="K103" s="345">
        <v>0.68529083722100004</v>
      </c>
    </row>
    <row r="104" spans="1:11" ht="14.4" customHeight="1" thickBot="1" x14ac:dyDescent="0.35">
      <c r="A104" s="360" t="s">
        <v>289</v>
      </c>
      <c r="B104" s="341">
        <v>0.70850209533200004</v>
      </c>
      <c r="C104" s="341">
        <v>0</v>
      </c>
      <c r="D104" s="342">
        <v>-0.70850209533200004</v>
      </c>
      <c r="E104" s="343">
        <v>0</v>
      </c>
      <c r="F104" s="341">
        <v>0</v>
      </c>
      <c r="G104" s="342">
        <v>0</v>
      </c>
      <c r="H104" s="344">
        <v>0</v>
      </c>
      <c r="I104" s="341">
        <v>0</v>
      </c>
      <c r="J104" s="342">
        <v>0</v>
      </c>
      <c r="K104" s="351" t="s">
        <v>193</v>
      </c>
    </row>
    <row r="105" spans="1:11" ht="14.4" customHeight="1" thickBot="1" x14ac:dyDescent="0.35">
      <c r="A105" s="361" t="s">
        <v>290</v>
      </c>
      <c r="B105" s="341">
        <v>0.70850209533200004</v>
      </c>
      <c r="C105" s="341">
        <v>0</v>
      </c>
      <c r="D105" s="342">
        <v>-0.70850209533200004</v>
      </c>
      <c r="E105" s="343">
        <v>0</v>
      </c>
      <c r="F105" s="341">
        <v>0</v>
      </c>
      <c r="G105" s="342">
        <v>0</v>
      </c>
      <c r="H105" s="344">
        <v>0</v>
      </c>
      <c r="I105" s="341">
        <v>0</v>
      </c>
      <c r="J105" s="342">
        <v>0</v>
      </c>
      <c r="K105" s="351" t="s">
        <v>193</v>
      </c>
    </row>
    <row r="106" spans="1:11" ht="14.4" customHeight="1" thickBot="1" x14ac:dyDescent="0.35">
      <c r="A106" s="362" t="s">
        <v>291</v>
      </c>
      <c r="B106" s="346">
        <v>0.70850209533200004</v>
      </c>
      <c r="C106" s="346">
        <v>0</v>
      </c>
      <c r="D106" s="347">
        <v>-0.70850209533200004</v>
      </c>
      <c r="E106" s="348">
        <v>0</v>
      </c>
      <c r="F106" s="346">
        <v>0</v>
      </c>
      <c r="G106" s="347">
        <v>0</v>
      </c>
      <c r="H106" s="349">
        <v>0</v>
      </c>
      <c r="I106" s="346">
        <v>0</v>
      </c>
      <c r="J106" s="347">
        <v>0</v>
      </c>
      <c r="K106" s="350">
        <v>0</v>
      </c>
    </row>
    <row r="107" spans="1:11" ht="14.4" customHeight="1" thickBot="1" x14ac:dyDescent="0.35">
      <c r="A107" s="363" t="s">
        <v>292</v>
      </c>
      <c r="B107" s="341">
        <v>0.70850209533200004</v>
      </c>
      <c r="C107" s="341">
        <v>0</v>
      </c>
      <c r="D107" s="342">
        <v>-0.70850209533200004</v>
      </c>
      <c r="E107" s="343">
        <v>0</v>
      </c>
      <c r="F107" s="341">
        <v>0</v>
      </c>
      <c r="G107" s="342">
        <v>0</v>
      </c>
      <c r="H107" s="344">
        <v>0</v>
      </c>
      <c r="I107" s="341">
        <v>0</v>
      </c>
      <c r="J107" s="342">
        <v>0</v>
      </c>
      <c r="K107" s="345">
        <v>0</v>
      </c>
    </row>
    <row r="108" spans="1:11" ht="14.4" customHeight="1" thickBot="1" x14ac:dyDescent="0.35">
      <c r="A108" s="360" t="s">
        <v>293</v>
      </c>
      <c r="B108" s="341">
        <v>149.20848782290599</v>
      </c>
      <c r="C108" s="341">
        <v>6.1600799999999998</v>
      </c>
      <c r="D108" s="342">
        <v>-143.048407822906</v>
      </c>
      <c r="E108" s="343">
        <v>4.1285050801999998E-2</v>
      </c>
      <c r="F108" s="341">
        <v>5.2240593417429997</v>
      </c>
      <c r="G108" s="342">
        <v>4.3533827847859996</v>
      </c>
      <c r="H108" s="344">
        <v>0.79500000000000004</v>
      </c>
      <c r="I108" s="341">
        <v>3.58</v>
      </c>
      <c r="J108" s="342">
        <v>-0.77338278478599998</v>
      </c>
      <c r="K108" s="345">
        <v>0.68529083722100004</v>
      </c>
    </row>
    <row r="109" spans="1:11" ht="14.4" customHeight="1" thickBot="1" x14ac:dyDescent="0.35">
      <c r="A109" s="361" t="s">
        <v>294</v>
      </c>
      <c r="B109" s="341">
        <v>0</v>
      </c>
      <c r="C109" s="341">
        <v>0</v>
      </c>
      <c r="D109" s="342">
        <v>0</v>
      </c>
      <c r="E109" s="343">
        <v>1</v>
      </c>
      <c r="F109" s="341">
        <v>0</v>
      </c>
      <c r="G109" s="342">
        <v>0</v>
      </c>
      <c r="H109" s="344">
        <v>0.75</v>
      </c>
      <c r="I109" s="341">
        <v>3</v>
      </c>
      <c r="J109" s="342">
        <v>3</v>
      </c>
      <c r="K109" s="351" t="s">
        <v>204</v>
      </c>
    </row>
    <row r="110" spans="1:11" ht="14.4" customHeight="1" thickBot="1" x14ac:dyDescent="0.35">
      <c r="A110" s="362" t="s">
        <v>295</v>
      </c>
      <c r="B110" s="346">
        <v>0</v>
      </c>
      <c r="C110" s="346">
        <v>0</v>
      </c>
      <c r="D110" s="347">
        <v>0</v>
      </c>
      <c r="E110" s="348">
        <v>1</v>
      </c>
      <c r="F110" s="346">
        <v>0</v>
      </c>
      <c r="G110" s="347">
        <v>0</v>
      </c>
      <c r="H110" s="349">
        <v>0.75</v>
      </c>
      <c r="I110" s="346">
        <v>3</v>
      </c>
      <c r="J110" s="347">
        <v>3</v>
      </c>
      <c r="K110" s="353" t="s">
        <v>204</v>
      </c>
    </row>
    <row r="111" spans="1:11" ht="14.4" customHeight="1" thickBot="1" x14ac:dyDescent="0.35">
      <c r="A111" s="363" t="s">
        <v>296</v>
      </c>
      <c r="B111" s="341">
        <v>0</v>
      </c>
      <c r="C111" s="341">
        <v>0</v>
      </c>
      <c r="D111" s="342">
        <v>0</v>
      </c>
      <c r="E111" s="343">
        <v>1</v>
      </c>
      <c r="F111" s="341">
        <v>0</v>
      </c>
      <c r="G111" s="342">
        <v>0</v>
      </c>
      <c r="H111" s="344">
        <v>0.75</v>
      </c>
      <c r="I111" s="341">
        <v>3</v>
      </c>
      <c r="J111" s="342">
        <v>3</v>
      </c>
      <c r="K111" s="351" t="s">
        <v>204</v>
      </c>
    </row>
    <row r="112" spans="1:11" ht="14.4" customHeight="1" thickBot="1" x14ac:dyDescent="0.35">
      <c r="A112" s="366" t="s">
        <v>297</v>
      </c>
      <c r="B112" s="346">
        <v>149.20848782290599</v>
      </c>
      <c r="C112" s="346">
        <v>6.1600799999999998</v>
      </c>
      <c r="D112" s="347">
        <v>-143.048407822906</v>
      </c>
      <c r="E112" s="348">
        <v>4.1285050801999998E-2</v>
      </c>
      <c r="F112" s="346">
        <v>5.2240593417429997</v>
      </c>
      <c r="G112" s="347">
        <v>4.3533827847859996</v>
      </c>
      <c r="H112" s="349">
        <v>4.4999999999999998E-2</v>
      </c>
      <c r="I112" s="346">
        <v>0.57999999999999996</v>
      </c>
      <c r="J112" s="347">
        <v>-3.773382784786</v>
      </c>
      <c r="K112" s="350">
        <v>0.11102477250999999</v>
      </c>
    </row>
    <row r="113" spans="1:11" ht="14.4" customHeight="1" thickBot="1" x14ac:dyDescent="0.35">
      <c r="A113" s="362" t="s">
        <v>298</v>
      </c>
      <c r="B113" s="346">
        <v>149.20848782290599</v>
      </c>
      <c r="C113" s="346">
        <v>6.1600799999999998</v>
      </c>
      <c r="D113" s="347">
        <v>-143.048407822906</v>
      </c>
      <c r="E113" s="348">
        <v>4.1285050801999998E-2</v>
      </c>
      <c r="F113" s="346">
        <v>5.2240593417429997</v>
      </c>
      <c r="G113" s="347">
        <v>4.3533827847859996</v>
      </c>
      <c r="H113" s="349">
        <v>4.4999999999999998E-2</v>
      </c>
      <c r="I113" s="346">
        <v>0.57999999999999996</v>
      </c>
      <c r="J113" s="347">
        <v>-3.773382784786</v>
      </c>
      <c r="K113" s="350">
        <v>0.11102477250999999</v>
      </c>
    </row>
    <row r="114" spans="1:11" ht="14.4" customHeight="1" thickBot="1" x14ac:dyDescent="0.35">
      <c r="A114" s="363" t="s">
        <v>299</v>
      </c>
      <c r="B114" s="341">
        <v>0.80962967675099995</v>
      </c>
      <c r="C114" s="341">
        <v>0.21</v>
      </c>
      <c r="D114" s="342">
        <v>-0.59962967675099998</v>
      </c>
      <c r="E114" s="343">
        <v>0.25937784400699998</v>
      </c>
      <c r="F114" s="341">
        <v>0</v>
      </c>
      <c r="G114" s="342">
        <v>0</v>
      </c>
      <c r="H114" s="344">
        <v>4.4999999999999998E-2</v>
      </c>
      <c r="I114" s="341">
        <v>0.57999999999999996</v>
      </c>
      <c r="J114" s="342">
        <v>0.57999999999999996</v>
      </c>
      <c r="K114" s="351" t="s">
        <v>193</v>
      </c>
    </row>
    <row r="115" spans="1:11" ht="14.4" customHeight="1" thickBot="1" x14ac:dyDescent="0.35">
      <c r="A115" s="363" t="s">
        <v>300</v>
      </c>
      <c r="B115" s="341">
        <v>148.39885814615499</v>
      </c>
      <c r="C115" s="341">
        <v>5.9500799999999998</v>
      </c>
      <c r="D115" s="342">
        <v>-142.44877814615501</v>
      </c>
      <c r="E115" s="343">
        <v>4.0095187215000001E-2</v>
      </c>
      <c r="F115" s="341">
        <v>5.2240593417429997</v>
      </c>
      <c r="G115" s="342">
        <v>4.3533827847859996</v>
      </c>
      <c r="H115" s="344">
        <v>0</v>
      </c>
      <c r="I115" s="341">
        <v>0</v>
      </c>
      <c r="J115" s="342">
        <v>-4.3533827847859996</v>
      </c>
      <c r="K115" s="345">
        <v>0</v>
      </c>
    </row>
    <row r="116" spans="1:11" ht="14.4" customHeight="1" thickBot="1" x14ac:dyDescent="0.35">
      <c r="A116" s="359" t="s">
        <v>301</v>
      </c>
      <c r="B116" s="341">
        <v>501.42696791205799</v>
      </c>
      <c r="C116" s="341">
        <v>495.05142999999998</v>
      </c>
      <c r="D116" s="342">
        <v>-6.3755379120580002</v>
      </c>
      <c r="E116" s="343">
        <v>0.987285211366</v>
      </c>
      <c r="F116" s="341">
        <v>442.79417767830699</v>
      </c>
      <c r="G116" s="342">
        <v>368.99514806525599</v>
      </c>
      <c r="H116" s="344">
        <v>48.445979999999999</v>
      </c>
      <c r="I116" s="341">
        <v>410.7303</v>
      </c>
      <c r="J116" s="342">
        <v>41.735151934744003</v>
      </c>
      <c r="K116" s="345">
        <v>0.92758739998200002</v>
      </c>
    </row>
    <row r="117" spans="1:11" ht="14.4" customHeight="1" thickBot="1" x14ac:dyDescent="0.35">
      <c r="A117" s="364" t="s">
        <v>302</v>
      </c>
      <c r="B117" s="346">
        <v>501.42696791205799</v>
      </c>
      <c r="C117" s="346">
        <v>495.05142999999998</v>
      </c>
      <c r="D117" s="347">
        <v>-6.3755379120580002</v>
      </c>
      <c r="E117" s="348">
        <v>0.987285211366</v>
      </c>
      <c r="F117" s="346">
        <v>442.79417767830699</v>
      </c>
      <c r="G117" s="347">
        <v>368.99514806525599</v>
      </c>
      <c r="H117" s="349">
        <v>48.445979999999999</v>
      </c>
      <c r="I117" s="346">
        <v>410.7303</v>
      </c>
      <c r="J117" s="347">
        <v>41.735151934744003</v>
      </c>
      <c r="K117" s="350">
        <v>0.92758739998200002</v>
      </c>
    </row>
    <row r="118" spans="1:11" ht="14.4" customHeight="1" thickBot="1" x14ac:dyDescent="0.35">
      <c r="A118" s="366" t="s">
        <v>38</v>
      </c>
      <c r="B118" s="346">
        <v>501.42696791205799</v>
      </c>
      <c r="C118" s="346">
        <v>495.05142999999998</v>
      </c>
      <c r="D118" s="347">
        <v>-6.3755379120580002</v>
      </c>
      <c r="E118" s="348">
        <v>0.987285211366</v>
      </c>
      <c r="F118" s="346">
        <v>442.79417767830699</v>
      </c>
      <c r="G118" s="347">
        <v>368.99514806525599</v>
      </c>
      <c r="H118" s="349">
        <v>48.445979999999999</v>
      </c>
      <c r="I118" s="346">
        <v>410.7303</v>
      </c>
      <c r="J118" s="347">
        <v>41.735151934744003</v>
      </c>
      <c r="K118" s="350">
        <v>0.92758739998200002</v>
      </c>
    </row>
    <row r="119" spans="1:11" ht="14.4" customHeight="1" thickBot="1" x14ac:dyDescent="0.35">
      <c r="A119" s="362" t="s">
        <v>303</v>
      </c>
      <c r="B119" s="346">
        <v>42.601398573247003</v>
      </c>
      <c r="C119" s="346">
        <v>15.6295</v>
      </c>
      <c r="D119" s="347">
        <v>-26.971898573247</v>
      </c>
      <c r="E119" s="348">
        <v>0.36687762663700002</v>
      </c>
      <c r="F119" s="346">
        <v>28.454718974555</v>
      </c>
      <c r="G119" s="347">
        <v>23.712265812129001</v>
      </c>
      <c r="H119" s="349">
        <v>2.3986000000000001</v>
      </c>
      <c r="I119" s="346">
        <v>12.71902</v>
      </c>
      <c r="J119" s="347">
        <v>-10.993245812129</v>
      </c>
      <c r="K119" s="350">
        <v>0.44699158727799998</v>
      </c>
    </row>
    <row r="120" spans="1:11" ht="14.4" customHeight="1" thickBot="1" x14ac:dyDescent="0.35">
      <c r="A120" s="363" t="s">
        <v>304</v>
      </c>
      <c r="B120" s="341">
        <v>41.832161039033998</v>
      </c>
      <c r="C120" s="341">
        <v>15.115</v>
      </c>
      <c r="D120" s="342">
        <v>-26.717161039034</v>
      </c>
      <c r="E120" s="343">
        <v>0.36132486643200001</v>
      </c>
      <c r="F120" s="341">
        <v>27.903881028560999</v>
      </c>
      <c r="G120" s="342">
        <v>23.253234190468</v>
      </c>
      <c r="H120" s="344">
        <v>2.3986000000000001</v>
      </c>
      <c r="I120" s="341">
        <v>12.1075</v>
      </c>
      <c r="J120" s="342">
        <v>-11.145734190468</v>
      </c>
      <c r="K120" s="345">
        <v>0.43390021580100002</v>
      </c>
    </row>
    <row r="121" spans="1:11" ht="14.4" customHeight="1" thickBot="1" x14ac:dyDescent="0.35">
      <c r="A121" s="363" t="s">
        <v>305</v>
      </c>
      <c r="B121" s="341">
        <v>0.76923753421200003</v>
      </c>
      <c r="C121" s="341">
        <v>0.51449999999999996</v>
      </c>
      <c r="D121" s="342">
        <v>-0.25473753421200002</v>
      </c>
      <c r="E121" s="343">
        <v>0.66884411786599995</v>
      </c>
      <c r="F121" s="341">
        <v>0.55083794599299996</v>
      </c>
      <c r="G121" s="342">
        <v>0.45903162166099998</v>
      </c>
      <c r="H121" s="344">
        <v>0</v>
      </c>
      <c r="I121" s="341">
        <v>0.61151999999999995</v>
      </c>
      <c r="J121" s="342">
        <v>0.152488378338</v>
      </c>
      <c r="K121" s="345">
        <v>1.1101631694909999</v>
      </c>
    </row>
    <row r="122" spans="1:11" ht="14.4" customHeight="1" thickBot="1" x14ac:dyDescent="0.35">
      <c r="A122" s="362" t="s">
        <v>306</v>
      </c>
      <c r="B122" s="346">
        <v>5.3832688803610003</v>
      </c>
      <c r="C122" s="346">
        <v>5.4831000000000003</v>
      </c>
      <c r="D122" s="347">
        <v>9.9831119637999996E-2</v>
      </c>
      <c r="E122" s="348">
        <v>1.0185447024580001</v>
      </c>
      <c r="F122" s="346">
        <v>5.3653403454199999</v>
      </c>
      <c r="G122" s="347">
        <v>4.471116954517</v>
      </c>
      <c r="H122" s="349">
        <v>0.59650000000000003</v>
      </c>
      <c r="I122" s="346">
        <v>5.2990000000000004</v>
      </c>
      <c r="J122" s="347">
        <v>0.82788304548199998</v>
      </c>
      <c r="K122" s="350">
        <v>0.98763538915500004</v>
      </c>
    </row>
    <row r="123" spans="1:11" ht="14.4" customHeight="1" thickBot="1" x14ac:dyDescent="0.35">
      <c r="A123" s="363" t="s">
        <v>307</v>
      </c>
      <c r="B123" s="341">
        <v>5.3832688803610003</v>
      </c>
      <c r="C123" s="341">
        <v>5.4831000000000003</v>
      </c>
      <c r="D123" s="342">
        <v>9.9831119637999996E-2</v>
      </c>
      <c r="E123" s="343">
        <v>1.0185447024580001</v>
      </c>
      <c r="F123" s="341">
        <v>5.3653403454199999</v>
      </c>
      <c r="G123" s="342">
        <v>4.471116954517</v>
      </c>
      <c r="H123" s="344">
        <v>0.59650000000000003</v>
      </c>
      <c r="I123" s="341">
        <v>5.2990000000000004</v>
      </c>
      <c r="J123" s="342">
        <v>0.82788304548199998</v>
      </c>
      <c r="K123" s="345">
        <v>0.98763538915500004</v>
      </c>
    </row>
    <row r="124" spans="1:11" ht="14.4" customHeight="1" thickBot="1" x14ac:dyDescent="0.35">
      <c r="A124" s="362" t="s">
        <v>308</v>
      </c>
      <c r="B124" s="346">
        <v>152.30162555027701</v>
      </c>
      <c r="C124" s="346">
        <v>145.72031999999999</v>
      </c>
      <c r="D124" s="347">
        <v>-6.5813055502770004</v>
      </c>
      <c r="E124" s="348">
        <v>0.95678768675899994</v>
      </c>
      <c r="F124" s="346">
        <v>119.44878591118599</v>
      </c>
      <c r="G124" s="347">
        <v>99.540654925987994</v>
      </c>
      <c r="H124" s="349">
        <v>8.3978599999999997</v>
      </c>
      <c r="I124" s="346">
        <v>101.55117</v>
      </c>
      <c r="J124" s="347">
        <v>2.0105150740109998</v>
      </c>
      <c r="K124" s="350">
        <v>0.85016494077600002</v>
      </c>
    </row>
    <row r="125" spans="1:11" ht="14.4" customHeight="1" thickBot="1" x14ac:dyDescent="0.35">
      <c r="A125" s="363" t="s">
        <v>309</v>
      </c>
      <c r="B125" s="341">
        <v>152.30162555027701</v>
      </c>
      <c r="C125" s="341">
        <v>145.72031999999999</v>
      </c>
      <c r="D125" s="342">
        <v>-6.5813055502770004</v>
      </c>
      <c r="E125" s="343">
        <v>0.95678768675899994</v>
      </c>
      <c r="F125" s="341">
        <v>119.44878591118599</v>
      </c>
      <c r="G125" s="342">
        <v>99.540654925987994</v>
      </c>
      <c r="H125" s="344">
        <v>8.3978599999999997</v>
      </c>
      <c r="I125" s="341">
        <v>101.55117</v>
      </c>
      <c r="J125" s="342">
        <v>2.0105150740109998</v>
      </c>
      <c r="K125" s="345">
        <v>0.85016494077600002</v>
      </c>
    </row>
    <row r="126" spans="1:11" ht="14.4" customHeight="1" thickBot="1" x14ac:dyDescent="0.35">
      <c r="A126" s="362" t="s">
        <v>310</v>
      </c>
      <c r="B126" s="346">
        <v>0</v>
      </c>
      <c r="C126" s="346">
        <v>15.638</v>
      </c>
      <c r="D126" s="347">
        <v>15.638</v>
      </c>
      <c r="E126" s="354" t="s">
        <v>204</v>
      </c>
      <c r="F126" s="346">
        <v>0</v>
      </c>
      <c r="G126" s="347">
        <v>0</v>
      </c>
      <c r="H126" s="349">
        <v>2.0830000000000002</v>
      </c>
      <c r="I126" s="346">
        <v>7.8529999999999998</v>
      </c>
      <c r="J126" s="347">
        <v>7.8529999999999998</v>
      </c>
      <c r="K126" s="353" t="s">
        <v>204</v>
      </c>
    </row>
    <row r="127" spans="1:11" ht="14.4" customHeight="1" thickBot="1" x14ac:dyDescent="0.35">
      <c r="A127" s="363" t="s">
        <v>311</v>
      </c>
      <c r="B127" s="341">
        <v>0</v>
      </c>
      <c r="C127" s="341">
        <v>15.638</v>
      </c>
      <c r="D127" s="342">
        <v>15.638</v>
      </c>
      <c r="E127" s="352" t="s">
        <v>204</v>
      </c>
      <c r="F127" s="341">
        <v>0</v>
      </c>
      <c r="G127" s="342">
        <v>0</v>
      </c>
      <c r="H127" s="344">
        <v>2.0830000000000002</v>
      </c>
      <c r="I127" s="341">
        <v>7.8529999999999998</v>
      </c>
      <c r="J127" s="342">
        <v>7.8529999999999998</v>
      </c>
      <c r="K127" s="351" t="s">
        <v>204</v>
      </c>
    </row>
    <row r="128" spans="1:11" ht="14.4" customHeight="1" thickBot="1" x14ac:dyDescent="0.35">
      <c r="A128" s="362" t="s">
        <v>312</v>
      </c>
      <c r="B128" s="346">
        <v>301.14067490817098</v>
      </c>
      <c r="C128" s="346">
        <v>312.58051</v>
      </c>
      <c r="D128" s="347">
        <v>11.439835091828</v>
      </c>
      <c r="E128" s="348">
        <v>1.037988342475</v>
      </c>
      <c r="F128" s="346">
        <v>289.52533244714499</v>
      </c>
      <c r="G128" s="347">
        <v>241.271110372621</v>
      </c>
      <c r="H128" s="349">
        <v>34.970019999999998</v>
      </c>
      <c r="I128" s="346">
        <v>283.30811</v>
      </c>
      <c r="J128" s="347">
        <v>42.036999627378997</v>
      </c>
      <c r="K128" s="350">
        <v>0.97852615384399999</v>
      </c>
    </row>
    <row r="129" spans="1:11" ht="14.4" customHeight="1" thickBot="1" x14ac:dyDescent="0.35">
      <c r="A129" s="363" t="s">
        <v>313</v>
      </c>
      <c r="B129" s="341">
        <v>301.14067490817098</v>
      </c>
      <c r="C129" s="341">
        <v>312.58051</v>
      </c>
      <c r="D129" s="342">
        <v>11.439835091828</v>
      </c>
      <c r="E129" s="343">
        <v>1.037988342475</v>
      </c>
      <c r="F129" s="341">
        <v>289.52533244714499</v>
      </c>
      <c r="G129" s="342">
        <v>241.271110372621</v>
      </c>
      <c r="H129" s="344">
        <v>34.970019999999998</v>
      </c>
      <c r="I129" s="341">
        <v>283.30811</v>
      </c>
      <c r="J129" s="342">
        <v>42.036999627378997</v>
      </c>
      <c r="K129" s="345">
        <v>0.97852615384399999</v>
      </c>
    </row>
    <row r="130" spans="1:11" ht="14.4" customHeight="1" thickBot="1" x14ac:dyDescent="0.35">
      <c r="A130" s="367"/>
      <c r="B130" s="341">
        <v>-3853.6280916659198</v>
      </c>
      <c r="C130" s="341">
        <v>-4131.4663200000005</v>
      </c>
      <c r="D130" s="342">
        <v>-277.83822833407999</v>
      </c>
      <c r="E130" s="343">
        <v>1.0720978313739999</v>
      </c>
      <c r="F130" s="341">
        <v>-3923.8787209447701</v>
      </c>
      <c r="G130" s="342">
        <v>-3269.8989341206402</v>
      </c>
      <c r="H130" s="344">
        <v>-335.79876000000002</v>
      </c>
      <c r="I130" s="341">
        <v>-3669.3473600000002</v>
      </c>
      <c r="J130" s="342">
        <v>-399.44842587935699</v>
      </c>
      <c r="K130" s="345">
        <v>0.93513271458000002</v>
      </c>
    </row>
    <row r="131" spans="1:11" ht="14.4" customHeight="1" thickBot="1" x14ac:dyDescent="0.35">
      <c r="A131" s="368" t="s">
        <v>50</v>
      </c>
      <c r="B131" s="355">
        <v>-3853.6280916659198</v>
      </c>
      <c r="C131" s="355">
        <v>-4131.4663200000005</v>
      </c>
      <c r="D131" s="356">
        <v>-277.83822833407999</v>
      </c>
      <c r="E131" s="357">
        <v>-1.986301531232</v>
      </c>
      <c r="F131" s="355">
        <v>-3923.8787209447701</v>
      </c>
      <c r="G131" s="356">
        <v>-3269.8989341206402</v>
      </c>
      <c r="H131" s="355">
        <v>-335.79876000000002</v>
      </c>
      <c r="I131" s="355">
        <v>-3669.3473600000002</v>
      </c>
      <c r="J131" s="356">
        <v>-399.44842587935699</v>
      </c>
      <c r="K131" s="358">
        <v>0.93513271458000002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62" customWidth="1"/>
    <col min="2" max="2" width="61.109375" style="162" customWidth="1"/>
    <col min="3" max="3" width="9.5546875" style="95" hidden="1" customWidth="1" outlineLevel="1"/>
    <col min="4" max="4" width="9.5546875" style="163" customWidth="1" collapsed="1"/>
    <col min="5" max="5" width="2.21875" style="163" customWidth="1"/>
    <col min="6" max="6" width="9.5546875" style="164" customWidth="1"/>
    <col min="7" max="7" width="9.5546875" style="161" customWidth="1"/>
    <col min="8" max="9" width="9.5546875" style="95" customWidth="1"/>
    <col min="10" max="10" width="0" style="95" hidden="1" customWidth="1"/>
    <col min="11" max="16384" width="8.88671875" style="95"/>
  </cols>
  <sheetData>
    <row r="1" spans="1:10" ht="18.600000000000001" customHeight="1" thickBot="1" x14ac:dyDescent="0.4">
      <c r="A1" s="287" t="s">
        <v>76</v>
      </c>
      <c r="B1" s="288"/>
      <c r="C1" s="288"/>
      <c r="D1" s="288"/>
      <c r="E1" s="288"/>
      <c r="F1" s="288"/>
      <c r="G1" s="258"/>
      <c r="H1" s="289"/>
      <c r="I1" s="289"/>
    </row>
    <row r="2" spans="1:10" ht="14.4" customHeight="1" thickBot="1" x14ac:dyDescent="0.35">
      <c r="A2" s="170" t="s">
        <v>192</v>
      </c>
      <c r="B2" s="160"/>
      <c r="C2" s="160"/>
      <c r="D2" s="160"/>
      <c r="E2" s="160"/>
      <c r="F2" s="160"/>
    </row>
    <row r="3" spans="1:10" ht="14.4" customHeight="1" thickBot="1" x14ac:dyDescent="0.35">
      <c r="A3" s="170"/>
      <c r="B3" s="201"/>
      <c r="C3" s="200">
        <v>2015</v>
      </c>
      <c r="D3" s="177">
        <v>2016</v>
      </c>
      <c r="E3" s="7"/>
      <c r="F3" s="266">
        <v>2017</v>
      </c>
      <c r="G3" s="284"/>
      <c r="H3" s="284"/>
      <c r="I3" s="267"/>
    </row>
    <row r="4" spans="1:10" ht="14.4" customHeight="1" thickBot="1" x14ac:dyDescent="0.35">
      <c r="A4" s="181" t="s">
        <v>0</v>
      </c>
      <c r="B4" s="182" t="s">
        <v>122</v>
      </c>
      <c r="C4" s="285" t="s">
        <v>54</v>
      </c>
      <c r="D4" s="286"/>
      <c r="E4" s="183"/>
      <c r="F4" s="178" t="s">
        <v>54</v>
      </c>
      <c r="G4" s="179" t="s">
        <v>55</v>
      </c>
      <c r="H4" s="179" t="s">
        <v>51</v>
      </c>
      <c r="I4" s="180" t="s">
        <v>56</v>
      </c>
    </row>
    <row r="5" spans="1:10" ht="14.4" customHeight="1" x14ac:dyDescent="0.3">
      <c r="A5" s="369" t="s">
        <v>314</v>
      </c>
      <c r="B5" s="370" t="s">
        <v>315</v>
      </c>
      <c r="C5" s="371" t="s">
        <v>316</v>
      </c>
      <c r="D5" s="371" t="s">
        <v>316</v>
      </c>
      <c r="E5" s="371"/>
      <c r="F5" s="371" t="s">
        <v>316</v>
      </c>
      <c r="G5" s="371" t="s">
        <v>316</v>
      </c>
      <c r="H5" s="371" t="s">
        <v>316</v>
      </c>
      <c r="I5" s="372" t="s">
        <v>316</v>
      </c>
      <c r="J5" s="373" t="s">
        <v>52</v>
      </c>
    </row>
    <row r="6" spans="1:10" ht="14.4" customHeight="1" x14ac:dyDescent="0.3">
      <c r="A6" s="369" t="s">
        <v>314</v>
      </c>
      <c r="B6" s="370" t="s">
        <v>317</v>
      </c>
      <c r="C6" s="371">
        <v>0.40908999999999995</v>
      </c>
      <c r="D6" s="371">
        <v>0.45740999999999998</v>
      </c>
      <c r="E6" s="371"/>
      <c r="F6" s="371">
        <v>0.73538999999999999</v>
      </c>
      <c r="G6" s="371">
        <v>4.1666665039062503</v>
      </c>
      <c r="H6" s="371">
        <v>-3.4312765039062505</v>
      </c>
      <c r="I6" s="372">
        <v>0.17649360689428151</v>
      </c>
      <c r="J6" s="373" t="s">
        <v>1</v>
      </c>
    </row>
    <row r="7" spans="1:10" ht="14.4" customHeight="1" x14ac:dyDescent="0.3">
      <c r="A7" s="369" t="s">
        <v>314</v>
      </c>
      <c r="B7" s="370" t="s">
        <v>318</v>
      </c>
      <c r="C7" s="371">
        <v>0.40908999999999995</v>
      </c>
      <c r="D7" s="371">
        <v>0.45740999999999998</v>
      </c>
      <c r="E7" s="371"/>
      <c r="F7" s="371">
        <v>0.73538999999999999</v>
      </c>
      <c r="G7" s="371">
        <v>4.1666665039062503</v>
      </c>
      <c r="H7" s="371">
        <v>-3.4312765039062505</v>
      </c>
      <c r="I7" s="372">
        <v>0.17649360689428151</v>
      </c>
      <c r="J7" s="373" t="s">
        <v>319</v>
      </c>
    </row>
    <row r="9" spans="1:10" ht="14.4" customHeight="1" x14ac:dyDescent="0.3">
      <c r="A9" s="369" t="s">
        <v>314</v>
      </c>
      <c r="B9" s="370" t="s">
        <v>315</v>
      </c>
      <c r="C9" s="371" t="s">
        <v>316</v>
      </c>
      <c r="D9" s="371" t="s">
        <v>316</v>
      </c>
      <c r="E9" s="371"/>
      <c r="F9" s="371" t="s">
        <v>316</v>
      </c>
      <c r="G9" s="371" t="s">
        <v>316</v>
      </c>
      <c r="H9" s="371" t="s">
        <v>316</v>
      </c>
      <c r="I9" s="372" t="s">
        <v>316</v>
      </c>
      <c r="J9" s="373" t="s">
        <v>52</v>
      </c>
    </row>
    <row r="10" spans="1:10" ht="14.4" customHeight="1" x14ac:dyDescent="0.3">
      <c r="A10" s="369" t="s">
        <v>320</v>
      </c>
      <c r="B10" s="370" t="s">
        <v>315</v>
      </c>
      <c r="C10" s="371" t="s">
        <v>316</v>
      </c>
      <c r="D10" s="371" t="s">
        <v>316</v>
      </c>
      <c r="E10" s="371"/>
      <c r="F10" s="371" t="s">
        <v>316</v>
      </c>
      <c r="G10" s="371" t="s">
        <v>316</v>
      </c>
      <c r="H10" s="371" t="s">
        <v>316</v>
      </c>
      <c r="I10" s="372" t="s">
        <v>316</v>
      </c>
      <c r="J10" s="373" t="s">
        <v>0</v>
      </c>
    </row>
    <row r="11" spans="1:10" ht="14.4" customHeight="1" x14ac:dyDescent="0.3">
      <c r="A11" s="369" t="s">
        <v>320</v>
      </c>
      <c r="B11" s="370" t="s">
        <v>317</v>
      </c>
      <c r="C11" s="371">
        <v>0.40908999999999995</v>
      </c>
      <c r="D11" s="371">
        <v>0.45740999999999998</v>
      </c>
      <c r="E11" s="371"/>
      <c r="F11" s="371">
        <v>0.73538999999999999</v>
      </c>
      <c r="G11" s="371">
        <v>4</v>
      </c>
      <c r="H11" s="371">
        <v>-3.2646100000000002</v>
      </c>
      <c r="I11" s="372">
        <v>0.1838475</v>
      </c>
      <c r="J11" s="373" t="s">
        <v>1</v>
      </c>
    </row>
    <row r="12" spans="1:10" ht="14.4" customHeight="1" x14ac:dyDescent="0.3">
      <c r="A12" s="369" t="s">
        <v>320</v>
      </c>
      <c r="B12" s="370" t="s">
        <v>318</v>
      </c>
      <c r="C12" s="371">
        <v>0.40908999999999995</v>
      </c>
      <c r="D12" s="371">
        <v>0.45740999999999998</v>
      </c>
      <c r="E12" s="371"/>
      <c r="F12" s="371">
        <v>0.73538999999999999</v>
      </c>
      <c r="G12" s="371">
        <v>4</v>
      </c>
      <c r="H12" s="371">
        <v>-3.2646100000000002</v>
      </c>
      <c r="I12" s="372">
        <v>0.1838475</v>
      </c>
      <c r="J12" s="373" t="s">
        <v>321</v>
      </c>
    </row>
    <row r="13" spans="1:10" ht="14.4" customHeight="1" x14ac:dyDescent="0.3">
      <c r="A13" s="369" t="s">
        <v>316</v>
      </c>
      <c r="B13" s="370" t="s">
        <v>316</v>
      </c>
      <c r="C13" s="371" t="s">
        <v>316</v>
      </c>
      <c r="D13" s="371" t="s">
        <v>316</v>
      </c>
      <c r="E13" s="371"/>
      <c r="F13" s="371" t="s">
        <v>316</v>
      </c>
      <c r="G13" s="371" t="s">
        <v>316</v>
      </c>
      <c r="H13" s="371" t="s">
        <v>316</v>
      </c>
      <c r="I13" s="372" t="s">
        <v>316</v>
      </c>
      <c r="J13" s="373" t="s">
        <v>322</v>
      </c>
    </row>
    <row r="14" spans="1:10" ht="14.4" customHeight="1" x14ac:dyDescent="0.3">
      <c r="A14" s="369" t="s">
        <v>314</v>
      </c>
      <c r="B14" s="370" t="s">
        <v>318</v>
      </c>
      <c r="C14" s="371">
        <v>0.40908999999999995</v>
      </c>
      <c r="D14" s="371">
        <v>0.45740999999999998</v>
      </c>
      <c r="E14" s="371"/>
      <c r="F14" s="371">
        <v>0.73538999999999999</v>
      </c>
      <c r="G14" s="371">
        <v>4</v>
      </c>
      <c r="H14" s="371">
        <v>-3.2646100000000002</v>
      </c>
      <c r="I14" s="372">
        <v>0.1838475</v>
      </c>
      <c r="J14" s="373" t="s">
        <v>319</v>
      </c>
    </row>
  </sheetData>
  <mergeCells count="3">
    <mergeCell ref="F3:I3"/>
    <mergeCell ref="C4:D4"/>
    <mergeCell ref="A1:I1"/>
  </mergeCells>
  <conditionalFormatting sqref="F8 F15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14">
    <cfRule type="expression" dxfId="27" priority="5">
      <formula>$H9&gt;0</formula>
    </cfRule>
  </conditionalFormatting>
  <conditionalFormatting sqref="A9:A14">
    <cfRule type="expression" dxfId="26" priority="2">
      <formula>AND($J9&lt;&gt;"mezeraKL",$J9&lt;&gt;"")</formula>
    </cfRule>
  </conditionalFormatting>
  <conditionalFormatting sqref="I9:I14">
    <cfRule type="expression" dxfId="25" priority="6">
      <formula>$I9&gt;1</formula>
    </cfRule>
  </conditionalFormatting>
  <conditionalFormatting sqref="B9:B14">
    <cfRule type="expression" dxfId="24" priority="1">
      <formula>OR($J9="NS",$J9="SumaNS",$J9="Účet")</formula>
    </cfRule>
  </conditionalFormatting>
  <conditionalFormatting sqref="A9:D14 F9:I14">
    <cfRule type="expression" dxfId="23" priority="8">
      <formula>AND($J9&lt;&gt;"",$J9&lt;&gt;"mezeraKL")</formula>
    </cfRule>
  </conditionalFormatting>
  <conditionalFormatting sqref="B9:D14 F9:I14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1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5" hidden="1" customWidth="1" outlineLevel="1"/>
    <col min="2" max="2" width="28.33203125" style="95" hidden="1" customWidth="1" outlineLevel="1"/>
    <col min="3" max="3" width="5.33203125" style="163" bestFit="1" customWidth="1" collapsed="1"/>
    <col min="4" max="4" width="18.77734375" style="167" customWidth="1"/>
    <col min="5" max="5" width="9" style="203" bestFit="1" customWidth="1"/>
    <col min="6" max="6" width="18.77734375" style="167" customWidth="1"/>
    <col min="7" max="7" width="5" style="163" customWidth="1"/>
    <col min="8" max="8" width="12.44140625" style="163" hidden="1" customWidth="1" outlineLevel="1"/>
    <col min="9" max="9" width="8.5546875" style="163" hidden="1" customWidth="1" outlineLevel="1"/>
    <col min="10" max="10" width="25.77734375" style="163" customWidth="1" collapsed="1"/>
    <col min="11" max="11" width="8.77734375" style="163" customWidth="1"/>
    <col min="12" max="13" width="7.77734375" style="161" customWidth="1"/>
    <col min="14" max="14" width="12.6640625" style="161" customWidth="1"/>
    <col min="15" max="16384" width="8.88671875" style="95"/>
  </cols>
  <sheetData>
    <row r="1" spans="1:14" ht="18.600000000000001" customHeight="1" thickBot="1" x14ac:dyDescent="0.4">
      <c r="A1" s="294" t="s">
        <v>92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14.4" customHeight="1" thickBot="1" x14ac:dyDescent="0.35">
      <c r="A2" s="170" t="s">
        <v>192</v>
      </c>
      <c r="B2" s="57"/>
      <c r="C2" s="165"/>
      <c r="D2" s="165"/>
      <c r="E2" s="202"/>
      <c r="F2" s="165"/>
      <c r="G2" s="165"/>
      <c r="H2" s="165"/>
      <c r="I2" s="165"/>
      <c r="J2" s="165"/>
      <c r="K2" s="165"/>
      <c r="L2" s="166"/>
      <c r="M2" s="166"/>
      <c r="N2" s="166"/>
    </row>
    <row r="3" spans="1:14" ht="14.4" customHeight="1" thickBot="1" x14ac:dyDescent="0.35">
      <c r="A3" s="57"/>
      <c r="B3" s="57"/>
      <c r="C3" s="290"/>
      <c r="D3" s="291"/>
      <c r="E3" s="291"/>
      <c r="F3" s="291"/>
      <c r="G3" s="291"/>
      <c r="H3" s="291"/>
      <c r="I3" s="291"/>
      <c r="J3" s="292" t="s">
        <v>74</v>
      </c>
      <c r="K3" s="293"/>
      <c r="L3" s="71">
        <f>IF(M3&lt;&gt;0,N3/M3,0)</f>
        <v>73.53927631566151</v>
      </c>
      <c r="M3" s="71">
        <f>SUBTOTAL(9,M5:M1048576)</f>
        <v>10</v>
      </c>
      <c r="N3" s="72">
        <f>SUBTOTAL(9,N5:N1048576)</f>
        <v>735.39276315661516</v>
      </c>
    </row>
    <row r="4" spans="1:14" s="162" customFormat="1" ht="14.4" customHeight="1" thickBot="1" x14ac:dyDescent="0.35">
      <c r="A4" s="374" t="s">
        <v>3</v>
      </c>
      <c r="B4" s="375" t="s">
        <v>4</v>
      </c>
      <c r="C4" s="375" t="s">
        <v>0</v>
      </c>
      <c r="D4" s="375" t="s">
        <v>5</v>
      </c>
      <c r="E4" s="376" t="s">
        <v>6</v>
      </c>
      <c r="F4" s="375" t="s">
        <v>1</v>
      </c>
      <c r="G4" s="375" t="s">
        <v>7</v>
      </c>
      <c r="H4" s="375" t="s">
        <v>8</v>
      </c>
      <c r="I4" s="375" t="s">
        <v>9</v>
      </c>
      <c r="J4" s="377" t="s">
        <v>10</v>
      </c>
      <c r="K4" s="377" t="s">
        <v>11</v>
      </c>
      <c r="L4" s="378" t="s">
        <v>80</v>
      </c>
      <c r="M4" s="378" t="s">
        <v>12</v>
      </c>
      <c r="N4" s="379" t="s">
        <v>88</v>
      </c>
    </row>
    <row r="5" spans="1:14" ht="14.4" customHeight="1" x14ac:dyDescent="0.3">
      <c r="A5" s="380" t="s">
        <v>314</v>
      </c>
      <c r="B5" s="381" t="s">
        <v>315</v>
      </c>
      <c r="C5" s="382" t="s">
        <v>320</v>
      </c>
      <c r="D5" s="383" t="s">
        <v>315</v>
      </c>
      <c r="E5" s="384">
        <v>50113001</v>
      </c>
      <c r="F5" s="383" t="s">
        <v>323</v>
      </c>
      <c r="G5" s="382" t="s">
        <v>324</v>
      </c>
      <c r="H5" s="382">
        <v>500979</v>
      </c>
      <c r="I5" s="382">
        <v>0</v>
      </c>
      <c r="J5" s="382" t="s">
        <v>325</v>
      </c>
      <c r="K5" s="382" t="s">
        <v>316</v>
      </c>
      <c r="L5" s="385">
        <v>52.149978030293653</v>
      </c>
      <c r="M5" s="385">
        <v>2</v>
      </c>
      <c r="N5" s="386">
        <v>104.29995606058731</v>
      </c>
    </row>
    <row r="6" spans="1:14" ht="14.4" customHeight="1" thickBot="1" x14ac:dyDescent="0.35">
      <c r="A6" s="387" t="s">
        <v>314</v>
      </c>
      <c r="B6" s="388" t="s">
        <v>315</v>
      </c>
      <c r="C6" s="389" t="s">
        <v>320</v>
      </c>
      <c r="D6" s="390" t="s">
        <v>315</v>
      </c>
      <c r="E6" s="391">
        <v>50113001</v>
      </c>
      <c r="F6" s="390" t="s">
        <v>323</v>
      </c>
      <c r="G6" s="389" t="s">
        <v>324</v>
      </c>
      <c r="H6" s="389">
        <v>900321</v>
      </c>
      <c r="I6" s="389">
        <v>0</v>
      </c>
      <c r="J6" s="389" t="s">
        <v>326</v>
      </c>
      <c r="K6" s="389" t="s">
        <v>316</v>
      </c>
      <c r="L6" s="392">
        <v>78.886600887003482</v>
      </c>
      <c r="M6" s="392">
        <v>8</v>
      </c>
      <c r="N6" s="393">
        <v>631.09280709602785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196" customWidth="1"/>
    <col min="2" max="2" width="5.44140625" style="161" bestFit="1" customWidth="1"/>
    <col min="3" max="3" width="6.109375" style="161" bestFit="1" customWidth="1"/>
    <col min="4" max="4" width="7.44140625" style="161" bestFit="1" customWidth="1"/>
    <col min="5" max="5" width="6.21875" style="161" bestFit="1" customWidth="1"/>
    <col min="6" max="6" width="6.33203125" style="164" bestFit="1" customWidth="1"/>
    <col min="7" max="7" width="6.109375" style="164" bestFit="1" customWidth="1"/>
    <col min="8" max="8" width="7.44140625" style="164" bestFit="1" customWidth="1"/>
    <col min="9" max="9" width="6.21875" style="164" bestFit="1" customWidth="1"/>
    <col min="10" max="10" width="5.44140625" style="161" bestFit="1" customWidth="1"/>
    <col min="11" max="11" width="6.109375" style="161" bestFit="1" customWidth="1"/>
    <col min="12" max="12" width="7.44140625" style="161" bestFit="1" customWidth="1"/>
    <col min="13" max="13" width="6.21875" style="161" bestFit="1" customWidth="1"/>
    <col min="14" max="14" width="5.33203125" style="164" bestFit="1" customWidth="1"/>
    <col min="15" max="15" width="6.109375" style="164" bestFit="1" customWidth="1"/>
    <col min="16" max="16" width="7.44140625" style="164" bestFit="1" customWidth="1"/>
    <col min="17" max="17" width="6.21875" style="164" bestFit="1" customWidth="1"/>
    <col min="18" max="16384" width="8.88671875" style="95"/>
  </cols>
  <sheetData>
    <row r="1" spans="1:17" ht="18.600000000000001" customHeight="1" thickBot="1" x14ac:dyDescent="0.4">
      <c r="A1" s="295" t="s">
        <v>123</v>
      </c>
      <c r="B1" s="295"/>
      <c r="C1" s="295"/>
      <c r="D1" s="295"/>
      <c r="E1" s="295"/>
      <c r="F1" s="258"/>
      <c r="G1" s="258"/>
      <c r="H1" s="258"/>
      <c r="I1" s="258"/>
      <c r="J1" s="289"/>
      <c r="K1" s="289"/>
      <c r="L1" s="289"/>
      <c r="M1" s="289"/>
      <c r="N1" s="289"/>
      <c r="O1" s="289"/>
      <c r="P1" s="289"/>
      <c r="Q1" s="289"/>
    </row>
    <row r="2" spans="1:17" ht="14.4" customHeight="1" thickBot="1" x14ac:dyDescent="0.35">
      <c r="A2" s="170" t="s">
        <v>192</v>
      </c>
      <c r="B2" s="168"/>
      <c r="C2" s="168"/>
      <c r="D2" s="168"/>
      <c r="E2" s="168"/>
    </row>
    <row r="3" spans="1:17" ht="14.4" customHeight="1" thickBot="1" x14ac:dyDescent="0.35">
      <c r="A3" s="185" t="s">
        <v>2</v>
      </c>
      <c r="B3" s="189">
        <f>SUM(B6:B1048576)</f>
        <v>18</v>
      </c>
      <c r="C3" s="190">
        <f>SUM(C6:C1048576)</f>
        <v>0</v>
      </c>
      <c r="D3" s="190">
        <f>SUM(D6:D1048576)</f>
        <v>0</v>
      </c>
      <c r="E3" s="191">
        <f>SUM(E6:E1048576)</f>
        <v>0</v>
      </c>
      <c r="F3" s="188">
        <f>IF(SUM($B3:$E3)=0,"",B3/SUM($B3:$E3))</f>
        <v>1</v>
      </c>
      <c r="G3" s="186">
        <f t="shared" ref="G3:I3" si="0">IF(SUM($B3:$E3)=0,"",C3/SUM($B3:$E3))</f>
        <v>0</v>
      </c>
      <c r="H3" s="186">
        <f t="shared" si="0"/>
        <v>0</v>
      </c>
      <c r="I3" s="187">
        <f t="shared" si="0"/>
        <v>0</v>
      </c>
      <c r="J3" s="190">
        <f>SUM(J6:J1048576)</f>
        <v>10</v>
      </c>
      <c r="K3" s="190">
        <f>SUM(K6:K1048576)</f>
        <v>0</v>
      </c>
      <c r="L3" s="190">
        <f>SUM(L6:L1048576)</f>
        <v>0</v>
      </c>
      <c r="M3" s="191">
        <f>SUM(M6:M1048576)</f>
        <v>0</v>
      </c>
      <c r="N3" s="188">
        <f>IF(SUM($J3:$M3)=0,"",J3/SUM($J3:$M3))</f>
        <v>1</v>
      </c>
      <c r="O3" s="186">
        <f t="shared" ref="O3:Q3" si="1">IF(SUM($J3:$M3)=0,"",K3/SUM($J3:$M3))</f>
        <v>0</v>
      </c>
      <c r="P3" s="186">
        <f t="shared" si="1"/>
        <v>0</v>
      </c>
      <c r="Q3" s="187">
        <f t="shared" si="1"/>
        <v>0</v>
      </c>
    </row>
    <row r="4" spans="1:17" ht="14.4" customHeight="1" thickBot="1" x14ac:dyDescent="0.35">
      <c r="A4" s="184"/>
      <c r="B4" s="299" t="s">
        <v>125</v>
      </c>
      <c r="C4" s="300"/>
      <c r="D4" s="300"/>
      <c r="E4" s="301"/>
      <c r="F4" s="296" t="s">
        <v>130</v>
      </c>
      <c r="G4" s="297"/>
      <c r="H4" s="297"/>
      <c r="I4" s="298"/>
      <c r="J4" s="299" t="s">
        <v>131</v>
      </c>
      <c r="K4" s="300"/>
      <c r="L4" s="300"/>
      <c r="M4" s="301"/>
      <c r="N4" s="296" t="s">
        <v>132</v>
      </c>
      <c r="O4" s="297"/>
      <c r="P4" s="297"/>
      <c r="Q4" s="298"/>
    </row>
    <row r="5" spans="1:17" ht="14.4" customHeight="1" thickBot="1" x14ac:dyDescent="0.35">
      <c r="A5" s="394" t="s">
        <v>124</v>
      </c>
      <c r="B5" s="395" t="s">
        <v>126</v>
      </c>
      <c r="C5" s="395" t="s">
        <v>127</v>
      </c>
      <c r="D5" s="395" t="s">
        <v>128</v>
      </c>
      <c r="E5" s="396" t="s">
        <v>129</v>
      </c>
      <c r="F5" s="397" t="s">
        <v>126</v>
      </c>
      <c r="G5" s="398" t="s">
        <v>127</v>
      </c>
      <c r="H5" s="398" t="s">
        <v>128</v>
      </c>
      <c r="I5" s="399" t="s">
        <v>129</v>
      </c>
      <c r="J5" s="395" t="s">
        <v>126</v>
      </c>
      <c r="K5" s="395" t="s">
        <v>127</v>
      </c>
      <c r="L5" s="395" t="s">
        <v>128</v>
      </c>
      <c r="M5" s="396" t="s">
        <v>129</v>
      </c>
      <c r="N5" s="397" t="s">
        <v>126</v>
      </c>
      <c r="O5" s="398" t="s">
        <v>127</v>
      </c>
      <c r="P5" s="398" t="s">
        <v>128</v>
      </c>
      <c r="Q5" s="399" t="s">
        <v>129</v>
      </c>
    </row>
    <row r="6" spans="1:17" ht="14.4" customHeight="1" x14ac:dyDescent="0.3">
      <c r="A6" s="404" t="s">
        <v>327</v>
      </c>
      <c r="B6" s="408"/>
      <c r="C6" s="385"/>
      <c r="D6" s="385"/>
      <c r="E6" s="386"/>
      <c r="F6" s="406"/>
      <c r="G6" s="400"/>
      <c r="H6" s="400"/>
      <c r="I6" s="410"/>
      <c r="J6" s="408"/>
      <c r="K6" s="385"/>
      <c r="L6" s="385"/>
      <c r="M6" s="386"/>
      <c r="N6" s="406"/>
      <c r="O6" s="400"/>
      <c r="P6" s="400"/>
      <c r="Q6" s="401"/>
    </row>
    <row r="7" spans="1:17" ht="14.4" customHeight="1" thickBot="1" x14ac:dyDescent="0.35">
      <c r="A7" s="405" t="s">
        <v>328</v>
      </c>
      <c r="B7" s="409">
        <v>18</v>
      </c>
      <c r="C7" s="392"/>
      <c r="D7" s="392"/>
      <c r="E7" s="393"/>
      <c r="F7" s="407">
        <v>1</v>
      </c>
      <c r="G7" s="402">
        <v>0</v>
      </c>
      <c r="H7" s="402">
        <v>0</v>
      </c>
      <c r="I7" s="411">
        <v>0</v>
      </c>
      <c r="J7" s="409">
        <v>10</v>
      </c>
      <c r="K7" s="392"/>
      <c r="L7" s="392"/>
      <c r="M7" s="393"/>
      <c r="N7" s="407">
        <v>1</v>
      </c>
      <c r="O7" s="402">
        <v>0</v>
      </c>
      <c r="P7" s="402">
        <v>0</v>
      </c>
      <c r="Q7" s="40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62" customWidth="1"/>
    <col min="2" max="2" width="61.109375" style="162" customWidth="1"/>
    <col min="3" max="3" width="9.5546875" style="95" hidden="1" customWidth="1" outlineLevel="1"/>
    <col min="4" max="4" width="9.5546875" style="163" customWidth="1" collapsed="1"/>
    <col min="5" max="5" width="2.21875" style="163" customWidth="1"/>
    <col min="6" max="6" width="9.5546875" style="164" customWidth="1"/>
    <col min="7" max="7" width="9.5546875" style="161" customWidth="1"/>
    <col min="8" max="9" width="9.5546875" style="95" customWidth="1"/>
    <col min="10" max="10" width="0" style="95" hidden="1" customWidth="1"/>
    <col min="11" max="16384" width="8.88671875" style="95"/>
  </cols>
  <sheetData>
    <row r="1" spans="1:10" ht="18.600000000000001" customHeight="1" thickBot="1" x14ac:dyDescent="0.4">
      <c r="A1" s="287" t="s">
        <v>77</v>
      </c>
      <c r="B1" s="288"/>
      <c r="C1" s="288"/>
      <c r="D1" s="288"/>
      <c r="E1" s="288"/>
      <c r="F1" s="288"/>
      <c r="G1" s="258"/>
      <c r="H1" s="289"/>
      <c r="I1" s="289"/>
    </row>
    <row r="2" spans="1:10" ht="14.4" customHeight="1" thickBot="1" x14ac:dyDescent="0.35">
      <c r="A2" s="170" t="s">
        <v>192</v>
      </c>
      <c r="B2" s="160"/>
      <c r="C2" s="160"/>
      <c r="D2" s="160"/>
      <c r="E2" s="160"/>
      <c r="F2" s="160"/>
    </row>
    <row r="3" spans="1:10" ht="14.4" customHeight="1" thickBot="1" x14ac:dyDescent="0.35">
      <c r="A3" s="170"/>
      <c r="B3" s="201"/>
      <c r="C3" s="176">
        <v>2015</v>
      </c>
      <c r="D3" s="177">
        <v>2016</v>
      </c>
      <c r="E3" s="7"/>
      <c r="F3" s="266">
        <v>2017</v>
      </c>
      <c r="G3" s="284"/>
      <c r="H3" s="284"/>
      <c r="I3" s="267"/>
    </row>
    <row r="4" spans="1:10" ht="14.4" customHeight="1" thickBot="1" x14ac:dyDescent="0.35">
      <c r="A4" s="181" t="s">
        <v>0</v>
      </c>
      <c r="B4" s="182" t="s">
        <v>122</v>
      </c>
      <c r="C4" s="285" t="s">
        <v>54</v>
      </c>
      <c r="D4" s="286"/>
      <c r="E4" s="183"/>
      <c r="F4" s="178" t="s">
        <v>54</v>
      </c>
      <c r="G4" s="179" t="s">
        <v>55</v>
      </c>
      <c r="H4" s="179" t="s">
        <v>51</v>
      </c>
      <c r="I4" s="180" t="s">
        <v>56</v>
      </c>
    </row>
    <row r="5" spans="1:10" ht="14.4" customHeight="1" x14ac:dyDescent="0.3">
      <c r="A5" s="369" t="s">
        <v>314</v>
      </c>
      <c r="B5" s="370" t="s">
        <v>315</v>
      </c>
      <c r="C5" s="371" t="s">
        <v>316</v>
      </c>
      <c r="D5" s="371" t="s">
        <v>316</v>
      </c>
      <c r="E5" s="371"/>
      <c r="F5" s="371" t="s">
        <v>316</v>
      </c>
      <c r="G5" s="371" t="s">
        <v>316</v>
      </c>
      <c r="H5" s="371" t="s">
        <v>316</v>
      </c>
      <c r="I5" s="372" t="s">
        <v>316</v>
      </c>
      <c r="J5" s="373" t="s">
        <v>52</v>
      </c>
    </row>
    <row r="6" spans="1:10" ht="14.4" customHeight="1" x14ac:dyDescent="0.3">
      <c r="A6" s="369" t="s">
        <v>314</v>
      </c>
      <c r="B6" s="370" t="s">
        <v>329</v>
      </c>
      <c r="C6" s="371">
        <v>42.66872</v>
      </c>
      <c r="D6" s="371">
        <v>50.28396</v>
      </c>
      <c r="E6" s="371"/>
      <c r="F6" s="371">
        <v>48.937229999999992</v>
      </c>
      <c r="G6" s="371">
        <v>50</v>
      </c>
      <c r="H6" s="371">
        <v>-1.0627700000000075</v>
      </c>
      <c r="I6" s="372">
        <v>0.97874459999999985</v>
      </c>
      <c r="J6" s="373" t="s">
        <v>1</v>
      </c>
    </row>
    <row r="7" spans="1:10" ht="14.4" customHeight="1" x14ac:dyDescent="0.3">
      <c r="A7" s="369" t="s">
        <v>314</v>
      </c>
      <c r="B7" s="370" t="s">
        <v>330</v>
      </c>
      <c r="C7" s="371">
        <v>2.6520999999999999</v>
      </c>
      <c r="D7" s="371">
        <v>2.42</v>
      </c>
      <c r="E7" s="371"/>
      <c r="F7" s="371">
        <v>2.42</v>
      </c>
      <c r="G7" s="371">
        <v>3.3333334960937502</v>
      </c>
      <c r="H7" s="371">
        <v>-0.91333349609375025</v>
      </c>
      <c r="I7" s="372">
        <v>0.72599996455078297</v>
      </c>
      <c r="J7" s="373" t="s">
        <v>1</v>
      </c>
    </row>
    <row r="8" spans="1:10" ht="14.4" customHeight="1" x14ac:dyDescent="0.3">
      <c r="A8" s="369" t="s">
        <v>314</v>
      </c>
      <c r="B8" s="370" t="s">
        <v>331</v>
      </c>
      <c r="C8" s="371">
        <v>0.14199999999999999</v>
      </c>
      <c r="D8" s="371">
        <v>0</v>
      </c>
      <c r="E8" s="371"/>
      <c r="F8" s="371">
        <v>0.27600000000000002</v>
      </c>
      <c r="G8" s="371">
        <v>0</v>
      </c>
      <c r="H8" s="371">
        <v>0.27600000000000002</v>
      </c>
      <c r="I8" s="372" t="s">
        <v>316</v>
      </c>
      <c r="J8" s="373" t="s">
        <v>1</v>
      </c>
    </row>
    <row r="9" spans="1:10" ht="14.4" customHeight="1" x14ac:dyDescent="0.3">
      <c r="A9" s="369" t="s">
        <v>314</v>
      </c>
      <c r="B9" s="370" t="s">
        <v>318</v>
      </c>
      <c r="C9" s="371">
        <v>45.462820000000001</v>
      </c>
      <c r="D9" s="371">
        <v>52.703960000000002</v>
      </c>
      <c r="E9" s="371"/>
      <c r="F9" s="371">
        <v>51.633229999999998</v>
      </c>
      <c r="G9" s="371">
        <v>53.333333496093751</v>
      </c>
      <c r="H9" s="371">
        <v>-1.7001034960937531</v>
      </c>
      <c r="I9" s="372">
        <v>0.9681230595455228</v>
      </c>
      <c r="J9" s="373" t="s">
        <v>319</v>
      </c>
    </row>
    <row r="11" spans="1:10" ht="14.4" customHeight="1" x14ac:dyDescent="0.3">
      <c r="A11" s="369" t="s">
        <v>314</v>
      </c>
      <c r="B11" s="370" t="s">
        <v>315</v>
      </c>
      <c r="C11" s="371" t="s">
        <v>316</v>
      </c>
      <c r="D11" s="371" t="s">
        <v>316</v>
      </c>
      <c r="E11" s="371"/>
      <c r="F11" s="371" t="s">
        <v>316</v>
      </c>
      <c r="G11" s="371" t="s">
        <v>316</v>
      </c>
      <c r="H11" s="371" t="s">
        <v>316</v>
      </c>
      <c r="I11" s="372" t="s">
        <v>316</v>
      </c>
      <c r="J11" s="373" t="s">
        <v>52</v>
      </c>
    </row>
    <row r="12" spans="1:10" ht="14.4" customHeight="1" x14ac:dyDescent="0.3">
      <c r="A12" s="369" t="s">
        <v>320</v>
      </c>
      <c r="B12" s="370" t="s">
        <v>315</v>
      </c>
      <c r="C12" s="371" t="s">
        <v>316</v>
      </c>
      <c r="D12" s="371" t="s">
        <v>316</v>
      </c>
      <c r="E12" s="371"/>
      <c r="F12" s="371" t="s">
        <v>316</v>
      </c>
      <c r="G12" s="371" t="s">
        <v>316</v>
      </c>
      <c r="H12" s="371" t="s">
        <v>316</v>
      </c>
      <c r="I12" s="372" t="s">
        <v>316</v>
      </c>
      <c r="J12" s="373" t="s">
        <v>0</v>
      </c>
    </row>
    <row r="13" spans="1:10" ht="14.4" customHeight="1" x14ac:dyDescent="0.3">
      <c r="A13" s="369" t="s">
        <v>320</v>
      </c>
      <c r="B13" s="370" t="s">
        <v>329</v>
      </c>
      <c r="C13" s="371">
        <v>42.66872</v>
      </c>
      <c r="D13" s="371">
        <v>50.28396</v>
      </c>
      <c r="E13" s="371"/>
      <c r="F13" s="371">
        <v>48.937229999999992</v>
      </c>
      <c r="G13" s="371">
        <v>50</v>
      </c>
      <c r="H13" s="371">
        <v>-1.0627700000000075</v>
      </c>
      <c r="I13" s="372">
        <v>0.97874459999999985</v>
      </c>
      <c r="J13" s="373" t="s">
        <v>1</v>
      </c>
    </row>
    <row r="14" spans="1:10" ht="14.4" customHeight="1" x14ac:dyDescent="0.3">
      <c r="A14" s="369" t="s">
        <v>320</v>
      </c>
      <c r="B14" s="370" t="s">
        <v>330</v>
      </c>
      <c r="C14" s="371">
        <v>2.6520999999999999</v>
      </c>
      <c r="D14" s="371">
        <v>2.42</v>
      </c>
      <c r="E14" s="371"/>
      <c r="F14" s="371">
        <v>2.42</v>
      </c>
      <c r="G14" s="371">
        <v>3</v>
      </c>
      <c r="H14" s="371">
        <v>-0.58000000000000007</v>
      </c>
      <c r="I14" s="372">
        <v>0.80666666666666664</v>
      </c>
      <c r="J14" s="373" t="s">
        <v>1</v>
      </c>
    </row>
    <row r="15" spans="1:10" ht="14.4" customHeight="1" x14ac:dyDescent="0.3">
      <c r="A15" s="369" t="s">
        <v>320</v>
      </c>
      <c r="B15" s="370" t="s">
        <v>331</v>
      </c>
      <c r="C15" s="371">
        <v>0.14199999999999999</v>
      </c>
      <c r="D15" s="371">
        <v>0</v>
      </c>
      <c r="E15" s="371"/>
      <c r="F15" s="371">
        <v>0.27600000000000002</v>
      </c>
      <c r="G15" s="371">
        <v>0</v>
      </c>
      <c r="H15" s="371">
        <v>0.27600000000000002</v>
      </c>
      <c r="I15" s="372" t="s">
        <v>316</v>
      </c>
      <c r="J15" s="373" t="s">
        <v>1</v>
      </c>
    </row>
    <row r="16" spans="1:10" ht="14.4" customHeight="1" x14ac:dyDescent="0.3">
      <c r="A16" s="369" t="s">
        <v>320</v>
      </c>
      <c r="B16" s="370" t="s">
        <v>318</v>
      </c>
      <c r="C16" s="371">
        <v>45.462820000000001</v>
      </c>
      <c r="D16" s="371">
        <v>52.703960000000002</v>
      </c>
      <c r="E16" s="371"/>
      <c r="F16" s="371">
        <v>51.633229999999998</v>
      </c>
      <c r="G16" s="371">
        <v>53</v>
      </c>
      <c r="H16" s="371">
        <v>-1.3667700000000025</v>
      </c>
      <c r="I16" s="372">
        <v>0.97421188679245274</v>
      </c>
      <c r="J16" s="373" t="s">
        <v>321</v>
      </c>
    </row>
    <row r="17" spans="1:10" ht="14.4" customHeight="1" x14ac:dyDescent="0.3">
      <c r="A17" s="369" t="s">
        <v>316</v>
      </c>
      <c r="B17" s="370" t="s">
        <v>316</v>
      </c>
      <c r="C17" s="371" t="s">
        <v>316</v>
      </c>
      <c r="D17" s="371" t="s">
        <v>316</v>
      </c>
      <c r="E17" s="371"/>
      <c r="F17" s="371" t="s">
        <v>316</v>
      </c>
      <c r="G17" s="371" t="s">
        <v>316</v>
      </c>
      <c r="H17" s="371" t="s">
        <v>316</v>
      </c>
      <c r="I17" s="372" t="s">
        <v>316</v>
      </c>
      <c r="J17" s="373" t="s">
        <v>322</v>
      </c>
    </row>
    <row r="18" spans="1:10" ht="14.4" customHeight="1" x14ac:dyDescent="0.3">
      <c r="A18" s="369" t="s">
        <v>314</v>
      </c>
      <c r="B18" s="370" t="s">
        <v>318</v>
      </c>
      <c r="C18" s="371">
        <v>45.462820000000001</v>
      </c>
      <c r="D18" s="371">
        <v>52.703960000000002</v>
      </c>
      <c r="E18" s="371"/>
      <c r="F18" s="371">
        <v>51.633229999999998</v>
      </c>
      <c r="G18" s="371">
        <v>53</v>
      </c>
      <c r="H18" s="371">
        <v>-1.3667700000000025</v>
      </c>
      <c r="I18" s="372">
        <v>0.97421188679245274</v>
      </c>
      <c r="J18" s="373" t="s">
        <v>319</v>
      </c>
    </row>
  </sheetData>
  <mergeCells count="3">
    <mergeCell ref="A1:I1"/>
    <mergeCell ref="F3:I3"/>
    <mergeCell ref="C4:D4"/>
  </mergeCells>
  <conditionalFormatting sqref="F10 F19:F65537">
    <cfRule type="cellIs" dxfId="19" priority="18" stopIfTrue="1" operator="greaterThan">
      <formula>1</formula>
    </cfRule>
  </conditionalFormatting>
  <conditionalFormatting sqref="H5:H9">
    <cfRule type="expression" dxfId="18" priority="14">
      <formula>$H5&gt;0</formula>
    </cfRule>
  </conditionalFormatting>
  <conditionalFormatting sqref="I5:I9">
    <cfRule type="expression" dxfId="17" priority="15">
      <formula>$I5&gt;1</formula>
    </cfRule>
  </conditionalFormatting>
  <conditionalFormatting sqref="B5:B9">
    <cfRule type="expression" dxfId="16" priority="11">
      <formula>OR($J5="NS",$J5="SumaNS",$J5="Účet")</formula>
    </cfRule>
  </conditionalFormatting>
  <conditionalFormatting sqref="F5:I9 B5:D9">
    <cfRule type="expression" dxfId="15" priority="17">
      <formula>AND($J5&lt;&gt;"",$J5&lt;&gt;"mezeraKL")</formula>
    </cfRule>
  </conditionalFormatting>
  <conditionalFormatting sqref="B5:D9 F5:I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9 F5:I9">
    <cfRule type="expression" dxfId="13" priority="13">
      <formula>OR($J5="SumaNS",$J5="NS")</formula>
    </cfRule>
  </conditionalFormatting>
  <conditionalFormatting sqref="A5:A9">
    <cfRule type="expression" dxfId="12" priority="9">
      <formula>AND($J5&lt;&gt;"mezeraKL",$J5&lt;&gt;"")</formula>
    </cfRule>
  </conditionalFormatting>
  <conditionalFormatting sqref="A5:A9">
    <cfRule type="expression" dxfId="11" priority="10">
      <formula>AND($J5&lt;&gt;"",$J5&lt;&gt;"mezeraKL")</formula>
    </cfRule>
  </conditionalFormatting>
  <conditionalFormatting sqref="H11:H18">
    <cfRule type="expression" dxfId="10" priority="6">
      <formula>$H11&gt;0</formula>
    </cfRule>
  </conditionalFormatting>
  <conditionalFormatting sqref="A11:A18">
    <cfRule type="expression" dxfId="9" priority="5">
      <formula>AND($J11&lt;&gt;"mezeraKL",$J11&lt;&gt;"")</formula>
    </cfRule>
  </conditionalFormatting>
  <conditionalFormatting sqref="I11:I18">
    <cfRule type="expression" dxfId="8" priority="7">
      <formula>$I11&gt;1</formula>
    </cfRule>
  </conditionalFormatting>
  <conditionalFormatting sqref="B11:B18">
    <cfRule type="expression" dxfId="7" priority="4">
      <formula>OR($J11="NS",$J11="SumaNS",$J11="Účet")</formula>
    </cfRule>
  </conditionalFormatting>
  <conditionalFormatting sqref="A11:D18 F11:I18">
    <cfRule type="expression" dxfId="6" priority="8">
      <formula>AND($J11&lt;&gt;"",$J11&lt;&gt;"mezeraKL")</formula>
    </cfRule>
  </conditionalFormatting>
  <conditionalFormatting sqref="B11:D18 F11:I18">
    <cfRule type="expression" dxfId="5" priority="1">
      <formula>OR($J11="KL",$J11="SumaKL")</formula>
    </cfRule>
    <cfRule type="expression" priority="3" stopIfTrue="1">
      <formula>OR($J11="mezeraNS",$J11="mezeraKL")</formula>
    </cfRule>
  </conditionalFormatting>
  <conditionalFormatting sqref="B11:D18 F11:I18">
    <cfRule type="expression" dxfId="4" priority="2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2</vt:i4>
      </vt:variant>
    </vt:vector>
  </HeadingPairs>
  <TitlesOfParts>
    <vt:vector size="14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2017-11-27T11:17:40Z</dcterms:modified>
</cp:coreProperties>
</file>