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Q25" i="419" l="1"/>
  <c r="AQ26" i="419"/>
  <c r="AQ27" i="419" s="1"/>
  <c r="AQ28" i="419" l="1"/>
  <c r="F26" i="419"/>
  <c r="F25" i="419"/>
  <c r="C26" i="419" l="1"/>
  <c r="C27" i="419" s="1"/>
  <c r="C25" i="419"/>
  <c r="C28" i="419" l="1"/>
  <c r="AE3" i="418" l="1"/>
  <c r="I3" i="418"/>
  <c r="F28" i="419" l="1"/>
  <c r="F27" i="419"/>
  <c r="E11" i="339"/>
  <c r="C11" i="339"/>
  <c r="L26" i="419" l="1"/>
  <c r="L25" i="419" l="1"/>
  <c r="AS20" i="419"/>
  <c r="AR20" i="419"/>
  <c r="AQ20" i="419"/>
  <c r="AP20" i="419"/>
  <c r="AO20" i="419"/>
  <c r="AN20" i="419"/>
  <c r="AM20" i="419"/>
  <c r="AL20" i="419"/>
  <c r="AS19" i="419"/>
  <c r="AR19" i="419"/>
  <c r="AQ19" i="419"/>
  <c r="AP19" i="419"/>
  <c r="AO19" i="419"/>
  <c r="AN19" i="419"/>
  <c r="AM19" i="419"/>
  <c r="AL19" i="419"/>
  <c r="AS17" i="419"/>
  <c r="AR17" i="419"/>
  <c r="AQ17" i="419"/>
  <c r="AP17" i="419"/>
  <c r="AO17" i="419"/>
  <c r="AN17" i="419"/>
  <c r="AM17" i="419"/>
  <c r="AL17" i="419"/>
  <c r="AS16" i="419"/>
  <c r="AR16" i="419"/>
  <c r="AQ16" i="419"/>
  <c r="AP16" i="419"/>
  <c r="AP18" i="419" s="1"/>
  <c r="AO16" i="419"/>
  <c r="AN16" i="419"/>
  <c r="AM16" i="419"/>
  <c r="AL16" i="419"/>
  <c r="AL18" i="419" s="1"/>
  <c r="AS14" i="419"/>
  <c r="AR14" i="419"/>
  <c r="AQ14" i="419"/>
  <c r="AP14" i="419"/>
  <c r="AO14" i="419"/>
  <c r="AN14" i="419"/>
  <c r="AM14" i="419"/>
  <c r="AL14" i="419"/>
  <c r="AS13" i="419"/>
  <c r="AR13" i="419"/>
  <c r="AQ13" i="419"/>
  <c r="AP13" i="419"/>
  <c r="AO13" i="419"/>
  <c r="AN13" i="419"/>
  <c r="AM13" i="419"/>
  <c r="AL13" i="419"/>
  <c r="AS12" i="419"/>
  <c r="AR12" i="419"/>
  <c r="AQ12" i="419"/>
  <c r="AP12" i="419"/>
  <c r="AO12" i="419"/>
  <c r="AN12" i="419"/>
  <c r="AM12" i="419"/>
  <c r="AL12" i="419"/>
  <c r="AS11" i="419"/>
  <c r="AR11" i="419"/>
  <c r="AQ11" i="419"/>
  <c r="AP11" i="419"/>
  <c r="AO11" i="419"/>
  <c r="AN11" i="419"/>
  <c r="AM11" i="419"/>
  <c r="AL11" i="419"/>
  <c r="AW3" i="418"/>
  <c r="AV3" i="418"/>
  <c r="AU3" i="418"/>
  <c r="AT3" i="418"/>
  <c r="AS3" i="418"/>
  <c r="AR3" i="418"/>
  <c r="AO18" i="419" l="1"/>
  <c r="AS18" i="419"/>
  <c r="AM18" i="419"/>
  <c r="AQ18" i="419"/>
  <c r="AN18" i="419"/>
  <c r="AR18" i="419"/>
  <c r="B25" i="419"/>
  <c r="L27" i="419" l="1"/>
  <c r="B26" i="419"/>
  <c r="B27" i="419" s="1"/>
  <c r="L28" i="419"/>
  <c r="A8" i="414"/>
  <c r="A7" i="414"/>
  <c r="AM21" i="419" l="1"/>
  <c r="AL21" i="419"/>
  <c r="AL22" i="419" s="1"/>
  <c r="AK21" i="419"/>
  <c r="AJ21" i="419"/>
  <c r="AJ22" i="419" s="1"/>
  <c r="AI21" i="419"/>
  <c r="AH21" i="419"/>
  <c r="AG21" i="419"/>
  <c r="AF21" i="419"/>
  <c r="AF22" i="419" s="1"/>
  <c r="AE21" i="419"/>
  <c r="AD21" i="419"/>
  <c r="AC21" i="419"/>
  <c r="AB21" i="419"/>
  <c r="AB22" i="419" s="1"/>
  <c r="Z21" i="419"/>
  <c r="Y21" i="419"/>
  <c r="Y22" i="419" s="1"/>
  <c r="X21" i="419"/>
  <c r="X22" i="419" s="1"/>
  <c r="W21" i="419"/>
  <c r="W22" i="419" s="1"/>
  <c r="V21" i="419"/>
  <c r="U21" i="419"/>
  <c r="T21" i="419"/>
  <c r="S21" i="419"/>
  <c r="S22" i="419" s="1"/>
  <c r="R21" i="419"/>
  <c r="Q21" i="419"/>
  <c r="Q22" i="419" s="1"/>
  <c r="P21" i="419"/>
  <c r="O21" i="419"/>
  <c r="O22" i="419" s="1"/>
  <c r="N21" i="419"/>
  <c r="M21" i="419"/>
  <c r="L21" i="419"/>
  <c r="K21" i="419"/>
  <c r="K22" i="419" s="1"/>
  <c r="J21" i="419"/>
  <c r="AK20" i="419"/>
  <c r="AJ20" i="419"/>
  <c r="AI20" i="419"/>
  <c r="AH20" i="419"/>
  <c r="AG20" i="419"/>
  <c r="AF20" i="419"/>
  <c r="AE20" i="419"/>
  <c r="AD20" i="419"/>
  <c r="AC20" i="419"/>
  <c r="AB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AK19" i="419"/>
  <c r="AJ19" i="419"/>
  <c r="AI19" i="419"/>
  <c r="AH19" i="419"/>
  <c r="AG19" i="419"/>
  <c r="AF19" i="419"/>
  <c r="AE19" i="419"/>
  <c r="AD19" i="419"/>
  <c r="AC19" i="419"/>
  <c r="AB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AK17" i="419"/>
  <c r="AJ17" i="419"/>
  <c r="AI17" i="419"/>
  <c r="AH17" i="419"/>
  <c r="AG17" i="419"/>
  <c r="AF17" i="419"/>
  <c r="AE17" i="419"/>
  <c r="AD17" i="419"/>
  <c r="AC17" i="419"/>
  <c r="AB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AK16" i="419"/>
  <c r="AJ16" i="419"/>
  <c r="AI16" i="419"/>
  <c r="AH16" i="419"/>
  <c r="AG16" i="419"/>
  <c r="AF16" i="419"/>
  <c r="AE16" i="419"/>
  <c r="AD16" i="419"/>
  <c r="AC16" i="419"/>
  <c r="AB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AK14" i="419"/>
  <c r="AJ14" i="419"/>
  <c r="AI14" i="419"/>
  <c r="AH14" i="419"/>
  <c r="AG14" i="419"/>
  <c r="AF14" i="419"/>
  <c r="AE14" i="419"/>
  <c r="AD14" i="419"/>
  <c r="AC14" i="419"/>
  <c r="AB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AK13" i="419"/>
  <c r="AJ13" i="419"/>
  <c r="AI13" i="419"/>
  <c r="AH13" i="419"/>
  <c r="AG13" i="419"/>
  <c r="AF13" i="419"/>
  <c r="AE13" i="419"/>
  <c r="AD13" i="419"/>
  <c r="AC13" i="419"/>
  <c r="AB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AK12" i="419"/>
  <c r="AJ12" i="419"/>
  <c r="AI12" i="419"/>
  <c r="AH12" i="419"/>
  <c r="AG12" i="419"/>
  <c r="AF12" i="419"/>
  <c r="AE12" i="419"/>
  <c r="AD12" i="419"/>
  <c r="AC12" i="419"/>
  <c r="AB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AK11" i="419"/>
  <c r="AJ11" i="419"/>
  <c r="AI11" i="419"/>
  <c r="AH11" i="419"/>
  <c r="AG11" i="419"/>
  <c r="AF11" i="419"/>
  <c r="AE11" i="419"/>
  <c r="AD11" i="419"/>
  <c r="AC11" i="419"/>
  <c r="AB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L18" i="419" l="1"/>
  <c r="P18" i="419"/>
  <c r="T18" i="419"/>
  <c r="AC18" i="419"/>
  <c r="AG18" i="419"/>
  <c r="AK18" i="419"/>
  <c r="L23" i="419"/>
  <c r="P23" i="419"/>
  <c r="T23" i="419"/>
  <c r="AC23" i="419"/>
  <c r="AG23" i="419"/>
  <c r="AK23" i="419"/>
  <c r="J18" i="419"/>
  <c r="N18" i="419"/>
  <c r="R18" i="419"/>
  <c r="V18" i="419"/>
  <c r="Z18" i="419"/>
  <c r="AE18" i="419"/>
  <c r="AI18" i="419"/>
  <c r="X18" i="419"/>
  <c r="P22" i="419"/>
  <c r="AG22" i="419"/>
  <c r="O23" i="419"/>
  <c r="W23" i="419"/>
  <c r="AF23" i="419"/>
  <c r="K18" i="419"/>
  <c r="O18" i="419"/>
  <c r="S18" i="419"/>
  <c r="W18" i="419"/>
  <c r="AB18" i="419"/>
  <c r="AF18" i="419"/>
  <c r="AJ18" i="419"/>
  <c r="M23" i="419"/>
  <c r="U23" i="419"/>
  <c r="AD23" i="419"/>
  <c r="AH23" i="419"/>
  <c r="T22" i="419"/>
  <c r="AK22" i="419"/>
  <c r="X23" i="419"/>
  <c r="J23" i="419"/>
  <c r="N23" i="419"/>
  <c r="R23" i="419"/>
  <c r="V23" i="419"/>
  <c r="Z23" i="419"/>
  <c r="AE23" i="419"/>
  <c r="AI23" i="419"/>
  <c r="AM23" i="419"/>
  <c r="K23" i="419"/>
  <c r="S23" i="419"/>
  <c r="AB23" i="419"/>
  <c r="AJ23" i="419"/>
  <c r="M18" i="419"/>
  <c r="Q18" i="419"/>
  <c r="U18" i="419"/>
  <c r="Y18" i="419"/>
  <c r="AD18" i="419"/>
  <c r="AH18" i="419"/>
  <c r="L22" i="419"/>
  <c r="AC22" i="419"/>
  <c r="M22" i="419"/>
  <c r="U22" i="419"/>
  <c r="AD22" i="419"/>
  <c r="AH22" i="419"/>
  <c r="J22" i="419"/>
  <c r="N22" i="419"/>
  <c r="R22" i="419"/>
  <c r="V22" i="419"/>
  <c r="Z22" i="419"/>
  <c r="AE22" i="419"/>
  <c r="AI22" i="419"/>
  <c r="AM22" i="419"/>
  <c r="Q23" i="419"/>
  <c r="Y23" i="419"/>
  <c r="AL23" i="419"/>
  <c r="N3" i="418"/>
  <c r="I21" i="419" l="1"/>
  <c r="I22" i="419" s="1"/>
  <c r="H21" i="419"/>
  <c r="H22" i="419" s="1"/>
  <c r="G21" i="419"/>
  <c r="G22" i="419" s="1"/>
  <c r="F21" i="419"/>
  <c r="D21" i="419"/>
  <c r="D22" i="419" s="1"/>
  <c r="C21" i="419"/>
  <c r="C22" i="419" s="1"/>
  <c r="I20" i="419"/>
  <c r="H20" i="419"/>
  <c r="G20" i="419"/>
  <c r="F20" i="419"/>
  <c r="D20" i="419"/>
  <c r="C20" i="419"/>
  <c r="I19" i="419"/>
  <c r="H19" i="419"/>
  <c r="G19" i="419"/>
  <c r="F19" i="419"/>
  <c r="D19" i="419"/>
  <c r="C19" i="419"/>
  <c r="I17" i="419"/>
  <c r="H17" i="419"/>
  <c r="G17" i="419"/>
  <c r="F17" i="419"/>
  <c r="D17" i="419"/>
  <c r="C17" i="419"/>
  <c r="I16" i="419"/>
  <c r="H16" i="419"/>
  <c r="G16" i="419"/>
  <c r="F16" i="419"/>
  <c r="D16" i="419"/>
  <c r="C16" i="419"/>
  <c r="I14" i="419"/>
  <c r="H14" i="419"/>
  <c r="G14" i="419"/>
  <c r="F14" i="419"/>
  <c r="D14" i="419"/>
  <c r="C14" i="419"/>
  <c r="I13" i="419"/>
  <c r="H13" i="419"/>
  <c r="G13" i="419"/>
  <c r="F13" i="419"/>
  <c r="D13" i="419"/>
  <c r="C13" i="419"/>
  <c r="I12" i="419"/>
  <c r="H12" i="419"/>
  <c r="G12" i="419"/>
  <c r="F12" i="419"/>
  <c r="D12" i="419"/>
  <c r="C12" i="419"/>
  <c r="I11" i="419"/>
  <c r="H11" i="419"/>
  <c r="G11" i="419"/>
  <c r="F11" i="419"/>
  <c r="D11" i="419"/>
  <c r="C11" i="419"/>
  <c r="F18" i="419" l="1"/>
  <c r="F23" i="419"/>
  <c r="G18" i="419"/>
  <c r="D18" i="419"/>
  <c r="I18" i="419"/>
  <c r="C18" i="419"/>
  <c r="H18" i="419"/>
  <c r="C23" i="419"/>
  <c r="H23" i="419"/>
  <c r="F22" i="419"/>
  <c r="G23" i="419"/>
  <c r="D23" i="419"/>
  <c r="I23" i="419"/>
  <c r="B21" i="419"/>
  <c r="B22" i="419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V6" i="419" l="1"/>
  <c r="AS6" i="419"/>
  <c r="AO6" i="419"/>
  <c r="AK6" i="419"/>
  <c r="AG6" i="419"/>
  <c r="AC6" i="419"/>
  <c r="Y6" i="419"/>
  <c r="U6" i="419"/>
  <c r="Q6" i="419"/>
  <c r="M6" i="419"/>
  <c r="I6" i="419"/>
  <c r="E6" i="419"/>
  <c r="X6" i="419"/>
  <c r="P6" i="419"/>
  <c r="AR6" i="419"/>
  <c r="AN6" i="419"/>
  <c r="AJ6" i="419"/>
  <c r="AF6" i="419"/>
  <c r="AB6" i="419"/>
  <c r="T6" i="419"/>
  <c r="H6" i="419"/>
  <c r="AQ6" i="419"/>
  <c r="AM6" i="419"/>
  <c r="AI6" i="419"/>
  <c r="AE6" i="419"/>
  <c r="AA6" i="419"/>
  <c r="W6" i="419"/>
  <c r="S6" i="419"/>
  <c r="O6" i="419"/>
  <c r="K6" i="419"/>
  <c r="G6" i="419"/>
  <c r="AP6" i="419"/>
  <c r="AL6" i="419"/>
  <c r="AH6" i="419"/>
  <c r="AD6" i="419"/>
  <c r="Z6" i="419"/>
  <c r="R6" i="419"/>
  <c r="N6" i="419"/>
  <c r="J6" i="419"/>
  <c r="F6" i="419"/>
  <c r="L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B11" i="339" l="1"/>
  <c r="J11" i="339" s="1"/>
  <c r="I11" i="339" l="1"/>
  <c r="F11" i="339"/>
  <c r="H11" i="339" l="1"/>
  <c r="G11" i="339"/>
  <c r="A12" i="414"/>
  <c r="A13" i="414"/>
  <c r="A4" i="414"/>
  <c r="A6" i="339" l="1"/>
  <c r="A5" i="339"/>
  <c r="C16" i="414"/>
  <c r="D16" i="414"/>
  <c r="D4" i="414"/>
  <c r="C13" i="414"/>
  <c r="D13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F12" i="339" s="1"/>
  <c r="B12" i="339"/>
  <c r="J12" i="339" s="1"/>
  <c r="N3" i="220"/>
  <c r="L3" i="220" s="1"/>
  <c r="C17" i="414"/>
  <c r="D17" i="414"/>
  <c r="I12" i="339" l="1"/>
  <c r="I13" i="339" s="1"/>
  <c r="F13" i="339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D15" i="414"/>
  <c r="C4" i="414"/>
  <c r="H13" i="339" l="1"/>
  <c r="F15" i="339"/>
  <c r="J13" i="339"/>
  <c r="B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<sst xmlns="http://schemas.openxmlformats.org/spreadsheetml/2006/main" count="710" uniqueCount="369">
  <si>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</si>
  <si>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</si>
  <si>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</si>
  <si>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</si>
  <si>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</si>
  <si>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</si>
  <si>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</si>
  <si>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</si>
  <si>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</si>
  <si>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</si>
  <si>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</si>
  <si>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</si>
  <si>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</si>
  <si>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</si>
  <si>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</si>
  <si>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</si>
  <si>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</si>
  <si>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</si>
  <si>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</si>
  <si>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</si>
  <si>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</si>
  <si>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</si>
  <si>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</si>
  <si>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</si>
  <si>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</si>
  <si>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</si>
  <si>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</si>
  <si>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</si>
  <si>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</si>
  <si>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</si>
  <si>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</si>
  <si>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</si>
  <si>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</si>
  <si>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</si>
  <si>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</si>
  <si>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</si>
  <si>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</si>
  <si>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</si>
  <si>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</si>
  <si>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</si>
  <si>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</si>
  <si>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</si>
  <si>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</si>
  <si>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</si>
  <si>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</si>
  <si>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</si>
  <si>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</si>
  <si>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</si>
  <si>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</si>
  <si>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</si>
  <si>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</si>
  <si>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</si>
  <si>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</si>
  <si>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</si>
  <si>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</si>
  <si>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</si>
  <si>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</si>
  <si>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</si>
  <si>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</si>
  <si>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</si>
  <si>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</si>
  <si>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</si>
  <si>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</si>
  <si>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</si>
  <si>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</si>
  <si>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</si>
  <si>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</si>
  <si>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</si>
  <si>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</si>
  <si>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</si>
  <si>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</si>
  <si>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</si>
  <si>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</si>
  <si>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</si>
  <si>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</si>
  <si>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</si>
  <si>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</si>
  <si>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</si>
  <si>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</si>
  <si>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</si>
  <si>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</si>
  <si>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</si>
  <si>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</si>
  <si>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</si>
  <si>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</si>
  <si>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</si>
  <si>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</si>
  <si>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</si>
  <si>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</si>
  <si>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</si>
  <si>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</si>
  <si>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</si>
  <si>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</si>
  <si>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</si>
  <si>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</si>
  <si>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</si>
  <si>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</si>
  <si>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</si>
  <si>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</si>
  <si>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</si>
  <si>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</si>
  <si>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</si>
  <si>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</si>
  <si>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</si>
  <si>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</si>
  <si>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</si>
  <si>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</si>
  <si>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</si>
  <si>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</si>
  <si>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</si>
  <si>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</si>
  <si>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</si>
  <si>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</si>
  <si>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</si>
  <si>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</si>
  <si>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</si>
  <si>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</si>
  <si>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</si>
  <si>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</si>
  <si>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</si>
  <si>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</si>
  <si>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</si>
  <si>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</si>
  <si>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</si>
  <si>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</si>
  <si>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</si>
  <si>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</si>
  <si>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</si>
  <si>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</si>
  <si>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</si>
  <si>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</si>
  <si>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</si>
  <si>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</si>
  <si>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</si>
  <si>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</si>
  <si>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</si>
  <si>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</si>
  <si>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</si>
  <si>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</si>
  <si>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</si>
  <si>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</si>
  <si>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</si>
  <si>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</si>
  <si>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</si>
  <si>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</si>
  <si>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</si>
  <si>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</si>
  <si>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</si>
  <si>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</si>
  <si>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</si>
  <si>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</si>
  <si>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</si>
  <si>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</si>
  <si>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</si>
  <si>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</si>
  <si>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</si>
  <si>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</si>
  <si>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</si>
  <si>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</si>
  <si>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</si>
  <si>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</si>
  <si>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</si>
  <si>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</si>
  <si>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</si>
  <si>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</si>
  <si>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</si>
  <si>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</si>
  <si>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</si>
  <si>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</si>
  <si>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</si>
  <si>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</si>
  <si>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</si>
  <si>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</si>
  <si>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</si>
  <si>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</si>
  <si>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ergoterapeuti</t>
  </si>
  <si>
    <t>lékaři bez dohledu</t>
  </si>
  <si>
    <t>lékaři specialisti</t>
  </si>
  <si>
    <t>zubní lékaři specialisti</t>
  </si>
  <si>
    <t>všeobecné sestry pod dohl.</t>
  </si>
  <si>
    <t>všeobecné sestry bez dohl.</t>
  </si>
  <si>
    <t>všeobecné sestry bez dohl., spec.</t>
  </si>
  <si>
    <t>všeobecné sestry VŠ</t>
  </si>
  <si>
    <t>kliničtí psychologové</t>
  </si>
  <si>
    <t>kliničtí psychologové spec.</t>
  </si>
  <si>
    <t>kliničtí psychologové spec. a zvl.odb.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</si>
  <si>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</si>
  <si>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</si>
  <si>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</si>
  <si>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</si>
  <si>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</si>
  <si>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</si>
  <si>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</si>
  <si>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</si>
  <si>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</si>
  <si>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</si>
  <si>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</si>
  <si>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</si>
  <si>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</si>
  <si>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</si>
  <si>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</si>
  <si>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</si>
  <si>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</si>
  <si>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</si>
  <si>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</si>
  <si>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</si>
  <si>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</si>
  <si>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Rozpočet výnosů pro rok 2017 je stanoven jako 100% skutečnosti referenčního období (2016)</t>
  </si>
  <si>
    <t>Rozdíl 2015</t>
  </si>
  <si>
    <t>Plnění 2015</t>
  </si>
  <si>
    <t>biotechničtí asistenti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</si>
  <si>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</si>
  <si>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</si>
  <si>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</si>
  <si>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</si>
  <si>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</si>
  <si>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</si>
  <si>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</si>
  <si>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</si>
  <si>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</si>
  <si>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</si>
  <si>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</si>
  <si>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</si>
  <si>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</si>
  <si>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</si>
  <si>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</si>
  <si>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</si>
  <si>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</si>
  <si>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</si>
  <si>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50115067     ZPr - rukavice (Z532)</t>
  </si>
  <si>
    <t>--</t>
  </si>
  <si>
    <t>50117     Všeobecný materiál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</si>
  <si>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</si>
  <si>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</si>
  <si>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</si>
  <si>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</si>
  <si>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</si>
  <si>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</si>
  <si>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</si>
  <si>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</si>
  <si>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</si>
  <si>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</si>
  <si>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</si>
  <si>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</si>
  <si>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</si>
  <si>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</si>
  <si>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</si>
  <si>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</si>
  <si>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</si>
  <si>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</si>
  <si>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</si>
  <si>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</si>
  <si>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</si>
  <si>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</si>
  <si>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</si>
  <si>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</si>
  <si>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</si>
  <si>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</si>
  <si>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</si>
  <si>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</si>
  <si>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</si>
  <si>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</si>
  <si>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</si>
  <si>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</si>
  <si>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</si>
  <si>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</si>
  <si>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</si>
  <si>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</si>
  <si>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</si>
  <si>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</si>
  <si>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</si>
  <si>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</si>
  <si>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</si>
  <si>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</si>
  <si>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</si>
  <si>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</si>
  <si>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</si>
  <si>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</si>
  <si>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</si>
  <si>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</si>
  <si>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</si>
  <si>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</si>
  <si>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</si>
  <si>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</si>
  <si>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</si>
  <si>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</si>
  <si>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</si>
  <si>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</si>
  <si>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</si>
  <si>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</si>
  <si>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</si>
  <si>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</si>
  <si>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</si>
  <si>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</si>
  <si>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</si>
  <si>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</si>
  <si>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</si>
  <si>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</si>
  <si>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</si>
  <si>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</si>
  <si>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</si>
  <si>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</si>
  <si>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</si>
  <si>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</si>
  <si>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</si>
  <si>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</si>
  <si>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</si>
  <si>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60228191     výkony za cizince (mimo EHS)</t>
  </si>
  <si>
    <t>64     Jiné provozní výnosy</t>
  </si>
  <si>
    <t>649     Ostatní výnosy z činnosti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</si>
  <si>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</si>
  <si>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</si>
  <si>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</si>
  <si>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</si>
  <si>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</si>
  <si>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</si>
  <si>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</si>
  <si>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</si>
  <si>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</si>
  <si>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</si>
  <si>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</si>
  <si>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</si>
  <si>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</si>
  <si>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</si>
  <si>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</si>
  <si>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</si>
  <si>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</si>
  <si>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Oddělení nemocniční hygieny</t>
  </si>
  <si>
    <t/>
  </si>
  <si>
    <t>Oddělení nemocniční hygieny Celkem</t>
  </si>
  <si>
    <t>SumaKL</t>
  </si>
  <si>
    <t>5498</t>
  </si>
  <si>
    <t>SumaNS</t>
  </si>
  <si>
    <t>mezeraNS</t>
  </si>
  <si>
    <t>50113001</t>
  </si>
  <si>
    <t>O</t>
  </si>
  <si>
    <t>900321</t>
  </si>
  <si>
    <t>0</t>
  </si>
  <si>
    <t>KL PRIPRAVEK</t>
  </si>
  <si>
    <t>500979</t>
  </si>
  <si>
    <t>KL MS HYDROG.PEROX. 3% 500g</t>
  </si>
  <si>
    <t>ONH: Oddělení nemocniční hygieny</t>
  </si>
  <si>
    <t>Lékárna - léčiva</t>
  </si>
  <si>
    <t>54 - Oddělení nemocniční hygieny</t>
  </si>
  <si>
    <t>5498 - Oddělení nemocniční hygieny</t>
  </si>
  <si>
    <t>ZM292</t>
  </si>
  <si>
    <t>Rukavice nitril sempercare bez p. M bal. á 200 ks 30803</t>
  </si>
  <si>
    <t>DC859</t>
  </si>
  <si>
    <t>COLUMBIA AGAR</t>
  </si>
  <si>
    <t>DD596</t>
  </si>
  <si>
    <t>Sabouraud agar s CMP</t>
  </si>
  <si>
    <t>DA999</t>
  </si>
  <si>
    <t>Půda s bromkresolem (kontrola sterility)</t>
  </si>
  <si>
    <t>DB001</t>
  </si>
  <si>
    <t>Glukózový bujon (5 ml)</t>
  </si>
  <si>
    <t>DD558</t>
  </si>
  <si>
    <t>ENDO AGAR</t>
  </si>
  <si>
    <t>DC521</t>
  </si>
  <si>
    <t>OXITEST</t>
  </si>
  <si>
    <t>DD143</t>
  </si>
  <si>
    <t>CINIDLO PRO TEST PYR</t>
  </si>
  <si>
    <t>DB423</t>
  </si>
  <si>
    <t>PYRATEST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</si>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</sst>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29">
    <xf numFmtId="0" fontId="0" fillId="0" borderId="0" xfId="0"/>
    <xf numFmtId="0" fontId="27" fillId="2" borderId="16" xfId="81" applyFont="1" applyFill="1" applyBorder="1"/>
    <xf numFmtId="0" fontId="28" fillId="2" borderId="17" xfId="81" applyFont="1" applyFill="1" applyBorder="1"/>
    <xf numFmtId="3" fontId="28" fillId="2" borderId="18" xfId="81" applyNumberFormat="1" applyFont="1" applyFill="1" applyBorder="1"/>
    <xf numFmtId="0" fontId="28" fillId="4" borderId="17" xfId="81" applyFont="1" applyFill="1" applyBorder="1"/>
    <xf numFmtId="3" fontId="28" fillId="4" borderId="18" xfId="81" applyNumberFormat="1" applyFont="1" applyFill="1" applyBorder="1"/>
    <xf numFmtId="171" fontId="28" fillId="3" borderId="18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8" xfId="81" applyNumberFormat="1" applyFont="1" applyFill="1" applyBorder="1"/>
    <xf numFmtId="3" fontId="27" fillId="5" borderId="24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6" xfId="81" applyNumberFormat="1" applyFont="1" applyFill="1" applyBorder="1"/>
    <xf numFmtId="3" fontId="28" fillId="2" borderId="19" xfId="81" applyNumberFormat="1" applyFont="1" applyFill="1" applyBorder="1"/>
    <xf numFmtId="3" fontId="28" fillId="4" borderId="26" xfId="81" applyNumberFormat="1" applyFont="1" applyFill="1" applyBorder="1"/>
    <xf numFmtId="3" fontId="28" fillId="4" borderId="19" xfId="81" applyNumberFormat="1" applyFont="1" applyFill="1" applyBorder="1"/>
    <xf numFmtId="171" fontId="28" fillId="3" borderId="26" xfId="81" applyNumberFormat="1" applyFont="1" applyFill="1" applyBorder="1"/>
    <xf numFmtId="171" fontId="28" fillId="3" borderId="19" xfId="81" applyNumberFormat="1" applyFont="1" applyFill="1" applyBorder="1"/>
    <xf numFmtId="0" fontId="31" fillId="2" borderId="24" xfId="81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5" xfId="82" applyFont="1" applyFill="1" applyBorder="1" applyAlignment="1"/>
    <xf numFmtId="0" fontId="29" fillId="0" borderId="0" xfId="49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0" xfId="0" applyFont="1" applyFill="1" applyBorder="1" applyAlignment="1"/>
    <xf numFmtId="0" fontId="32" fillId="0" borderId="24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3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39" xfId="74" applyFont="1" applyFill="1" applyBorder="1" applyAlignment="1">
      <alignment horizontal="center"/>
    </xf>
    <xf numFmtId="0" fontId="27" fillId="5" borderId="35" xfId="81" applyFont="1" applyFill="1" applyBorder="1"/>
    <xf numFmtId="0" fontId="31" fillId="2" borderId="22" xfId="81" applyFont="1" applyFill="1" applyBorder="1" applyAlignment="1">
      <alignment horizontal="center"/>
    </xf>
    <xf numFmtId="0" fontId="31" fillId="2" borderId="21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4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19" xfId="81" applyNumberFormat="1" applyFont="1" applyFill="1" applyBorder="1"/>
    <xf numFmtId="9" fontId="28" fillId="4" borderId="19" xfId="81" applyNumberFormat="1" applyFont="1" applyFill="1" applyBorder="1"/>
    <xf numFmtId="9" fontId="28" fillId="3" borderId="19" xfId="81" applyNumberFormat="1" applyFont="1" applyFill="1" applyBorder="1"/>
    <xf numFmtId="0" fontId="31" fillId="2" borderId="20" xfId="81" applyFont="1" applyFill="1" applyBorder="1" applyAlignment="1">
      <alignment horizontal="center"/>
    </xf>
    <xf numFmtId="0" fontId="32" fillId="0" borderId="0" xfId="0" applyFont="1" applyFill="1"/>
    <xf numFmtId="0" fontId="32" fillId="0" borderId="43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8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9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6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3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1" applyFont="1" applyFill="1"/>
    <xf numFmtId="0" fontId="49" fillId="0" borderId="35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3" xfId="0" applyNumberFormat="1" applyFont="1" applyFill="1" applyBorder="1"/>
    <xf numFmtId="3" fontId="51" fillId="8" borderId="54" xfId="0" applyNumberFormat="1" applyFont="1" applyFill="1" applyBorder="1"/>
    <xf numFmtId="3" fontId="51" fillId="8" borderId="53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7" xfId="0" applyNumberFormat="1" applyFont="1" applyFill="1" applyBorder="1" applyAlignment="1">
      <alignment horizontal="center" vertical="center"/>
    </xf>
    <xf numFmtId="0" fontId="39" fillId="2" borderId="58" xfId="0" applyFont="1" applyFill="1" applyBorder="1" applyAlignment="1">
      <alignment horizontal="center" vertical="center"/>
    </xf>
    <xf numFmtId="3" fontId="53" fillId="2" borderId="60" xfId="0" applyNumberFormat="1" applyFont="1" applyFill="1" applyBorder="1" applyAlignment="1">
      <alignment horizontal="center" vertical="center" wrapText="1"/>
    </xf>
    <xf numFmtId="0" fontId="53" fillId="2" borderId="61" xfId="0" applyFont="1" applyFill="1" applyBorder="1" applyAlignment="1">
      <alignment horizontal="center" vertical="center" wrapText="1"/>
    </xf>
    <xf numFmtId="0" fontId="39" fillId="2" borderId="63" xfId="0" applyFont="1" applyFill="1" applyBorder="1" applyAlignment="1"/>
    <xf numFmtId="0" fontId="39" fillId="2" borderId="65" xfId="0" applyFont="1" applyFill="1" applyBorder="1" applyAlignment="1">
      <alignment horizontal="left" indent="1"/>
    </xf>
    <xf numFmtId="0" fontId="39" fillId="2" borderId="71" xfId="0" applyFont="1" applyFill="1" applyBorder="1" applyAlignment="1">
      <alignment horizontal="left" indent="1"/>
    </xf>
    <xf numFmtId="0" fontId="39" fillId="4" borderId="63" xfId="0" applyFont="1" applyFill="1" applyBorder="1" applyAlignment="1"/>
    <xf numFmtId="0" fontId="39" fillId="4" borderId="65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2" borderId="65" xfId="0" quotePrefix="1" applyFont="1" applyFill="1" applyBorder="1" applyAlignment="1">
      <alignment horizontal="left" indent="2"/>
    </xf>
    <xf numFmtId="0" fontId="32" fillId="2" borderId="71" xfId="0" quotePrefix="1" applyFont="1" applyFill="1" applyBorder="1" applyAlignment="1">
      <alignment horizontal="left" indent="2"/>
    </xf>
    <xf numFmtId="0" fontId="39" fillId="2" borderId="63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71" xfId="0" applyFont="1" applyFill="1" applyBorder="1" applyAlignment="1">
      <alignment horizontal="left" indent="1"/>
    </xf>
    <xf numFmtId="0" fontId="32" fillId="0" borderId="81" xfId="0" applyFont="1" applyBorder="1"/>
    <xf numFmtId="3" fontId="32" fillId="0" borderId="81" xfId="0" applyNumberFormat="1" applyFont="1" applyBorder="1"/>
    <xf numFmtId="0" fontId="39" fillId="4" borderId="55" xfId="0" applyFont="1" applyFill="1" applyBorder="1" applyAlignment="1">
      <alignment horizontal="center" vertical="center"/>
    </xf>
    <xf numFmtId="0" fontId="39" fillId="4" borderId="50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0" xfId="0" applyNumberFormat="1" applyFont="1" applyFill="1" applyBorder="1" applyAlignment="1">
      <alignment horizontal="center" vertical="center"/>
    </xf>
    <xf numFmtId="3" fontId="53" fillId="2" borderId="78" xfId="0" applyNumberFormat="1" applyFont="1" applyFill="1" applyBorder="1" applyAlignment="1">
      <alignment horizontal="center" vertical="center" wrapText="1"/>
    </xf>
    <xf numFmtId="173" fontId="39" fillId="4" borderId="64" xfId="0" applyNumberFormat="1" applyFont="1" applyFill="1" applyBorder="1" applyAlignment="1"/>
    <xf numFmtId="173" fontId="39" fillId="4" borderId="57" xfId="0" applyNumberFormat="1" applyFont="1" applyFill="1" applyBorder="1" applyAlignment="1"/>
    <xf numFmtId="173" fontId="39" fillId="4" borderId="58" xfId="0" applyNumberFormat="1" applyFont="1" applyFill="1" applyBorder="1" applyAlignment="1"/>
    <xf numFmtId="173" fontId="39" fillId="0" borderId="66" xfId="0" applyNumberFormat="1" applyFont="1" applyBorder="1"/>
    <xf numFmtId="173" fontId="32" fillId="0" borderId="70" xfId="0" applyNumberFormat="1" applyFont="1" applyBorder="1"/>
    <xf numFmtId="173" fontId="32" fillId="0" borderId="68" xfId="0" applyNumberFormat="1" applyFont="1" applyBorder="1"/>
    <xf numFmtId="173" fontId="32" fillId="0" borderId="69" xfId="0" applyNumberFormat="1" applyFont="1" applyBorder="1"/>
    <xf numFmtId="173" fontId="39" fillId="0" borderId="77" xfId="0" applyNumberFormat="1" applyFont="1" applyBorder="1"/>
    <xf numFmtId="173" fontId="32" fillId="0" borderId="78" xfId="0" applyNumberFormat="1" applyFont="1" applyBorder="1"/>
    <xf numFmtId="173" fontId="32" fillId="0" borderId="61" xfId="0" applyNumberFormat="1" applyFont="1" applyBorder="1"/>
    <xf numFmtId="173" fontId="32" fillId="0" borderId="62" xfId="0" applyNumberFormat="1" applyFont="1" applyBorder="1"/>
    <xf numFmtId="173" fontId="39" fillId="2" borderId="79" xfId="0" applyNumberFormat="1" applyFont="1" applyFill="1" applyBorder="1" applyAlignment="1"/>
    <xf numFmtId="173" fontId="39" fillId="2" borderId="57" xfId="0" applyNumberFormat="1" applyFont="1" applyFill="1" applyBorder="1" applyAlignment="1"/>
    <xf numFmtId="173" fontId="39" fillId="2" borderId="58" xfId="0" applyNumberFormat="1" applyFont="1" applyFill="1" applyBorder="1" applyAlignment="1"/>
    <xf numFmtId="173" fontId="39" fillId="0" borderId="72" xfId="0" applyNumberFormat="1" applyFont="1" applyBorder="1"/>
    <xf numFmtId="173" fontId="32" fillId="0" borderId="73" xfId="0" applyNumberFormat="1" applyFont="1" applyBorder="1"/>
    <xf numFmtId="173" fontId="32" fillId="0" borderId="74" xfId="0" applyNumberFormat="1" applyFont="1" applyBorder="1"/>
    <xf numFmtId="173" fontId="39" fillId="0" borderId="64" xfId="0" applyNumberFormat="1" applyFont="1" applyBorder="1"/>
    <xf numFmtId="173" fontId="32" fillId="0" borderId="80" xfId="0" applyNumberFormat="1" applyFont="1" applyBorder="1"/>
    <xf numFmtId="173" fontId="32" fillId="0" borderId="58" xfId="0" applyNumberFormat="1" applyFont="1" applyBorder="1"/>
    <xf numFmtId="174" fontId="39" fillId="2" borderId="64" xfId="0" applyNumberFormat="1" applyFont="1" applyFill="1" applyBorder="1" applyAlignment="1"/>
    <xf numFmtId="174" fontId="32" fillId="2" borderId="57" xfId="0" applyNumberFormat="1" applyFont="1" applyFill="1" applyBorder="1" applyAlignment="1"/>
    <xf numFmtId="174" fontId="32" fillId="2" borderId="58" xfId="0" applyNumberFormat="1" applyFont="1" applyFill="1" applyBorder="1" applyAlignment="1"/>
    <xf numFmtId="174" fontId="39" fillId="0" borderId="66" xfId="0" applyNumberFormat="1" applyFont="1" applyBorder="1"/>
    <xf numFmtId="174" fontId="32" fillId="0" borderId="67" xfId="0" applyNumberFormat="1" applyFont="1" applyBorder="1"/>
    <xf numFmtId="174" fontId="32" fillId="0" borderId="68" xfId="0" applyNumberFormat="1" applyFont="1" applyBorder="1"/>
    <xf numFmtId="174" fontId="32" fillId="0" borderId="70" xfId="0" applyNumberFormat="1" applyFont="1" applyBorder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4" xfId="0" applyNumberFormat="1" applyFont="1" applyFill="1" applyBorder="1" applyAlignment="1">
      <alignment horizontal="center"/>
    </xf>
    <xf numFmtId="175" fontId="39" fillId="0" borderId="72" xfId="0" applyNumberFormat="1" applyFont="1" applyBorder="1"/>
    <xf numFmtId="0" fontId="31" fillId="2" borderId="87" xfId="74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right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9" fontId="32" fillId="0" borderId="27" xfId="0" applyNumberFormat="1" applyFont="1" applyFill="1" applyBorder="1"/>
    <xf numFmtId="3" fontId="6" fillId="0" borderId="18" xfId="78" applyNumberFormat="1" applyFont="1" applyFill="1" applyBorder="1" applyAlignment="1"/>
    <xf numFmtId="3" fontId="6" fillId="0" borderId="26" xfId="78" applyNumberFormat="1" applyFont="1" applyFill="1" applyBorder="1" applyAlignment="1"/>
    <xf numFmtId="3" fontId="6" fillId="0" borderId="19" xfId="78" applyNumberFormat="1" applyFont="1" applyFill="1" applyBorder="1" applyAlignment="1"/>
    <xf numFmtId="0" fontId="32" fillId="5" borderId="69" xfId="0" applyFont="1" applyFill="1" applyBorder="1"/>
    <xf numFmtId="0" fontId="32" fillId="0" borderId="70" xfId="0" applyFont="1" applyBorder="1" applyAlignment="1"/>
    <xf numFmtId="9" fontId="32" fillId="0" borderId="68" xfId="0" applyNumberFormat="1" applyFont="1" applyBorder="1" applyAlignment="1"/>
    <xf numFmtId="0" fontId="25" fillId="2" borderId="33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6" xfId="0" applyNumberFormat="1" applyFont="1" applyBorder="1"/>
    <xf numFmtId="9" fontId="32" fillId="0" borderId="70" xfId="0" applyNumberFormat="1" applyFont="1" applyBorder="1"/>
    <xf numFmtId="9" fontId="32" fillId="0" borderId="68" xfId="0" applyNumberFormat="1" applyFont="1" applyBorder="1"/>
    <xf numFmtId="9" fontId="32" fillId="0" borderId="69" xfId="0" applyNumberFormat="1" applyFont="1" applyBorder="1"/>
    <xf numFmtId="0" fontId="53" fillId="2" borderId="78" xfId="0" applyFont="1" applyFill="1" applyBorder="1" applyAlignment="1">
      <alignment horizontal="center" vertical="center" wrapText="1"/>
    </xf>
    <xf numFmtId="174" fontId="32" fillId="2" borderId="80" xfId="0" applyNumberFormat="1" applyFont="1" applyFill="1" applyBorder="1" applyAlignment="1"/>
    <xf numFmtId="173" fontId="39" fillId="4" borderId="80" xfId="0" applyNumberFormat="1" applyFont="1" applyFill="1" applyBorder="1" applyAlignment="1"/>
    <xf numFmtId="173" fontId="39" fillId="2" borderId="80" xfId="0" applyNumberFormat="1" applyFont="1" applyFill="1" applyBorder="1" applyAlignment="1"/>
    <xf numFmtId="49" fontId="37" fillId="2" borderId="68" xfId="0" quotePrefix="1" applyNumberFormat="1" applyFont="1" applyFill="1" applyBorder="1" applyAlignment="1">
      <alignment horizontal="center" vertical="center"/>
    </xf>
    <xf numFmtId="0" fontId="31" fillId="2" borderId="37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3" fontId="39" fillId="2" borderId="58" xfId="0" applyNumberFormat="1" applyFont="1" applyFill="1" applyBorder="1" applyAlignment="1">
      <alignment horizontal="center" vertical="center"/>
    </xf>
    <xf numFmtId="3" fontId="53" fillId="2" borderId="6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1" fillId="2" borderId="23" xfId="74" applyFont="1" applyFill="1" applyBorder="1" applyAlignment="1">
      <alignment horizontal="center"/>
    </xf>
    <xf numFmtId="0" fontId="6" fillId="0" borderId="2" xfId="78" applyFont="1" applyFill="1" applyBorder="1" applyAlignment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1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31" fillId="2" borderId="52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77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3" fontId="3" fillId="2" borderId="79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56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1" xfId="0" applyNumberFormat="1" applyFont="1" applyFill="1" applyBorder="1" applyAlignment="1">
      <alignment horizontal="right" vertical="top"/>
    </xf>
    <xf numFmtId="3" fontId="33" fillId="9" borderId="92" xfId="0" applyNumberFormat="1" applyFont="1" applyFill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3" fillId="0" borderId="91" xfId="0" applyNumberFormat="1" applyFont="1" applyBorder="1" applyAlignment="1">
      <alignment horizontal="right" vertical="top"/>
    </xf>
    <xf numFmtId="176" fontId="33" fillId="9" borderId="94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3" fontId="35" fillId="9" borderId="97" xfId="0" applyNumberFormat="1" applyFont="1" applyFill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176" fontId="35" fillId="9" borderId="99" xfId="0" applyNumberFormat="1" applyFont="1" applyFill="1" applyBorder="1" applyAlignment="1">
      <alignment horizontal="right" vertical="top"/>
    </xf>
    <xf numFmtId="0" fontId="33" fillId="9" borderId="94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5" fillId="9" borderId="99" xfId="0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176" fontId="35" fillId="9" borderId="103" xfId="0" applyNumberFormat="1" applyFont="1" applyFill="1" applyBorder="1" applyAlignment="1">
      <alignment horizontal="right" vertical="top"/>
    </xf>
    <xf numFmtId="0" fontId="37" fillId="10" borderId="90" xfId="0" applyFont="1" applyFill="1" applyBorder="1" applyAlignment="1">
      <alignment vertical="top"/>
    </xf>
    <xf numFmtId="0" fontId="37" fillId="10" borderId="90" xfId="0" applyFont="1" applyFill="1" applyBorder="1" applyAlignment="1">
      <alignment vertical="top" indent="2"/>
    </xf>
    <xf numFmtId="0" fontId="37" fillId="10" borderId="90" xfId="0" applyFont="1" applyFill="1" applyBorder="1" applyAlignment="1">
      <alignment vertical="top" indent="4"/>
    </xf>
    <xf numFmtId="0" fontId="38" fillId="10" borderId="95" xfId="0" applyFont="1" applyFill="1" applyBorder="1" applyAlignment="1">
      <alignment vertical="top" indent="6"/>
    </xf>
    <xf numFmtId="0" fontId="37" fillId="10" borderId="90" xfId="0" applyFont="1" applyFill="1" applyBorder="1" applyAlignment="1">
      <alignment vertical="top" indent="8"/>
    </xf>
    <xf numFmtId="0" fontId="38" fillId="10" borderId="95" xfId="0" applyFont="1" applyFill="1" applyBorder="1" applyAlignment="1">
      <alignment vertical="top" indent="2"/>
    </xf>
    <xf numFmtId="0" fontId="37" fillId="10" borderId="90" xfId="0" applyFont="1" applyFill="1" applyBorder="1" applyAlignment="1">
      <alignment vertical="top" indent="6"/>
    </xf>
    <xf numFmtId="0" fontId="38" fillId="10" borderId="95" xfId="0" applyFont="1" applyFill="1" applyBorder="1" applyAlignment="1">
      <alignment vertical="top" indent="4"/>
    </xf>
    <xf numFmtId="0" fontId="32" fillId="10" borderId="90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4" xfId="53" applyNumberFormat="1" applyFont="1" applyFill="1" applyBorder="1" applyAlignment="1">
      <alignment horizontal="left"/>
    </xf>
    <xf numFmtId="164" fontId="31" fillId="2" borderId="105" xfId="53" applyNumberFormat="1" applyFont="1" applyFill="1" applyBorder="1" applyAlignment="1">
      <alignment horizontal="left"/>
    </xf>
    <xf numFmtId="164" fontId="31" fillId="2" borderId="47" xfId="53" applyNumberFormat="1" applyFont="1" applyFill="1" applyBorder="1" applyAlignment="1">
      <alignment horizontal="left"/>
    </xf>
    <xf numFmtId="3" fontId="31" fillId="2" borderId="47" xfId="53" applyNumberFormat="1" applyFont="1" applyFill="1" applyBorder="1" applyAlignment="1">
      <alignment horizontal="left"/>
    </xf>
    <xf numFmtId="3" fontId="31" fillId="2" borderId="51" xfId="53" applyNumberFormat="1" applyFont="1" applyFill="1" applyBorder="1" applyAlignment="1">
      <alignment horizontal="left"/>
    </xf>
    <xf numFmtId="0" fontId="32" fillId="0" borderId="57" xfId="0" applyFont="1" applyFill="1" applyBorder="1"/>
    <xf numFmtId="0" fontId="32" fillId="0" borderId="58" xfId="0" applyFont="1" applyFill="1" applyBorder="1"/>
    <xf numFmtId="164" fontId="32" fillId="0" borderId="58" xfId="0" applyNumberFormat="1" applyFont="1" applyFill="1" applyBorder="1"/>
    <xf numFmtId="164" fontId="32" fillId="0" borderId="58" xfId="0" applyNumberFormat="1" applyFont="1" applyFill="1" applyBorder="1" applyAlignment="1">
      <alignment horizontal="right"/>
    </xf>
    <xf numFmtId="3" fontId="32" fillId="0" borderId="58" xfId="0" applyNumberFormat="1" applyFont="1" applyFill="1" applyBorder="1"/>
    <xf numFmtId="3" fontId="32" fillId="0" borderId="59" xfId="0" applyNumberFormat="1" applyFont="1" applyFill="1" applyBorder="1"/>
    <xf numFmtId="0" fontId="32" fillId="0" borderId="60" xfId="0" applyFont="1" applyFill="1" applyBorder="1"/>
    <xf numFmtId="0" fontId="32" fillId="0" borderId="61" xfId="0" applyFont="1" applyFill="1" applyBorder="1"/>
    <xf numFmtId="164" fontId="32" fillId="0" borderId="61" xfId="0" applyNumberFormat="1" applyFont="1" applyFill="1" applyBorder="1"/>
    <xf numFmtId="164" fontId="32" fillId="0" borderId="61" xfId="0" applyNumberFormat="1" applyFont="1" applyFill="1" applyBorder="1" applyAlignment="1">
      <alignment horizontal="right"/>
    </xf>
    <xf numFmtId="3" fontId="32" fillId="0" borderId="61" xfId="0" applyNumberFormat="1" applyFont="1" applyFill="1" applyBorder="1"/>
    <xf numFmtId="3" fontId="32" fillId="0" borderId="62" xfId="0" applyNumberFormat="1" applyFont="1" applyFill="1" applyBorder="1"/>
    <xf numFmtId="0" fontId="3" fillId="2" borderId="104" xfId="79" applyFont="1" applyFill="1" applyBorder="1" applyAlignment="1">
      <alignment horizontal="left"/>
    </xf>
    <xf numFmtId="3" fontId="3" fillId="2" borderId="74" xfId="80" applyNumberFormat="1" applyFont="1" applyFill="1" applyBorder="1"/>
    <xf numFmtId="3" fontId="3" fillId="2" borderId="75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" fillId="2" borderId="75" xfId="80" applyNumberFormat="1" applyFont="1" applyFill="1" applyBorder="1"/>
    <xf numFmtId="9" fontId="32" fillId="0" borderId="58" xfId="0" applyNumberFormat="1" applyFont="1" applyFill="1" applyBorder="1"/>
    <xf numFmtId="9" fontId="32" fillId="0" borderId="59" xfId="0" applyNumberFormat="1" applyFont="1" applyFill="1" applyBorder="1"/>
    <xf numFmtId="9" fontId="32" fillId="0" borderId="61" xfId="0" applyNumberFormat="1" applyFont="1" applyFill="1" applyBorder="1"/>
    <xf numFmtId="9" fontId="32" fillId="0" borderId="6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80" xfId="0" applyNumberFormat="1" applyFont="1" applyFill="1" applyBorder="1"/>
    <xf numFmtId="9" fontId="32" fillId="0" borderId="78" xfId="0" applyNumberFormat="1" applyFont="1" applyFill="1" applyBorder="1"/>
    <xf numFmtId="3" fontId="32" fillId="0" borderId="57" xfId="0" applyNumberFormat="1" applyFont="1" applyFill="1" applyBorder="1"/>
    <xf numFmtId="3" fontId="32" fillId="0" borderId="60" xfId="0" applyNumberFormat="1" applyFont="1" applyFill="1" applyBorder="1"/>
    <xf numFmtId="9" fontId="32" fillId="0" borderId="84" xfId="0" applyNumberFormat="1" applyFont="1" applyFill="1" applyBorder="1"/>
    <xf numFmtId="9" fontId="32" fillId="0" borderId="83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0" fillId="0" borderId="106" xfId="0" applyBorder="1" applyAlignment="1">
      <alignment horizontal="center"/>
    </xf>
    <xf numFmtId="0" fontId="0" fillId="0" borderId="107" xfId="0" applyBorder="1" applyAlignment="1">
      <alignment horizontal="center"/>
    </xf>
    <xf numFmtId="173" fontId="39" fillId="4" borderId="107" xfId="0" applyNumberFormat="1" applyFont="1" applyFill="1" applyBorder="1" applyAlignment="1">
      <alignment horizontal="center"/>
    </xf>
    <xf numFmtId="0" fontId="0" fillId="0" borderId="107" xfId="0" applyBorder="1" applyAlignment="1"/>
    <xf numFmtId="0" fontId="0" fillId="0" borderId="108" xfId="0" applyBorder="1" applyAlignment="1">
      <alignment horizontal="right"/>
    </xf>
    <xf numFmtId="0" fontId="0" fillId="0" borderId="109" xfId="0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173" fontId="32" fillId="0" borderId="109" xfId="0" applyNumberFormat="1" applyFont="1" applyBorder="1" applyAlignment="1">
      <alignment horizontal="right" wrapText="1"/>
    </xf>
    <xf numFmtId="0" fontId="0" fillId="0" borderId="109" xfId="0" applyBorder="1" applyAlignment="1">
      <alignment horizontal="right" wrapText="1"/>
    </xf>
    <xf numFmtId="175" fontId="32" fillId="0" borderId="109" xfId="0" applyNumberFormat="1" applyFont="1" applyBorder="1" applyAlignment="1">
      <alignment horizontal="right"/>
    </xf>
    <xf numFmtId="0" fontId="0" fillId="0" borderId="110" xfId="0" applyBorder="1" applyAlignment="1">
      <alignment horizontal="right"/>
    </xf>
    <xf numFmtId="0" fontId="0" fillId="0" borderId="111" xfId="0" applyBorder="1" applyAlignment="1">
      <alignment horizontal="right"/>
    </xf>
    <xf numFmtId="173" fontId="32" fillId="0" borderId="111" xfId="0" applyNumberFormat="1" applyFont="1" applyBorder="1" applyAlignment="1">
      <alignment horizontal="right"/>
    </xf>
    <xf numFmtId="0" fontId="39" fillId="2" borderId="84" xfId="0" applyFont="1" applyFill="1" applyBorder="1" applyAlignment="1">
      <alignment horizontal="center" vertical="center"/>
    </xf>
    <xf numFmtId="0" fontId="53" fillId="2" borderId="83" xfId="0" applyFont="1" applyFill="1" applyBorder="1" applyAlignment="1">
      <alignment horizontal="center" vertical="center" wrapText="1"/>
    </xf>
    <xf numFmtId="174" fontId="32" fillId="2" borderId="84" xfId="0" applyNumberFormat="1" applyFont="1" applyFill="1" applyBorder="1" applyAlignment="1"/>
    <xf numFmtId="174" fontId="32" fillId="0" borderId="82" xfId="0" applyNumberFormat="1" applyFont="1" applyBorder="1"/>
    <xf numFmtId="174" fontId="32" fillId="0" borderId="113" xfId="0" applyNumberFormat="1" applyFont="1" applyBorder="1"/>
    <xf numFmtId="173" fontId="39" fillId="4" borderId="84" xfId="0" applyNumberFormat="1" applyFont="1" applyFill="1" applyBorder="1" applyAlignment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2" borderId="84" xfId="0" applyNumberFormat="1" applyFont="1" applyFill="1" applyBorder="1" applyAlignment="1"/>
    <xf numFmtId="173" fontId="32" fillId="0" borderId="113" xfId="0" applyNumberFormat="1" applyFont="1" applyBorder="1"/>
    <xf numFmtId="173" fontId="32" fillId="0" borderId="84" xfId="0" applyNumberFormat="1" applyFont="1" applyBorder="1"/>
    <xf numFmtId="0" fontId="0" fillId="0" borderId="114" xfId="0" applyBorder="1" applyAlignment="1">
      <alignment horizontal="center"/>
    </xf>
    <xf numFmtId="0" fontId="0" fillId="0" borderId="115" xfId="0" applyBorder="1" applyAlignment="1">
      <alignment horizontal="right"/>
    </xf>
    <xf numFmtId="0" fontId="0" fillId="0" borderId="115" xfId="0" applyBorder="1" applyAlignment="1">
      <alignment horizontal="right" wrapText="1"/>
    </xf>
    <xf numFmtId="0" fontId="0" fillId="0" borderId="116" xfId="0" applyBorder="1" applyAlignment="1">
      <alignment horizontal="right"/>
    </xf>
    <xf numFmtId="0" fontId="0" fillId="0" borderId="112" xfId="0" applyBorder="1"/>
    <xf numFmtId="173" fontId="39" fillId="4" borderId="63" xfId="0" applyNumberFormat="1" applyFont="1" applyFill="1" applyBorder="1" applyAlignment="1">
      <alignment horizontal="center"/>
    </xf>
    <xf numFmtId="173" fontId="32" fillId="0" borderId="65" xfId="0" applyNumberFormat="1" applyFont="1" applyBorder="1" applyAlignment="1">
      <alignment horizontal="right"/>
    </xf>
    <xf numFmtId="175" fontId="32" fillId="0" borderId="65" xfId="0" applyNumberFormat="1" applyFont="1" applyBorder="1" applyAlignment="1">
      <alignment horizontal="right"/>
    </xf>
    <xf numFmtId="173" fontId="32" fillId="0" borderId="76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tabSelected="1" zoomScaleNormal="100" workbookViewId="0">
      <selection sqref="A1:B1"/>
    </sheetView>
  </sheetViews>
  <sheetFormatPr defaultRowHeight="14.4" customHeight="1" x14ac:dyDescent="0.3"/>
  <cols>
    <col min="1" max="1" width="17.88671875" style="95" bestFit="1" customWidth="1"/>
    <col min="2" max="2" width="102.21875" style="95" bestFit="1" customWidth="1"/>
    <col min="3" max="3" width="16.109375" style="42" hidden="1" customWidth="1"/>
    <col min="4" max="16384" width="8.88671875" style="95"/>
  </cols>
  <sheetData>
    <row r="1" spans="1:3" ht="18.600000000000001" customHeight="1" thickBot="1" x14ac:dyDescent="0.4">
      <c r="A1" s="274" t="s">
        <v>63</v>
      </c>
      <c r="B1" s="274"/>
    </row>
    <row r="2" spans="1:3" ht="14.4" customHeight="1" thickBot="1" x14ac:dyDescent="0.35">
      <c r="A2" s="173" t="s">
        <v>217</v>
      </c>
      <c r="B2" s="41"/>
    </row>
    <row r="3" spans="1:3" ht="14.4" customHeight="1" thickBot="1" x14ac:dyDescent="0.35">
      <c r="A3" s="270" t="s">
        <v>79</v>
      </c>
      <c r="B3" s="271"/>
    </row>
    <row r="4" spans="1:3" ht="14.4" customHeight="1" x14ac:dyDescent="0.3">
      <c r="A4" s="108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09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0" t="str">
        <f t="shared" si="0"/>
        <v>Man Tab</v>
      </c>
      <c r="B6" s="63" t="s">
        <v>219</v>
      </c>
      <c r="C6" s="42" t="s">
        <v>67</v>
      </c>
    </row>
    <row r="7" spans="1:3" ht="14.4" customHeight="1" thickBot="1" x14ac:dyDescent="0.35">
      <c r="A7" s="111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72" t="s">
        <v>64</v>
      </c>
      <c r="B9" s="271"/>
    </row>
    <row r="10" spans="1:3" ht="14.4" customHeight="1" x14ac:dyDescent="0.3">
      <c r="A10" s="112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0" t="str">
        <f t="shared" ref="A11:A15" si="2">HYPERLINK("#'"&amp;C11&amp;"'!A1",C11)</f>
        <v>LŽ Detail</v>
      </c>
      <c r="B11" s="63" t="s">
        <v>93</v>
      </c>
      <c r="C11" s="42" t="s">
        <v>69</v>
      </c>
    </row>
    <row r="12" spans="1:3" ht="14.4" customHeight="1" x14ac:dyDescent="0.3">
      <c r="A12" s="110" t="str">
        <f t="shared" si="2"/>
        <v>LŽ Statim</v>
      </c>
      <c r="B12" s="249" t="s">
        <v>163</v>
      </c>
      <c r="C12" s="42" t="s">
        <v>173</v>
      </c>
    </row>
    <row r="13" spans="1:3" ht="14.4" customHeight="1" x14ac:dyDescent="0.3">
      <c r="A13" s="112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0" t="str">
        <f t="shared" si="2"/>
        <v>MŽ Detail</v>
      </c>
      <c r="B14" s="63" t="s">
        <v>367</v>
      </c>
      <c r="C14" s="42" t="s">
        <v>71</v>
      </c>
    </row>
    <row r="15" spans="1:3" ht="14.4" customHeight="1" thickBot="1" x14ac:dyDescent="0.35">
      <c r="A15" s="112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73" t="s">
        <v>65</v>
      </c>
      <c r="B17" s="271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163" bestFit="1" customWidth="1"/>
    <col min="6" max="6" width="18.77734375" style="167" customWidth="1"/>
    <col min="7" max="7" width="12.44140625" style="163" hidden="1" customWidth="1" outlineLevel="1"/>
    <col min="8" max="8" width="25.77734375" style="163" customWidth="1" collapsed="1"/>
    <col min="9" max="9" width="7.77734375" style="161" customWidth="1"/>
    <col min="10" max="10" width="10" style="161" customWidth="1"/>
    <col min="11" max="11" width="11.109375" style="161" customWidth="1"/>
    <col min="12" max="16384" width="8.88671875" style="95"/>
  </cols>
  <sheetData>
    <row r="1" spans="1:11" ht="18.600000000000001" customHeight="1" thickBot="1" x14ac:dyDescent="0.4">
      <c r="A1" s="311" t="s">
        <v>367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ht="14.4" customHeight="1" thickBot="1" x14ac:dyDescent="0.35">
      <c r="A2" s="173" t="s">
        <v>217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" customHeight="1" thickBot="1" x14ac:dyDescent="0.35">
      <c r="A3" s="57"/>
      <c r="B3" s="57"/>
      <c r="C3" s="307"/>
      <c r="D3" s="308"/>
      <c r="E3" s="308"/>
      <c r="F3" s="308"/>
      <c r="G3" s="308"/>
      <c r="H3" s="107" t="s">
        <v>75</v>
      </c>
      <c r="I3" s="71">
        <f>IF(J3&lt;&gt;0,K3/J3,0)</f>
        <v>10.872094662638471</v>
      </c>
      <c r="J3" s="71">
        <f>SUBTOTAL(9,J5:J1048576)</f>
        <v>993</v>
      </c>
      <c r="K3" s="72">
        <f>SUBTOTAL(9,K5:K1048576)</f>
        <v>10795.990000000002</v>
      </c>
    </row>
    <row r="4" spans="1:11" s="162" customFormat="1" ht="14.4" customHeight="1" thickBot="1" x14ac:dyDescent="0.35">
      <c r="A4" s="355" t="s">
        <v>3</v>
      </c>
      <c r="B4" s="356" t="s">
        <v>4</v>
      </c>
      <c r="C4" s="356" t="s">
        <v>0</v>
      </c>
      <c r="D4" s="356" t="s">
        <v>5</v>
      </c>
      <c r="E4" s="356" t="s">
        <v>6</v>
      </c>
      <c r="F4" s="356" t="s">
        <v>1</v>
      </c>
      <c r="G4" s="356" t="s">
        <v>54</v>
      </c>
      <c r="H4" s="357" t="s">
        <v>10</v>
      </c>
      <c r="I4" s="358" t="s">
        <v>81</v>
      </c>
      <c r="J4" s="358" t="s">
        <v>12</v>
      </c>
      <c r="K4" s="359" t="s">
        <v>89</v>
      </c>
    </row>
    <row r="5" spans="1:11" ht="14.4" customHeight="1" x14ac:dyDescent="0.3">
      <c r="A5" s="360" t="s">
        <v>326</v>
      </c>
      <c r="B5" s="361" t="s">
        <v>327</v>
      </c>
      <c r="C5" s="362" t="s">
        <v>331</v>
      </c>
      <c r="D5" s="363" t="s">
        <v>341</v>
      </c>
      <c r="E5" s="362" t="s">
        <v>363</v>
      </c>
      <c r="F5" s="363" t="s">
        <v>364</v>
      </c>
      <c r="G5" s="362" t="s">
        <v>345</v>
      </c>
      <c r="H5" s="362" t="s">
        <v>346</v>
      </c>
      <c r="I5" s="364">
        <v>0.69</v>
      </c>
      <c r="J5" s="364">
        <v>400</v>
      </c>
      <c r="K5" s="365">
        <v>276</v>
      </c>
    </row>
    <row r="6" spans="1:11" ht="14.4" customHeight="1" x14ac:dyDescent="0.3">
      <c r="A6" s="390" t="s">
        <v>326</v>
      </c>
      <c r="B6" s="391" t="s">
        <v>327</v>
      </c>
      <c r="C6" s="392" t="s">
        <v>331</v>
      </c>
      <c r="D6" s="393" t="s">
        <v>341</v>
      </c>
      <c r="E6" s="392" t="s">
        <v>365</v>
      </c>
      <c r="F6" s="393" t="s">
        <v>366</v>
      </c>
      <c r="G6" s="392" t="s">
        <v>347</v>
      </c>
      <c r="H6" s="392" t="s">
        <v>348</v>
      </c>
      <c r="I6" s="394">
        <v>12.305</v>
      </c>
      <c r="J6" s="394">
        <v>100</v>
      </c>
      <c r="K6" s="395">
        <v>1230.3200000000002</v>
      </c>
    </row>
    <row r="7" spans="1:11" ht="14.4" customHeight="1" x14ac:dyDescent="0.3">
      <c r="A7" s="390" t="s">
        <v>326</v>
      </c>
      <c r="B7" s="391" t="s">
        <v>327</v>
      </c>
      <c r="C7" s="392" t="s">
        <v>331</v>
      </c>
      <c r="D7" s="393" t="s">
        <v>341</v>
      </c>
      <c r="E7" s="392" t="s">
        <v>365</v>
      </c>
      <c r="F7" s="393" t="s">
        <v>366</v>
      </c>
      <c r="G7" s="392" t="s">
        <v>349</v>
      </c>
      <c r="H7" s="392" t="s">
        <v>350</v>
      </c>
      <c r="I7" s="394">
        <v>17.545000000000002</v>
      </c>
      <c r="J7" s="394">
        <v>60</v>
      </c>
      <c r="K7" s="395">
        <v>1052.8899999999999</v>
      </c>
    </row>
    <row r="8" spans="1:11" ht="14.4" customHeight="1" x14ac:dyDescent="0.3">
      <c r="A8" s="390" t="s">
        <v>326</v>
      </c>
      <c r="B8" s="391" t="s">
        <v>327</v>
      </c>
      <c r="C8" s="392" t="s">
        <v>331</v>
      </c>
      <c r="D8" s="393" t="s">
        <v>341</v>
      </c>
      <c r="E8" s="392" t="s">
        <v>365</v>
      </c>
      <c r="F8" s="393" t="s">
        <v>366</v>
      </c>
      <c r="G8" s="392" t="s">
        <v>351</v>
      </c>
      <c r="H8" s="392" t="s">
        <v>352</v>
      </c>
      <c r="I8" s="394">
        <v>18.149999999999999</v>
      </c>
      <c r="J8" s="394">
        <v>40</v>
      </c>
      <c r="K8" s="395">
        <v>726</v>
      </c>
    </row>
    <row r="9" spans="1:11" ht="14.4" customHeight="1" x14ac:dyDescent="0.3">
      <c r="A9" s="390" t="s">
        <v>326</v>
      </c>
      <c r="B9" s="391" t="s">
        <v>327</v>
      </c>
      <c r="C9" s="392" t="s">
        <v>331</v>
      </c>
      <c r="D9" s="393" t="s">
        <v>341</v>
      </c>
      <c r="E9" s="392" t="s">
        <v>365</v>
      </c>
      <c r="F9" s="393" t="s">
        <v>366</v>
      </c>
      <c r="G9" s="392" t="s">
        <v>353</v>
      </c>
      <c r="H9" s="392" t="s">
        <v>354</v>
      </c>
      <c r="I9" s="394">
        <v>15.81</v>
      </c>
      <c r="J9" s="394">
        <v>350</v>
      </c>
      <c r="K9" s="395">
        <v>5534.87</v>
      </c>
    </row>
    <row r="10" spans="1:11" ht="14.4" customHeight="1" x14ac:dyDescent="0.3">
      <c r="A10" s="390" t="s">
        <v>326</v>
      </c>
      <c r="B10" s="391" t="s">
        <v>327</v>
      </c>
      <c r="C10" s="392" t="s">
        <v>331</v>
      </c>
      <c r="D10" s="393" t="s">
        <v>341</v>
      </c>
      <c r="E10" s="392" t="s">
        <v>365</v>
      </c>
      <c r="F10" s="393" t="s">
        <v>366</v>
      </c>
      <c r="G10" s="392" t="s">
        <v>355</v>
      </c>
      <c r="H10" s="392" t="s">
        <v>356</v>
      </c>
      <c r="I10" s="394">
        <v>15.55</v>
      </c>
      <c r="J10" s="394">
        <v>40</v>
      </c>
      <c r="K10" s="395">
        <v>621.91999999999996</v>
      </c>
    </row>
    <row r="11" spans="1:11" ht="14.4" customHeight="1" x14ac:dyDescent="0.3">
      <c r="A11" s="390" t="s">
        <v>326</v>
      </c>
      <c r="B11" s="391" t="s">
        <v>327</v>
      </c>
      <c r="C11" s="392" t="s">
        <v>331</v>
      </c>
      <c r="D11" s="393" t="s">
        <v>341</v>
      </c>
      <c r="E11" s="392" t="s">
        <v>365</v>
      </c>
      <c r="F11" s="393" t="s">
        <v>366</v>
      </c>
      <c r="G11" s="392" t="s">
        <v>357</v>
      </c>
      <c r="H11" s="392" t="s">
        <v>358</v>
      </c>
      <c r="I11" s="394">
        <v>151.25</v>
      </c>
      <c r="J11" s="394">
        <v>1</v>
      </c>
      <c r="K11" s="395">
        <v>151.25</v>
      </c>
    </row>
    <row r="12" spans="1:11" ht="14.4" customHeight="1" x14ac:dyDescent="0.3">
      <c r="A12" s="390" t="s">
        <v>326</v>
      </c>
      <c r="B12" s="391" t="s">
        <v>327</v>
      </c>
      <c r="C12" s="392" t="s">
        <v>331</v>
      </c>
      <c r="D12" s="393" t="s">
        <v>341</v>
      </c>
      <c r="E12" s="392" t="s">
        <v>365</v>
      </c>
      <c r="F12" s="393" t="s">
        <v>366</v>
      </c>
      <c r="G12" s="392" t="s">
        <v>359</v>
      </c>
      <c r="H12" s="392" t="s">
        <v>360</v>
      </c>
      <c r="I12" s="394">
        <v>482.79</v>
      </c>
      <c r="J12" s="394">
        <v>1</v>
      </c>
      <c r="K12" s="395">
        <v>482.79</v>
      </c>
    </row>
    <row r="13" spans="1:11" ht="14.4" customHeight="1" thickBot="1" x14ac:dyDescent="0.35">
      <c r="A13" s="366" t="s">
        <v>326</v>
      </c>
      <c r="B13" s="367" t="s">
        <v>327</v>
      </c>
      <c r="C13" s="368" t="s">
        <v>331</v>
      </c>
      <c r="D13" s="369" t="s">
        <v>341</v>
      </c>
      <c r="E13" s="368" t="s">
        <v>365</v>
      </c>
      <c r="F13" s="369" t="s">
        <v>366</v>
      </c>
      <c r="G13" s="368" t="s">
        <v>361</v>
      </c>
      <c r="H13" s="368" t="s">
        <v>362</v>
      </c>
      <c r="I13" s="370">
        <v>719.95</v>
      </c>
      <c r="J13" s="370">
        <v>1</v>
      </c>
      <c r="K13" s="371">
        <v>719.95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S1"/>
    </sheetView>
  </sheetViews>
  <sheetFormatPr defaultRowHeight="14.4" outlineLevelRow="1" x14ac:dyDescent="0.3"/>
  <cols>
    <col min="1" max="1" width="37.21875" customWidth="1"/>
    <col min="2" max="2" width="13.109375" customWidth="1"/>
    <col min="3" max="7" width="13.109375" hidden="1" customWidth="1"/>
    <col min="8" max="8" width="13.109375" customWidth="1"/>
    <col min="9" max="18" width="13.109375" hidden="1" customWidth="1"/>
    <col min="19" max="19" width="13.109375" customWidth="1"/>
    <col min="20" max="35" width="13.109375" hidden="1" customWidth="1"/>
    <col min="36" max="36" width="13.109375" customWidth="1"/>
    <col min="37" max="44" width="13.109375" hidden="1" customWidth="1"/>
    <col min="45" max="45" width="13.109375" customWidth="1"/>
  </cols>
  <sheetData>
    <row r="1" spans="1:46" ht="18.600000000000001" thickBot="1" x14ac:dyDescent="0.4">
      <c r="A1" s="319" t="s">
        <v>61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  <c r="AK1" s="306"/>
      <c r="AL1" s="306"/>
      <c r="AM1" s="306"/>
      <c r="AN1" s="306"/>
      <c r="AO1" s="306"/>
      <c r="AP1" s="306"/>
      <c r="AQ1" s="306"/>
      <c r="AR1" s="306"/>
      <c r="AS1" s="306"/>
    </row>
    <row r="2" spans="1:46" ht="15" thickBot="1" x14ac:dyDescent="0.35">
      <c r="A2" s="173" t="s">
        <v>217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</row>
    <row r="3" spans="1:46" x14ac:dyDescent="0.3">
      <c r="A3" s="192" t="s">
        <v>129</v>
      </c>
      <c r="B3" s="320" t="s">
        <v>108</v>
      </c>
      <c r="C3" s="175">
        <v>0</v>
      </c>
      <c r="D3" s="176">
        <v>25</v>
      </c>
      <c r="E3" s="176">
        <v>30</v>
      </c>
      <c r="F3" s="176">
        <v>99</v>
      </c>
      <c r="G3" s="195">
        <v>100</v>
      </c>
      <c r="H3" s="195">
        <v>101</v>
      </c>
      <c r="I3" s="195">
        <v>102</v>
      </c>
      <c r="J3" s="195">
        <v>103</v>
      </c>
      <c r="K3" s="195">
        <v>203</v>
      </c>
      <c r="L3" s="265">
        <v>302</v>
      </c>
      <c r="M3" s="195">
        <v>303</v>
      </c>
      <c r="N3" s="195">
        <v>304</v>
      </c>
      <c r="O3" s="195">
        <v>305</v>
      </c>
      <c r="P3" s="195">
        <v>306</v>
      </c>
      <c r="Q3" s="195">
        <v>407</v>
      </c>
      <c r="R3" s="195">
        <v>408</v>
      </c>
      <c r="S3" s="195">
        <v>409</v>
      </c>
      <c r="T3" s="195">
        <v>410</v>
      </c>
      <c r="U3" s="195">
        <v>415</v>
      </c>
      <c r="V3" s="195">
        <v>416</v>
      </c>
      <c r="W3" s="195">
        <v>418</v>
      </c>
      <c r="X3" s="195">
        <v>419</v>
      </c>
      <c r="Y3" s="195">
        <v>420</v>
      </c>
      <c r="Z3" s="195">
        <v>421</v>
      </c>
      <c r="AA3" s="195">
        <v>422</v>
      </c>
      <c r="AB3" s="195">
        <v>520</v>
      </c>
      <c r="AC3" s="195">
        <v>521</v>
      </c>
      <c r="AD3" s="195">
        <v>522</v>
      </c>
      <c r="AE3" s="195">
        <v>523</v>
      </c>
      <c r="AF3" s="195">
        <v>524</v>
      </c>
      <c r="AG3" s="195">
        <v>525</v>
      </c>
      <c r="AH3" s="195">
        <v>526</v>
      </c>
      <c r="AI3" s="176">
        <v>527</v>
      </c>
      <c r="AJ3" s="176">
        <v>528</v>
      </c>
      <c r="AK3" s="176">
        <v>629</v>
      </c>
      <c r="AL3" s="176">
        <v>630</v>
      </c>
      <c r="AM3" s="176">
        <v>636</v>
      </c>
      <c r="AN3" s="176">
        <v>637</v>
      </c>
      <c r="AO3" s="176">
        <v>640</v>
      </c>
      <c r="AP3" s="176">
        <v>642</v>
      </c>
      <c r="AQ3" s="176">
        <v>743</v>
      </c>
      <c r="AR3" s="176">
        <v>745</v>
      </c>
      <c r="AS3" s="409">
        <v>746</v>
      </c>
      <c r="AT3" s="424"/>
    </row>
    <row r="4" spans="1:46" ht="36.6" outlineLevel="1" thickBot="1" x14ac:dyDescent="0.35">
      <c r="A4" s="193">
        <v>2017</v>
      </c>
      <c r="B4" s="321"/>
      <c r="C4" s="177" t="s">
        <v>109</v>
      </c>
      <c r="D4" s="178" t="s">
        <v>113</v>
      </c>
      <c r="E4" s="178" t="s">
        <v>131</v>
      </c>
      <c r="F4" s="178" t="s">
        <v>110</v>
      </c>
      <c r="G4" s="196" t="s">
        <v>176</v>
      </c>
      <c r="H4" s="196" t="s">
        <v>177</v>
      </c>
      <c r="I4" s="196" t="s">
        <v>111</v>
      </c>
      <c r="J4" s="196" t="s">
        <v>178</v>
      </c>
      <c r="K4" s="196" t="s">
        <v>112</v>
      </c>
      <c r="L4" s="266" t="s">
        <v>179</v>
      </c>
      <c r="M4" s="196" t="s">
        <v>180</v>
      </c>
      <c r="N4" s="196" t="s">
        <v>181</v>
      </c>
      <c r="O4" s="196" t="s">
        <v>182</v>
      </c>
      <c r="P4" s="196" t="s">
        <v>137</v>
      </c>
      <c r="Q4" s="196" t="s">
        <v>175</v>
      </c>
      <c r="R4" s="196" t="s">
        <v>138</v>
      </c>
      <c r="S4" s="196" t="s">
        <v>139</v>
      </c>
      <c r="T4" s="196" t="s">
        <v>140</v>
      </c>
      <c r="U4" s="196" t="s">
        <v>141</v>
      </c>
      <c r="V4" s="196" t="s">
        <v>142</v>
      </c>
      <c r="W4" s="196" t="s">
        <v>143</v>
      </c>
      <c r="X4" s="196" t="s">
        <v>144</v>
      </c>
      <c r="Y4" s="196" t="s">
        <v>145</v>
      </c>
      <c r="Z4" s="196" t="s">
        <v>146</v>
      </c>
      <c r="AA4" s="196" t="s">
        <v>210</v>
      </c>
      <c r="AB4" s="196" t="s">
        <v>183</v>
      </c>
      <c r="AC4" s="196" t="s">
        <v>184</v>
      </c>
      <c r="AD4" s="196" t="s">
        <v>185</v>
      </c>
      <c r="AE4" s="196" t="s">
        <v>147</v>
      </c>
      <c r="AF4" s="196" t="s">
        <v>148</v>
      </c>
      <c r="AG4" s="196" t="s">
        <v>149</v>
      </c>
      <c r="AH4" s="196" t="s">
        <v>150</v>
      </c>
      <c r="AI4" s="178" t="s">
        <v>151</v>
      </c>
      <c r="AJ4" s="178" t="s">
        <v>160</v>
      </c>
      <c r="AK4" s="178" t="s">
        <v>152</v>
      </c>
      <c r="AL4" s="178" t="s">
        <v>161</v>
      </c>
      <c r="AM4" s="178" t="s">
        <v>153</v>
      </c>
      <c r="AN4" s="258" t="s">
        <v>154</v>
      </c>
      <c r="AO4" s="178" t="s">
        <v>155</v>
      </c>
      <c r="AP4" s="178" t="s">
        <v>156</v>
      </c>
      <c r="AQ4" s="178" t="s">
        <v>157</v>
      </c>
      <c r="AR4" s="178" t="s">
        <v>158</v>
      </c>
      <c r="AS4" s="410" t="s">
        <v>159</v>
      </c>
      <c r="AT4" s="424"/>
    </row>
    <row r="5" spans="1:46" x14ac:dyDescent="0.3">
      <c r="A5" s="179" t="s">
        <v>114</v>
      </c>
      <c r="B5" s="217"/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59"/>
      <c r="AO5" s="219"/>
      <c r="AP5" s="219"/>
      <c r="AQ5" s="219"/>
      <c r="AR5" s="219"/>
      <c r="AS5" s="411"/>
      <c r="AT5" s="424"/>
    </row>
    <row r="6" spans="1:46" ht="15" collapsed="1" thickBot="1" x14ac:dyDescent="0.35">
      <c r="A6" s="180" t="s">
        <v>55</v>
      </c>
      <c r="B6" s="220">
        <f xml:space="preserve">
TRUNC(IF($A$4&lt;=12,SUMIFS('ON Data'!F:F,'ON Data'!$D:$D,$A$4,'ON Data'!$E:$E,1),SUMIFS('ON Data'!F:F,'ON Data'!$E:$E,1)/'ON Data'!$D$3),1)</f>
        <v>4</v>
      </c>
      <c r="C6" s="221">
        <f xml:space="preserve">
TRUNC(IF($A$4&lt;=12,SUMIFS('ON Data'!G:G,'ON Data'!$D:$D,$A$4,'ON Data'!$E:$E,1),SUMIFS('ON Data'!G:G,'ON Data'!$E:$E,1)/'ON Data'!$D$3),1)</f>
        <v>0</v>
      </c>
      <c r="D6" s="222">
        <f xml:space="preserve">
TRUNC(IF($A$4&lt;=12,SUMIFS('ON Data'!H:H,'ON Data'!$D:$D,$A$4,'ON Data'!$E:$E,1),SUMIFS('ON Data'!H:H,'ON Data'!$E:$E,1)/'ON Data'!$D$3),1)</f>
        <v>0</v>
      </c>
      <c r="E6" s="222">
        <f xml:space="preserve">
TRUNC(IF($A$4&lt;=12,SUMIFS('ON Data'!I:I,'ON Data'!$D:$D,$A$4,'ON Data'!$E:$E,1),SUMIFS('ON Data'!I:I,'ON Data'!$E:$E,1)/'ON Data'!$D$3),1)</f>
        <v>0</v>
      </c>
      <c r="F6" s="222">
        <f xml:space="preserve">
TRUNC(IF($A$4&lt;=12,SUMIFS('ON Data'!J:J,'ON Data'!$D:$D,$A$4,'ON Data'!$E:$E,1),SUMIFS('ON Data'!J:J,'ON Data'!$E:$E,1)/'ON Data'!$D$3),1)</f>
        <v>0</v>
      </c>
      <c r="G6" s="222">
        <f xml:space="preserve">
TRUNC(IF($A$4&lt;=12,SUMIFS('ON Data'!K:K,'ON Data'!$D:$D,$A$4,'ON Data'!$E:$E,1),SUMIFS('ON Data'!K:K,'ON Data'!$E:$E,1)/'ON Data'!$D$3),1)</f>
        <v>0</v>
      </c>
      <c r="H6" s="222">
        <f xml:space="preserve">
TRUNC(IF($A$4&lt;=12,SUMIFS('ON Data'!L:L,'ON Data'!$D:$D,$A$4,'ON Data'!$E:$E,1),SUMIFS('ON Data'!L:L,'ON Data'!$E:$E,1)/'ON Data'!$D$3),1)</f>
        <v>2</v>
      </c>
      <c r="I6" s="222">
        <f xml:space="preserve">
TRUNC(IF($A$4&lt;=12,SUMIFS('ON Data'!M:M,'ON Data'!$D:$D,$A$4,'ON Data'!$E:$E,1),SUMIFS('ON Data'!M:M,'ON Data'!$E:$E,1)/'ON Data'!$D$3),1)</f>
        <v>0</v>
      </c>
      <c r="J6" s="222">
        <f xml:space="preserve">
TRUNC(IF($A$4&lt;=12,SUMIFS('ON Data'!N:N,'ON Data'!$D:$D,$A$4,'ON Data'!$E:$E,1),SUMIFS('ON Data'!N:N,'ON Data'!$E:$E,1)/'ON Data'!$D$3),1)</f>
        <v>0</v>
      </c>
      <c r="K6" s="222">
        <f xml:space="preserve">
TRUNC(IF($A$4&lt;=12,SUMIFS('ON Data'!O:O,'ON Data'!$D:$D,$A$4,'ON Data'!$E:$E,1),SUMIFS('ON Data'!O:O,'ON Data'!$E:$E,1)/'ON Data'!$D$3),1)</f>
        <v>0</v>
      </c>
      <c r="L6" s="222">
        <f xml:space="preserve">
TRUNC(IF($A$4&lt;=12,SUMIFS('ON Data'!P:P,'ON Data'!$D:$D,$A$4,'ON Data'!$E:$E,1),SUMIFS('ON Data'!P:P,'ON Data'!$E:$E,1)/'ON Data'!$D$3),1)</f>
        <v>0</v>
      </c>
      <c r="M6" s="222">
        <f xml:space="preserve">
TRUNC(IF($A$4&lt;=12,SUMIFS('ON Data'!Q:Q,'ON Data'!$D:$D,$A$4,'ON Data'!$E:$E,1),SUMIFS('ON Data'!Q:Q,'ON Data'!$E:$E,1)/'ON Data'!$D$3),1)</f>
        <v>0</v>
      </c>
      <c r="N6" s="222">
        <f xml:space="preserve">
TRUNC(IF($A$4&lt;=12,SUMIFS('ON Data'!R:R,'ON Data'!$D:$D,$A$4,'ON Data'!$E:$E,1),SUMIFS('ON Data'!R:R,'ON Data'!$E:$E,1)/'ON Data'!$D$3),1)</f>
        <v>0</v>
      </c>
      <c r="O6" s="222">
        <f xml:space="preserve">
TRUNC(IF($A$4&lt;=12,SUMIFS('ON Data'!S:S,'ON Data'!$D:$D,$A$4,'ON Data'!$E:$E,1),SUMIFS('ON Data'!S:S,'ON Data'!$E:$E,1)/'ON Data'!$D$3),1)</f>
        <v>0</v>
      </c>
      <c r="P6" s="222">
        <f xml:space="preserve">
TRUNC(IF($A$4&lt;=12,SUMIFS('ON Data'!T:T,'ON Data'!$D:$D,$A$4,'ON Data'!$E:$E,1),SUMIFS('ON Data'!T:T,'ON Data'!$E:$E,1)/'ON Data'!$D$3),1)</f>
        <v>0</v>
      </c>
      <c r="Q6" s="222">
        <f xml:space="preserve">
TRUNC(IF($A$4&lt;=12,SUMIFS('ON Data'!U:U,'ON Data'!$D:$D,$A$4,'ON Data'!$E:$E,1),SUMIFS('ON Data'!U:U,'ON Data'!$E:$E,1)/'ON Data'!$D$3),1)</f>
        <v>0</v>
      </c>
      <c r="R6" s="222">
        <f xml:space="preserve">
TRUNC(IF($A$4&lt;=12,SUMIFS('ON Data'!V:V,'ON Data'!$D:$D,$A$4,'ON Data'!$E:$E,1),SUMIFS('ON Data'!V:V,'ON Data'!$E:$E,1)/'ON Data'!$D$3),1)</f>
        <v>0</v>
      </c>
      <c r="S6" s="222">
        <f xml:space="preserve">
TRUNC(IF($A$4&lt;=12,SUMIFS('ON Data'!W:W,'ON Data'!$D:$D,$A$4,'ON Data'!$E:$E,1),SUMIFS('ON Data'!W:W,'ON Data'!$E:$E,1)/'ON Data'!$D$3),1)</f>
        <v>1</v>
      </c>
      <c r="T6" s="222">
        <f xml:space="preserve">
TRUNC(IF($A$4&lt;=12,SUMIFS('ON Data'!X:X,'ON Data'!$D:$D,$A$4,'ON Data'!$E:$E,1),SUMIFS('ON Data'!X:X,'ON Data'!$E:$E,1)/'ON Data'!$D$3),1)</f>
        <v>0</v>
      </c>
      <c r="U6" s="222">
        <f xml:space="preserve">
TRUNC(IF($A$4&lt;=12,SUMIFS('ON Data'!Y:Y,'ON Data'!$D:$D,$A$4,'ON Data'!$E:$E,1),SUMIFS('ON Data'!Y:Y,'ON Data'!$E:$E,1)/'ON Data'!$D$3),1)</f>
        <v>0</v>
      </c>
      <c r="V6" s="222">
        <f xml:space="preserve">
TRUNC(IF($A$4&lt;=12,SUMIFS('ON Data'!Z:Z,'ON Data'!$D:$D,$A$4,'ON Data'!$E:$E,1),SUMIFS('ON Data'!Z:Z,'ON Data'!$E:$E,1)/'ON Data'!$D$3),1)</f>
        <v>0</v>
      </c>
      <c r="W6" s="222">
        <f xml:space="preserve">
TRUNC(IF($A$4&lt;=12,SUMIFS('ON Data'!AA:AA,'ON Data'!$D:$D,$A$4,'ON Data'!$E:$E,1),SUMIFS('ON Data'!AA:AA,'ON Data'!$E:$E,1)/'ON Data'!$D$3),1)</f>
        <v>0</v>
      </c>
      <c r="X6" s="222">
        <f xml:space="preserve">
TRUNC(IF($A$4&lt;=12,SUMIFS('ON Data'!AB:AB,'ON Data'!$D:$D,$A$4,'ON Data'!$E:$E,1),SUMIFS('ON Data'!AB:AB,'ON Data'!$E:$E,1)/'ON Data'!$D$3),1)</f>
        <v>0</v>
      </c>
      <c r="Y6" s="222">
        <f xml:space="preserve">
TRUNC(IF($A$4&lt;=12,SUMIFS('ON Data'!AC:AC,'ON Data'!$D:$D,$A$4,'ON Data'!$E:$E,1),SUMIFS('ON Data'!AC:AC,'ON Data'!$E:$E,1)/'ON Data'!$D$3),1)</f>
        <v>0</v>
      </c>
      <c r="Z6" s="222">
        <f xml:space="preserve">
TRUNC(IF($A$4&lt;=12,SUMIFS('ON Data'!AD:AD,'ON Data'!$D:$D,$A$4,'ON Data'!$E:$E,1),SUMIFS('ON Data'!AD:AD,'ON Data'!$E:$E,1)/'ON Data'!$D$3),1)</f>
        <v>0</v>
      </c>
      <c r="AA6" s="222">
        <f xml:space="preserve">
TRUNC(IF($A$4&lt;=12,SUMIFS('ON Data'!AE:AE,'ON Data'!$D:$D,$A$4,'ON Data'!$E:$E,1),SUMIFS('ON Data'!AE:AE,'ON Data'!$E:$E,1)/'ON Data'!$D$3),1)</f>
        <v>0</v>
      </c>
      <c r="AB6" s="222">
        <f xml:space="preserve">
TRUNC(IF($A$4&lt;=12,SUMIFS('ON Data'!AF:AF,'ON Data'!$D:$D,$A$4,'ON Data'!$E:$E,1),SUMIFS('ON Data'!AF:AF,'ON Data'!$E:$E,1)/'ON Data'!$D$3),1)</f>
        <v>0</v>
      </c>
      <c r="AC6" s="222">
        <f xml:space="preserve">
TRUNC(IF($A$4&lt;=12,SUMIFS('ON Data'!AG:AG,'ON Data'!$D:$D,$A$4,'ON Data'!$E:$E,1),SUMIFS('ON Data'!AG:AG,'ON Data'!$E:$E,1)/'ON Data'!$D$3),1)</f>
        <v>0</v>
      </c>
      <c r="AD6" s="222">
        <f xml:space="preserve">
TRUNC(IF($A$4&lt;=12,SUMIFS('ON Data'!AH:AH,'ON Data'!$D:$D,$A$4,'ON Data'!$E:$E,1),SUMIFS('ON Data'!AH:AH,'ON Data'!$E:$E,1)/'ON Data'!$D$3),1)</f>
        <v>0</v>
      </c>
      <c r="AE6" s="222">
        <f xml:space="preserve">
TRUNC(IF($A$4&lt;=12,SUMIFS('ON Data'!AI:AI,'ON Data'!$D:$D,$A$4,'ON Data'!$E:$E,1),SUMIFS('ON Data'!AI:AI,'ON Data'!$E:$E,1)/'ON Data'!$D$3),1)</f>
        <v>0</v>
      </c>
      <c r="AF6" s="222">
        <f xml:space="preserve">
TRUNC(IF($A$4&lt;=12,SUMIFS('ON Data'!AJ:AJ,'ON Data'!$D:$D,$A$4,'ON Data'!$E:$E,1),SUMIFS('ON Data'!AJ:AJ,'ON Data'!$E:$E,1)/'ON Data'!$D$3),1)</f>
        <v>0</v>
      </c>
      <c r="AG6" s="222">
        <f xml:space="preserve">
TRUNC(IF($A$4&lt;=12,SUMIFS('ON Data'!AK:AK,'ON Data'!$D:$D,$A$4,'ON Data'!$E:$E,1),SUMIFS('ON Data'!AK:AK,'ON Data'!$E:$E,1)/'ON Data'!$D$3),1)</f>
        <v>0</v>
      </c>
      <c r="AH6" s="222">
        <f xml:space="preserve">
TRUNC(IF($A$4&lt;=12,SUMIFS('ON Data'!AL:AL,'ON Data'!$D:$D,$A$4,'ON Data'!$E:$E,1),SUMIFS('ON Data'!AL:AL,'ON Data'!$E:$E,1)/'ON Data'!$D$3),1)</f>
        <v>0</v>
      </c>
      <c r="AI6" s="222">
        <f xml:space="preserve">
TRUNC(IF($A$4&lt;=12,SUMIFS('ON Data'!AM:AM,'ON Data'!$D:$D,$A$4,'ON Data'!$E:$E,1),SUMIFS('ON Data'!AM:AM,'ON Data'!$E:$E,1)/'ON Data'!$D$3),1)</f>
        <v>0</v>
      </c>
      <c r="AJ6" s="222">
        <f xml:space="preserve">
TRUNC(IF($A$4&lt;=12,SUMIFS('ON Data'!AN:AN,'ON Data'!$D:$D,$A$4,'ON Data'!$E:$E,1),SUMIFS('ON Data'!AN:AN,'ON Data'!$E:$E,1)/'ON Data'!$D$3),1)</f>
        <v>1</v>
      </c>
      <c r="AK6" s="222">
        <f xml:space="preserve">
TRUNC(IF($A$4&lt;=12,SUMIFS('ON Data'!AO:AO,'ON Data'!$D:$D,$A$4,'ON Data'!$E:$E,1),SUMIFS('ON Data'!AO:AO,'ON Data'!$E:$E,1)/'ON Data'!$D$3),1)</f>
        <v>0</v>
      </c>
      <c r="AL6" s="222">
        <f xml:space="preserve">
TRUNC(IF($A$4&lt;=12,SUMIFS('ON Data'!AP:AP,'ON Data'!$D:$D,$A$4,'ON Data'!$E:$E,1),SUMIFS('ON Data'!AP:AP,'ON Data'!$E:$E,1)/'ON Data'!$D$3),1)</f>
        <v>0</v>
      </c>
      <c r="AM6" s="222">
        <f xml:space="preserve">
TRUNC(IF($A$4&lt;=12,SUMIFS('ON Data'!AQ:AQ,'ON Data'!$D:$D,$A$4,'ON Data'!$E:$E,1),SUMIFS('ON Data'!AQ:AQ,'ON Data'!$E:$E,1)/'ON Data'!$D$3),1)</f>
        <v>0</v>
      </c>
      <c r="AN6" s="222">
        <f xml:space="preserve">
TRUNC(IF($A$4&lt;=12,SUMIFS('ON Data'!AR:AR,'ON Data'!$D:$D,$A$4,'ON Data'!$E:$E,1),SUMIFS('ON Data'!AR:AR,'ON Data'!$E:$E,1)/'ON Data'!$D$3),1)</f>
        <v>0</v>
      </c>
      <c r="AO6" s="222">
        <f xml:space="preserve">
TRUNC(IF($A$4&lt;=12,SUMIFS('ON Data'!AS:AS,'ON Data'!$D:$D,$A$4,'ON Data'!$E:$E,1),SUMIFS('ON Data'!AS:AS,'ON Data'!$E:$E,1)/'ON Data'!$D$3),1)</f>
        <v>0</v>
      </c>
      <c r="AP6" s="222">
        <f xml:space="preserve">
TRUNC(IF($A$4&lt;=12,SUMIFS('ON Data'!AT:AT,'ON Data'!$D:$D,$A$4,'ON Data'!$E:$E,1),SUMIFS('ON Data'!AT:AT,'ON Data'!$E:$E,1)/'ON Data'!$D$3),1)</f>
        <v>0</v>
      </c>
      <c r="AQ6" s="222">
        <f xml:space="preserve">
TRUNC(IF($A$4&lt;=12,SUMIFS('ON Data'!AU:AU,'ON Data'!$D:$D,$A$4,'ON Data'!$E:$E,1),SUMIFS('ON Data'!AU:AU,'ON Data'!$E:$E,1)/'ON Data'!$D$3),1)</f>
        <v>0</v>
      </c>
      <c r="AR6" s="222">
        <f xml:space="preserve">
TRUNC(IF($A$4&lt;=12,SUMIFS('ON Data'!AV:AV,'ON Data'!$D:$D,$A$4,'ON Data'!$E:$E,1),SUMIFS('ON Data'!AV:AV,'ON Data'!$E:$E,1)/'ON Data'!$D$3),1)</f>
        <v>0</v>
      </c>
      <c r="AS6" s="412">
        <f xml:space="preserve">
TRUNC(IF($A$4&lt;=12,SUMIFS('ON Data'!AW:AW,'ON Data'!$D:$D,$A$4,'ON Data'!$E:$E,1),SUMIFS('ON Data'!AW:AW,'ON Data'!$E:$E,1)/'ON Data'!$D$3),1)</f>
        <v>0</v>
      </c>
      <c r="AT6" s="424"/>
    </row>
    <row r="7" spans="1:46" ht="15" hidden="1" outlineLevel="1" thickBot="1" x14ac:dyDescent="0.35">
      <c r="A7" s="180" t="s">
        <v>62</v>
      </c>
      <c r="B7" s="220"/>
      <c r="C7" s="223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3"/>
      <c r="AO7" s="222"/>
      <c r="AP7" s="222"/>
      <c r="AQ7" s="222"/>
      <c r="AR7" s="222"/>
      <c r="AS7" s="412"/>
      <c r="AT7" s="424"/>
    </row>
    <row r="8" spans="1:46" ht="15" hidden="1" outlineLevel="1" thickBot="1" x14ac:dyDescent="0.35">
      <c r="A8" s="180" t="s">
        <v>57</v>
      </c>
      <c r="B8" s="220"/>
      <c r="C8" s="223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3"/>
      <c r="AO8" s="222"/>
      <c r="AP8" s="222"/>
      <c r="AQ8" s="222"/>
      <c r="AR8" s="222"/>
      <c r="AS8" s="412"/>
      <c r="AT8" s="424"/>
    </row>
    <row r="9" spans="1:46" ht="15" hidden="1" outlineLevel="1" thickBot="1" x14ac:dyDescent="0.35">
      <c r="A9" s="181" t="s">
        <v>52</v>
      </c>
      <c r="B9" s="224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5"/>
      <c r="AO9" s="226"/>
      <c r="AP9" s="226"/>
      <c r="AQ9" s="226"/>
      <c r="AR9" s="226"/>
      <c r="AS9" s="413"/>
      <c r="AT9" s="424"/>
    </row>
    <row r="10" spans="1:46" x14ac:dyDescent="0.3">
      <c r="A10" s="182" t="s">
        <v>115</v>
      </c>
      <c r="B10" s="197"/>
      <c r="C10" s="198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260"/>
      <c r="AO10" s="199"/>
      <c r="AP10" s="199"/>
      <c r="AQ10" s="199"/>
      <c r="AR10" s="199"/>
      <c r="AS10" s="414"/>
      <c r="AT10" s="424"/>
    </row>
    <row r="11" spans="1:46" x14ac:dyDescent="0.3">
      <c r="A11" s="183" t="s">
        <v>116</v>
      </c>
      <c r="B11" s="200">
        <f xml:space="preserve">
IF($A$4&lt;=12,SUMIFS('ON Data'!F:F,'ON Data'!$D:$D,$A$4,'ON Data'!$E:$E,2),SUMIFS('ON Data'!F:F,'ON Data'!$E:$E,2))</f>
        <v>1312</v>
      </c>
      <c r="C11" s="201">
        <f xml:space="preserve">
IF($A$4&lt;=12,SUMIFS('ON Data'!G:G,'ON Data'!$D:$D,$A$4,'ON Data'!$E:$E,2),SUMIFS('ON Data'!G:G,'ON Data'!$E:$E,2))</f>
        <v>0</v>
      </c>
      <c r="D11" s="202">
        <f xml:space="preserve">
IF($A$4&lt;=12,SUMIFS('ON Data'!H:H,'ON Data'!$D:$D,$A$4,'ON Data'!$E:$E,2),SUMIFS('ON Data'!H:H,'ON Data'!$E:$E,2))</f>
        <v>0</v>
      </c>
      <c r="E11" s="202"/>
      <c r="F11" s="202">
        <f xml:space="preserve">
IF($A$4&lt;=12,SUMIFS('ON Data'!J:J,'ON Data'!$D:$D,$A$4,'ON Data'!$E:$E,2),SUMIFS('ON Data'!J:J,'ON Data'!$E:$E,2))</f>
        <v>0</v>
      </c>
      <c r="G11" s="202">
        <f xml:space="preserve">
IF($A$4&lt;=12,SUMIFS('ON Data'!K:K,'ON Data'!$D:$D,$A$4,'ON Data'!$E:$E,2),SUMIFS('ON Data'!K:K,'ON Data'!$E:$E,2))</f>
        <v>0</v>
      </c>
      <c r="H11" s="202">
        <f xml:space="preserve">
IF($A$4&lt;=12,SUMIFS('ON Data'!L:L,'ON Data'!$D:$D,$A$4,'ON Data'!$E:$E,2),SUMIFS('ON Data'!L:L,'ON Data'!$E:$E,2))</f>
        <v>656</v>
      </c>
      <c r="I11" s="202">
        <f xml:space="preserve">
IF($A$4&lt;=12,SUMIFS('ON Data'!M:M,'ON Data'!$D:$D,$A$4,'ON Data'!$E:$E,2),SUMIFS('ON Data'!M:M,'ON Data'!$E:$E,2))</f>
        <v>0</v>
      </c>
      <c r="J11" s="202">
        <f xml:space="preserve">
IF($A$4&lt;=12,SUMIFS('ON Data'!N:N,'ON Data'!$D:$D,$A$4,'ON Data'!$E:$E,2),SUMIFS('ON Data'!N:N,'ON Data'!$E:$E,2))</f>
        <v>0</v>
      </c>
      <c r="K11" s="202">
        <f xml:space="preserve">
IF($A$4&lt;=12,SUMIFS('ON Data'!O:O,'ON Data'!$D:$D,$A$4,'ON Data'!$E:$E,2),SUMIFS('ON Data'!O:O,'ON Data'!$E:$E,2))</f>
        <v>0</v>
      </c>
      <c r="L11" s="202">
        <f xml:space="preserve">
IF($A$4&lt;=12,SUMIFS('ON Data'!P:P,'ON Data'!$D:$D,$A$4,'ON Data'!$E:$E,2),SUMIFS('ON Data'!P:P,'ON Data'!$E:$E,2))</f>
        <v>0</v>
      </c>
      <c r="M11" s="202">
        <f xml:space="preserve">
IF($A$4&lt;=12,SUMIFS('ON Data'!Q:Q,'ON Data'!$D:$D,$A$4,'ON Data'!$E:$E,2),SUMIFS('ON Data'!Q:Q,'ON Data'!$E:$E,2))</f>
        <v>0</v>
      </c>
      <c r="N11" s="202">
        <f xml:space="preserve">
IF($A$4&lt;=12,SUMIFS('ON Data'!R:R,'ON Data'!$D:$D,$A$4,'ON Data'!$E:$E,2),SUMIFS('ON Data'!R:R,'ON Data'!$E:$E,2))</f>
        <v>0</v>
      </c>
      <c r="O11" s="202">
        <f xml:space="preserve">
IF($A$4&lt;=12,SUMIFS('ON Data'!S:S,'ON Data'!$D:$D,$A$4,'ON Data'!$E:$E,2),SUMIFS('ON Data'!S:S,'ON Data'!$E:$E,2))</f>
        <v>0</v>
      </c>
      <c r="P11" s="202">
        <f xml:space="preserve">
IF($A$4&lt;=12,SUMIFS('ON Data'!T:T,'ON Data'!$D:$D,$A$4,'ON Data'!$E:$E,2),SUMIFS('ON Data'!T:T,'ON Data'!$E:$E,2))</f>
        <v>0</v>
      </c>
      <c r="Q11" s="202">
        <f xml:space="preserve">
IF($A$4&lt;=12,SUMIFS('ON Data'!U:U,'ON Data'!$D:$D,$A$4,'ON Data'!$E:$E,2),SUMIFS('ON Data'!U:U,'ON Data'!$E:$E,2))</f>
        <v>0</v>
      </c>
      <c r="R11" s="202">
        <f xml:space="preserve">
IF($A$4&lt;=12,SUMIFS('ON Data'!V:V,'ON Data'!$D:$D,$A$4,'ON Data'!$E:$E,2),SUMIFS('ON Data'!V:V,'ON Data'!$E:$E,2))</f>
        <v>0</v>
      </c>
      <c r="S11" s="202">
        <f xml:space="preserve">
IF($A$4&lt;=12,SUMIFS('ON Data'!W:W,'ON Data'!$D:$D,$A$4,'ON Data'!$E:$E,2),SUMIFS('ON Data'!W:W,'ON Data'!$E:$E,2))</f>
        <v>328</v>
      </c>
      <c r="T11" s="202">
        <f xml:space="preserve">
IF($A$4&lt;=12,SUMIFS('ON Data'!X:X,'ON Data'!$D:$D,$A$4,'ON Data'!$E:$E,2),SUMIFS('ON Data'!X:X,'ON Data'!$E:$E,2))</f>
        <v>0</v>
      </c>
      <c r="U11" s="202">
        <f xml:space="preserve">
IF($A$4&lt;=12,SUMIFS('ON Data'!Y:Y,'ON Data'!$D:$D,$A$4,'ON Data'!$E:$E,2),SUMIFS('ON Data'!Y:Y,'ON Data'!$E:$E,2))</f>
        <v>0</v>
      </c>
      <c r="V11" s="202">
        <f xml:space="preserve">
IF($A$4&lt;=12,SUMIFS('ON Data'!Z:Z,'ON Data'!$D:$D,$A$4,'ON Data'!$E:$E,2),SUMIFS('ON Data'!Z:Z,'ON Data'!$E:$E,2))</f>
        <v>0</v>
      </c>
      <c r="W11" s="202">
        <f xml:space="preserve">
IF($A$4&lt;=12,SUMIFS('ON Data'!AA:AA,'ON Data'!$D:$D,$A$4,'ON Data'!$E:$E,2),SUMIFS('ON Data'!AA:AA,'ON Data'!$E:$E,2))</f>
        <v>0</v>
      </c>
      <c r="X11" s="202">
        <f xml:space="preserve">
IF($A$4&lt;=12,SUMIFS('ON Data'!AB:AB,'ON Data'!$D:$D,$A$4,'ON Data'!$E:$E,2),SUMIFS('ON Data'!AB:AB,'ON Data'!$E:$E,2))</f>
        <v>0</v>
      </c>
      <c r="Y11" s="202">
        <f xml:space="preserve">
IF($A$4&lt;=12,SUMIFS('ON Data'!AC:AC,'ON Data'!$D:$D,$A$4,'ON Data'!$E:$E,2),SUMIFS('ON Data'!AC:AC,'ON Data'!$E:$E,2))</f>
        <v>0</v>
      </c>
      <c r="Z11" s="202">
        <f xml:space="preserve">
IF($A$4&lt;=12,SUMIFS('ON Data'!AD:AD,'ON Data'!$D:$D,$A$4,'ON Data'!$E:$E,2),SUMIFS('ON Data'!AD:AD,'ON Data'!$E:$E,2))</f>
        <v>0</v>
      </c>
      <c r="AA11" s="202"/>
      <c r="AB11" s="202">
        <f xml:space="preserve">
IF($A$4&lt;=12,SUMIFS('ON Data'!AF:AF,'ON Data'!$D:$D,$A$4,'ON Data'!$E:$E,2),SUMIFS('ON Data'!AF:AF,'ON Data'!$E:$E,2))</f>
        <v>0</v>
      </c>
      <c r="AC11" s="202">
        <f xml:space="preserve">
IF($A$4&lt;=12,SUMIFS('ON Data'!AG:AG,'ON Data'!$D:$D,$A$4,'ON Data'!$E:$E,2),SUMIFS('ON Data'!AG:AG,'ON Data'!$E:$E,2))</f>
        <v>0</v>
      </c>
      <c r="AD11" s="202">
        <f xml:space="preserve">
IF($A$4&lt;=12,SUMIFS('ON Data'!AH:AH,'ON Data'!$D:$D,$A$4,'ON Data'!$E:$E,2),SUMIFS('ON Data'!AH:AH,'ON Data'!$E:$E,2))</f>
        <v>0</v>
      </c>
      <c r="AE11" s="202">
        <f xml:space="preserve">
IF($A$4&lt;=12,SUMIFS('ON Data'!AI:AI,'ON Data'!$D:$D,$A$4,'ON Data'!$E:$E,2),SUMIFS('ON Data'!AI:AI,'ON Data'!$E:$E,2))</f>
        <v>0</v>
      </c>
      <c r="AF11" s="202">
        <f xml:space="preserve">
IF($A$4&lt;=12,SUMIFS('ON Data'!AJ:AJ,'ON Data'!$D:$D,$A$4,'ON Data'!$E:$E,2),SUMIFS('ON Data'!AJ:AJ,'ON Data'!$E:$E,2))</f>
        <v>0</v>
      </c>
      <c r="AG11" s="202">
        <f xml:space="preserve">
IF($A$4&lt;=12,SUMIFS('ON Data'!AK:AK,'ON Data'!$D:$D,$A$4,'ON Data'!$E:$E,2),SUMIFS('ON Data'!AK:AK,'ON Data'!$E:$E,2))</f>
        <v>0</v>
      </c>
      <c r="AH11" s="202">
        <f xml:space="preserve">
IF($A$4&lt;=12,SUMIFS('ON Data'!AL:AL,'ON Data'!$D:$D,$A$4,'ON Data'!$E:$E,2),SUMIFS('ON Data'!AL:AL,'ON Data'!$E:$E,2))</f>
        <v>0</v>
      </c>
      <c r="AI11" s="202">
        <f xml:space="preserve">
IF($A$4&lt;=12,SUMIFS('ON Data'!AM:AM,'ON Data'!$D:$D,$A$4,'ON Data'!$E:$E,2),SUMIFS('ON Data'!AM:AM,'ON Data'!$E:$E,2))</f>
        <v>0</v>
      </c>
      <c r="AJ11" s="202">
        <f xml:space="preserve">
IF($A$4&lt;=12,SUMIFS('ON Data'!AN:AN,'ON Data'!$D:$D,$A$4,'ON Data'!$E:$E,2),SUMIFS('ON Data'!AN:AN,'ON Data'!$E:$E,2))</f>
        <v>328</v>
      </c>
      <c r="AK11" s="202">
        <f xml:space="preserve">
IF($A$4&lt;=12,SUMIFS('ON Data'!AO:AO,'ON Data'!$D:$D,$A$4,'ON Data'!$E:$E,2),SUMIFS('ON Data'!AO:AO,'ON Data'!$E:$E,2))</f>
        <v>0</v>
      </c>
      <c r="AL11" s="202">
        <f xml:space="preserve">
IF($A$4&lt;=12,SUMIFS('ON Data'!AP:AP,'ON Data'!$D:$D,$A$4,'ON Data'!$E:$E,2),SUMIFS('ON Data'!AP:AP,'ON Data'!$E:$E,2))</f>
        <v>0</v>
      </c>
      <c r="AM11" s="202">
        <f xml:space="preserve">
IF($A$4&lt;=12,SUMIFS('ON Data'!AQ:AQ,'ON Data'!$D:$D,$A$4,'ON Data'!$E:$E,2),SUMIFS('ON Data'!AQ:AQ,'ON Data'!$E:$E,2))</f>
        <v>0</v>
      </c>
      <c r="AN11" s="201">
        <f xml:space="preserve">
IF($A$4&lt;=12,SUMIFS('ON Data'!AR:AR,'ON Data'!$D:$D,$A$4,'ON Data'!$E:$E,2),SUMIFS('ON Data'!AR:AR,'ON Data'!$E:$E,2))</f>
        <v>0</v>
      </c>
      <c r="AO11" s="202">
        <f xml:space="preserve">
IF($A$4&lt;=12,SUMIFS('ON Data'!AS:AS,'ON Data'!$D:$D,$A$4,'ON Data'!$E:$E,2),SUMIFS('ON Data'!AS:AS,'ON Data'!$E:$E,2))</f>
        <v>0</v>
      </c>
      <c r="AP11" s="202">
        <f xml:space="preserve">
IF($A$4&lt;=12,SUMIFS('ON Data'!AT:AT,'ON Data'!$D:$D,$A$4,'ON Data'!$E:$E,2),SUMIFS('ON Data'!AT:AT,'ON Data'!$E:$E,2))</f>
        <v>0</v>
      </c>
      <c r="AQ11" s="202">
        <f xml:space="preserve">
IF($A$4&lt;=12,SUMIFS('ON Data'!AU:AU,'ON Data'!$D:$D,$A$4,'ON Data'!$E:$E,2),SUMIFS('ON Data'!AU:AU,'ON Data'!$E:$E,2))</f>
        <v>0</v>
      </c>
      <c r="AR11" s="202">
        <f xml:space="preserve">
IF($A$4&lt;=12,SUMIFS('ON Data'!AV:AV,'ON Data'!$D:$D,$A$4,'ON Data'!$E:$E,2),SUMIFS('ON Data'!AV:AV,'ON Data'!$E:$E,2))</f>
        <v>0</v>
      </c>
      <c r="AS11" s="415">
        <f xml:space="preserve">
IF($A$4&lt;=12,SUMIFS('ON Data'!AW:AW,'ON Data'!$D:$D,$A$4,'ON Data'!$E:$E,2),SUMIFS('ON Data'!AW:AW,'ON Data'!$E:$E,2))</f>
        <v>0</v>
      </c>
      <c r="AT11" s="424"/>
    </row>
    <row r="12" spans="1:46" x14ac:dyDescent="0.3">
      <c r="A12" s="183" t="s">
        <v>117</v>
      </c>
      <c r="B12" s="200">
        <f xml:space="preserve">
IF($A$4&lt;=12,SUMIFS('ON Data'!F:F,'ON Data'!$D:$D,$A$4,'ON Data'!$E:$E,3),SUMIFS('ON Data'!F:F,'ON Data'!$E:$E,3))</f>
        <v>0</v>
      </c>
      <c r="C12" s="201">
        <f xml:space="preserve">
IF($A$4&lt;=12,SUMIFS('ON Data'!G:G,'ON Data'!$D:$D,$A$4,'ON Data'!$E:$E,3),SUMIFS('ON Data'!G:G,'ON Data'!$E:$E,3))</f>
        <v>0</v>
      </c>
      <c r="D12" s="202">
        <f xml:space="preserve">
IF($A$4&lt;=12,SUMIFS('ON Data'!H:H,'ON Data'!$D:$D,$A$4,'ON Data'!$E:$E,3),SUMIFS('ON Data'!H:H,'ON Data'!$E:$E,3))</f>
        <v>0</v>
      </c>
      <c r="E12" s="202"/>
      <c r="F12" s="202">
        <f xml:space="preserve">
IF($A$4&lt;=12,SUMIFS('ON Data'!J:J,'ON Data'!$D:$D,$A$4,'ON Data'!$E:$E,3),SUMIFS('ON Data'!J:J,'ON Data'!$E:$E,3))</f>
        <v>0</v>
      </c>
      <c r="G12" s="202">
        <f xml:space="preserve">
IF($A$4&lt;=12,SUMIFS('ON Data'!K:K,'ON Data'!$D:$D,$A$4,'ON Data'!$E:$E,3),SUMIFS('ON Data'!K:K,'ON Data'!$E:$E,3))</f>
        <v>0</v>
      </c>
      <c r="H12" s="202">
        <f xml:space="preserve">
IF($A$4&lt;=12,SUMIFS('ON Data'!L:L,'ON Data'!$D:$D,$A$4,'ON Data'!$E:$E,3),SUMIFS('ON Data'!L:L,'ON Data'!$E:$E,3))</f>
        <v>0</v>
      </c>
      <c r="I12" s="202">
        <f xml:space="preserve">
IF($A$4&lt;=12,SUMIFS('ON Data'!M:M,'ON Data'!$D:$D,$A$4,'ON Data'!$E:$E,3),SUMIFS('ON Data'!M:M,'ON Data'!$E:$E,3))</f>
        <v>0</v>
      </c>
      <c r="J12" s="202">
        <f xml:space="preserve">
IF($A$4&lt;=12,SUMIFS('ON Data'!N:N,'ON Data'!$D:$D,$A$4,'ON Data'!$E:$E,3),SUMIFS('ON Data'!N:N,'ON Data'!$E:$E,3))</f>
        <v>0</v>
      </c>
      <c r="K12" s="202">
        <f xml:space="preserve">
IF($A$4&lt;=12,SUMIFS('ON Data'!O:O,'ON Data'!$D:$D,$A$4,'ON Data'!$E:$E,3),SUMIFS('ON Data'!O:O,'ON Data'!$E:$E,3))</f>
        <v>0</v>
      </c>
      <c r="L12" s="202">
        <f xml:space="preserve">
IF($A$4&lt;=12,SUMIFS('ON Data'!P:P,'ON Data'!$D:$D,$A$4,'ON Data'!$E:$E,3),SUMIFS('ON Data'!P:P,'ON Data'!$E:$E,3))</f>
        <v>0</v>
      </c>
      <c r="M12" s="202">
        <f xml:space="preserve">
IF($A$4&lt;=12,SUMIFS('ON Data'!Q:Q,'ON Data'!$D:$D,$A$4,'ON Data'!$E:$E,3),SUMIFS('ON Data'!Q:Q,'ON Data'!$E:$E,3))</f>
        <v>0</v>
      </c>
      <c r="N12" s="202">
        <f xml:space="preserve">
IF($A$4&lt;=12,SUMIFS('ON Data'!R:R,'ON Data'!$D:$D,$A$4,'ON Data'!$E:$E,3),SUMIFS('ON Data'!R:R,'ON Data'!$E:$E,3))</f>
        <v>0</v>
      </c>
      <c r="O12" s="202">
        <f xml:space="preserve">
IF($A$4&lt;=12,SUMIFS('ON Data'!S:S,'ON Data'!$D:$D,$A$4,'ON Data'!$E:$E,3),SUMIFS('ON Data'!S:S,'ON Data'!$E:$E,3))</f>
        <v>0</v>
      </c>
      <c r="P12" s="202">
        <f xml:space="preserve">
IF($A$4&lt;=12,SUMIFS('ON Data'!T:T,'ON Data'!$D:$D,$A$4,'ON Data'!$E:$E,3),SUMIFS('ON Data'!T:T,'ON Data'!$E:$E,3))</f>
        <v>0</v>
      </c>
      <c r="Q12" s="202">
        <f xml:space="preserve">
IF($A$4&lt;=12,SUMIFS('ON Data'!U:U,'ON Data'!$D:$D,$A$4,'ON Data'!$E:$E,3),SUMIFS('ON Data'!U:U,'ON Data'!$E:$E,3))</f>
        <v>0</v>
      </c>
      <c r="R12" s="202">
        <f xml:space="preserve">
IF($A$4&lt;=12,SUMIFS('ON Data'!V:V,'ON Data'!$D:$D,$A$4,'ON Data'!$E:$E,3),SUMIFS('ON Data'!V:V,'ON Data'!$E:$E,3))</f>
        <v>0</v>
      </c>
      <c r="S12" s="202">
        <f xml:space="preserve">
IF($A$4&lt;=12,SUMIFS('ON Data'!W:W,'ON Data'!$D:$D,$A$4,'ON Data'!$E:$E,3),SUMIFS('ON Data'!W:W,'ON Data'!$E:$E,3))</f>
        <v>0</v>
      </c>
      <c r="T12" s="202">
        <f xml:space="preserve">
IF($A$4&lt;=12,SUMIFS('ON Data'!X:X,'ON Data'!$D:$D,$A$4,'ON Data'!$E:$E,3),SUMIFS('ON Data'!X:X,'ON Data'!$E:$E,3))</f>
        <v>0</v>
      </c>
      <c r="U12" s="202">
        <f xml:space="preserve">
IF($A$4&lt;=12,SUMIFS('ON Data'!Y:Y,'ON Data'!$D:$D,$A$4,'ON Data'!$E:$E,3),SUMIFS('ON Data'!Y:Y,'ON Data'!$E:$E,3))</f>
        <v>0</v>
      </c>
      <c r="V12" s="202">
        <f xml:space="preserve">
IF($A$4&lt;=12,SUMIFS('ON Data'!Z:Z,'ON Data'!$D:$D,$A$4,'ON Data'!$E:$E,3),SUMIFS('ON Data'!Z:Z,'ON Data'!$E:$E,3))</f>
        <v>0</v>
      </c>
      <c r="W12" s="202">
        <f xml:space="preserve">
IF($A$4&lt;=12,SUMIFS('ON Data'!AA:AA,'ON Data'!$D:$D,$A$4,'ON Data'!$E:$E,3),SUMIFS('ON Data'!AA:AA,'ON Data'!$E:$E,3))</f>
        <v>0</v>
      </c>
      <c r="X12" s="202">
        <f xml:space="preserve">
IF($A$4&lt;=12,SUMIFS('ON Data'!AB:AB,'ON Data'!$D:$D,$A$4,'ON Data'!$E:$E,3),SUMIFS('ON Data'!AB:AB,'ON Data'!$E:$E,3))</f>
        <v>0</v>
      </c>
      <c r="Y12" s="202">
        <f xml:space="preserve">
IF($A$4&lt;=12,SUMIFS('ON Data'!AC:AC,'ON Data'!$D:$D,$A$4,'ON Data'!$E:$E,3),SUMIFS('ON Data'!AC:AC,'ON Data'!$E:$E,3))</f>
        <v>0</v>
      </c>
      <c r="Z12" s="202">
        <f xml:space="preserve">
IF($A$4&lt;=12,SUMIFS('ON Data'!AD:AD,'ON Data'!$D:$D,$A$4,'ON Data'!$E:$E,3),SUMIFS('ON Data'!AD:AD,'ON Data'!$E:$E,3))</f>
        <v>0</v>
      </c>
      <c r="AA12" s="202"/>
      <c r="AB12" s="202">
        <f xml:space="preserve">
IF($A$4&lt;=12,SUMIFS('ON Data'!AF:AF,'ON Data'!$D:$D,$A$4,'ON Data'!$E:$E,3),SUMIFS('ON Data'!AF:AF,'ON Data'!$E:$E,3))</f>
        <v>0</v>
      </c>
      <c r="AC12" s="202">
        <f xml:space="preserve">
IF($A$4&lt;=12,SUMIFS('ON Data'!AG:AG,'ON Data'!$D:$D,$A$4,'ON Data'!$E:$E,3),SUMIFS('ON Data'!AG:AG,'ON Data'!$E:$E,3))</f>
        <v>0</v>
      </c>
      <c r="AD12" s="202">
        <f xml:space="preserve">
IF($A$4&lt;=12,SUMIFS('ON Data'!AH:AH,'ON Data'!$D:$D,$A$4,'ON Data'!$E:$E,3),SUMIFS('ON Data'!AH:AH,'ON Data'!$E:$E,3))</f>
        <v>0</v>
      </c>
      <c r="AE12" s="202">
        <f xml:space="preserve">
IF($A$4&lt;=12,SUMIFS('ON Data'!AI:AI,'ON Data'!$D:$D,$A$4,'ON Data'!$E:$E,3),SUMIFS('ON Data'!AI:AI,'ON Data'!$E:$E,3))</f>
        <v>0</v>
      </c>
      <c r="AF12" s="202">
        <f xml:space="preserve">
IF($A$4&lt;=12,SUMIFS('ON Data'!AJ:AJ,'ON Data'!$D:$D,$A$4,'ON Data'!$E:$E,3),SUMIFS('ON Data'!AJ:AJ,'ON Data'!$E:$E,3))</f>
        <v>0</v>
      </c>
      <c r="AG12" s="202">
        <f xml:space="preserve">
IF($A$4&lt;=12,SUMIFS('ON Data'!AK:AK,'ON Data'!$D:$D,$A$4,'ON Data'!$E:$E,3),SUMIFS('ON Data'!AK:AK,'ON Data'!$E:$E,3))</f>
        <v>0</v>
      </c>
      <c r="AH12" s="202">
        <f xml:space="preserve">
IF($A$4&lt;=12,SUMIFS('ON Data'!AL:AL,'ON Data'!$D:$D,$A$4,'ON Data'!$E:$E,3),SUMIFS('ON Data'!AL:AL,'ON Data'!$E:$E,3))</f>
        <v>0</v>
      </c>
      <c r="AI12" s="202">
        <f xml:space="preserve">
IF($A$4&lt;=12,SUMIFS('ON Data'!AM:AM,'ON Data'!$D:$D,$A$4,'ON Data'!$E:$E,3),SUMIFS('ON Data'!AM:AM,'ON Data'!$E:$E,3))</f>
        <v>0</v>
      </c>
      <c r="AJ12" s="202">
        <f xml:space="preserve">
IF($A$4&lt;=12,SUMIFS('ON Data'!AN:AN,'ON Data'!$D:$D,$A$4,'ON Data'!$E:$E,3),SUMIFS('ON Data'!AN:AN,'ON Data'!$E:$E,3))</f>
        <v>0</v>
      </c>
      <c r="AK12" s="202">
        <f xml:space="preserve">
IF($A$4&lt;=12,SUMIFS('ON Data'!AO:AO,'ON Data'!$D:$D,$A$4,'ON Data'!$E:$E,3),SUMIFS('ON Data'!AO:AO,'ON Data'!$E:$E,3))</f>
        <v>0</v>
      </c>
      <c r="AL12" s="202">
        <f xml:space="preserve">
IF($A$4&lt;=12,SUMIFS('ON Data'!AP:AP,'ON Data'!$D:$D,$A$4,'ON Data'!$E:$E,3),SUMIFS('ON Data'!AP:AP,'ON Data'!$E:$E,3))</f>
        <v>0</v>
      </c>
      <c r="AM12" s="202">
        <f xml:space="preserve">
IF($A$4&lt;=12,SUMIFS('ON Data'!AQ:AQ,'ON Data'!$D:$D,$A$4,'ON Data'!$E:$E,3),SUMIFS('ON Data'!AQ:AQ,'ON Data'!$E:$E,3))</f>
        <v>0</v>
      </c>
      <c r="AN12" s="201">
        <f xml:space="preserve">
IF($A$4&lt;=12,SUMIFS('ON Data'!AR:AR,'ON Data'!$D:$D,$A$4,'ON Data'!$E:$E,3),SUMIFS('ON Data'!AR:AR,'ON Data'!$E:$E,3))</f>
        <v>0</v>
      </c>
      <c r="AO12" s="202">
        <f xml:space="preserve">
IF($A$4&lt;=12,SUMIFS('ON Data'!AS:AS,'ON Data'!$D:$D,$A$4,'ON Data'!$E:$E,3),SUMIFS('ON Data'!AS:AS,'ON Data'!$E:$E,3))</f>
        <v>0</v>
      </c>
      <c r="AP12" s="202">
        <f xml:space="preserve">
IF($A$4&lt;=12,SUMIFS('ON Data'!AT:AT,'ON Data'!$D:$D,$A$4,'ON Data'!$E:$E,3),SUMIFS('ON Data'!AT:AT,'ON Data'!$E:$E,3))</f>
        <v>0</v>
      </c>
      <c r="AQ12" s="202">
        <f xml:space="preserve">
IF($A$4&lt;=12,SUMIFS('ON Data'!AU:AU,'ON Data'!$D:$D,$A$4,'ON Data'!$E:$E,3),SUMIFS('ON Data'!AU:AU,'ON Data'!$E:$E,3))</f>
        <v>0</v>
      </c>
      <c r="AR12" s="202">
        <f xml:space="preserve">
IF($A$4&lt;=12,SUMIFS('ON Data'!AV:AV,'ON Data'!$D:$D,$A$4,'ON Data'!$E:$E,3),SUMIFS('ON Data'!AV:AV,'ON Data'!$E:$E,3))</f>
        <v>0</v>
      </c>
      <c r="AS12" s="415">
        <f xml:space="preserve">
IF($A$4&lt;=12,SUMIFS('ON Data'!AW:AW,'ON Data'!$D:$D,$A$4,'ON Data'!$E:$E,3),SUMIFS('ON Data'!AW:AW,'ON Data'!$E:$E,3))</f>
        <v>0</v>
      </c>
      <c r="AT12" s="424"/>
    </row>
    <row r="13" spans="1:46" x14ac:dyDescent="0.3">
      <c r="A13" s="183" t="s">
        <v>124</v>
      </c>
      <c r="B13" s="200">
        <f xml:space="preserve">
IF($A$4&lt;=12,SUMIFS('ON Data'!F:F,'ON Data'!$D:$D,$A$4,'ON Data'!$E:$E,4),SUMIFS('ON Data'!F:F,'ON Data'!$E:$E,4))</f>
        <v>0</v>
      </c>
      <c r="C13" s="201">
        <f xml:space="preserve">
IF($A$4&lt;=12,SUMIFS('ON Data'!G:G,'ON Data'!$D:$D,$A$4,'ON Data'!$E:$E,4),SUMIFS('ON Data'!G:G,'ON Data'!$E:$E,4))</f>
        <v>0</v>
      </c>
      <c r="D13" s="202">
        <f xml:space="preserve">
IF($A$4&lt;=12,SUMIFS('ON Data'!H:H,'ON Data'!$D:$D,$A$4,'ON Data'!$E:$E,4),SUMIFS('ON Data'!H:H,'ON Data'!$E:$E,4))</f>
        <v>0</v>
      </c>
      <c r="E13" s="202"/>
      <c r="F13" s="202">
        <f xml:space="preserve">
IF($A$4&lt;=12,SUMIFS('ON Data'!J:J,'ON Data'!$D:$D,$A$4,'ON Data'!$E:$E,4),SUMIFS('ON Data'!J:J,'ON Data'!$E:$E,4))</f>
        <v>0</v>
      </c>
      <c r="G13" s="202">
        <f xml:space="preserve">
IF($A$4&lt;=12,SUMIFS('ON Data'!K:K,'ON Data'!$D:$D,$A$4,'ON Data'!$E:$E,4),SUMIFS('ON Data'!K:K,'ON Data'!$E:$E,4))</f>
        <v>0</v>
      </c>
      <c r="H13" s="202">
        <f xml:space="preserve">
IF($A$4&lt;=12,SUMIFS('ON Data'!L:L,'ON Data'!$D:$D,$A$4,'ON Data'!$E:$E,4),SUMIFS('ON Data'!L:L,'ON Data'!$E:$E,4))</f>
        <v>0</v>
      </c>
      <c r="I13" s="202">
        <f xml:space="preserve">
IF($A$4&lt;=12,SUMIFS('ON Data'!M:M,'ON Data'!$D:$D,$A$4,'ON Data'!$E:$E,4),SUMIFS('ON Data'!M:M,'ON Data'!$E:$E,4))</f>
        <v>0</v>
      </c>
      <c r="J13" s="202">
        <f xml:space="preserve">
IF($A$4&lt;=12,SUMIFS('ON Data'!N:N,'ON Data'!$D:$D,$A$4,'ON Data'!$E:$E,4),SUMIFS('ON Data'!N:N,'ON Data'!$E:$E,4))</f>
        <v>0</v>
      </c>
      <c r="K13" s="202">
        <f xml:space="preserve">
IF($A$4&lt;=12,SUMIFS('ON Data'!O:O,'ON Data'!$D:$D,$A$4,'ON Data'!$E:$E,4),SUMIFS('ON Data'!O:O,'ON Data'!$E:$E,4))</f>
        <v>0</v>
      </c>
      <c r="L13" s="202">
        <f xml:space="preserve">
IF($A$4&lt;=12,SUMIFS('ON Data'!P:P,'ON Data'!$D:$D,$A$4,'ON Data'!$E:$E,4),SUMIFS('ON Data'!P:P,'ON Data'!$E:$E,4))</f>
        <v>0</v>
      </c>
      <c r="M13" s="202">
        <f xml:space="preserve">
IF($A$4&lt;=12,SUMIFS('ON Data'!Q:Q,'ON Data'!$D:$D,$A$4,'ON Data'!$E:$E,4),SUMIFS('ON Data'!Q:Q,'ON Data'!$E:$E,4))</f>
        <v>0</v>
      </c>
      <c r="N13" s="202">
        <f xml:space="preserve">
IF($A$4&lt;=12,SUMIFS('ON Data'!R:R,'ON Data'!$D:$D,$A$4,'ON Data'!$E:$E,4),SUMIFS('ON Data'!R:R,'ON Data'!$E:$E,4))</f>
        <v>0</v>
      </c>
      <c r="O13" s="202">
        <f xml:space="preserve">
IF($A$4&lt;=12,SUMIFS('ON Data'!S:S,'ON Data'!$D:$D,$A$4,'ON Data'!$E:$E,4),SUMIFS('ON Data'!S:S,'ON Data'!$E:$E,4))</f>
        <v>0</v>
      </c>
      <c r="P13" s="202">
        <f xml:space="preserve">
IF($A$4&lt;=12,SUMIFS('ON Data'!T:T,'ON Data'!$D:$D,$A$4,'ON Data'!$E:$E,4),SUMIFS('ON Data'!T:T,'ON Data'!$E:$E,4))</f>
        <v>0</v>
      </c>
      <c r="Q13" s="202">
        <f xml:space="preserve">
IF($A$4&lt;=12,SUMIFS('ON Data'!U:U,'ON Data'!$D:$D,$A$4,'ON Data'!$E:$E,4),SUMIFS('ON Data'!U:U,'ON Data'!$E:$E,4))</f>
        <v>0</v>
      </c>
      <c r="R13" s="202">
        <f xml:space="preserve">
IF($A$4&lt;=12,SUMIFS('ON Data'!V:V,'ON Data'!$D:$D,$A$4,'ON Data'!$E:$E,4),SUMIFS('ON Data'!V:V,'ON Data'!$E:$E,4))</f>
        <v>0</v>
      </c>
      <c r="S13" s="202">
        <f xml:space="preserve">
IF($A$4&lt;=12,SUMIFS('ON Data'!W:W,'ON Data'!$D:$D,$A$4,'ON Data'!$E:$E,4),SUMIFS('ON Data'!W:W,'ON Data'!$E:$E,4))</f>
        <v>0</v>
      </c>
      <c r="T13" s="202">
        <f xml:space="preserve">
IF($A$4&lt;=12,SUMIFS('ON Data'!X:X,'ON Data'!$D:$D,$A$4,'ON Data'!$E:$E,4),SUMIFS('ON Data'!X:X,'ON Data'!$E:$E,4))</f>
        <v>0</v>
      </c>
      <c r="U13" s="202">
        <f xml:space="preserve">
IF($A$4&lt;=12,SUMIFS('ON Data'!Y:Y,'ON Data'!$D:$D,$A$4,'ON Data'!$E:$E,4),SUMIFS('ON Data'!Y:Y,'ON Data'!$E:$E,4))</f>
        <v>0</v>
      </c>
      <c r="V13" s="202">
        <f xml:space="preserve">
IF($A$4&lt;=12,SUMIFS('ON Data'!Z:Z,'ON Data'!$D:$D,$A$4,'ON Data'!$E:$E,4),SUMIFS('ON Data'!Z:Z,'ON Data'!$E:$E,4))</f>
        <v>0</v>
      </c>
      <c r="W13" s="202">
        <f xml:space="preserve">
IF($A$4&lt;=12,SUMIFS('ON Data'!AA:AA,'ON Data'!$D:$D,$A$4,'ON Data'!$E:$E,4),SUMIFS('ON Data'!AA:AA,'ON Data'!$E:$E,4))</f>
        <v>0</v>
      </c>
      <c r="X13" s="202">
        <f xml:space="preserve">
IF($A$4&lt;=12,SUMIFS('ON Data'!AB:AB,'ON Data'!$D:$D,$A$4,'ON Data'!$E:$E,4),SUMIFS('ON Data'!AB:AB,'ON Data'!$E:$E,4))</f>
        <v>0</v>
      </c>
      <c r="Y13" s="202">
        <f xml:space="preserve">
IF($A$4&lt;=12,SUMIFS('ON Data'!AC:AC,'ON Data'!$D:$D,$A$4,'ON Data'!$E:$E,4),SUMIFS('ON Data'!AC:AC,'ON Data'!$E:$E,4))</f>
        <v>0</v>
      </c>
      <c r="Z13" s="202">
        <f xml:space="preserve">
IF($A$4&lt;=12,SUMIFS('ON Data'!AD:AD,'ON Data'!$D:$D,$A$4,'ON Data'!$E:$E,4),SUMIFS('ON Data'!AD:AD,'ON Data'!$E:$E,4))</f>
        <v>0</v>
      </c>
      <c r="AA13" s="202"/>
      <c r="AB13" s="202">
        <f xml:space="preserve">
IF($A$4&lt;=12,SUMIFS('ON Data'!AF:AF,'ON Data'!$D:$D,$A$4,'ON Data'!$E:$E,4),SUMIFS('ON Data'!AF:AF,'ON Data'!$E:$E,4))</f>
        <v>0</v>
      </c>
      <c r="AC13" s="202">
        <f xml:space="preserve">
IF($A$4&lt;=12,SUMIFS('ON Data'!AG:AG,'ON Data'!$D:$D,$A$4,'ON Data'!$E:$E,4),SUMIFS('ON Data'!AG:AG,'ON Data'!$E:$E,4))</f>
        <v>0</v>
      </c>
      <c r="AD13" s="202">
        <f xml:space="preserve">
IF($A$4&lt;=12,SUMIFS('ON Data'!AH:AH,'ON Data'!$D:$D,$A$4,'ON Data'!$E:$E,4),SUMIFS('ON Data'!AH:AH,'ON Data'!$E:$E,4))</f>
        <v>0</v>
      </c>
      <c r="AE13" s="202">
        <f xml:space="preserve">
IF($A$4&lt;=12,SUMIFS('ON Data'!AI:AI,'ON Data'!$D:$D,$A$4,'ON Data'!$E:$E,4),SUMIFS('ON Data'!AI:AI,'ON Data'!$E:$E,4))</f>
        <v>0</v>
      </c>
      <c r="AF13" s="202">
        <f xml:space="preserve">
IF($A$4&lt;=12,SUMIFS('ON Data'!AJ:AJ,'ON Data'!$D:$D,$A$4,'ON Data'!$E:$E,4),SUMIFS('ON Data'!AJ:AJ,'ON Data'!$E:$E,4))</f>
        <v>0</v>
      </c>
      <c r="AG13" s="202">
        <f xml:space="preserve">
IF($A$4&lt;=12,SUMIFS('ON Data'!AK:AK,'ON Data'!$D:$D,$A$4,'ON Data'!$E:$E,4),SUMIFS('ON Data'!AK:AK,'ON Data'!$E:$E,4))</f>
        <v>0</v>
      </c>
      <c r="AH13" s="202">
        <f xml:space="preserve">
IF($A$4&lt;=12,SUMIFS('ON Data'!AL:AL,'ON Data'!$D:$D,$A$4,'ON Data'!$E:$E,4),SUMIFS('ON Data'!AL:AL,'ON Data'!$E:$E,4))</f>
        <v>0</v>
      </c>
      <c r="AI13" s="202">
        <f xml:space="preserve">
IF($A$4&lt;=12,SUMIFS('ON Data'!AM:AM,'ON Data'!$D:$D,$A$4,'ON Data'!$E:$E,4),SUMIFS('ON Data'!AM:AM,'ON Data'!$E:$E,4))</f>
        <v>0</v>
      </c>
      <c r="AJ13" s="202">
        <f xml:space="preserve">
IF($A$4&lt;=12,SUMIFS('ON Data'!AN:AN,'ON Data'!$D:$D,$A$4,'ON Data'!$E:$E,4),SUMIFS('ON Data'!AN:AN,'ON Data'!$E:$E,4))</f>
        <v>0</v>
      </c>
      <c r="AK13" s="202">
        <f xml:space="preserve">
IF($A$4&lt;=12,SUMIFS('ON Data'!AO:AO,'ON Data'!$D:$D,$A$4,'ON Data'!$E:$E,4),SUMIFS('ON Data'!AO:AO,'ON Data'!$E:$E,4))</f>
        <v>0</v>
      </c>
      <c r="AL13" s="202">
        <f xml:space="preserve">
IF($A$4&lt;=12,SUMIFS('ON Data'!AP:AP,'ON Data'!$D:$D,$A$4,'ON Data'!$E:$E,4),SUMIFS('ON Data'!AP:AP,'ON Data'!$E:$E,4))</f>
        <v>0</v>
      </c>
      <c r="AM13" s="202">
        <f xml:space="preserve">
IF($A$4&lt;=12,SUMIFS('ON Data'!AQ:AQ,'ON Data'!$D:$D,$A$4,'ON Data'!$E:$E,4),SUMIFS('ON Data'!AQ:AQ,'ON Data'!$E:$E,4))</f>
        <v>0</v>
      </c>
      <c r="AN13" s="201">
        <f xml:space="preserve">
IF($A$4&lt;=12,SUMIFS('ON Data'!AR:AR,'ON Data'!$D:$D,$A$4,'ON Data'!$E:$E,4),SUMIFS('ON Data'!AR:AR,'ON Data'!$E:$E,4))</f>
        <v>0</v>
      </c>
      <c r="AO13" s="202">
        <f xml:space="preserve">
IF($A$4&lt;=12,SUMIFS('ON Data'!AS:AS,'ON Data'!$D:$D,$A$4,'ON Data'!$E:$E,4),SUMIFS('ON Data'!AS:AS,'ON Data'!$E:$E,4))</f>
        <v>0</v>
      </c>
      <c r="AP13" s="202">
        <f xml:space="preserve">
IF($A$4&lt;=12,SUMIFS('ON Data'!AT:AT,'ON Data'!$D:$D,$A$4,'ON Data'!$E:$E,4),SUMIFS('ON Data'!AT:AT,'ON Data'!$E:$E,4))</f>
        <v>0</v>
      </c>
      <c r="AQ13" s="202">
        <f xml:space="preserve">
IF($A$4&lt;=12,SUMIFS('ON Data'!AU:AU,'ON Data'!$D:$D,$A$4,'ON Data'!$E:$E,4),SUMIFS('ON Data'!AU:AU,'ON Data'!$E:$E,4))</f>
        <v>0</v>
      </c>
      <c r="AR13" s="202">
        <f xml:space="preserve">
IF($A$4&lt;=12,SUMIFS('ON Data'!AV:AV,'ON Data'!$D:$D,$A$4,'ON Data'!$E:$E,4),SUMIFS('ON Data'!AV:AV,'ON Data'!$E:$E,4))</f>
        <v>0</v>
      </c>
      <c r="AS13" s="415">
        <f xml:space="preserve">
IF($A$4&lt;=12,SUMIFS('ON Data'!AW:AW,'ON Data'!$D:$D,$A$4,'ON Data'!$E:$E,4),SUMIFS('ON Data'!AW:AW,'ON Data'!$E:$E,4))</f>
        <v>0</v>
      </c>
      <c r="AT13" s="424"/>
    </row>
    <row r="14" spans="1:46" ht="15" thickBot="1" x14ac:dyDescent="0.35">
      <c r="A14" s="184" t="s">
        <v>118</v>
      </c>
      <c r="B14" s="204">
        <f xml:space="preserve">
IF($A$4&lt;=12,SUMIFS('ON Data'!F:F,'ON Data'!$D:$D,$A$4,'ON Data'!$E:$E,5),SUMIFS('ON Data'!F:F,'ON Data'!$E:$E,5))</f>
        <v>40</v>
      </c>
      <c r="C14" s="205">
        <f xml:space="preserve">
IF($A$4&lt;=12,SUMIFS('ON Data'!G:G,'ON Data'!$D:$D,$A$4,'ON Data'!$E:$E,5),SUMIFS('ON Data'!G:G,'ON Data'!$E:$E,5))</f>
        <v>0</v>
      </c>
      <c r="D14" s="206">
        <f xml:space="preserve">
IF($A$4&lt;=12,SUMIFS('ON Data'!H:H,'ON Data'!$D:$D,$A$4,'ON Data'!$E:$E,5),SUMIFS('ON Data'!H:H,'ON Data'!$E:$E,5))</f>
        <v>0</v>
      </c>
      <c r="E14" s="206"/>
      <c r="F14" s="206">
        <f xml:space="preserve">
IF($A$4&lt;=12,SUMIFS('ON Data'!J:J,'ON Data'!$D:$D,$A$4,'ON Data'!$E:$E,5),SUMIFS('ON Data'!J:J,'ON Data'!$E:$E,5))</f>
        <v>0</v>
      </c>
      <c r="G14" s="206">
        <f xml:space="preserve">
IF($A$4&lt;=12,SUMIFS('ON Data'!K:K,'ON Data'!$D:$D,$A$4,'ON Data'!$E:$E,5),SUMIFS('ON Data'!K:K,'ON Data'!$E:$E,5))</f>
        <v>0</v>
      </c>
      <c r="H14" s="206">
        <f xml:space="preserve">
IF($A$4&lt;=12,SUMIFS('ON Data'!L:L,'ON Data'!$D:$D,$A$4,'ON Data'!$E:$E,5),SUMIFS('ON Data'!L:L,'ON Data'!$E:$E,5))</f>
        <v>40</v>
      </c>
      <c r="I14" s="206">
        <f xml:space="preserve">
IF($A$4&lt;=12,SUMIFS('ON Data'!M:M,'ON Data'!$D:$D,$A$4,'ON Data'!$E:$E,5),SUMIFS('ON Data'!M:M,'ON Data'!$E:$E,5))</f>
        <v>0</v>
      </c>
      <c r="J14" s="206">
        <f xml:space="preserve">
IF($A$4&lt;=12,SUMIFS('ON Data'!N:N,'ON Data'!$D:$D,$A$4,'ON Data'!$E:$E,5),SUMIFS('ON Data'!N:N,'ON Data'!$E:$E,5))</f>
        <v>0</v>
      </c>
      <c r="K14" s="206">
        <f xml:space="preserve">
IF($A$4&lt;=12,SUMIFS('ON Data'!O:O,'ON Data'!$D:$D,$A$4,'ON Data'!$E:$E,5),SUMIFS('ON Data'!O:O,'ON Data'!$E:$E,5))</f>
        <v>0</v>
      </c>
      <c r="L14" s="206">
        <f xml:space="preserve">
IF($A$4&lt;=12,SUMIFS('ON Data'!P:P,'ON Data'!$D:$D,$A$4,'ON Data'!$E:$E,5),SUMIFS('ON Data'!P:P,'ON Data'!$E:$E,5))</f>
        <v>0</v>
      </c>
      <c r="M14" s="206">
        <f xml:space="preserve">
IF($A$4&lt;=12,SUMIFS('ON Data'!Q:Q,'ON Data'!$D:$D,$A$4,'ON Data'!$E:$E,5),SUMIFS('ON Data'!Q:Q,'ON Data'!$E:$E,5))</f>
        <v>0</v>
      </c>
      <c r="N14" s="206">
        <f xml:space="preserve">
IF($A$4&lt;=12,SUMIFS('ON Data'!R:R,'ON Data'!$D:$D,$A$4,'ON Data'!$E:$E,5),SUMIFS('ON Data'!R:R,'ON Data'!$E:$E,5))</f>
        <v>0</v>
      </c>
      <c r="O14" s="206">
        <f xml:space="preserve">
IF($A$4&lt;=12,SUMIFS('ON Data'!S:S,'ON Data'!$D:$D,$A$4,'ON Data'!$E:$E,5),SUMIFS('ON Data'!S:S,'ON Data'!$E:$E,5))</f>
        <v>0</v>
      </c>
      <c r="P14" s="206">
        <f xml:space="preserve">
IF($A$4&lt;=12,SUMIFS('ON Data'!T:T,'ON Data'!$D:$D,$A$4,'ON Data'!$E:$E,5),SUMIFS('ON Data'!T:T,'ON Data'!$E:$E,5))</f>
        <v>0</v>
      </c>
      <c r="Q14" s="206">
        <f xml:space="preserve">
IF($A$4&lt;=12,SUMIFS('ON Data'!U:U,'ON Data'!$D:$D,$A$4,'ON Data'!$E:$E,5),SUMIFS('ON Data'!U:U,'ON Data'!$E:$E,5))</f>
        <v>0</v>
      </c>
      <c r="R14" s="206">
        <f xml:space="preserve">
IF($A$4&lt;=12,SUMIFS('ON Data'!V:V,'ON Data'!$D:$D,$A$4,'ON Data'!$E:$E,5),SUMIFS('ON Data'!V:V,'ON Data'!$E:$E,5))</f>
        <v>0</v>
      </c>
      <c r="S14" s="206">
        <f xml:space="preserve">
IF($A$4&lt;=12,SUMIFS('ON Data'!W:W,'ON Data'!$D:$D,$A$4,'ON Data'!$E:$E,5),SUMIFS('ON Data'!W:W,'ON Data'!$E:$E,5))</f>
        <v>0</v>
      </c>
      <c r="T14" s="206">
        <f xml:space="preserve">
IF($A$4&lt;=12,SUMIFS('ON Data'!X:X,'ON Data'!$D:$D,$A$4,'ON Data'!$E:$E,5),SUMIFS('ON Data'!X:X,'ON Data'!$E:$E,5))</f>
        <v>0</v>
      </c>
      <c r="U14" s="206">
        <f xml:space="preserve">
IF($A$4&lt;=12,SUMIFS('ON Data'!Y:Y,'ON Data'!$D:$D,$A$4,'ON Data'!$E:$E,5),SUMIFS('ON Data'!Y:Y,'ON Data'!$E:$E,5))</f>
        <v>0</v>
      </c>
      <c r="V14" s="206">
        <f xml:space="preserve">
IF($A$4&lt;=12,SUMIFS('ON Data'!Z:Z,'ON Data'!$D:$D,$A$4,'ON Data'!$E:$E,5),SUMIFS('ON Data'!Z:Z,'ON Data'!$E:$E,5))</f>
        <v>0</v>
      </c>
      <c r="W14" s="206">
        <f xml:space="preserve">
IF($A$4&lt;=12,SUMIFS('ON Data'!AA:AA,'ON Data'!$D:$D,$A$4,'ON Data'!$E:$E,5),SUMIFS('ON Data'!AA:AA,'ON Data'!$E:$E,5))</f>
        <v>0</v>
      </c>
      <c r="X14" s="206">
        <f xml:space="preserve">
IF($A$4&lt;=12,SUMIFS('ON Data'!AB:AB,'ON Data'!$D:$D,$A$4,'ON Data'!$E:$E,5),SUMIFS('ON Data'!AB:AB,'ON Data'!$E:$E,5))</f>
        <v>0</v>
      </c>
      <c r="Y14" s="206">
        <f xml:space="preserve">
IF($A$4&lt;=12,SUMIFS('ON Data'!AC:AC,'ON Data'!$D:$D,$A$4,'ON Data'!$E:$E,5),SUMIFS('ON Data'!AC:AC,'ON Data'!$E:$E,5))</f>
        <v>0</v>
      </c>
      <c r="Z14" s="206">
        <f xml:space="preserve">
IF($A$4&lt;=12,SUMIFS('ON Data'!AD:AD,'ON Data'!$D:$D,$A$4,'ON Data'!$E:$E,5),SUMIFS('ON Data'!AD:AD,'ON Data'!$E:$E,5))</f>
        <v>0</v>
      </c>
      <c r="AA14" s="206"/>
      <c r="AB14" s="206">
        <f xml:space="preserve">
IF($A$4&lt;=12,SUMIFS('ON Data'!AF:AF,'ON Data'!$D:$D,$A$4,'ON Data'!$E:$E,5),SUMIFS('ON Data'!AF:AF,'ON Data'!$E:$E,5))</f>
        <v>0</v>
      </c>
      <c r="AC14" s="206">
        <f xml:space="preserve">
IF($A$4&lt;=12,SUMIFS('ON Data'!AG:AG,'ON Data'!$D:$D,$A$4,'ON Data'!$E:$E,5),SUMIFS('ON Data'!AG:AG,'ON Data'!$E:$E,5))</f>
        <v>0</v>
      </c>
      <c r="AD14" s="206">
        <f xml:space="preserve">
IF($A$4&lt;=12,SUMIFS('ON Data'!AH:AH,'ON Data'!$D:$D,$A$4,'ON Data'!$E:$E,5),SUMIFS('ON Data'!AH:AH,'ON Data'!$E:$E,5))</f>
        <v>0</v>
      </c>
      <c r="AE14" s="206">
        <f xml:space="preserve">
IF($A$4&lt;=12,SUMIFS('ON Data'!AI:AI,'ON Data'!$D:$D,$A$4,'ON Data'!$E:$E,5),SUMIFS('ON Data'!AI:AI,'ON Data'!$E:$E,5))</f>
        <v>0</v>
      </c>
      <c r="AF14" s="206">
        <f xml:space="preserve">
IF($A$4&lt;=12,SUMIFS('ON Data'!AJ:AJ,'ON Data'!$D:$D,$A$4,'ON Data'!$E:$E,5),SUMIFS('ON Data'!AJ:AJ,'ON Data'!$E:$E,5))</f>
        <v>0</v>
      </c>
      <c r="AG14" s="206">
        <f xml:space="preserve">
IF($A$4&lt;=12,SUMIFS('ON Data'!AK:AK,'ON Data'!$D:$D,$A$4,'ON Data'!$E:$E,5),SUMIFS('ON Data'!AK:AK,'ON Data'!$E:$E,5))</f>
        <v>0</v>
      </c>
      <c r="AH14" s="206">
        <f xml:space="preserve">
IF($A$4&lt;=12,SUMIFS('ON Data'!AL:AL,'ON Data'!$D:$D,$A$4,'ON Data'!$E:$E,5),SUMIFS('ON Data'!AL:AL,'ON Data'!$E:$E,5))</f>
        <v>0</v>
      </c>
      <c r="AI14" s="206">
        <f xml:space="preserve">
IF($A$4&lt;=12,SUMIFS('ON Data'!AM:AM,'ON Data'!$D:$D,$A$4,'ON Data'!$E:$E,5),SUMIFS('ON Data'!AM:AM,'ON Data'!$E:$E,5))</f>
        <v>0</v>
      </c>
      <c r="AJ14" s="206">
        <f xml:space="preserve">
IF($A$4&lt;=12,SUMIFS('ON Data'!AN:AN,'ON Data'!$D:$D,$A$4,'ON Data'!$E:$E,5),SUMIFS('ON Data'!AN:AN,'ON Data'!$E:$E,5))</f>
        <v>0</v>
      </c>
      <c r="AK14" s="206">
        <f xml:space="preserve">
IF($A$4&lt;=12,SUMIFS('ON Data'!AO:AO,'ON Data'!$D:$D,$A$4,'ON Data'!$E:$E,5),SUMIFS('ON Data'!AO:AO,'ON Data'!$E:$E,5))</f>
        <v>0</v>
      </c>
      <c r="AL14" s="206">
        <f xml:space="preserve">
IF($A$4&lt;=12,SUMIFS('ON Data'!AP:AP,'ON Data'!$D:$D,$A$4,'ON Data'!$E:$E,5),SUMIFS('ON Data'!AP:AP,'ON Data'!$E:$E,5))</f>
        <v>0</v>
      </c>
      <c r="AM14" s="206">
        <f xml:space="preserve">
IF($A$4&lt;=12,SUMIFS('ON Data'!AQ:AQ,'ON Data'!$D:$D,$A$4,'ON Data'!$E:$E,5),SUMIFS('ON Data'!AQ:AQ,'ON Data'!$E:$E,5))</f>
        <v>0</v>
      </c>
      <c r="AN14" s="205">
        <f xml:space="preserve">
IF($A$4&lt;=12,SUMIFS('ON Data'!AR:AR,'ON Data'!$D:$D,$A$4,'ON Data'!$E:$E,5),SUMIFS('ON Data'!AR:AR,'ON Data'!$E:$E,5))</f>
        <v>0</v>
      </c>
      <c r="AO14" s="206">
        <f xml:space="preserve">
IF($A$4&lt;=12,SUMIFS('ON Data'!AS:AS,'ON Data'!$D:$D,$A$4,'ON Data'!$E:$E,5),SUMIFS('ON Data'!AS:AS,'ON Data'!$E:$E,5))</f>
        <v>0</v>
      </c>
      <c r="AP14" s="206">
        <f xml:space="preserve">
IF($A$4&lt;=12,SUMIFS('ON Data'!AT:AT,'ON Data'!$D:$D,$A$4,'ON Data'!$E:$E,5),SUMIFS('ON Data'!AT:AT,'ON Data'!$E:$E,5))</f>
        <v>0</v>
      </c>
      <c r="AQ14" s="206">
        <f xml:space="preserve">
IF($A$4&lt;=12,SUMIFS('ON Data'!AU:AU,'ON Data'!$D:$D,$A$4,'ON Data'!$E:$E,5),SUMIFS('ON Data'!AU:AU,'ON Data'!$E:$E,5))</f>
        <v>0</v>
      </c>
      <c r="AR14" s="206">
        <f xml:space="preserve">
IF($A$4&lt;=12,SUMIFS('ON Data'!AV:AV,'ON Data'!$D:$D,$A$4,'ON Data'!$E:$E,5),SUMIFS('ON Data'!AV:AV,'ON Data'!$E:$E,5))</f>
        <v>0</v>
      </c>
      <c r="AS14" s="416">
        <f xml:space="preserve">
IF($A$4&lt;=12,SUMIFS('ON Data'!AW:AW,'ON Data'!$D:$D,$A$4,'ON Data'!$E:$E,5),SUMIFS('ON Data'!AW:AW,'ON Data'!$E:$E,5))</f>
        <v>0</v>
      </c>
      <c r="AT14" s="424"/>
    </row>
    <row r="15" spans="1:46" x14ac:dyDescent="0.3">
      <c r="A15" s="125" t="s">
        <v>128</v>
      </c>
      <c r="B15" s="208"/>
      <c r="C15" s="209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61"/>
      <c r="AO15" s="210"/>
      <c r="AP15" s="210"/>
      <c r="AQ15" s="210"/>
      <c r="AR15" s="210"/>
      <c r="AS15" s="417"/>
      <c r="AT15" s="424"/>
    </row>
    <row r="16" spans="1:46" x14ac:dyDescent="0.3">
      <c r="A16" s="185" t="s">
        <v>119</v>
      </c>
      <c r="B16" s="200">
        <f xml:space="preserve">
IF($A$4&lt;=12,SUMIFS('ON Data'!F:F,'ON Data'!$D:$D,$A$4,'ON Data'!$E:$E,7),SUMIFS('ON Data'!F:F,'ON Data'!$E:$E,7))</f>
        <v>0</v>
      </c>
      <c r="C16" s="201">
        <f xml:space="preserve">
IF($A$4&lt;=12,SUMIFS('ON Data'!G:G,'ON Data'!$D:$D,$A$4,'ON Data'!$E:$E,7),SUMIFS('ON Data'!G:G,'ON Data'!$E:$E,7))</f>
        <v>0</v>
      </c>
      <c r="D16" s="202">
        <f xml:space="preserve">
IF($A$4&lt;=12,SUMIFS('ON Data'!H:H,'ON Data'!$D:$D,$A$4,'ON Data'!$E:$E,7),SUMIFS('ON Data'!H:H,'ON Data'!$E:$E,7))</f>
        <v>0</v>
      </c>
      <c r="E16" s="202"/>
      <c r="F16" s="202">
        <f xml:space="preserve">
IF($A$4&lt;=12,SUMIFS('ON Data'!J:J,'ON Data'!$D:$D,$A$4,'ON Data'!$E:$E,7),SUMIFS('ON Data'!J:J,'ON Data'!$E:$E,7))</f>
        <v>0</v>
      </c>
      <c r="G16" s="202">
        <f xml:space="preserve">
IF($A$4&lt;=12,SUMIFS('ON Data'!K:K,'ON Data'!$D:$D,$A$4,'ON Data'!$E:$E,7),SUMIFS('ON Data'!K:K,'ON Data'!$E:$E,7))</f>
        <v>0</v>
      </c>
      <c r="H16" s="202">
        <f xml:space="preserve">
IF($A$4&lt;=12,SUMIFS('ON Data'!L:L,'ON Data'!$D:$D,$A$4,'ON Data'!$E:$E,7),SUMIFS('ON Data'!L:L,'ON Data'!$E:$E,7))</f>
        <v>0</v>
      </c>
      <c r="I16" s="202">
        <f xml:space="preserve">
IF($A$4&lt;=12,SUMIFS('ON Data'!M:M,'ON Data'!$D:$D,$A$4,'ON Data'!$E:$E,7),SUMIFS('ON Data'!M:M,'ON Data'!$E:$E,7))</f>
        <v>0</v>
      </c>
      <c r="J16" s="202">
        <f xml:space="preserve">
IF($A$4&lt;=12,SUMIFS('ON Data'!N:N,'ON Data'!$D:$D,$A$4,'ON Data'!$E:$E,7),SUMIFS('ON Data'!N:N,'ON Data'!$E:$E,7))</f>
        <v>0</v>
      </c>
      <c r="K16" s="202">
        <f xml:space="preserve">
IF($A$4&lt;=12,SUMIFS('ON Data'!O:O,'ON Data'!$D:$D,$A$4,'ON Data'!$E:$E,7),SUMIFS('ON Data'!O:O,'ON Data'!$E:$E,7))</f>
        <v>0</v>
      </c>
      <c r="L16" s="202">
        <f xml:space="preserve">
IF($A$4&lt;=12,SUMIFS('ON Data'!P:P,'ON Data'!$D:$D,$A$4,'ON Data'!$E:$E,7),SUMIFS('ON Data'!P:P,'ON Data'!$E:$E,7))</f>
        <v>0</v>
      </c>
      <c r="M16" s="202">
        <f xml:space="preserve">
IF($A$4&lt;=12,SUMIFS('ON Data'!Q:Q,'ON Data'!$D:$D,$A$4,'ON Data'!$E:$E,7),SUMIFS('ON Data'!Q:Q,'ON Data'!$E:$E,7))</f>
        <v>0</v>
      </c>
      <c r="N16" s="202">
        <f xml:space="preserve">
IF($A$4&lt;=12,SUMIFS('ON Data'!R:R,'ON Data'!$D:$D,$A$4,'ON Data'!$E:$E,7),SUMIFS('ON Data'!R:R,'ON Data'!$E:$E,7))</f>
        <v>0</v>
      </c>
      <c r="O16" s="202">
        <f xml:space="preserve">
IF($A$4&lt;=12,SUMIFS('ON Data'!S:S,'ON Data'!$D:$D,$A$4,'ON Data'!$E:$E,7),SUMIFS('ON Data'!S:S,'ON Data'!$E:$E,7))</f>
        <v>0</v>
      </c>
      <c r="P16" s="202">
        <f xml:space="preserve">
IF($A$4&lt;=12,SUMIFS('ON Data'!T:T,'ON Data'!$D:$D,$A$4,'ON Data'!$E:$E,7),SUMIFS('ON Data'!T:T,'ON Data'!$E:$E,7))</f>
        <v>0</v>
      </c>
      <c r="Q16" s="202">
        <f xml:space="preserve">
IF($A$4&lt;=12,SUMIFS('ON Data'!U:U,'ON Data'!$D:$D,$A$4,'ON Data'!$E:$E,7),SUMIFS('ON Data'!U:U,'ON Data'!$E:$E,7))</f>
        <v>0</v>
      </c>
      <c r="R16" s="202">
        <f xml:space="preserve">
IF($A$4&lt;=12,SUMIFS('ON Data'!V:V,'ON Data'!$D:$D,$A$4,'ON Data'!$E:$E,7),SUMIFS('ON Data'!V:V,'ON Data'!$E:$E,7))</f>
        <v>0</v>
      </c>
      <c r="S16" s="202">
        <f xml:space="preserve">
IF($A$4&lt;=12,SUMIFS('ON Data'!W:W,'ON Data'!$D:$D,$A$4,'ON Data'!$E:$E,7),SUMIFS('ON Data'!W:W,'ON Data'!$E:$E,7))</f>
        <v>0</v>
      </c>
      <c r="T16" s="202">
        <f xml:space="preserve">
IF($A$4&lt;=12,SUMIFS('ON Data'!X:X,'ON Data'!$D:$D,$A$4,'ON Data'!$E:$E,7),SUMIFS('ON Data'!X:X,'ON Data'!$E:$E,7))</f>
        <v>0</v>
      </c>
      <c r="U16" s="202">
        <f xml:space="preserve">
IF($A$4&lt;=12,SUMIFS('ON Data'!Y:Y,'ON Data'!$D:$D,$A$4,'ON Data'!$E:$E,7),SUMIFS('ON Data'!Y:Y,'ON Data'!$E:$E,7))</f>
        <v>0</v>
      </c>
      <c r="V16" s="202">
        <f xml:space="preserve">
IF($A$4&lt;=12,SUMIFS('ON Data'!Z:Z,'ON Data'!$D:$D,$A$4,'ON Data'!$E:$E,7),SUMIFS('ON Data'!Z:Z,'ON Data'!$E:$E,7))</f>
        <v>0</v>
      </c>
      <c r="W16" s="202">
        <f xml:space="preserve">
IF($A$4&lt;=12,SUMIFS('ON Data'!AA:AA,'ON Data'!$D:$D,$A$4,'ON Data'!$E:$E,7),SUMIFS('ON Data'!AA:AA,'ON Data'!$E:$E,7))</f>
        <v>0</v>
      </c>
      <c r="X16" s="202">
        <f xml:space="preserve">
IF($A$4&lt;=12,SUMIFS('ON Data'!AB:AB,'ON Data'!$D:$D,$A$4,'ON Data'!$E:$E,7),SUMIFS('ON Data'!AB:AB,'ON Data'!$E:$E,7))</f>
        <v>0</v>
      </c>
      <c r="Y16" s="202">
        <f xml:space="preserve">
IF($A$4&lt;=12,SUMIFS('ON Data'!AC:AC,'ON Data'!$D:$D,$A$4,'ON Data'!$E:$E,7),SUMIFS('ON Data'!AC:AC,'ON Data'!$E:$E,7))</f>
        <v>0</v>
      </c>
      <c r="Z16" s="202">
        <f xml:space="preserve">
IF($A$4&lt;=12,SUMIFS('ON Data'!AD:AD,'ON Data'!$D:$D,$A$4,'ON Data'!$E:$E,7),SUMIFS('ON Data'!AD:AD,'ON Data'!$E:$E,7))</f>
        <v>0</v>
      </c>
      <c r="AA16" s="202"/>
      <c r="AB16" s="202">
        <f xml:space="preserve">
IF($A$4&lt;=12,SUMIFS('ON Data'!AF:AF,'ON Data'!$D:$D,$A$4,'ON Data'!$E:$E,7),SUMIFS('ON Data'!AF:AF,'ON Data'!$E:$E,7))</f>
        <v>0</v>
      </c>
      <c r="AC16" s="202">
        <f xml:space="preserve">
IF($A$4&lt;=12,SUMIFS('ON Data'!AG:AG,'ON Data'!$D:$D,$A$4,'ON Data'!$E:$E,7),SUMIFS('ON Data'!AG:AG,'ON Data'!$E:$E,7))</f>
        <v>0</v>
      </c>
      <c r="AD16" s="202">
        <f xml:space="preserve">
IF($A$4&lt;=12,SUMIFS('ON Data'!AH:AH,'ON Data'!$D:$D,$A$4,'ON Data'!$E:$E,7),SUMIFS('ON Data'!AH:AH,'ON Data'!$E:$E,7))</f>
        <v>0</v>
      </c>
      <c r="AE16" s="202">
        <f xml:space="preserve">
IF($A$4&lt;=12,SUMIFS('ON Data'!AI:AI,'ON Data'!$D:$D,$A$4,'ON Data'!$E:$E,7),SUMIFS('ON Data'!AI:AI,'ON Data'!$E:$E,7))</f>
        <v>0</v>
      </c>
      <c r="AF16" s="202">
        <f xml:space="preserve">
IF($A$4&lt;=12,SUMIFS('ON Data'!AJ:AJ,'ON Data'!$D:$D,$A$4,'ON Data'!$E:$E,7),SUMIFS('ON Data'!AJ:AJ,'ON Data'!$E:$E,7))</f>
        <v>0</v>
      </c>
      <c r="AG16" s="202">
        <f xml:space="preserve">
IF($A$4&lt;=12,SUMIFS('ON Data'!AK:AK,'ON Data'!$D:$D,$A$4,'ON Data'!$E:$E,7),SUMIFS('ON Data'!AK:AK,'ON Data'!$E:$E,7))</f>
        <v>0</v>
      </c>
      <c r="AH16" s="202">
        <f xml:space="preserve">
IF($A$4&lt;=12,SUMIFS('ON Data'!AL:AL,'ON Data'!$D:$D,$A$4,'ON Data'!$E:$E,7),SUMIFS('ON Data'!AL:AL,'ON Data'!$E:$E,7))</f>
        <v>0</v>
      </c>
      <c r="AI16" s="202">
        <f xml:space="preserve">
IF($A$4&lt;=12,SUMIFS('ON Data'!AM:AM,'ON Data'!$D:$D,$A$4,'ON Data'!$E:$E,7),SUMIFS('ON Data'!AM:AM,'ON Data'!$E:$E,7))</f>
        <v>0</v>
      </c>
      <c r="AJ16" s="202">
        <f xml:space="preserve">
IF($A$4&lt;=12,SUMIFS('ON Data'!AN:AN,'ON Data'!$D:$D,$A$4,'ON Data'!$E:$E,7),SUMIFS('ON Data'!AN:AN,'ON Data'!$E:$E,7))</f>
        <v>0</v>
      </c>
      <c r="AK16" s="202">
        <f xml:space="preserve">
IF($A$4&lt;=12,SUMIFS('ON Data'!AO:AO,'ON Data'!$D:$D,$A$4,'ON Data'!$E:$E,7),SUMIFS('ON Data'!AO:AO,'ON Data'!$E:$E,7))</f>
        <v>0</v>
      </c>
      <c r="AL16" s="202">
        <f xml:space="preserve">
IF($A$4&lt;=12,SUMIFS('ON Data'!AP:AP,'ON Data'!$D:$D,$A$4,'ON Data'!$E:$E,7),SUMIFS('ON Data'!AP:AP,'ON Data'!$E:$E,7))</f>
        <v>0</v>
      </c>
      <c r="AM16" s="202">
        <f xml:space="preserve">
IF($A$4&lt;=12,SUMIFS('ON Data'!AQ:AQ,'ON Data'!$D:$D,$A$4,'ON Data'!$E:$E,7),SUMIFS('ON Data'!AQ:AQ,'ON Data'!$E:$E,7))</f>
        <v>0</v>
      </c>
      <c r="AN16" s="201">
        <f xml:space="preserve">
IF($A$4&lt;=12,SUMIFS('ON Data'!AR:AR,'ON Data'!$D:$D,$A$4,'ON Data'!$E:$E,7),SUMIFS('ON Data'!AR:AR,'ON Data'!$E:$E,7))</f>
        <v>0</v>
      </c>
      <c r="AO16" s="202">
        <f xml:space="preserve">
IF($A$4&lt;=12,SUMIFS('ON Data'!AS:AS,'ON Data'!$D:$D,$A$4,'ON Data'!$E:$E,7),SUMIFS('ON Data'!AS:AS,'ON Data'!$E:$E,7))</f>
        <v>0</v>
      </c>
      <c r="AP16" s="202">
        <f xml:space="preserve">
IF($A$4&lt;=12,SUMIFS('ON Data'!AT:AT,'ON Data'!$D:$D,$A$4,'ON Data'!$E:$E,7),SUMIFS('ON Data'!AT:AT,'ON Data'!$E:$E,7))</f>
        <v>0</v>
      </c>
      <c r="AQ16" s="202">
        <f xml:space="preserve">
IF($A$4&lt;=12,SUMIFS('ON Data'!AU:AU,'ON Data'!$D:$D,$A$4,'ON Data'!$E:$E,7),SUMIFS('ON Data'!AU:AU,'ON Data'!$E:$E,7))</f>
        <v>0</v>
      </c>
      <c r="AR16" s="202">
        <f xml:space="preserve">
IF($A$4&lt;=12,SUMIFS('ON Data'!AV:AV,'ON Data'!$D:$D,$A$4,'ON Data'!$E:$E,7),SUMIFS('ON Data'!AV:AV,'ON Data'!$E:$E,7))</f>
        <v>0</v>
      </c>
      <c r="AS16" s="415">
        <f xml:space="preserve">
IF($A$4&lt;=12,SUMIFS('ON Data'!AW:AW,'ON Data'!$D:$D,$A$4,'ON Data'!$E:$E,7),SUMIFS('ON Data'!AW:AW,'ON Data'!$E:$E,7))</f>
        <v>0</v>
      </c>
      <c r="AT16" s="424"/>
    </row>
    <row r="17" spans="1:46" x14ac:dyDescent="0.3">
      <c r="A17" s="185" t="s">
        <v>120</v>
      </c>
      <c r="B17" s="200">
        <f xml:space="preserve">
IF($A$4&lt;=12,SUMIFS('ON Data'!F:F,'ON Data'!$D:$D,$A$4,'ON Data'!$E:$E,8),SUMIFS('ON Data'!F:F,'ON Data'!$E:$E,8))</f>
        <v>0</v>
      </c>
      <c r="C17" s="201">
        <f xml:space="preserve">
IF($A$4&lt;=12,SUMIFS('ON Data'!G:G,'ON Data'!$D:$D,$A$4,'ON Data'!$E:$E,8),SUMIFS('ON Data'!G:G,'ON Data'!$E:$E,8))</f>
        <v>0</v>
      </c>
      <c r="D17" s="202">
        <f xml:space="preserve">
IF($A$4&lt;=12,SUMIFS('ON Data'!H:H,'ON Data'!$D:$D,$A$4,'ON Data'!$E:$E,8),SUMIFS('ON Data'!H:H,'ON Data'!$E:$E,8))</f>
        <v>0</v>
      </c>
      <c r="E17" s="202"/>
      <c r="F17" s="202">
        <f xml:space="preserve">
IF($A$4&lt;=12,SUMIFS('ON Data'!J:J,'ON Data'!$D:$D,$A$4,'ON Data'!$E:$E,8),SUMIFS('ON Data'!J:J,'ON Data'!$E:$E,8))</f>
        <v>0</v>
      </c>
      <c r="G17" s="202">
        <f xml:space="preserve">
IF($A$4&lt;=12,SUMIFS('ON Data'!K:K,'ON Data'!$D:$D,$A$4,'ON Data'!$E:$E,8),SUMIFS('ON Data'!K:K,'ON Data'!$E:$E,8))</f>
        <v>0</v>
      </c>
      <c r="H17" s="202">
        <f xml:space="preserve">
IF($A$4&lt;=12,SUMIFS('ON Data'!L:L,'ON Data'!$D:$D,$A$4,'ON Data'!$E:$E,8),SUMIFS('ON Data'!L:L,'ON Data'!$E:$E,8))</f>
        <v>0</v>
      </c>
      <c r="I17" s="202">
        <f xml:space="preserve">
IF($A$4&lt;=12,SUMIFS('ON Data'!M:M,'ON Data'!$D:$D,$A$4,'ON Data'!$E:$E,8),SUMIFS('ON Data'!M:M,'ON Data'!$E:$E,8))</f>
        <v>0</v>
      </c>
      <c r="J17" s="202">
        <f xml:space="preserve">
IF($A$4&lt;=12,SUMIFS('ON Data'!N:N,'ON Data'!$D:$D,$A$4,'ON Data'!$E:$E,8),SUMIFS('ON Data'!N:N,'ON Data'!$E:$E,8))</f>
        <v>0</v>
      </c>
      <c r="K17" s="202">
        <f xml:space="preserve">
IF($A$4&lt;=12,SUMIFS('ON Data'!O:O,'ON Data'!$D:$D,$A$4,'ON Data'!$E:$E,8),SUMIFS('ON Data'!O:O,'ON Data'!$E:$E,8))</f>
        <v>0</v>
      </c>
      <c r="L17" s="202">
        <f xml:space="preserve">
IF($A$4&lt;=12,SUMIFS('ON Data'!P:P,'ON Data'!$D:$D,$A$4,'ON Data'!$E:$E,8),SUMIFS('ON Data'!P:P,'ON Data'!$E:$E,8))</f>
        <v>0</v>
      </c>
      <c r="M17" s="202">
        <f xml:space="preserve">
IF($A$4&lt;=12,SUMIFS('ON Data'!Q:Q,'ON Data'!$D:$D,$A$4,'ON Data'!$E:$E,8),SUMIFS('ON Data'!Q:Q,'ON Data'!$E:$E,8))</f>
        <v>0</v>
      </c>
      <c r="N17" s="202">
        <f xml:space="preserve">
IF($A$4&lt;=12,SUMIFS('ON Data'!R:R,'ON Data'!$D:$D,$A$4,'ON Data'!$E:$E,8),SUMIFS('ON Data'!R:R,'ON Data'!$E:$E,8))</f>
        <v>0</v>
      </c>
      <c r="O17" s="202">
        <f xml:space="preserve">
IF($A$4&lt;=12,SUMIFS('ON Data'!S:S,'ON Data'!$D:$D,$A$4,'ON Data'!$E:$E,8),SUMIFS('ON Data'!S:S,'ON Data'!$E:$E,8))</f>
        <v>0</v>
      </c>
      <c r="P17" s="202">
        <f xml:space="preserve">
IF($A$4&lt;=12,SUMIFS('ON Data'!T:T,'ON Data'!$D:$D,$A$4,'ON Data'!$E:$E,8),SUMIFS('ON Data'!T:T,'ON Data'!$E:$E,8))</f>
        <v>0</v>
      </c>
      <c r="Q17" s="202">
        <f xml:space="preserve">
IF($A$4&lt;=12,SUMIFS('ON Data'!U:U,'ON Data'!$D:$D,$A$4,'ON Data'!$E:$E,8),SUMIFS('ON Data'!U:U,'ON Data'!$E:$E,8))</f>
        <v>0</v>
      </c>
      <c r="R17" s="202">
        <f xml:space="preserve">
IF($A$4&lt;=12,SUMIFS('ON Data'!V:V,'ON Data'!$D:$D,$A$4,'ON Data'!$E:$E,8),SUMIFS('ON Data'!V:V,'ON Data'!$E:$E,8))</f>
        <v>0</v>
      </c>
      <c r="S17" s="202">
        <f xml:space="preserve">
IF($A$4&lt;=12,SUMIFS('ON Data'!W:W,'ON Data'!$D:$D,$A$4,'ON Data'!$E:$E,8),SUMIFS('ON Data'!W:W,'ON Data'!$E:$E,8))</f>
        <v>0</v>
      </c>
      <c r="T17" s="202">
        <f xml:space="preserve">
IF($A$4&lt;=12,SUMIFS('ON Data'!X:X,'ON Data'!$D:$D,$A$4,'ON Data'!$E:$E,8),SUMIFS('ON Data'!X:X,'ON Data'!$E:$E,8))</f>
        <v>0</v>
      </c>
      <c r="U17" s="202">
        <f xml:space="preserve">
IF($A$4&lt;=12,SUMIFS('ON Data'!Y:Y,'ON Data'!$D:$D,$A$4,'ON Data'!$E:$E,8),SUMIFS('ON Data'!Y:Y,'ON Data'!$E:$E,8))</f>
        <v>0</v>
      </c>
      <c r="V17" s="202">
        <f xml:space="preserve">
IF($A$4&lt;=12,SUMIFS('ON Data'!Z:Z,'ON Data'!$D:$D,$A$4,'ON Data'!$E:$E,8),SUMIFS('ON Data'!Z:Z,'ON Data'!$E:$E,8))</f>
        <v>0</v>
      </c>
      <c r="W17" s="202">
        <f xml:space="preserve">
IF($A$4&lt;=12,SUMIFS('ON Data'!AA:AA,'ON Data'!$D:$D,$A$4,'ON Data'!$E:$E,8),SUMIFS('ON Data'!AA:AA,'ON Data'!$E:$E,8))</f>
        <v>0</v>
      </c>
      <c r="X17" s="202">
        <f xml:space="preserve">
IF($A$4&lt;=12,SUMIFS('ON Data'!AB:AB,'ON Data'!$D:$D,$A$4,'ON Data'!$E:$E,8),SUMIFS('ON Data'!AB:AB,'ON Data'!$E:$E,8))</f>
        <v>0</v>
      </c>
      <c r="Y17" s="202">
        <f xml:space="preserve">
IF($A$4&lt;=12,SUMIFS('ON Data'!AC:AC,'ON Data'!$D:$D,$A$4,'ON Data'!$E:$E,8),SUMIFS('ON Data'!AC:AC,'ON Data'!$E:$E,8))</f>
        <v>0</v>
      </c>
      <c r="Z17" s="202">
        <f xml:space="preserve">
IF($A$4&lt;=12,SUMIFS('ON Data'!AD:AD,'ON Data'!$D:$D,$A$4,'ON Data'!$E:$E,8),SUMIFS('ON Data'!AD:AD,'ON Data'!$E:$E,8))</f>
        <v>0</v>
      </c>
      <c r="AA17" s="202"/>
      <c r="AB17" s="202">
        <f xml:space="preserve">
IF($A$4&lt;=12,SUMIFS('ON Data'!AF:AF,'ON Data'!$D:$D,$A$4,'ON Data'!$E:$E,8),SUMIFS('ON Data'!AF:AF,'ON Data'!$E:$E,8))</f>
        <v>0</v>
      </c>
      <c r="AC17" s="202">
        <f xml:space="preserve">
IF($A$4&lt;=12,SUMIFS('ON Data'!AG:AG,'ON Data'!$D:$D,$A$4,'ON Data'!$E:$E,8),SUMIFS('ON Data'!AG:AG,'ON Data'!$E:$E,8))</f>
        <v>0</v>
      </c>
      <c r="AD17" s="202">
        <f xml:space="preserve">
IF($A$4&lt;=12,SUMIFS('ON Data'!AH:AH,'ON Data'!$D:$D,$A$4,'ON Data'!$E:$E,8),SUMIFS('ON Data'!AH:AH,'ON Data'!$E:$E,8))</f>
        <v>0</v>
      </c>
      <c r="AE17" s="202">
        <f xml:space="preserve">
IF($A$4&lt;=12,SUMIFS('ON Data'!AI:AI,'ON Data'!$D:$D,$A$4,'ON Data'!$E:$E,8),SUMIFS('ON Data'!AI:AI,'ON Data'!$E:$E,8))</f>
        <v>0</v>
      </c>
      <c r="AF17" s="202">
        <f xml:space="preserve">
IF($A$4&lt;=12,SUMIFS('ON Data'!AJ:AJ,'ON Data'!$D:$D,$A$4,'ON Data'!$E:$E,8),SUMIFS('ON Data'!AJ:AJ,'ON Data'!$E:$E,8))</f>
        <v>0</v>
      </c>
      <c r="AG17" s="202">
        <f xml:space="preserve">
IF($A$4&lt;=12,SUMIFS('ON Data'!AK:AK,'ON Data'!$D:$D,$A$4,'ON Data'!$E:$E,8),SUMIFS('ON Data'!AK:AK,'ON Data'!$E:$E,8))</f>
        <v>0</v>
      </c>
      <c r="AH17" s="202">
        <f xml:space="preserve">
IF($A$4&lt;=12,SUMIFS('ON Data'!AL:AL,'ON Data'!$D:$D,$A$4,'ON Data'!$E:$E,8),SUMIFS('ON Data'!AL:AL,'ON Data'!$E:$E,8))</f>
        <v>0</v>
      </c>
      <c r="AI17" s="202">
        <f xml:space="preserve">
IF($A$4&lt;=12,SUMIFS('ON Data'!AM:AM,'ON Data'!$D:$D,$A$4,'ON Data'!$E:$E,8),SUMIFS('ON Data'!AM:AM,'ON Data'!$E:$E,8))</f>
        <v>0</v>
      </c>
      <c r="AJ17" s="202">
        <f xml:space="preserve">
IF($A$4&lt;=12,SUMIFS('ON Data'!AN:AN,'ON Data'!$D:$D,$A$4,'ON Data'!$E:$E,8),SUMIFS('ON Data'!AN:AN,'ON Data'!$E:$E,8))</f>
        <v>0</v>
      </c>
      <c r="AK17" s="202">
        <f xml:space="preserve">
IF($A$4&lt;=12,SUMIFS('ON Data'!AO:AO,'ON Data'!$D:$D,$A$4,'ON Data'!$E:$E,8),SUMIFS('ON Data'!AO:AO,'ON Data'!$E:$E,8))</f>
        <v>0</v>
      </c>
      <c r="AL17" s="202">
        <f xml:space="preserve">
IF($A$4&lt;=12,SUMIFS('ON Data'!AP:AP,'ON Data'!$D:$D,$A$4,'ON Data'!$E:$E,8),SUMIFS('ON Data'!AP:AP,'ON Data'!$E:$E,8))</f>
        <v>0</v>
      </c>
      <c r="AM17" s="202">
        <f xml:space="preserve">
IF($A$4&lt;=12,SUMIFS('ON Data'!AQ:AQ,'ON Data'!$D:$D,$A$4,'ON Data'!$E:$E,8),SUMIFS('ON Data'!AQ:AQ,'ON Data'!$E:$E,8))</f>
        <v>0</v>
      </c>
      <c r="AN17" s="201">
        <f xml:space="preserve">
IF($A$4&lt;=12,SUMIFS('ON Data'!AR:AR,'ON Data'!$D:$D,$A$4,'ON Data'!$E:$E,8),SUMIFS('ON Data'!AR:AR,'ON Data'!$E:$E,8))</f>
        <v>0</v>
      </c>
      <c r="AO17" s="202">
        <f xml:space="preserve">
IF($A$4&lt;=12,SUMIFS('ON Data'!AS:AS,'ON Data'!$D:$D,$A$4,'ON Data'!$E:$E,8),SUMIFS('ON Data'!AS:AS,'ON Data'!$E:$E,8))</f>
        <v>0</v>
      </c>
      <c r="AP17" s="202">
        <f xml:space="preserve">
IF($A$4&lt;=12,SUMIFS('ON Data'!AT:AT,'ON Data'!$D:$D,$A$4,'ON Data'!$E:$E,8),SUMIFS('ON Data'!AT:AT,'ON Data'!$E:$E,8))</f>
        <v>0</v>
      </c>
      <c r="AQ17" s="202">
        <f xml:space="preserve">
IF($A$4&lt;=12,SUMIFS('ON Data'!AU:AU,'ON Data'!$D:$D,$A$4,'ON Data'!$E:$E,8),SUMIFS('ON Data'!AU:AU,'ON Data'!$E:$E,8))</f>
        <v>0</v>
      </c>
      <c r="AR17" s="202">
        <f xml:space="preserve">
IF($A$4&lt;=12,SUMIFS('ON Data'!AV:AV,'ON Data'!$D:$D,$A$4,'ON Data'!$E:$E,8),SUMIFS('ON Data'!AV:AV,'ON Data'!$E:$E,8))</f>
        <v>0</v>
      </c>
      <c r="AS17" s="415">
        <f xml:space="preserve">
IF($A$4&lt;=12,SUMIFS('ON Data'!AW:AW,'ON Data'!$D:$D,$A$4,'ON Data'!$E:$E,8),SUMIFS('ON Data'!AW:AW,'ON Data'!$E:$E,8))</f>
        <v>0</v>
      </c>
      <c r="AT17" s="424"/>
    </row>
    <row r="18" spans="1:46" x14ac:dyDescent="0.3">
      <c r="A18" s="185" t="s">
        <v>121</v>
      </c>
      <c r="B18" s="200">
        <f xml:space="preserve">
B19-B16-B17</f>
        <v>0</v>
      </c>
      <c r="C18" s="201">
        <f t="shared" ref="C18:I18" si="0" xml:space="preserve">
C19-C16-C17</f>
        <v>0</v>
      </c>
      <c r="D18" s="202">
        <f t="shared" si="0"/>
        <v>0</v>
      </c>
      <c r="E18" s="202"/>
      <c r="F18" s="202">
        <f t="shared" si="0"/>
        <v>0</v>
      </c>
      <c r="G18" s="202">
        <f t="shared" si="0"/>
        <v>0</v>
      </c>
      <c r="H18" s="202">
        <f t="shared" si="0"/>
        <v>0</v>
      </c>
      <c r="I18" s="202">
        <f t="shared" si="0"/>
        <v>0</v>
      </c>
      <c r="J18" s="202">
        <f t="shared" ref="J18:AK18" si="1" xml:space="preserve">
J19-J16-J17</f>
        <v>0</v>
      </c>
      <c r="K18" s="202">
        <f t="shared" si="1"/>
        <v>0</v>
      </c>
      <c r="L18" s="202">
        <f t="shared" si="1"/>
        <v>0</v>
      </c>
      <c r="M18" s="202">
        <f t="shared" si="1"/>
        <v>0</v>
      </c>
      <c r="N18" s="202">
        <f t="shared" si="1"/>
        <v>0</v>
      </c>
      <c r="O18" s="202">
        <f t="shared" si="1"/>
        <v>0</v>
      </c>
      <c r="P18" s="202">
        <f t="shared" si="1"/>
        <v>0</v>
      </c>
      <c r="Q18" s="202">
        <f t="shared" si="1"/>
        <v>0</v>
      </c>
      <c r="R18" s="202">
        <f t="shared" si="1"/>
        <v>0</v>
      </c>
      <c r="S18" s="202">
        <f t="shared" si="1"/>
        <v>0</v>
      </c>
      <c r="T18" s="202">
        <f t="shared" si="1"/>
        <v>0</v>
      </c>
      <c r="U18" s="202">
        <f t="shared" si="1"/>
        <v>0</v>
      </c>
      <c r="V18" s="202">
        <f t="shared" si="1"/>
        <v>0</v>
      </c>
      <c r="W18" s="202">
        <f t="shared" si="1"/>
        <v>0</v>
      </c>
      <c r="X18" s="202">
        <f t="shared" si="1"/>
        <v>0</v>
      </c>
      <c r="Y18" s="202">
        <f t="shared" si="1"/>
        <v>0</v>
      </c>
      <c r="Z18" s="202">
        <f t="shared" si="1"/>
        <v>0</v>
      </c>
      <c r="AA18" s="202"/>
      <c r="AB18" s="202">
        <f t="shared" si="1"/>
        <v>0</v>
      </c>
      <c r="AC18" s="202">
        <f t="shared" si="1"/>
        <v>0</v>
      </c>
      <c r="AD18" s="202">
        <f t="shared" si="1"/>
        <v>0</v>
      </c>
      <c r="AE18" s="202">
        <f t="shared" si="1"/>
        <v>0</v>
      </c>
      <c r="AF18" s="202">
        <f t="shared" si="1"/>
        <v>0</v>
      </c>
      <c r="AG18" s="202">
        <f t="shared" si="1"/>
        <v>0</v>
      </c>
      <c r="AH18" s="202">
        <f t="shared" si="1"/>
        <v>0</v>
      </c>
      <c r="AI18" s="202">
        <f t="shared" si="1"/>
        <v>0</v>
      </c>
      <c r="AJ18" s="202">
        <f t="shared" si="1"/>
        <v>0</v>
      </c>
      <c r="AK18" s="202">
        <f t="shared" si="1"/>
        <v>0</v>
      </c>
      <c r="AL18" s="202">
        <f t="shared" ref="AL18:AS18" si="2" xml:space="preserve">
AL19-AL16-AL17</f>
        <v>0</v>
      </c>
      <c r="AM18" s="202">
        <f t="shared" si="2"/>
        <v>0</v>
      </c>
      <c r="AN18" s="201">
        <f t="shared" si="2"/>
        <v>0</v>
      </c>
      <c r="AO18" s="202">
        <f t="shared" si="2"/>
        <v>0</v>
      </c>
      <c r="AP18" s="202">
        <f t="shared" si="2"/>
        <v>0</v>
      </c>
      <c r="AQ18" s="202">
        <f t="shared" si="2"/>
        <v>0</v>
      </c>
      <c r="AR18" s="202">
        <f t="shared" si="2"/>
        <v>0</v>
      </c>
      <c r="AS18" s="415">
        <f t="shared" si="2"/>
        <v>0</v>
      </c>
      <c r="AT18" s="424"/>
    </row>
    <row r="19" spans="1:46" ht="15" thickBot="1" x14ac:dyDescent="0.35">
      <c r="A19" s="186" t="s">
        <v>122</v>
      </c>
      <c r="B19" s="211">
        <f xml:space="preserve">
IF($A$4&lt;=12,SUMIFS('ON Data'!F:F,'ON Data'!$D:$D,$A$4,'ON Data'!$E:$E,9),SUMIFS('ON Data'!F:F,'ON Data'!$E:$E,9))</f>
        <v>0</v>
      </c>
      <c r="C19" s="212">
        <f xml:space="preserve">
IF($A$4&lt;=12,SUMIFS('ON Data'!G:G,'ON Data'!$D:$D,$A$4,'ON Data'!$E:$E,9),SUMIFS('ON Data'!G:G,'ON Data'!$E:$E,9))</f>
        <v>0</v>
      </c>
      <c r="D19" s="213">
        <f xml:space="preserve">
IF($A$4&lt;=12,SUMIFS('ON Data'!H:H,'ON Data'!$D:$D,$A$4,'ON Data'!$E:$E,9),SUMIFS('ON Data'!H:H,'ON Data'!$E:$E,9))</f>
        <v>0</v>
      </c>
      <c r="E19" s="213"/>
      <c r="F19" s="213">
        <f xml:space="preserve">
IF($A$4&lt;=12,SUMIFS('ON Data'!J:J,'ON Data'!$D:$D,$A$4,'ON Data'!$E:$E,9),SUMIFS('ON Data'!J:J,'ON Data'!$E:$E,9))</f>
        <v>0</v>
      </c>
      <c r="G19" s="213">
        <f xml:space="preserve">
IF($A$4&lt;=12,SUMIFS('ON Data'!K:K,'ON Data'!$D:$D,$A$4,'ON Data'!$E:$E,9),SUMIFS('ON Data'!K:K,'ON Data'!$E:$E,9))</f>
        <v>0</v>
      </c>
      <c r="H19" s="213">
        <f xml:space="preserve">
IF($A$4&lt;=12,SUMIFS('ON Data'!L:L,'ON Data'!$D:$D,$A$4,'ON Data'!$E:$E,9),SUMIFS('ON Data'!L:L,'ON Data'!$E:$E,9))</f>
        <v>0</v>
      </c>
      <c r="I19" s="213">
        <f xml:space="preserve">
IF($A$4&lt;=12,SUMIFS('ON Data'!M:M,'ON Data'!$D:$D,$A$4,'ON Data'!$E:$E,9),SUMIFS('ON Data'!M:M,'ON Data'!$E:$E,9))</f>
        <v>0</v>
      </c>
      <c r="J19" s="213">
        <f xml:space="preserve">
IF($A$4&lt;=12,SUMIFS('ON Data'!N:N,'ON Data'!$D:$D,$A$4,'ON Data'!$E:$E,9),SUMIFS('ON Data'!N:N,'ON Data'!$E:$E,9))</f>
        <v>0</v>
      </c>
      <c r="K19" s="213">
        <f xml:space="preserve">
IF($A$4&lt;=12,SUMIFS('ON Data'!O:O,'ON Data'!$D:$D,$A$4,'ON Data'!$E:$E,9),SUMIFS('ON Data'!O:O,'ON Data'!$E:$E,9))</f>
        <v>0</v>
      </c>
      <c r="L19" s="213">
        <f xml:space="preserve">
IF($A$4&lt;=12,SUMIFS('ON Data'!P:P,'ON Data'!$D:$D,$A$4,'ON Data'!$E:$E,9),SUMIFS('ON Data'!P:P,'ON Data'!$E:$E,9))</f>
        <v>0</v>
      </c>
      <c r="M19" s="213">
        <f xml:space="preserve">
IF($A$4&lt;=12,SUMIFS('ON Data'!Q:Q,'ON Data'!$D:$D,$A$4,'ON Data'!$E:$E,9),SUMIFS('ON Data'!Q:Q,'ON Data'!$E:$E,9))</f>
        <v>0</v>
      </c>
      <c r="N19" s="213">
        <f xml:space="preserve">
IF($A$4&lt;=12,SUMIFS('ON Data'!R:R,'ON Data'!$D:$D,$A$4,'ON Data'!$E:$E,9),SUMIFS('ON Data'!R:R,'ON Data'!$E:$E,9))</f>
        <v>0</v>
      </c>
      <c r="O19" s="213">
        <f xml:space="preserve">
IF($A$4&lt;=12,SUMIFS('ON Data'!S:S,'ON Data'!$D:$D,$A$4,'ON Data'!$E:$E,9),SUMIFS('ON Data'!S:S,'ON Data'!$E:$E,9))</f>
        <v>0</v>
      </c>
      <c r="P19" s="213">
        <f xml:space="preserve">
IF($A$4&lt;=12,SUMIFS('ON Data'!T:T,'ON Data'!$D:$D,$A$4,'ON Data'!$E:$E,9),SUMIFS('ON Data'!T:T,'ON Data'!$E:$E,9))</f>
        <v>0</v>
      </c>
      <c r="Q19" s="213">
        <f xml:space="preserve">
IF($A$4&lt;=12,SUMIFS('ON Data'!U:U,'ON Data'!$D:$D,$A$4,'ON Data'!$E:$E,9),SUMIFS('ON Data'!U:U,'ON Data'!$E:$E,9))</f>
        <v>0</v>
      </c>
      <c r="R19" s="213">
        <f xml:space="preserve">
IF($A$4&lt;=12,SUMIFS('ON Data'!V:V,'ON Data'!$D:$D,$A$4,'ON Data'!$E:$E,9),SUMIFS('ON Data'!V:V,'ON Data'!$E:$E,9))</f>
        <v>0</v>
      </c>
      <c r="S19" s="213">
        <f xml:space="preserve">
IF($A$4&lt;=12,SUMIFS('ON Data'!W:W,'ON Data'!$D:$D,$A$4,'ON Data'!$E:$E,9),SUMIFS('ON Data'!W:W,'ON Data'!$E:$E,9))</f>
        <v>0</v>
      </c>
      <c r="T19" s="213">
        <f xml:space="preserve">
IF($A$4&lt;=12,SUMIFS('ON Data'!X:X,'ON Data'!$D:$D,$A$4,'ON Data'!$E:$E,9),SUMIFS('ON Data'!X:X,'ON Data'!$E:$E,9))</f>
        <v>0</v>
      </c>
      <c r="U19" s="213">
        <f xml:space="preserve">
IF($A$4&lt;=12,SUMIFS('ON Data'!Y:Y,'ON Data'!$D:$D,$A$4,'ON Data'!$E:$E,9),SUMIFS('ON Data'!Y:Y,'ON Data'!$E:$E,9))</f>
        <v>0</v>
      </c>
      <c r="V19" s="213">
        <f xml:space="preserve">
IF($A$4&lt;=12,SUMIFS('ON Data'!Z:Z,'ON Data'!$D:$D,$A$4,'ON Data'!$E:$E,9),SUMIFS('ON Data'!Z:Z,'ON Data'!$E:$E,9))</f>
        <v>0</v>
      </c>
      <c r="W19" s="213">
        <f xml:space="preserve">
IF($A$4&lt;=12,SUMIFS('ON Data'!AA:AA,'ON Data'!$D:$D,$A$4,'ON Data'!$E:$E,9),SUMIFS('ON Data'!AA:AA,'ON Data'!$E:$E,9))</f>
        <v>0</v>
      </c>
      <c r="X19" s="213">
        <f xml:space="preserve">
IF($A$4&lt;=12,SUMIFS('ON Data'!AB:AB,'ON Data'!$D:$D,$A$4,'ON Data'!$E:$E,9),SUMIFS('ON Data'!AB:AB,'ON Data'!$E:$E,9))</f>
        <v>0</v>
      </c>
      <c r="Y19" s="213">
        <f xml:space="preserve">
IF($A$4&lt;=12,SUMIFS('ON Data'!AC:AC,'ON Data'!$D:$D,$A$4,'ON Data'!$E:$E,9),SUMIFS('ON Data'!AC:AC,'ON Data'!$E:$E,9))</f>
        <v>0</v>
      </c>
      <c r="Z19" s="213">
        <f xml:space="preserve">
IF($A$4&lt;=12,SUMIFS('ON Data'!AD:AD,'ON Data'!$D:$D,$A$4,'ON Data'!$E:$E,9),SUMIFS('ON Data'!AD:AD,'ON Data'!$E:$E,9))</f>
        <v>0</v>
      </c>
      <c r="AA19" s="213"/>
      <c r="AB19" s="213">
        <f xml:space="preserve">
IF($A$4&lt;=12,SUMIFS('ON Data'!AF:AF,'ON Data'!$D:$D,$A$4,'ON Data'!$E:$E,9),SUMIFS('ON Data'!AF:AF,'ON Data'!$E:$E,9))</f>
        <v>0</v>
      </c>
      <c r="AC19" s="213">
        <f xml:space="preserve">
IF($A$4&lt;=12,SUMIFS('ON Data'!AG:AG,'ON Data'!$D:$D,$A$4,'ON Data'!$E:$E,9),SUMIFS('ON Data'!AG:AG,'ON Data'!$E:$E,9))</f>
        <v>0</v>
      </c>
      <c r="AD19" s="213">
        <f xml:space="preserve">
IF($A$4&lt;=12,SUMIFS('ON Data'!AH:AH,'ON Data'!$D:$D,$A$4,'ON Data'!$E:$E,9),SUMIFS('ON Data'!AH:AH,'ON Data'!$E:$E,9))</f>
        <v>0</v>
      </c>
      <c r="AE19" s="213">
        <f xml:space="preserve">
IF($A$4&lt;=12,SUMIFS('ON Data'!AI:AI,'ON Data'!$D:$D,$A$4,'ON Data'!$E:$E,9),SUMIFS('ON Data'!AI:AI,'ON Data'!$E:$E,9))</f>
        <v>0</v>
      </c>
      <c r="AF19" s="213">
        <f xml:space="preserve">
IF($A$4&lt;=12,SUMIFS('ON Data'!AJ:AJ,'ON Data'!$D:$D,$A$4,'ON Data'!$E:$E,9),SUMIFS('ON Data'!AJ:AJ,'ON Data'!$E:$E,9))</f>
        <v>0</v>
      </c>
      <c r="AG19" s="213">
        <f xml:space="preserve">
IF($A$4&lt;=12,SUMIFS('ON Data'!AK:AK,'ON Data'!$D:$D,$A$4,'ON Data'!$E:$E,9),SUMIFS('ON Data'!AK:AK,'ON Data'!$E:$E,9))</f>
        <v>0</v>
      </c>
      <c r="AH19" s="213">
        <f xml:space="preserve">
IF($A$4&lt;=12,SUMIFS('ON Data'!AL:AL,'ON Data'!$D:$D,$A$4,'ON Data'!$E:$E,9),SUMIFS('ON Data'!AL:AL,'ON Data'!$E:$E,9))</f>
        <v>0</v>
      </c>
      <c r="AI19" s="213">
        <f xml:space="preserve">
IF($A$4&lt;=12,SUMIFS('ON Data'!AM:AM,'ON Data'!$D:$D,$A$4,'ON Data'!$E:$E,9),SUMIFS('ON Data'!AM:AM,'ON Data'!$E:$E,9))</f>
        <v>0</v>
      </c>
      <c r="AJ19" s="213">
        <f xml:space="preserve">
IF($A$4&lt;=12,SUMIFS('ON Data'!AN:AN,'ON Data'!$D:$D,$A$4,'ON Data'!$E:$E,9),SUMIFS('ON Data'!AN:AN,'ON Data'!$E:$E,9))</f>
        <v>0</v>
      </c>
      <c r="AK19" s="213">
        <f xml:space="preserve">
IF($A$4&lt;=12,SUMIFS('ON Data'!AO:AO,'ON Data'!$D:$D,$A$4,'ON Data'!$E:$E,9),SUMIFS('ON Data'!AO:AO,'ON Data'!$E:$E,9))</f>
        <v>0</v>
      </c>
      <c r="AL19" s="213">
        <f xml:space="preserve">
IF($A$4&lt;=12,SUMIFS('ON Data'!AP:AP,'ON Data'!$D:$D,$A$4,'ON Data'!$E:$E,9),SUMIFS('ON Data'!AP:AP,'ON Data'!$E:$E,9))</f>
        <v>0</v>
      </c>
      <c r="AM19" s="213">
        <f xml:space="preserve">
IF($A$4&lt;=12,SUMIFS('ON Data'!AQ:AQ,'ON Data'!$D:$D,$A$4,'ON Data'!$E:$E,9),SUMIFS('ON Data'!AQ:AQ,'ON Data'!$E:$E,9))</f>
        <v>0</v>
      </c>
      <c r="AN19" s="212">
        <f xml:space="preserve">
IF($A$4&lt;=12,SUMIFS('ON Data'!AR:AR,'ON Data'!$D:$D,$A$4,'ON Data'!$E:$E,9),SUMIFS('ON Data'!AR:AR,'ON Data'!$E:$E,9))</f>
        <v>0</v>
      </c>
      <c r="AO19" s="213">
        <f xml:space="preserve">
IF($A$4&lt;=12,SUMIFS('ON Data'!AS:AS,'ON Data'!$D:$D,$A$4,'ON Data'!$E:$E,9),SUMIFS('ON Data'!AS:AS,'ON Data'!$E:$E,9))</f>
        <v>0</v>
      </c>
      <c r="AP19" s="213">
        <f xml:space="preserve">
IF($A$4&lt;=12,SUMIFS('ON Data'!AT:AT,'ON Data'!$D:$D,$A$4,'ON Data'!$E:$E,9),SUMIFS('ON Data'!AT:AT,'ON Data'!$E:$E,9))</f>
        <v>0</v>
      </c>
      <c r="AQ19" s="213">
        <f xml:space="preserve">
IF($A$4&lt;=12,SUMIFS('ON Data'!AU:AU,'ON Data'!$D:$D,$A$4,'ON Data'!$E:$E,9),SUMIFS('ON Data'!AU:AU,'ON Data'!$E:$E,9))</f>
        <v>0</v>
      </c>
      <c r="AR19" s="213">
        <f xml:space="preserve">
IF($A$4&lt;=12,SUMIFS('ON Data'!AV:AV,'ON Data'!$D:$D,$A$4,'ON Data'!$E:$E,9),SUMIFS('ON Data'!AV:AV,'ON Data'!$E:$E,9))</f>
        <v>0</v>
      </c>
      <c r="AS19" s="418">
        <f xml:space="preserve">
IF($A$4&lt;=12,SUMIFS('ON Data'!AW:AW,'ON Data'!$D:$D,$A$4,'ON Data'!$E:$E,9),SUMIFS('ON Data'!AW:AW,'ON Data'!$E:$E,9))</f>
        <v>0</v>
      </c>
      <c r="AT19" s="424"/>
    </row>
    <row r="20" spans="1:46" ht="15" collapsed="1" thickBot="1" x14ac:dyDescent="0.35">
      <c r="A20" s="187" t="s">
        <v>55</v>
      </c>
      <c r="B20" s="214">
        <f xml:space="preserve">
IF($A$4&lt;=12,SUMIFS('ON Data'!F:F,'ON Data'!$D:$D,$A$4,'ON Data'!$E:$E,6),SUMIFS('ON Data'!F:F,'ON Data'!$E:$E,6))</f>
        <v>371645</v>
      </c>
      <c r="C20" s="215">
        <f xml:space="preserve">
IF($A$4&lt;=12,SUMIFS('ON Data'!G:G,'ON Data'!$D:$D,$A$4,'ON Data'!$E:$E,6),SUMIFS('ON Data'!G:G,'ON Data'!$E:$E,6))</f>
        <v>0</v>
      </c>
      <c r="D20" s="216">
        <f xml:space="preserve">
IF($A$4&lt;=12,SUMIFS('ON Data'!H:H,'ON Data'!$D:$D,$A$4,'ON Data'!$E:$E,6),SUMIFS('ON Data'!H:H,'ON Data'!$E:$E,6))</f>
        <v>0</v>
      </c>
      <c r="E20" s="216"/>
      <c r="F20" s="216">
        <f xml:space="preserve">
IF($A$4&lt;=12,SUMIFS('ON Data'!J:J,'ON Data'!$D:$D,$A$4,'ON Data'!$E:$E,6),SUMIFS('ON Data'!J:J,'ON Data'!$E:$E,6))</f>
        <v>0</v>
      </c>
      <c r="G20" s="216">
        <f xml:space="preserve">
IF($A$4&lt;=12,SUMIFS('ON Data'!K:K,'ON Data'!$D:$D,$A$4,'ON Data'!$E:$E,6),SUMIFS('ON Data'!K:K,'ON Data'!$E:$E,6))</f>
        <v>0</v>
      </c>
      <c r="H20" s="216">
        <f xml:space="preserve">
IF($A$4&lt;=12,SUMIFS('ON Data'!L:L,'ON Data'!$D:$D,$A$4,'ON Data'!$E:$E,6),SUMIFS('ON Data'!L:L,'ON Data'!$E:$E,6))</f>
        <v>253035</v>
      </c>
      <c r="I20" s="216">
        <f xml:space="preserve">
IF($A$4&lt;=12,SUMIFS('ON Data'!M:M,'ON Data'!$D:$D,$A$4,'ON Data'!$E:$E,6),SUMIFS('ON Data'!M:M,'ON Data'!$E:$E,6))</f>
        <v>0</v>
      </c>
      <c r="J20" s="216">
        <f xml:space="preserve">
IF($A$4&lt;=12,SUMIFS('ON Data'!N:N,'ON Data'!$D:$D,$A$4,'ON Data'!$E:$E,6),SUMIFS('ON Data'!N:N,'ON Data'!$E:$E,6))</f>
        <v>0</v>
      </c>
      <c r="K20" s="216">
        <f xml:space="preserve">
IF($A$4&lt;=12,SUMIFS('ON Data'!O:O,'ON Data'!$D:$D,$A$4,'ON Data'!$E:$E,6),SUMIFS('ON Data'!O:O,'ON Data'!$E:$E,6))</f>
        <v>0</v>
      </c>
      <c r="L20" s="216">
        <f xml:space="preserve">
IF($A$4&lt;=12,SUMIFS('ON Data'!P:P,'ON Data'!$D:$D,$A$4,'ON Data'!$E:$E,6),SUMIFS('ON Data'!P:P,'ON Data'!$E:$E,6))</f>
        <v>0</v>
      </c>
      <c r="M20" s="216">
        <f xml:space="preserve">
IF($A$4&lt;=12,SUMIFS('ON Data'!Q:Q,'ON Data'!$D:$D,$A$4,'ON Data'!$E:$E,6),SUMIFS('ON Data'!Q:Q,'ON Data'!$E:$E,6))</f>
        <v>0</v>
      </c>
      <c r="N20" s="216">
        <f xml:space="preserve">
IF($A$4&lt;=12,SUMIFS('ON Data'!R:R,'ON Data'!$D:$D,$A$4,'ON Data'!$E:$E,6),SUMIFS('ON Data'!R:R,'ON Data'!$E:$E,6))</f>
        <v>0</v>
      </c>
      <c r="O20" s="216">
        <f xml:space="preserve">
IF($A$4&lt;=12,SUMIFS('ON Data'!S:S,'ON Data'!$D:$D,$A$4,'ON Data'!$E:$E,6),SUMIFS('ON Data'!S:S,'ON Data'!$E:$E,6))</f>
        <v>0</v>
      </c>
      <c r="P20" s="216">
        <f xml:space="preserve">
IF($A$4&lt;=12,SUMIFS('ON Data'!T:T,'ON Data'!$D:$D,$A$4,'ON Data'!$E:$E,6),SUMIFS('ON Data'!T:T,'ON Data'!$E:$E,6))</f>
        <v>0</v>
      </c>
      <c r="Q20" s="216">
        <f xml:space="preserve">
IF($A$4&lt;=12,SUMIFS('ON Data'!U:U,'ON Data'!$D:$D,$A$4,'ON Data'!$E:$E,6),SUMIFS('ON Data'!U:U,'ON Data'!$E:$E,6))</f>
        <v>0</v>
      </c>
      <c r="R20" s="216">
        <f xml:space="preserve">
IF($A$4&lt;=12,SUMIFS('ON Data'!V:V,'ON Data'!$D:$D,$A$4,'ON Data'!$E:$E,6),SUMIFS('ON Data'!V:V,'ON Data'!$E:$E,6))</f>
        <v>0</v>
      </c>
      <c r="S20" s="216">
        <f xml:space="preserve">
IF($A$4&lt;=12,SUMIFS('ON Data'!W:W,'ON Data'!$D:$D,$A$4,'ON Data'!$E:$E,6),SUMIFS('ON Data'!W:W,'ON Data'!$E:$E,6))</f>
        <v>58149</v>
      </c>
      <c r="T20" s="216">
        <f xml:space="preserve">
IF($A$4&lt;=12,SUMIFS('ON Data'!X:X,'ON Data'!$D:$D,$A$4,'ON Data'!$E:$E,6),SUMIFS('ON Data'!X:X,'ON Data'!$E:$E,6))</f>
        <v>0</v>
      </c>
      <c r="U20" s="216">
        <f xml:space="preserve">
IF($A$4&lt;=12,SUMIFS('ON Data'!Y:Y,'ON Data'!$D:$D,$A$4,'ON Data'!$E:$E,6),SUMIFS('ON Data'!Y:Y,'ON Data'!$E:$E,6))</f>
        <v>0</v>
      </c>
      <c r="V20" s="216">
        <f xml:space="preserve">
IF($A$4&lt;=12,SUMIFS('ON Data'!Z:Z,'ON Data'!$D:$D,$A$4,'ON Data'!$E:$E,6),SUMIFS('ON Data'!Z:Z,'ON Data'!$E:$E,6))</f>
        <v>0</v>
      </c>
      <c r="W20" s="216">
        <f xml:space="preserve">
IF($A$4&lt;=12,SUMIFS('ON Data'!AA:AA,'ON Data'!$D:$D,$A$4,'ON Data'!$E:$E,6),SUMIFS('ON Data'!AA:AA,'ON Data'!$E:$E,6))</f>
        <v>0</v>
      </c>
      <c r="X20" s="216">
        <f xml:space="preserve">
IF($A$4&lt;=12,SUMIFS('ON Data'!AB:AB,'ON Data'!$D:$D,$A$4,'ON Data'!$E:$E,6),SUMIFS('ON Data'!AB:AB,'ON Data'!$E:$E,6))</f>
        <v>0</v>
      </c>
      <c r="Y20" s="216">
        <f xml:space="preserve">
IF($A$4&lt;=12,SUMIFS('ON Data'!AC:AC,'ON Data'!$D:$D,$A$4,'ON Data'!$E:$E,6),SUMIFS('ON Data'!AC:AC,'ON Data'!$E:$E,6))</f>
        <v>0</v>
      </c>
      <c r="Z20" s="216">
        <f xml:space="preserve">
IF($A$4&lt;=12,SUMIFS('ON Data'!AD:AD,'ON Data'!$D:$D,$A$4,'ON Data'!$E:$E,6),SUMIFS('ON Data'!AD:AD,'ON Data'!$E:$E,6))</f>
        <v>0</v>
      </c>
      <c r="AA20" s="216"/>
      <c r="AB20" s="216">
        <f xml:space="preserve">
IF($A$4&lt;=12,SUMIFS('ON Data'!AF:AF,'ON Data'!$D:$D,$A$4,'ON Data'!$E:$E,6),SUMIFS('ON Data'!AF:AF,'ON Data'!$E:$E,6))</f>
        <v>0</v>
      </c>
      <c r="AC20" s="216">
        <f xml:space="preserve">
IF($A$4&lt;=12,SUMIFS('ON Data'!AG:AG,'ON Data'!$D:$D,$A$4,'ON Data'!$E:$E,6),SUMIFS('ON Data'!AG:AG,'ON Data'!$E:$E,6))</f>
        <v>0</v>
      </c>
      <c r="AD20" s="216">
        <f xml:space="preserve">
IF($A$4&lt;=12,SUMIFS('ON Data'!AH:AH,'ON Data'!$D:$D,$A$4,'ON Data'!$E:$E,6),SUMIFS('ON Data'!AH:AH,'ON Data'!$E:$E,6))</f>
        <v>0</v>
      </c>
      <c r="AE20" s="216">
        <f xml:space="preserve">
IF($A$4&lt;=12,SUMIFS('ON Data'!AI:AI,'ON Data'!$D:$D,$A$4,'ON Data'!$E:$E,6),SUMIFS('ON Data'!AI:AI,'ON Data'!$E:$E,6))</f>
        <v>0</v>
      </c>
      <c r="AF20" s="216">
        <f xml:space="preserve">
IF($A$4&lt;=12,SUMIFS('ON Data'!AJ:AJ,'ON Data'!$D:$D,$A$4,'ON Data'!$E:$E,6),SUMIFS('ON Data'!AJ:AJ,'ON Data'!$E:$E,6))</f>
        <v>0</v>
      </c>
      <c r="AG20" s="216">
        <f xml:space="preserve">
IF($A$4&lt;=12,SUMIFS('ON Data'!AK:AK,'ON Data'!$D:$D,$A$4,'ON Data'!$E:$E,6),SUMIFS('ON Data'!AK:AK,'ON Data'!$E:$E,6))</f>
        <v>0</v>
      </c>
      <c r="AH20" s="216">
        <f xml:space="preserve">
IF($A$4&lt;=12,SUMIFS('ON Data'!AL:AL,'ON Data'!$D:$D,$A$4,'ON Data'!$E:$E,6),SUMIFS('ON Data'!AL:AL,'ON Data'!$E:$E,6))</f>
        <v>0</v>
      </c>
      <c r="AI20" s="216">
        <f xml:space="preserve">
IF($A$4&lt;=12,SUMIFS('ON Data'!AM:AM,'ON Data'!$D:$D,$A$4,'ON Data'!$E:$E,6),SUMIFS('ON Data'!AM:AM,'ON Data'!$E:$E,6))</f>
        <v>0</v>
      </c>
      <c r="AJ20" s="216">
        <f xml:space="preserve">
IF($A$4&lt;=12,SUMIFS('ON Data'!AN:AN,'ON Data'!$D:$D,$A$4,'ON Data'!$E:$E,6),SUMIFS('ON Data'!AN:AN,'ON Data'!$E:$E,6))</f>
        <v>59261</v>
      </c>
      <c r="AK20" s="216">
        <f xml:space="preserve">
IF($A$4&lt;=12,SUMIFS('ON Data'!AO:AO,'ON Data'!$D:$D,$A$4,'ON Data'!$E:$E,6),SUMIFS('ON Data'!AO:AO,'ON Data'!$E:$E,6))</f>
        <v>0</v>
      </c>
      <c r="AL20" s="216">
        <f xml:space="preserve">
IF($A$4&lt;=12,SUMIFS('ON Data'!AP:AP,'ON Data'!$D:$D,$A$4,'ON Data'!$E:$E,6),SUMIFS('ON Data'!AP:AP,'ON Data'!$E:$E,6))</f>
        <v>0</v>
      </c>
      <c r="AM20" s="216">
        <f xml:space="preserve">
IF($A$4&lt;=12,SUMIFS('ON Data'!AQ:AQ,'ON Data'!$D:$D,$A$4,'ON Data'!$E:$E,6),SUMIFS('ON Data'!AQ:AQ,'ON Data'!$E:$E,6))</f>
        <v>0</v>
      </c>
      <c r="AN20" s="215">
        <f xml:space="preserve">
IF($A$4&lt;=12,SUMIFS('ON Data'!AR:AR,'ON Data'!$D:$D,$A$4,'ON Data'!$E:$E,6),SUMIFS('ON Data'!AR:AR,'ON Data'!$E:$E,6))</f>
        <v>0</v>
      </c>
      <c r="AO20" s="216">
        <f xml:space="preserve">
IF($A$4&lt;=12,SUMIFS('ON Data'!AS:AS,'ON Data'!$D:$D,$A$4,'ON Data'!$E:$E,6),SUMIFS('ON Data'!AS:AS,'ON Data'!$E:$E,6))</f>
        <v>0</v>
      </c>
      <c r="AP20" s="216">
        <f xml:space="preserve">
IF($A$4&lt;=12,SUMIFS('ON Data'!AT:AT,'ON Data'!$D:$D,$A$4,'ON Data'!$E:$E,6),SUMIFS('ON Data'!AT:AT,'ON Data'!$E:$E,6))</f>
        <v>0</v>
      </c>
      <c r="AQ20" s="216">
        <f xml:space="preserve">
IF($A$4&lt;=12,SUMIFS('ON Data'!AU:AU,'ON Data'!$D:$D,$A$4,'ON Data'!$E:$E,6),SUMIFS('ON Data'!AU:AU,'ON Data'!$E:$E,6))</f>
        <v>0</v>
      </c>
      <c r="AR20" s="216">
        <f xml:space="preserve">
IF($A$4&lt;=12,SUMIFS('ON Data'!AV:AV,'ON Data'!$D:$D,$A$4,'ON Data'!$E:$E,6),SUMIFS('ON Data'!AV:AV,'ON Data'!$E:$E,6))</f>
        <v>0</v>
      </c>
      <c r="AS20" s="419">
        <f xml:space="preserve">
IF($A$4&lt;=12,SUMIFS('ON Data'!AW:AW,'ON Data'!$D:$D,$A$4,'ON Data'!$E:$E,6),SUMIFS('ON Data'!AW:AW,'ON Data'!$E:$E,6))</f>
        <v>1200</v>
      </c>
      <c r="AT20" s="424"/>
    </row>
    <row r="21" spans="1:46" ht="15" hidden="1" outlineLevel="1" thickBot="1" x14ac:dyDescent="0.35">
      <c r="A21" s="180" t="s">
        <v>62</v>
      </c>
      <c r="B21" s="200">
        <f xml:space="preserve">
IF($A$4&lt;=12,SUMIFS('ON Data'!F:F,'ON Data'!$D:$D,$A$4,'ON Data'!$E:$E,12),SUMIFS('ON Data'!F:F,'ON Data'!$E:$E,12))</f>
        <v>0</v>
      </c>
      <c r="C21" s="201">
        <f xml:space="preserve">
IF($A$4&lt;=12,SUMIFS('ON Data'!G:G,'ON Data'!$D:$D,$A$4,'ON Data'!$E:$E,12),SUMIFS('ON Data'!G:G,'ON Data'!$E:$E,12))</f>
        <v>0</v>
      </c>
      <c r="D21" s="202">
        <f xml:space="preserve">
IF($A$4&lt;=12,SUMIFS('ON Data'!H:H,'ON Data'!$D:$D,$A$4,'ON Data'!$E:$E,12),SUMIFS('ON Data'!H:H,'ON Data'!$E:$E,12))</f>
        <v>0</v>
      </c>
      <c r="E21" s="202"/>
      <c r="F21" s="202">
        <f xml:space="preserve">
IF($A$4&lt;=12,SUMIFS('ON Data'!J:J,'ON Data'!$D:$D,$A$4,'ON Data'!$E:$E,12),SUMIFS('ON Data'!J:J,'ON Data'!$E:$E,12))</f>
        <v>0</v>
      </c>
      <c r="G21" s="202">
        <f xml:space="preserve">
IF($A$4&lt;=12,SUMIFS('ON Data'!K:K,'ON Data'!$D:$D,$A$4,'ON Data'!$E:$E,12),SUMIFS('ON Data'!K:K,'ON Data'!$E:$E,12))</f>
        <v>0</v>
      </c>
      <c r="H21" s="202">
        <f xml:space="preserve">
IF($A$4&lt;=12,SUMIFS('ON Data'!L:L,'ON Data'!$D:$D,$A$4,'ON Data'!$E:$E,12),SUMIFS('ON Data'!L:L,'ON Data'!$E:$E,12))</f>
        <v>0</v>
      </c>
      <c r="I21" s="202">
        <f xml:space="preserve">
IF($A$4&lt;=12,SUMIFS('ON Data'!M:M,'ON Data'!$D:$D,$A$4,'ON Data'!$E:$E,12),SUMIFS('ON Data'!M:M,'ON Data'!$E:$E,12))</f>
        <v>0</v>
      </c>
      <c r="J21" s="202">
        <f xml:space="preserve">
IF($A$4&lt;=12,SUMIFS('ON Data'!N:N,'ON Data'!$D:$D,$A$4,'ON Data'!$E:$E,12),SUMIFS('ON Data'!N:N,'ON Data'!$E:$E,12))</f>
        <v>0</v>
      </c>
      <c r="K21" s="202">
        <f xml:space="preserve">
IF($A$4&lt;=12,SUMIFS('ON Data'!O:O,'ON Data'!$D:$D,$A$4,'ON Data'!$E:$E,12),SUMIFS('ON Data'!O:O,'ON Data'!$E:$E,12))</f>
        <v>0</v>
      </c>
      <c r="L21" s="202">
        <f xml:space="preserve">
IF($A$4&lt;=12,SUMIFS('ON Data'!P:P,'ON Data'!$D:$D,$A$4,'ON Data'!$E:$E,12),SUMIFS('ON Data'!P:P,'ON Data'!$E:$E,12))</f>
        <v>0</v>
      </c>
      <c r="M21" s="202">
        <f xml:space="preserve">
IF($A$4&lt;=12,SUMIFS('ON Data'!Q:Q,'ON Data'!$D:$D,$A$4,'ON Data'!$E:$E,12),SUMIFS('ON Data'!Q:Q,'ON Data'!$E:$E,12))</f>
        <v>0</v>
      </c>
      <c r="N21" s="202">
        <f xml:space="preserve">
IF($A$4&lt;=12,SUMIFS('ON Data'!R:R,'ON Data'!$D:$D,$A$4,'ON Data'!$E:$E,12),SUMIFS('ON Data'!R:R,'ON Data'!$E:$E,12))</f>
        <v>0</v>
      </c>
      <c r="O21" s="202">
        <f xml:space="preserve">
IF($A$4&lt;=12,SUMIFS('ON Data'!S:S,'ON Data'!$D:$D,$A$4,'ON Data'!$E:$E,12),SUMIFS('ON Data'!S:S,'ON Data'!$E:$E,12))</f>
        <v>0</v>
      </c>
      <c r="P21" s="202">
        <f xml:space="preserve">
IF($A$4&lt;=12,SUMIFS('ON Data'!T:T,'ON Data'!$D:$D,$A$4,'ON Data'!$E:$E,12),SUMIFS('ON Data'!T:T,'ON Data'!$E:$E,12))</f>
        <v>0</v>
      </c>
      <c r="Q21" s="202">
        <f xml:space="preserve">
IF($A$4&lt;=12,SUMIFS('ON Data'!U:U,'ON Data'!$D:$D,$A$4,'ON Data'!$E:$E,12),SUMIFS('ON Data'!U:U,'ON Data'!$E:$E,12))</f>
        <v>0</v>
      </c>
      <c r="R21" s="202">
        <f xml:space="preserve">
IF($A$4&lt;=12,SUMIFS('ON Data'!V:V,'ON Data'!$D:$D,$A$4,'ON Data'!$E:$E,12),SUMIFS('ON Data'!V:V,'ON Data'!$E:$E,12))</f>
        <v>0</v>
      </c>
      <c r="S21" s="202">
        <f xml:space="preserve">
IF($A$4&lt;=12,SUMIFS('ON Data'!W:W,'ON Data'!$D:$D,$A$4,'ON Data'!$E:$E,12),SUMIFS('ON Data'!W:W,'ON Data'!$E:$E,12))</f>
        <v>0</v>
      </c>
      <c r="T21" s="202">
        <f xml:space="preserve">
IF($A$4&lt;=12,SUMIFS('ON Data'!X:X,'ON Data'!$D:$D,$A$4,'ON Data'!$E:$E,12),SUMIFS('ON Data'!X:X,'ON Data'!$E:$E,12))</f>
        <v>0</v>
      </c>
      <c r="U21" s="202">
        <f xml:space="preserve">
IF($A$4&lt;=12,SUMIFS('ON Data'!Y:Y,'ON Data'!$D:$D,$A$4,'ON Data'!$E:$E,12),SUMIFS('ON Data'!Y:Y,'ON Data'!$E:$E,12))</f>
        <v>0</v>
      </c>
      <c r="V21" s="202">
        <f xml:space="preserve">
IF($A$4&lt;=12,SUMIFS('ON Data'!Z:Z,'ON Data'!$D:$D,$A$4,'ON Data'!$E:$E,12),SUMIFS('ON Data'!Z:Z,'ON Data'!$E:$E,12))</f>
        <v>0</v>
      </c>
      <c r="W21" s="202">
        <f xml:space="preserve">
IF($A$4&lt;=12,SUMIFS('ON Data'!AA:AA,'ON Data'!$D:$D,$A$4,'ON Data'!$E:$E,12),SUMIFS('ON Data'!AA:AA,'ON Data'!$E:$E,12))</f>
        <v>0</v>
      </c>
      <c r="X21" s="202">
        <f xml:space="preserve">
IF($A$4&lt;=12,SUMIFS('ON Data'!AB:AB,'ON Data'!$D:$D,$A$4,'ON Data'!$E:$E,12),SUMIFS('ON Data'!AB:AB,'ON Data'!$E:$E,12))</f>
        <v>0</v>
      </c>
      <c r="Y21" s="202">
        <f xml:space="preserve">
IF($A$4&lt;=12,SUMIFS('ON Data'!AC:AC,'ON Data'!$D:$D,$A$4,'ON Data'!$E:$E,12),SUMIFS('ON Data'!AC:AC,'ON Data'!$E:$E,12))</f>
        <v>0</v>
      </c>
      <c r="Z21" s="202">
        <f xml:space="preserve">
IF($A$4&lt;=12,SUMIFS('ON Data'!AD:AD,'ON Data'!$D:$D,$A$4,'ON Data'!$E:$E,12),SUMIFS('ON Data'!AD:AD,'ON Data'!$E:$E,12))</f>
        <v>0</v>
      </c>
      <c r="AA21" s="202"/>
      <c r="AB21" s="202">
        <f xml:space="preserve">
IF($A$4&lt;=12,SUMIFS('ON Data'!AF:AF,'ON Data'!$D:$D,$A$4,'ON Data'!$E:$E,12),SUMIFS('ON Data'!AF:AF,'ON Data'!$E:$E,12))</f>
        <v>0</v>
      </c>
      <c r="AC21" s="202">
        <f xml:space="preserve">
IF($A$4&lt;=12,SUMIFS('ON Data'!AG:AG,'ON Data'!$D:$D,$A$4,'ON Data'!$E:$E,12),SUMIFS('ON Data'!AG:AG,'ON Data'!$E:$E,12))</f>
        <v>0</v>
      </c>
      <c r="AD21" s="202">
        <f xml:space="preserve">
IF($A$4&lt;=12,SUMIFS('ON Data'!AH:AH,'ON Data'!$D:$D,$A$4,'ON Data'!$E:$E,12),SUMIFS('ON Data'!AH:AH,'ON Data'!$E:$E,12))</f>
        <v>0</v>
      </c>
      <c r="AE21" s="202">
        <f xml:space="preserve">
IF($A$4&lt;=12,SUMIFS('ON Data'!AI:AI,'ON Data'!$D:$D,$A$4,'ON Data'!$E:$E,12),SUMIFS('ON Data'!AI:AI,'ON Data'!$E:$E,12))</f>
        <v>0</v>
      </c>
      <c r="AF21" s="202">
        <f xml:space="preserve">
IF($A$4&lt;=12,SUMIFS('ON Data'!AJ:AJ,'ON Data'!$D:$D,$A$4,'ON Data'!$E:$E,12),SUMIFS('ON Data'!AJ:AJ,'ON Data'!$E:$E,12))</f>
        <v>0</v>
      </c>
      <c r="AG21" s="202">
        <f xml:space="preserve">
IF($A$4&lt;=12,SUMIFS('ON Data'!AK:AK,'ON Data'!$D:$D,$A$4,'ON Data'!$E:$E,12),SUMIFS('ON Data'!AK:AK,'ON Data'!$E:$E,12))</f>
        <v>0</v>
      </c>
      <c r="AH21" s="202">
        <f xml:space="preserve">
IF($A$4&lt;=12,SUMIFS('ON Data'!AL:AL,'ON Data'!$D:$D,$A$4,'ON Data'!$E:$E,12),SUMIFS('ON Data'!AL:AL,'ON Data'!$E:$E,12))</f>
        <v>0</v>
      </c>
      <c r="AI21" s="202">
        <f xml:space="preserve">
IF($A$4&lt;=12,SUMIFS('ON Data'!AM:AM,'ON Data'!$D:$D,$A$4,'ON Data'!$E:$E,12),SUMIFS('ON Data'!AM:AM,'ON Data'!$E:$E,12))</f>
        <v>0</v>
      </c>
      <c r="AJ21" s="202">
        <f xml:space="preserve">
IF($A$4&lt;=12,SUMIFS('ON Data'!AN:AN,'ON Data'!$D:$D,$A$4,'ON Data'!$E:$E,12),SUMIFS('ON Data'!AN:AN,'ON Data'!$E:$E,12))</f>
        <v>0</v>
      </c>
      <c r="AK21" s="202">
        <f xml:space="preserve">
IF($A$4&lt;=12,SUMIFS('ON Data'!AO:AO,'ON Data'!$D:$D,$A$4,'ON Data'!$E:$E,12),SUMIFS('ON Data'!AO:AO,'ON Data'!$E:$E,12))</f>
        <v>0</v>
      </c>
      <c r="AL21" s="202">
        <f xml:space="preserve">
IF($A$4&lt;=12,SUMIFS('ON Data'!AP:AP,'ON Data'!$D:$D,$A$4,'ON Data'!$E:$E,12),SUMIFS('ON Data'!AP:AP,'ON Data'!$E:$E,12))</f>
        <v>0</v>
      </c>
      <c r="AM21" s="203">
        <f xml:space="preserve">
IF($A$4&lt;=12,SUMIFS('ON Data'!AQ:AQ,'ON Data'!$D:$D,$A$4,'ON Data'!$E:$E,12),SUMIFS('ON Data'!AQ:AQ,'ON Data'!$E:$E,12))</f>
        <v>0</v>
      </c>
      <c r="AN21" s="267"/>
      <c r="AO21" s="267"/>
      <c r="AP21" s="267"/>
      <c r="AQ21" s="267"/>
      <c r="AR21" s="267"/>
      <c r="AS21" s="267"/>
      <c r="AT21" s="424"/>
    </row>
    <row r="22" spans="1:46" ht="15" hidden="1" outlineLevel="1" thickBot="1" x14ac:dyDescent="0.35">
      <c r="A22" s="180" t="s">
        <v>57</v>
      </c>
      <c r="B22" s="254" t="str">
        <f xml:space="preserve">
IF(OR(B21="",B21=0),"",B20/B21)</f>
        <v/>
      </c>
      <c r="C22" s="255" t="str">
        <f t="shared" ref="C22:I22" si="3" xml:space="preserve">
IF(OR(C21="",C21=0),"",C20/C21)</f>
        <v/>
      </c>
      <c r="D22" s="256" t="str">
        <f t="shared" si="3"/>
        <v/>
      </c>
      <c r="E22" s="256"/>
      <c r="F22" s="256" t="str">
        <f t="shared" si="3"/>
        <v/>
      </c>
      <c r="G22" s="256" t="str">
        <f t="shared" si="3"/>
        <v/>
      </c>
      <c r="H22" s="256" t="str">
        <f t="shared" si="3"/>
        <v/>
      </c>
      <c r="I22" s="256" t="str">
        <f t="shared" si="3"/>
        <v/>
      </c>
      <c r="J22" s="256" t="str">
        <f t="shared" ref="J22:AM22" si="4" xml:space="preserve">
IF(OR(J21="",J21=0),"",J20/J21)</f>
        <v/>
      </c>
      <c r="K22" s="256" t="str">
        <f t="shared" si="4"/>
        <v/>
      </c>
      <c r="L22" s="256" t="str">
        <f t="shared" si="4"/>
        <v/>
      </c>
      <c r="M22" s="256" t="str">
        <f t="shared" si="4"/>
        <v/>
      </c>
      <c r="N22" s="256" t="str">
        <f t="shared" si="4"/>
        <v/>
      </c>
      <c r="O22" s="256" t="str">
        <f t="shared" si="4"/>
        <v/>
      </c>
      <c r="P22" s="256" t="str">
        <f t="shared" si="4"/>
        <v/>
      </c>
      <c r="Q22" s="256" t="str">
        <f t="shared" si="4"/>
        <v/>
      </c>
      <c r="R22" s="256" t="str">
        <f t="shared" si="4"/>
        <v/>
      </c>
      <c r="S22" s="256" t="str">
        <f t="shared" si="4"/>
        <v/>
      </c>
      <c r="T22" s="256" t="str">
        <f t="shared" si="4"/>
        <v/>
      </c>
      <c r="U22" s="256" t="str">
        <f t="shared" si="4"/>
        <v/>
      </c>
      <c r="V22" s="256" t="str">
        <f t="shared" si="4"/>
        <v/>
      </c>
      <c r="W22" s="256" t="str">
        <f t="shared" si="4"/>
        <v/>
      </c>
      <c r="X22" s="256" t="str">
        <f t="shared" si="4"/>
        <v/>
      </c>
      <c r="Y22" s="256" t="str">
        <f t="shared" si="4"/>
        <v/>
      </c>
      <c r="Z22" s="256" t="str">
        <f t="shared" si="4"/>
        <v/>
      </c>
      <c r="AA22" s="256"/>
      <c r="AB22" s="256" t="str">
        <f t="shared" si="4"/>
        <v/>
      </c>
      <c r="AC22" s="256" t="str">
        <f t="shared" si="4"/>
        <v/>
      </c>
      <c r="AD22" s="256" t="str">
        <f t="shared" si="4"/>
        <v/>
      </c>
      <c r="AE22" s="256" t="str">
        <f t="shared" si="4"/>
        <v/>
      </c>
      <c r="AF22" s="256" t="str">
        <f t="shared" si="4"/>
        <v/>
      </c>
      <c r="AG22" s="256" t="str">
        <f t="shared" si="4"/>
        <v/>
      </c>
      <c r="AH22" s="256" t="str">
        <f t="shared" si="4"/>
        <v/>
      </c>
      <c r="AI22" s="256" t="str">
        <f t="shared" si="4"/>
        <v/>
      </c>
      <c r="AJ22" s="256" t="str">
        <f t="shared" si="4"/>
        <v/>
      </c>
      <c r="AK22" s="256" t="str">
        <f t="shared" si="4"/>
        <v/>
      </c>
      <c r="AL22" s="256" t="str">
        <f t="shared" si="4"/>
        <v/>
      </c>
      <c r="AM22" s="257" t="str">
        <f t="shared" si="4"/>
        <v/>
      </c>
      <c r="AN22" s="267"/>
      <c r="AO22" s="267"/>
      <c r="AP22" s="267"/>
      <c r="AQ22" s="267"/>
      <c r="AR22" s="267"/>
      <c r="AS22" s="267"/>
      <c r="AT22" s="424"/>
    </row>
    <row r="23" spans="1:46" ht="15" hidden="1" outlineLevel="1" thickBot="1" x14ac:dyDescent="0.35">
      <c r="A23" s="188" t="s">
        <v>52</v>
      </c>
      <c r="B23" s="204">
        <f xml:space="preserve">
IF(B21="","",B20-B21)</f>
        <v>371645</v>
      </c>
      <c r="C23" s="205">
        <f t="shared" ref="C23:I23" si="5" xml:space="preserve">
IF(C21="","",C20-C21)</f>
        <v>0</v>
      </c>
      <c r="D23" s="206">
        <f t="shared" si="5"/>
        <v>0</v>
      </c>
      <c r="E23" s="206"/>
      <c r="F23" s="206">
        <f t="shared" si="5"/>
        <v>0</v>
      </c>
      <c r="G23" s="206">
        <f t="shared" si="5"/>
        <v>0</v>
      </c>
      <c r="H23" s="206">
        <f t="shared" si="5"/>
        <v>253035</v>
      </c>
      <c r="I23" s="206">
        <f t="shared" si="5"/>
        <v>0</v>
      </c>
      <c r="J23" s="206">
        <f t="shared" ref="J23:AM23" si="6" xml:space="preserve">
IF(J21="","",J20-J21)</f>
        <v>0</v>
      </c>
      <c r="K23" s="206">
        <f t="shared" si="6"/>
        <v>0</v>
      </c>
      <c r="L23" s="206">
        <f t="shared" si="6"/>
        <v>0</v>
      </c>
      <c r="M23" s="206">
        <f t="shared" si="6"/>
        <v>0</v>
      </c>
      <c r="N23" s="206">
        <f t="shared" si="6"/>
        <v>0</v>
      </c>
      <c r="O23" s="206">
        <f t="shared" si="6"/>
        <v>0</v>
      </c>
      <c r="P23" s="206">
        <f t="shared" si="6"/>
        <v>0</v>
      </c>
      <c r="Q23" s="206">
        <f t="shared" si="6"/>
        <v>0</v>
      </c>
      <c r="R23" s="206">
        <f t="shared" si="6"/>
        <v>0</v>
      </c>
      <c r="S23" s="206">
        <f t="shared" si="6"/>
        <v>58149</v>
      </c>
      <c r="T23" s="206">
        <f t="shared" si="6"/>
        <v>0</v>
      </c>
      <c r="U23" s="206">
        <f t="shared" si="6"/>
        <v>0</v>
      </c>
      <c r="V23" s="206">
        <f t="shared" si="6"/>
        <v>0</v>
      </c>
      <c r="W23" s="206">
        <f t="shared" si="6"/>
        <v>0</v>
      </c>
      <c r="X23" s="206">
        <f t="shared" si="6"/>
        <v>0</v>
      </c>
      <c r="Y23" s="206">
        <f t="shared" si="6"/>
        <v>0</v>
      </c>
      <c r="Z23" s="206">
        <f t="shared" si="6"/>
        <v>0</v>
      </c>
      <c r="AA23" s="206"/>
      <c r="AB23" s="206">
        <f t="shared" si="6"/>
        <v>0</v>
      </c>
      <c r="AC23" s="206">
        <f t="shared" si="6"/>
        <v>0</v>
      </c>
      <c r="AD23" s="206">
        <f t="shared" si="6"/>
        <v>0</v>
      </c>
      <c r="AE23" s="206">
        <f t="shared" si="6"/>
        <v>0</v>
      </c>
      <c r="AF23" s="206">
        <f t="shared" si="6"/>
        <v>0</v>
      </c>
      <c r="AG23" s="206">
        <f t="shared" si="6"/>
        <v>0</v>
      </c>
      <c r="AH23" s="206">
        <f t="shared" si="6"/>
        <v>0</v>
      </c>
      <c r="AI23" s="206">
        <f t="shared" si="6"/>
        <v>0</v>
      </c>
      <c r="AJ23" s="206">
        <f t="shared" si="6"/>
        <v>59261</v>
      </c>
      <c r="AK23" s="206">
        <f t="shared" si="6"/>
        <v>0</v>
      </c>
      <c r="AL23" s="206">
        <f t="shared" si="6"/>
        <v>0</v>
      </c>
      <c r="AM23" s="207">
        <f t="shared" si="6"/>
        <v>0</v>
      </c>
      <c r="AN23" s="267"/>
      <c r="AO23" s="267"/>
      <c r="AP23" s="267"/>
      <c r="AQ23" s="267"/>
      <c r="AR23" s="267"/>
      <c r="AS23" s="267"/>
      <c r="AT23" s="424"/>
    </row>
    <row r="24" spans="1:46" x14ac:dyDescent="0.3">
      <c r="A24" s="182" t="s">
        <v>123</v>
      </c>
      <c r="B24" s="231" t="s">
        <v>2</v>
      </c>
      <c r="C24" s="425" t="s">
        <v>135</v>
      </c>
      <c r="D24" s="396"/>
      <c r="E24" s="397"/>
      <c r="F24" s="398" t="s">
        <v>215</v>
      </c>
      <c r="G24" s="399"/>
      <c r="H24" s="399"/>
      <c r="I24" s="399"/>
      <c r="J24" s="399"/>
      <c r="K24" s="399"/>
      <c r="L24" s="398" t="s">
        <v>134</v>
      </c>
      <c r="M24" s="397"/>
      <c r="N24" s="397"/>
      <c r="O24" s="397"/>
      <c r="P24" s="397"/>
      <c r="Q24" s="397"/>
      <c r="R24" s="397"/>
      <c r="S24" s="397"/>
      <c r="T24" s="397"/>
      <c r="U24" s="397"/>
      <c r="V24" s="397"/>
      <c r="W24" s="397"/>
      <c r="X24" s="397"/>
      <c r="Y24" s="397"/>
      <c r="Z24" s="397"/>
      <c r="AA24" s="397"/>
      <c r="AB24" s="397"/>
      <c r="AC24" s="397"/>
      <c r="AD24" s="397"/>
      <c r="AE24" s="397"/>
      <c r="AF24" s="397"/>
      <c r="AG24" s="397"/>
      <c r="AH24" s="397"/>
      <c r="AI24" s="397"/>
      <c r="AJ24" s="397"/>
      <c r="AK24" s="397"/>
      <c r="AL24" s="397"/>
      <c r="AM24" s="397"/>
      <c r="AN24" s="397"/>
      <c r="AO24" s="397"/>
      <c r="AP24" s="397"/>
      <c r="AQ24" s="398" t="s">
        <v>216</v>
      </c>
      <c r="AR24" s="397"/>
      <c r="AS24" s="420"/>
      <c r="AT24" s="424"/>
    </row>
    <row r="25" spans="1:46" x14ac:dyDescent="0.3">
      <c r="A25" s="183" t="s">
        <v>55</v>
      </c>
      <c r="B25" s="200">
        <f xml:space="preserve">
SUM(C25:AS25)</f>
        <v>7800</v>
      </c>
      <c r="C25" s="426">
        <f xml:space="preserve">
IF($A$4&lt;=12,SUMIFS('ON Data'!$I:$I,'ON Data'!$D:$D,$A$4,'ON Data'!$E:$E,10),SUMIFS('ON Data'!$I:$I,'ON Data'!$E:$E,10))</f>
        <v>0</v>
      </c>
      <c r="D25" s="400"/>
      <c r="E25" s="401"/>
      <c r="F25" s="402">
        <f xml:space="preserve">
IF($A$4&lt;=12,SUMIFS('ON Data'!K:K,'ON Data'!$D:$D,$A$4,'ON Data'!$E:$E,10),SUMIFS('ON Data'!K:K,'ON Data'!$E:$E,10))</f>
        <v>0</v>
      </c>
      <c r="G25" s="401"/>
      <c r="H25" s="401"/>
      <c r="I25" s="401"/>
      <c r="J25" s="401"/>
      <c r="K25" s="401"/>
      <c r="L25" s="402">
        <f xml:space="preserve">
IF($A$4&lt;=12,SUMIFS('ON Data'!P:P,'ON Data'!$D:$D,$A$4,'ON Data'!$E:$E,10),SUMIFS('ON Data'!P:P,'ON Data'!$E:$E,10))</f>
        <v>0</v>
      </c>
      <c r="M25" s="401"/>
      <c r="N25" s="401"/>
      <c r="O25" s="401"/>
      <c r="P25" s="401"/>
      <c r="Q25" s="401"/>
      <c r="R25" s="401"/>
      <c r="S25" s="401"/>
      <c r="T25" s="401"/>
      <c r="U25" s="401"/>
      <c r="V25" s="401"/>
      <c r="W25" s="401"/>
      <c r="X25" s="401"/>
      <c r="Y25" s="401"/>
      <c r="Z25" s="401"/>
      <c r="AA25" s="401"/>
      <c r="AB25" s="401"/>
      <c r="AC25" s="401"/>
      <c r="AD25" s="401"/>
      <c r="AE25" s="401"/>
      <c r="AF25" s="401"/>
      <c r="AG25" s="401"/>
      <c r="AH25" s="401"/>
      <c r="AI25" s="401"/>
      <c r="AJ25" s="401"/>
      <c r="AK25" s="401"/>
      <c r="AL25" s="401"/>
      <c r="AM25" s="401"/>
      <c r="AN25" s="401"/>
      <c r="AO25" s="401"/>
      <c r="AP25" s="401"/>
      <c r="AQ25" s="402">
        <f xml:space="preserve">
IF($A$4&lt;=12,SUMIFS('ON Data'!AW:AW,'ON Data'!$D:$D,$A$4,'ON Data'!$E:$E,10),SUMIFS('ON Data'!AW:AW,'ON Data'!$E:$E,10))</f>
        <v>7800</v>
      </c>
      <c r="AR25" s="401"/>
      <c r="AS25" s="421"/>
      <c r="AT25" s="424"/>
    </row>
    <row r="26" spans="1:46" x14ac:dyDescent="0.3">
      <c r="A26" s="189" t="s">
        <v>133</v>
      </c>
      <c r="B26" s="211">
        <f xml:space="preserve">
SUM(C26:AS26)</f>
        <v>1372.2926016540832</v>
      </c>
      <c r="C26" s="426">
        <f xml:space="preserve">
IF($A$4&lt;=12,SUMIFS('ON Data'!$I:$I,'ON Data'!$D:$D,$A$4,'ON Data'!$E:$E,11),SUMIFS('ON Data'!$I:$I,'ON Data'!$E:$E,11))</f>
        <v>0</v>
      </c>
      <c r="D26" s="400"/>
      <c r="E26" s="401"/>
      <c r="F26" s="402">
        <f xml:space="preserve">
IF($A$4&lt;=12,SUMIFS('ON Data'!K:K,'ON Data'!$D:$D,$A$4,'ON Data'!$E:$E,11),SUMIFS('ON Data'!K:K,'ON Data'!$E:$E,11))</f>
        <v>955.6259349874166</v>
      </c>
      <c r="G26" s="401"/>
      <c r="H26" s="401"/>
      <c r="I26" s="401"/>
      <c r="J26" s="401"/>
      <c r="K26" s="401"/>
      <c r="L26" s="403">
        <f xml:space="preserve">
IF($A$4&lt;=12,SUMIFS('ON Data'!P:P,'ON Data'!$D:$D,$A$4,'ON Data'!$E:$E,11),SUMIFS('ON Data'!P:P,'ON Data'!$E:$E,11))</f>
        <v>0</v>
      </c>
      <c r="M26" s="404"/>
      <c r="N26" s="404"/>
      <c r="O26" s="404"/>
      <c r="P26" s="404"/>
      <c r="Q26" s="404"/>
      <c r="R26" s="404"/>
      <c r="S26" s="404"/>
      <c r="T26" s="404"/>
      <c r="U26" s="404"/>
      <c r="V26" s="404"/>
      <c r="W26" s="404"/>
      <c r="X26" s="404"/>
      <c r="Y26" s="404"/>
      <c r="Z26" s="404"/>
      <c r="AA26" s="404"/>
      <c r="AB26" s="404"/>
      <c r="AC26" s="404"/>
      <c r="AD26" s="404"/>
      <c r="AE26" s="404"/>
      <c r="AF26" s="404"/>
      <c r="AG26" s="404"/>
      <c r="AH26" s="404"/>
      <c r="AI26" s="404"/>
      <c r="AJ26" s="404"/>
      <c r="AK26" s="404"/>
      <c r="AL26" s="404"/>
      <c r="AM26" s="404"/>
      <c r="AN26" s="404"/>
      <c r="AO26" s="404"/>
      <c r="AP26" s="404"/>
      <c r="AQ26" s="403">
        <f xml:space="preserve">
IF($A$4&lt;=12,SUMIFS('ON Data'!AW:AW,'ON Data'!$D:$D,$A$4,'ON Data'!$E:$E,11),SUMIFS('ON Data'!AW:AW,'ON Data'!$E:$E,11))</f>
        <v>416.66666666666669</v>
      </c>
      <c r="AR26" s="404"/>
      <c r="AS26" s="422"/>
      <c r="AT26" s="424"/>
    </row>
    <row r="27" spans="1:46" x14ac:dyDescent="0.3">
      <c r="A27" s="189" t="s">
        <v>57</v>
      </c>
      <c r="B27" s="232">
        <f xml:space="preserve">
IF(B26=0,0,B25/B26)</f>
        <v>5.6839190057560067</v>
      </c>
      <c r="C27" s="427">
        <f xml:space="preserve">
IF(C26=0,0,C25/C26)</f>
        <v>0</v>
      </c>
      <c r="D27" s="400"/>
      <c r="E27" s="401"/>
      <c r="F27" s="405">
        <f xml:space="preserve">
IF(F26=0,0,F25/F26)</f>
        <v>0</v>
      </c>
      <c r="G27" s="401"/>
      <c r="H27" s="401"/>
      <c r="I27" s="401"/>
      <c r="J27" s="401"/>
      <c r="K27" s="401"/>
      <c r="L27" s="405">
        <f xml:space="preserve">
IF(L26=0,0,L25/L26)</f>
        <v>0</v>
      </c>
      <c r="M27" s="401"/>
      <c r="N27" s="401"/>
      <c r="O27" s="401"/>
      <c r="P27" s="401"/>
      <c r="Q27" s="401"/>
      <c r="R27" s="401"/>
      <c r="S27" s="401"/>
      <c r="T27" s="401"/>
      <c r="U27" s="401"/>
      <c r="V27" s="401"/>
      <c r="W27" s="401"/>
      <c r="X27" s="401"/>
      <c r="Y27" s="401"/>
      <c r="Z27" s="401"/>
      <c r="AA27" s="401"/>
      <c r="AB27" s="401"/>
      <c r="AC27" s="401"/>
      <c r="AD27" s="401"/>
      <c r="AE27" s="401"/>
      <c r="AF27" s="401"/>
      <c r="AG27" s="401"/>
      <c r="AH27" s="401"/>
      <c r="AI27" s="401"/>
      <c r="AJ27" s="401"/>
      <c r="AK27" s="401"/>
      <c r="AL27" s="401"/>
      <c r="AM27" s="401"/>
      <c r="AN27" s="401"/>
      <c r="AO27" s="401"/>
      <c r="AP27" s="401"/>
      <c r="AQ27" s="405">
        <f xml:space="preserve">
IF(AQ26=0,0,AQ25/AQ26)</f>
        <v>18.72</v>
      </c>
      <c r="AR27" s="401"/>
      <c r="AS27" s="421"/>
      <c r="AT27" s="424"/>
    </row>
    <row r="28" spans="1:46" ht="15" thickBot="1" x14ac:dyDescent="0.35">
      <c r="A28" s="189" t="s">
        <v>132</v>
      </c>
      <c r="B28" s="211">
        <f xml:space="preserve">
SUM(C28:AS28)</f>
        <v>-6427.7073983459168</v>
      </c>
      <c r="C28" s="428">
        <f xml:space="preserve">
C26-C25</f>
        <v>0</v>
      </c>
      <c r="D28" s="406"/>
      <c r="E28" s="407"/>
      <c r="F28" s="408">
        <f xml:space="preserve">
F26-F25</f>
        <v>955.6259349874166</v>
      </c>
      <c r="G28" s="407"/>
      <c r="H28" s="407"/>
      <c r="I28" s="407"/>
      <c r="J28" s="407"/>
      <c r="K28" s="407"/>
      <c r="L28" s="408">
        <f xml:space="preserve">
L26-L25</f>
        <v>0</v>
      </c>
      <c r="M28" s="407"/>
      <c r="N28" s="407"/>
      <c r="O28" s="407"/>
      <c r="P28" s="407"/>
      <c r="Q28" s="407"/>
      <c r="R28" s="407"/>
      <c r="S28" s="407"/>
      <c r="T28" s="407"/>
      <c r="U28" s="407"/>
      <c r="V28" s="407"/>
      <c r="W28" s="407"/>
      <c r="X28" s="407"/>
      <c r="Y28" s="407"/>
      <c r="Z28" s="407"/>
      <c r="AA28" s="407"/>
      <c r="AB28" s="407"/>
      <c r="AC28" s="407"/>
      <c r="AD28" s="407"/>
      <c r="AE28" s="407"/>
      <c r="AF28" s="407"/>
      <c r="AG28" s="407"/>
      <c r="AH28" s="407"/>
      <c r="AI28" s="407"/>
      <c r="AJ28" s="407"/>
      <c r="AK28" s="407"/>
      <c r="AL28" s="407"/>
      <c r="AM28" s="407"/>
      <c r="AN28" s="407"/>
      <c r="AO28" s="407"/>
      <c r="AP28" s="407"/>
      <c r="AQ28" s="408">
        <f xml:space="preserve">
AQ26-AQ25</f>
        <v>-7383.333333333333</v>
      </c>
      <c r="AR28" s="407"/>
      <c r="AS28" s="423"/>
      <c r="AT28" s="424"/>
    </row>
    <row r="29" spans="1:46" x14ac:dyDescent="0.3">
      <c r="A29" s="190"/>
      <c r="B29" s="190"/>
      <c r="C29" s="191"/>
      <c r="D29" s="190"/>
      <c r="E29" s="190"/>
      <c r="F29" s="190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0"/>
      <c r="AJ29" s="190"/>
      <c r="AK29" s="190"/>
      <c r="AL29" s="190"/>
      <c r="AM29" s="190"/>
    </row>
    <row r="30" spans="1:46" x14ac:dyDescent="0.3">
      <c r="A30" s="79" t="s">
        <v>90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113"/>
      <c r="AL30" s="113"/>
      <c r="AM30" s="113"/>
    </row>
    <row r="31" spans="1:46" x14ac:dyDescent="0.3">
      <c r="A31" s="80" t="s">
        <v>130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113"/>
      <c r="AL31" s="113"/>
      <c r="AM31" s="113"/>
    </row>
    <row r="32" spans="1:46" ht="14.4" customHeight="1" x14ac:dyDescent="0.3">
      <c r="A32" s="228" t="s">
        <v>127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  <c r="AG32" s="229"/>
      <c r="AH32" s="229"/>
      <c r="AI32" s="229"/>
      <c r="AJ32" s="229"/>
    </row>
    <row r="33" spans="1:1" x14ac:dyDescent="0.3">
      <c r="A33" s="230" t="s">
        <v>211</v>
      </c>
    </row>
    <row r="34" spans="1:1" x14ac:dyDescent="0.3">
      <c r="A34" s="230" t="s">
        <v>212</v>
      </c>
    </row>
    <row r="35" spans="1:1" x14ac:dyDescent="0.3">
      <c r="A35" s="230" t="s">
        <v>213</v>
      </c>
    </row>
    <row r="36" spans="1:1" x14ac:dyDescent="0.3">
      <c r="A36" s="230" t="s">
        <v>214</v>
      </c>
    </row>
    <row r="37" spans="1:1" x14ac:dyDescent="0.3">
      <c r="A37" s="230" t="s">
        <v>136</v>
      </c>
    </row>
  </sheetData>
  <mergeCells count="22">
    <mergeCell ref="AQ28:AS28"/>
    <mergeCell ref="L24:AP24"/>
    <mergeCell ref="L25:AP25"/>
    <mergeCell ref="L26:AP26"/>
    <mergeCell ref="L27:AP27"/>
    <mergeCell ref="L28:AP28"/>
    <mergeCell ref="A1:AS1"/>
    <mergeCell ref="F24:K24"/>
    <mergeCell ref="F25:K25"/>
    <mergeCell ref="F26:K26"/>
    <mergeCell ref="F27:K27"/>
    <mergeCell ref="B3:B4"/>
    <mergeCell ref="AQ24:AS24"/>
    <mergeCell ref="AQ25:AS25"/>
    <mergeCell ref="AQ26:AS26"/>
    <mergeCell ref="AQ27:AS27"/>
    <mergeCell ref="F28:K28"/>
    <mergeCell ref="C24:E24"/>
    <mergeCell ref="C25:E25"/>
    <mergeCell ref="C26:E26"/>
    <mergeCell ref="C27:E27"/>
    <mergeCell ref="C28:E28"/>
  </mergeCells>
  <conditionalFormatting sqref="C27">
    <cfRule type="cellIs" dxfId="9" priority="12" operator="greaterThan">
      <formula>1</formula>
    </cfRule>
  </conditionalFormatting>
  <conditionalFormatting sqref="C28">
    <cfRule type="cellIs" dxfId="8" priority="11" operator="lessThan">
      <formula>0</formula>
    </cfRule>
  </conditionalFormatting>
  <conditionalFormatting sqref="B22:AM22">
    <cfRule type="cellIs" dxfId="7" priority="10" operator="greaterThan">
      <formula>1</formula>
    </cfRule>
  </conditionalFormatting>
  <conditionalFormatting sqref="B23:AM23">
    <cfRule type="cellIs" dxfId="6" priority="9" operator="greaterThan">
      <formula>0</formula>
    </cfRule>
  </conditionalFormatting>
  <conditionalFormatting sqref="L28">
    <cfRule type="cellIs" dxfId="5" priority="5" operator="lessThan">
      <formula>0</formula>
    </cfRule>
  </conditionalFormatting>
  <conditionalFormatting sqref="L27">
    <cfRule type="cellIs" dxfId="4" priority="6" operator="greaterThan">
      <formula>1</formula>
    </cfRule>
  </conditionalFormatting>
  <conditionalFormatting sqref="F27">
    <cfRule type="cellIs" dxfId="3" priority="4" operator="greaterThan">
      <formula>1</formula>
    </cfRule>
  </conditionalFormatting>
  <conditionalFormatting sqref="F28">
    <cfRule type="cellIs" dxfId="2" priority="3" operator="lessThan">
      <formula>0</formula>
    </cfRule>
  </conditionalFormatting>
  <conditionalFormatting sqref="AQ28">
    <cfRule type="cellIs" dxfId="1" priority="1" operator="lessThan">
      <formula>0</formula>
    </cfRule>
  </conditionalFormatting>
  <conditionalFormatting sqref="AQ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16"/>
  <sheetViews>
    <sheetView showGridLines="0" showRowColHeaders="0" workbookViewId="0"/>
  </sheetViews>
  <sheetFormatPr defaultRowHeight="14.4" x14ac:dyDescent="0.3"/>
  <cols>
    <col min="1" max="16384" width="8.88671875" style="169"/>
  </cols>
  <sheetData>
    <row r="1" spans="1:49" x14ac:dyDescent="0.3">
      <c r="A1" s="169" t="s">
        <v>368</v>
      </c>
    </row>
    <row r="2" spans="1:49" x14ac:dyDescent="0.3">
      <c r="A2" s="173" t="s">
        <v>217</v>
      </c>
    </row>
    <row r="3" spans="1:49" x14ac:dyDescent="0.3">
      <c r="A3" s="169" t="s">
        <v>95</v>
      </c>
      <c r="B3" s="194">
        <v>2017</v>
      </c>
      <c r="D3" s="170">
        <f>MAX(D5:D1048576)</f>
        <v>2</v>
      </c>
      <c r="F3" s="170">
        <f>SUMIF($E5:$E1048576,"&lt;10",F5:F1048576)</f>
        <v>373005</v>
      </c>
      <c r="G3" s="170">
        <f t="shared" ref="G3:AW3" si="0">SUMIF($E5:$E1048576,"&lt;10",G5:G1048576)</f>
        <v>0</v>
      </c>
      <c r="H3" s="170">
        <f t="shared" si="0"/>
        <v>0</v>
      </c>
      <c r="I3" s="170">
        <f t="shared" si="0"/>
        <v>0</v>
      </c>
      <c r="J3" s="170">
        <f t="shared" si="0"/>
        <v>0</v>
      </c>
      <c r="K3" s="170">
        <f t="shared" si="0"/>
        <v>0</v>
      </c>
      <c r="L3" s="170">
        <f t="shared" si="0"/>
        <v>253735</v>
      </c>
      <c r="M3" s="170">
        <f t="shared" si="0"/>
        <v>0</v>
      </c>
      <c r="N3" s="170">
        <f t="shared" si="0"/>
        <v>0</v>
      </c>
      <c r="O3" s="170">
        <f t="shared" si="0"/>
        <v>0</v>
      </c>
      <c r="P3" s="170">
        <f t="shared" si="0"/>
        <v>0</v>
      </c>
      <c r="Q3" s="170">
        <f t="shared" si="0"/>
        <v>0</v>
      </c>
      <c r="R3" s="170">
        <f t="shared" si="0"/>
        <v>0</v>
      </c>
      <c r="S3" s="170">
        <f t="shared" si="0"/>
        <v>0</v>
      </c>
      <c r="T3" s="170">
        <f t="shared" si="0"/>
        <v>0</v>
      </c>
      <c r="U3" s="170">
        <f t="shared" si="0"/>
        <v>0</v>
      </c>
      <c r="V3" s="170">
        <f t="shared" si="0"/>
        <v>0</v>
      </c>
      <c r="W3" s="170">
        <f t="shared" si="0"/>
        <v>58479</v>
      </c>
      <c r="X3" s="170">
        <f t="shared" si="0"/>
        <v>0</v>
      </c>
      <c r="Y3" s="170">
        <f t="shared" si="0"/>
        <v>0</v>
      </c>
      <c r="Z3" s="170">
        <f t="shared" si="0"/>
        <v>0</v>
      </c>
      <c r="AA3" s="170">
        <f t="shared" si="0"/>
        <v>0</v>
      </c>
      <c r="AB3" s="170">
        <f t="shared" si="0"/>
        <v>0</v>
      </c>
      <c r="AC3" s="170">
        <f t="shared" si="0"/>
        <v>0</v>
      </c>
      <c r="AD3" s="170">
        <f t="shared" si="0"/>
        <v>0</v>
      </c>
      <c r="AE3" s="170">
        <f t="shared" si="0"/>
        <v>0</v>
      </c>
      <c r="AF3" s="170">
        <f t="shared" si="0"/>
        <v>0</v>
      </c>
      <c r="AG3" s="170">
        <f t="shared" si="0"/>
        <v>0</v>
      </c>
      <c r="AH3" s="170">
        <f t="shared" si="0"/>
        <v>0</v>
      </c>
      <c r="AI3" s="170">
        <f t="shared" si="0"/>
        <v>0</v>
      </c>
      <c r="AJ3" s="170">
        <f t="shared" si="0"/>
        <v>0</v>
      </c>
      <c r="AK3" s="170">
        <f t="shared" si="0"/>
        <v>0</v>
      </c>
      <c r="AL3" s="170">
        <f t="shared" si="0"/>
        <v>0</v>
      </c>
      <c r="AM3" s="170">
        <f t="shared" si="0"/>
        <v>0</v>
      </c>
      <c r="AN3" s="170">
        <f t="shared" si="0"/>
        <v>59591</v>
      </c>
      <c r="AO3" s="170">
        <f t="shared" si="0"/>
        <v>0</v>
      </c>
      <c r="AP3" s="170">
        <f t="shared" si="0"/>
        <v>0</v>
      </c>
      <c r="AQ3" s="170">
        <f t="shared" si="0"/>
        <v>0</v>
      </c>
      <c r="AR3" s="170">
        <f t="shared" si="0"/>
        <v>0</v>
      </c>
      <c r="AS3" s="170">
        <f t="shared" si="0"/>
        <v>0</v>
      </c>
      <c r="AT3" s="170">
        <f t="shared" si="0"/>
        <v>0</v>
      </c>
      <c r="AU3" s="170">
        <f t="shared" si="0"/>
        <v>0</v>
      </c>
      <c r="AV3" s="170">
        <f t="shared" si="0"/>
        <v>0</v>
      </c>
      <c r="AW3" s="170">
        <f t="shared" si="0"/>
        <v>1200</v>
      </c>
    </row>
    <row r="4" spans="1:49" x14ac:dyDescent="0.3">
      <c r="A4" s="169" t="s">
        <v>96</v>
      </c>
      <c r="B4" s="194">
        <v>1</v>
      </c>
      <c r="C4" s="171" t="s">
        <v>4</v>
      </c>
      <c r="D4" s="172" t="s">
        <v>51</v>
      </c>
      <c r="E4" s="172" t="s">
        <v>94</v>
      </c>
      <c r="F4" s="172" t="s">
        <v>2</v>
      </c>
      <c r="G4" s="172">
        <v>0</v>
      </c>
      <c r="H4" s="172">
        <v>25</v>
      </c>
      <c r="I4" s="172">
        <v>30</v>
      </c>
      <c r="J4" s="172">
        <v>99</v>
      </c>
      <c r="K4" s="172">
        <v>100</v>
      </c>
      <c r="L4" s="172">
        <v>101</v>
      </c>
      <c r="M4" s="172">
        <v>102</v>
      </c>
      <c r="N4" s="172">
        <v>103</v>
      </c>
      <c r="O4" s="172">
        <v>203</v>
      </c>
      <c r="P4" s="172">
        <v>302</v>
      </c>
      <c r="Q4" s="172">
        <v>303</v>
      </c>
      <c r="R4" s="172">
        <v>304</v>
      </c>
      <c r="S4" s="172">
        <v>305</v>
      </c>
      <c r="T4" s="172">
        <v>306</v>
      </c>
      <c r="U4" s="172">
        <v>407</v>
      </c>
      <c r="V4" s="172">
        <v>408</v>
      </c>
      <c r="W4" s="172">
        <v>409</v>
      </c>
      <c r="X4" s="172">
        <v>410</v>
      </c>
      <c r="Y4" s="172">
        <v>415</v>
      </c>
      <c r="Z4" s="172">
        <v>416</v>
      </c>
      <c r="AA4" s="172">
        <v>418</v>
      </c>
      <c r="AB4" s="172">
        <v>419</v>
      </c>
      <c r="AC4" s="172">
        <v>420</v>
      </c>
      <c r="AD4" s="172">
        <v>421</v>
      </c>
      <c r="AE4" s="172">
        <v>422</v>
      </c>
      <c r="AF4" s="172">
        <v>520</v>
      </c>
      <c r="AG4" s="172">
        <v>521</v>
      </c>
      <c r="AH4" s="172">
        <v>522</v>
      </c>
      <c r="AI4" s="172">
        <v>523</v>
      </c>
      <c r="AJ4" s="172">
        <v>524</v>
      </c>
      <c r="AK4" s="172">
        <v>525</v>
      </c>
      <c r="AL4" s="172">
        <v>526</v>
      </c>
      <c r="AM4" s="172">
        <v>527</v>
      </c>
      <c r="AN4" s="172">
        <v>528</v>
      </c>
      <c r="AO4" s="172">
        <v>629</v>
      </c>
      <c r="AP4" s="172">
        <v>630</v>
      </c>
      <c r="AQ4" s="172">
        <v>636</v>
      </c>
      <c r="AR4" s="172">
        <v>637</v>
      </c>
      <c r="AS4" s="172">
        <v>640</v>
      </c>
      <c r="AT4" s="172">
        <v>642</v>
      </c>
      <c r="AU4" s="172">
        <v>743</v>
      </c>
      <c r="AV4" s="172">
        <v>745</v>
      </c>
      <c r="AW4" s="172">
        <v>746</v>
      </c>
    </row>
    <row r="5" spans="1:49" x14ac:dyDescent="0.3">
      <c r="A5" s="169" t="s">
        <v>97</v>
      </c>
      <c r="B5" s="194">
        <v>2</v>
      </c>
      <c r="C5" s="169">
        <v>54</v>
      </c>
      <c r="D5" s="169">
        <v>1</v>
      </c>
      <c r="E5" s="169">
        <v>1</v>
      </c>
      <c r="F5" s="169">
        <v>4</v>
      </c>
      <c r="G5" s="169">
        <v>0</v>
      </c>
      <c r="H5" s="169">
        <v>0</v>
      </c>
      <c r="I5" s="169">
        <v>0</v>
      </c>
      <c r="J5" s="169">
        <v>0</v>
      </c>
      <c r="K5" s="169">
        <v>0</v>
      </c>
      <c r="L5" s="169">
        <v>2</v>
      </c>
      <c r="M5" s="169">
        <v>0</v>
      </c>
      <c r="N5" s="169">
        <v>0</v>
      </c>
      <c r="O5" s="169">
        <v>0</v>
      </c>
      <c r="P5" s="169">
        <v>0</v>
      </c>
      <c r="Q5" s="169">
        <v>0</v>
      </c>
      <c r="R5" s="169">
        <v>0</v>
      </c>
      <c r="S5" s="169">
        <v>0</v>
      </c>
      <c r="T5" s="169">
        <v>0</v>
      </c>
      <c r="U5" s="169">
        <v>0</v>
      </c>
      <c r="V5" s="169">
        <v>0</v>
      </c>
      <c r="W5" s="169">
        <v>1</v>
      </c>
      <c r="X5" s="169">
        <v>0</v>
      </c>
      <c r="Y5" s="169">
        <v>0</v>
      </c>
      <c r="Z5" s="169">
        <v>0</v>
      </c>
      <c r="AA5" s="169">
        <v>0</v>
      </c>
      <c r="AB5" s="169">
        <v>0</v>
      </c>
      <c r="AC5" s="169">
        <v>0</v>
      </c>
      <c r="AD5" s="169">
        <v>0</v>
      </c>
      <c r="AE5" s="169">
        <v>0</v>
      </c>
      <c r="AF5" s="169">
        <v>0</v>
      </c>
      <c r="AG5" s="169">
        <v>0</v>
      </c>
      <c r="AH5" s="169">
        <v>0</v>
      </c>
      <c r="AI5" s="169">
        <v>0</v>
      </c>
      <c r="AJ5" s="169">
        <v>0</v>
      </c>
      <c r="AK5" s="169">
        <v>0</v>
      </c>
      <c r="AL5" s="169">
        <v>0</v>
      </c>
      <c r="AM5" s="169">
        <v>0</v>
      </c>
      <c r="AN5" s="169">
        <v>1</v>
      </c>
      <c r="AO5" s="169">
        <v>0</v>
      </c>
      <c r="AP5" s="169">
        <v>0</v>
      </c>
      <c r="AQ5" s="169">
        <v>0</v>
      </c>
      <c r="AR5" s="169">
        <v>0</v>
      </c>
      <c r="AS5" s="169">
        <v>0</v>
      </c>
      <c r="AT5" s="169">
        <v>0</v>
      </c>
      <c r="AU5" s="169">
        <v>0</v>
      </c>
      <c r="AV5" s="169">
        <v>0</v>
      </c>
      <c r="AW5" s="169">
        <v>0</v>
      </c>
    </row>
    <row r="6" spans="1:49" x14ac:dyDescent="0.3">
      <c r="A6" s="169" t="s">
        <v>98</v>
      </c>
      <c r="B6" s="194">
        <v>3</v>
      </c>
      <c r="C6" s="169">
        <v>54</v>
      </c>
      <c r="D6" s="169">
        <v>1</v>
      </c>
      <c r="E6" s="169">
        <v>2</v>
      </c>
      <c r="F6" s="169">
        <v>688</v>
      </c>
      <c r="G6" s="169">
        <v>0</v>
      </c>
      <c r="H6" s="169">
        <v>0</v>
      </c>
      <c r="I6" s="169">
        <v>0</v>
      </c>
      <c r="J6" s="169">
        <v>0</v>
      </c>
      <c r="K6" s="169">
        <v>0</v>
      </c>
      <c r="L6" s="169">
        <v>344</v>
      </c>
      <c r="M6" s="169">
        <v>0</v>
      </c>
      <c r="N6" s="169">
        <v>0</v>
      </c>
      <c r="O6" s="169">
        <v>0</v>
      </c>
      <c r="P6" s="169">
        <v>0</v>
      </c>
      <c r="Q6" s="169">
        <v>0</v>
      </c>
      <c r="R6" s="169">
        <v>0</v>
      </c>
      <c r="S6" s="169">
        <v>0</v>
      </c>
      <c r="T6" s="169">
        <v>0</v>
      </c>
      <c r="U6" s="169">
        <v>0</v>
      </c>
      <c r="V6" s="169">
        <v>0</v>
      </c>
      <c r="W6" s="169">
        <v>168</v>
      </c>
      <c r="X6" s="169">
        <v>0</v>
      </c>
      <c r="Y6" s="169">
        <v>0</v>
      </c>
      <c r="Z6" s="169">
        <v>0</v>
      </c>
      <c r="AA6" s="169">
        <v>0</v>
      </c>
      <c r="AB6" s="169">
        <v>0</v>
      </c>
      <c r="AC6" s="169">
        <v>0</v>
      </c>
      <c r="AD6" s="169">
        <v>0</v>
      </c>
      <c r="AE6" s="169">
        <v>0</v>
      </c>
      <c r="AF6" s="169">
        <v>0</v>
      </c>
      <c r="AG6" s="169">
        <v>0</v>
      </c>
      <c r="AH6" s="169">
        <v>0</v>
      </c>
      <c r="AI6" s="169">
        <v>0</v>
      </c>
      <c r="AJ6" s="169">
        <v>0</v>
      </c>
      <c r="AK6" s="169">
        <v>0</v>
      </c>
      <c r="AL6" s="169">
        <v>0</v>
      </c>
      <c r="AM6" s="169">
        <v>0</v>
      </c>
      <c r="AN6" s="169">
        <v>176</v>
      </c>
      <c r="AO6" s="169">
        <v>0</v>
      </c>
      <c r="AP6" s="169">
        <v>0</v>
      </c>
      <c r="AQ6" s="169">
        <v>0</v>
      </c>
      <c r="AR6" s="169">
        <v>0</v>
      </c>
      <c r="AS6" s="169">
        <v>0</v>
      </c>
      <c r="AT6" s="169">
        <v>0</v>
      </c>
      <c r="AU6" s="169">
        <v>0</v>
      </c>
      <c r="AV6" s="169">
        <v>0</v>
      </c>
      <c r="AW6" s="169">
        <v>0</v>
      </c>
    </row>
    <row r="7" spans="1:49" x14ac:dyDescent="0.3">
      <c r="A7" s="169" t="s">
        <v>99</v>
      </c>
      <c r="B7" s="194">
        <v>4</v>
      </c>
      <c r="C7" s="169">
        <v>54</v>
      </c>
      <c r="D7" s="169">
        <v>1</v>
      </c>
      <c r="E7" s="169">
        <v>5</v>
      </c>
      <c r="F7" s="169">
        <v>20</v>
      </c>
      <c r="G7" s="169">
        <v>0</v>
      </c>
      <c r="H7" s="169">
        <v>0</v>
      </c>
      <c r="I7" s="169">
        <v>0</v>
      </c>
      <c r="J7" s="169">
        <v>0</v>
      </c>
      <c r="K7" s="169">
        <v>0</v>
      </c>
      <c r="L7" s="169">
        <v>20</v>
      </c>
      <c r="M7" s="169">
        <v>0</v>
      </c>
      <c r="N7" s="169">
        <v>0</v>
      </c>
      <c r="O7" s="169">
        <v>0</v>
      </c>
      <c r="P7" s="169">
        <v>0</v>
      </c>
      <c r="Q7" s="169">
        <v>0</v>
      </c>
      <c r="R7" s="169">
        <v>0</v>
      </c>
      <c r="S7" s="169">
        <v>0</v>
      </c>
      <c r="T7" s="169">
        <v>0</v>
      </c>
      <c r="U7" s="169">
        <v>0</v>
      </c>
      <c r="V7" s="169">
        <v>0</v>
      </c>
      <c r="W7" s="169">
        <v>0</v>
      </c>
      <c r="X7" s="169">
        <v>0</v>
      </c>
      <c r="Y7" s="169">
        <v>0</v>
      </c>
      <c r="Z7" s="169">
        <v>0</v>
      </c>
      <c r="AA7" s="169">
        <v>0</v>
      </c>
      <c r="AB7" s="169">
        <v>0</v>
      </c>
      <c r="AC7" s="169">
        <v>0</v>
      </c>
      <c r="AD7" s="169">
        <v>0</v>
      </c>
      <c r="AE7" s="169">
        <v>0</v>
      </c>
      <c r="AF7" s="169">
        <v>0</v>
      </c>
      <c r="AG7" s="169">
        <v>0</v>
      </c>
      <c r="AH7" s="169">
        <v>0</v>
      </c>
      <c r="AI7" s="169">
        <v>0</v>
      </c>
      <c r="AJ7" s="169">
        <v>0</v>
      </c>
      <c r="AK7" s="169">
        <v>0</v>
      </c>
      <c r="AL7" s="169">
        <v>0</v>
      </c>
      <c r="AM7" s="169">
        <v>0</v>
      </c>
      <c r="AN7" s="169">
        <v>0</v>
      </c>
      <c r="AO7" s="169">
        <v>0</v>
      </c>
      <c r="AP7" s="169">
        <v>0</v>
      </c>
      <c r="AQ7" s="169">
        <v>0</v>
      </c>
      <c r="AR7" s="169">
        <v>0</v>
      </c>
      <c r="AS7" s="169">
        <v>0</v>
      </c>
      <c r="AT7" s="169">
        <v>0</v>
      </c>
      <c r="AU7" s="169">
        <v>0</v>
      </c>
      <c r="AV7" s="169">
        <v>0</v>
      </c>
      <c r="AW7" s="169">
        <v>0</v>
      </c>
    </row>
    <row r="8" spans="1:49" x14ac:dyDescent="0.3">
      <c r="A8" s="169" t="s">
        <v>100</v>
      </c>
      <c r="B8" s="194">
        <v>5</v>
      </c>
      <c r="C8" s="169">
        <v>54</v>
      </c>
      <c r="D8" s="169">
        <v>1</v>
      </c>
      <c r="E8" s="169">
        <v>6</v>
      </c>
      <c r="F8" s="169">
        <v>185687</v>
      </c>
      <c r="G8" s="169">
        <v>0</v>
      </c>
      <c r="H8" s="169">
        <v>0</v>
      </c>
      <c r="I8" s="169">
        <v>0</v>
      </c>
      <c r="J8" s="169">
        <v>0</v>
      </c>
      <c r="K8" s="169">
        <v>0</v>
      </c>
      <c r="L8" s="169">
        <v>126408</v>
      </c>
      <c r="M8" s="169">
        <v>0</v>
      </c>
      <c r="N8" s="169">
        <v>0</v>
      </c>
      <c r="O8" s="169">
        <v>0</v>
      </c>
      <c r="P8" s="169">
        <v>0</v>
      </c>
      <c r="Q8" s="169">
        <v>0</v>
      </c>
      <c r="R8" s="169">
        <v>0</v>
      </c>
      <c r="S8" s="169">
        <v>0</v>
      </c>
      <c r="T8" s="169">
        <v>0</v>
      </c>
      <c r="U8" s="169">
        <v>0</v>
      </c>
      <c r="V8" s="169">
        <v>0</v>
      </c>
      <c r="W8" s="169">
        <v>29109</v>
      </c>
      <c r="X8" s="169">
        <v>0</v>
      </c>
      <c r="Y8" s="169">
        <v>0</v>
      </c>
      <c r="Z8" s="169">
        <v>0</v>
      </c>
      <c r="AA8" s="169">
        <v>0</v>
      </c>
      <c r="AB8" s="169">
        <v>0</v>
      </c>
      <c r="AC8" s="169">
        <v>0</v>
      </c>
      <c r="AD8" s="169">
        <v>0</v>
      </c>
      <c r="AE8" s="169">
        <v>0</v>
      </c>
      <c r="AF8" s="169">
        <v>0</v>
      </c>
      <c r="AG8" s="169">
        <v>0</v>
      </c>
      <c r="AH8" s="169">
        <v>0</v>
      </c>
      <c r="AI8" s="169">
        <v>0</v>
      </c>
      <c r="AJ8" s="169">
        <v>0</v>
      </c>
      <c r="AK8" s="169">
        <v>0</v>
      </c>
      <c r="AL8" s="169">
        <v>0</v>
      </c>
      <c r="AM8" s="169">
        <v>0</v>
      </c>
      <c r="AN8" s="169">
        <v>29570</v>
      </c>
      <c r="AO8" s="169">
        <v>0</v>
      </c>
      <c r="AP8" s="169">
        <v>0</v>
      </c>
      <c r="AQ8" s="169">
        <v>0</v>
      </c>
      <c r="AR8" s="169">
        <v>0</v>
      </c>
      <c r="AS8" s="169">
        <v>0</v>
      </c>
      <c r="AT8" s="169">
        <v>0</v>
      </c>
      <c r="AU8" s="169">
        <v>0</v>
      </c>
      <c r="AV8" s="169">
        <v>0</v>
      </c>
      <c r="AW8" s="169">
        <v>600</v>
      </c>
    </row>
    <row r="9" spans="1:49" x14ac:dyDescent="0.3">
      <c r="A9" s="169" t="s">
        <v>101</v>
      </c>
      <c r="B9" s="194">
        <v>6</v>
      </c>
      <c r="C9" s="169">
        <v>54</v>
      </c>
      <c r="D9" s="169">
        <v>1</v>
      </c>
      <c r="E9" s="169">
        <v>10</v>
      </c>
      <c r="F9" s="169">
        <v>3940</v>
      </c>
      <c r="G9" s="169">
        <v>0</v>
      </c>
      <c r="H9" s="169">
        <v>0</v>
      </c>
      <c r="I9" s="169">
        <v>0</v>
      </c>
      <c r="J9" s="169">
        <v>0</v>
      </c>
      <c r="K9" s="169">
        <v>0</v>
      </c>
      <c r="L9" s="169">
        <v>0</v>
      </c>
      <c r="M9" s="169">
        <v>0</v>
      </c>
      <c r="N9" s="169">
        <v>0</v>
      </c>
      <c r="O9" s="169">
        <v>0</v>
      </c>
      <c r="P9" s="169">
        <v>0</v>
      </c>
      <c r="Q9" s="169">
        <v>0</v>
      </c>
      <c r="R9" s="169">
        <v>0</v>
      </c>
      <c r="S9" s="169">
        <v>0</v>
      </c>
      <c r="T9" s="169">
        <v>0</v>
      </c>
      <c r="U9" s="169">
        <v>0</v>
      </c>
      <c r="V9" s="169">
        <v>0</v>
      </c>
      <c r="W9" s="169">
        <v>0</v>
      </c>
      <c r="X9" s="169">
        <v>0</v>
      </c>
      <c r="Y9" s="169">
        <v>0</v>
      </c>
      <c r="Z9" s="169">
        <v>0</v>
      </c>
      <c r="AA9" s="169">
        <v>0</v>
      </c>
      <c r="AB9" s="169">
        <v>0</v>
      </c>
      <c r="AC9" s="169">
        <v>0</v>
      </c>
      <c r="AD9" s="169">
        <v>0</v>
      </c>
      <c r="AE9" s="169">
        <v>0</v>
      </c>
      <c r="AF9" s="169">
        <v>0</v>
      </c>
      <c r="AG9" s="169">
        <v>0</v>
      </c>
      <c r="AH9" s="169">
        <v>0</v>
      </c>
      <c r="AI9" s="169">
        <v>0</v>
      </c>
      <c r="AJ9" s="169">
        <v>0</v>
      </c>
      <c r="AK9" s="169">
        <v>0</v>
      </c>
      <c r="AL9" s="169">
        <v>0</v>
      </c>
      <c r="AM9" s="169">
        <v>0</v>
      </c>
      <c r="AN9" s="169">
        <v>0</v>
      </c>
      <c r="AO9" s="169">
        <v>0</v>
      </c>
      <c r="AP9" s="169">
        <v>0</v>
      </c>
      <c r="AQ9" s="169">
        <v>0</v>
      </c>
      <c r="AR9" s="169">
        <v>0</v>
      </c>
      <c r="AS9" s="169">
        <v>0</v>
      </c>
      <c r="AT9" s="169">
        <v>0</v>
      </c>
      <c r="AU9" s="169">
        <v>0</v>
      </c>
      <c r="AV9" s="169">
        <v>0</v>
      </c>
      <c r="AW9" s="169">
        <v>3940</v>
      </c>
    </row>
    <row r="10" spans="1:49" x14ac:dyDescent="0.3">
      <c r="A10" s="169" t="s">
        <v>102</v>
      </c>
      <c r="B10" s="194">
        <v>7</v>
      </c>
      <c r="C10" s="169">
        <v>54</v>
      </c>
      <c r="D10" s="169">
        <v>1</v>
      </c>
      <c r="E10" s="169">
        <v>11</v>
      </c>
      <c r="F10" s="169">
        <v>686.14630082704161</v>
      </c>
      <c r="G10" s="169">
        <v>0</v>
      </c>
      <c r="H10" s="169">
        <v>0</v>
      </c>
      <c r="I10" s="169">
        <v>0</v>
      </c>
      <c r="J10" s="169">
        <v>0</v>
      </c>
      <c r="K10" s="169">
        <v>477.8129674937083</v>
      </c>
      <c r="L10" s="169">
        <v>0</v>
      </c>
      <c r="M10" s="169">
        <v>0</v>
      </c>
      <c r="N10" s="169">
        <v>0</v>
      </c>
      <c r="O10" s="169">
        <v>0</v>
      </c>
      <c r="P10" s="169">
        <v>0</v>
      </c>
      <c r="Q10" s="169">
        <v>0</v>
      </c>
      <c r="R10" s="169">
        <v>0</v>
      </c>
      <c r="S10" s="169">
        <v>0</v>
      </c>
      <c r="T10" s="169">
        <v>0</v>
      </c>
      <c r="U10" s="169">
        <v>0</v>
      </c>
      <c r="V10" s="169">
        <v>0</v>
      </c>
      <c r="W10" s="169">
        <v>0</v>
      </c>
      <c r="X10" s="169">
        <v>0</v>
      </c>
      <c r="Y10" s="169">
        <v>0</v>
      </c>
      <c r="Z10" s="169">
        <v>0</v>
      </c>
      <c r="AA10" s="169">
        <v>0</v>
      </c>
      <c r="AB10" s="169">
        <v>0</v>
      </c>
      <c r="AC10" s="169">
        <v>0</v>
      </c>
      <c r="AD10" s="169">
        <v>0</v>
      </c>
      <c r="AE10" s="169">
        <v>0</v>
      </c>
      <c r="AF10" s="169">
        <v>0</v>
      </c>
      <c r="AG10" s="169">
        <v>0</v>
      </c>
      <c r="AH10" s="169">
        <v>0</v>
      </c>
      <c r="AI10" s="169">
        <v>0</v>
      </c>
      <c r="AJ10" s="169">
        <v>0</v>
      </c>
      <c r="AK10" s="169">
        <v>0</v>
      </c>
      <c r="AL10" s="169">
        <v>0</v>
      </c>
      <c r="AM10" s="169">
        <v>0</v>
      </c>
      <c r="AN10" s="169">
        <v>0</v>
      </c>
      <c r="AO10" s="169">
        <v>0</v>
      </c>
      <c r="AP10" s="169">
        <v>0</v>
      </c>
      <c r="AQ10" s="169">
        <v>0</v>
      </c>
      <c r="AR10" s="169">
        <v>0</v>
      </c>
      <c r="AS10" s="169">
        <v>0</v>
      </c>
      <c r="AT10" s="169">
        <v>0</v>
      </c>
      <c r="AU10" s="169">
        <v>0</v>
      </c>
      <c r="AV10" s="169">
        <v>0</v>
      </c>
      <c r="AW10" s="169">
        <v>208.33333333333334</v>
      </c>
    </row>
    <row r="11" spans="1:49" x14ac:dyDescent="0.3">
      <c r="A11" s="169" t="s">
        <v>103</v>
      </c>
      <c r="B11" s="194">
        <v>8</v>
      </c>
      <c r="C11" s="169">
        <v>54</v>
      </c>
      <c r="D11" s="169">
        <v>2</v>
      </c>
      <c r="E11" s="169">
        <v>1</v>
      </c>
      <c r="F11" s="169">
        <v>4</v>
      </c>
      <c r="G11" s="169">
        <v>0</v>
      </c>
      <c r="H11" s="169">
        <v>0</v>
      </c>
      <c r="I11" s="169">
        <v>0</v>
      </c>
      <c r="J11" s="169">
        <v>0</v>
      </c>
      <c r="K11" s="169">
        <v>0</v>
      </c>
      <c r="L11" s="169">
        <v>2</v>
      </c>
      <c r="M11" s="169">
        <v>0</v>
      </c>
      <c r="N11" s="169">
        <v>0</v>
      </c>
      <c r="O11" s="169">
        <v>0</v>
      </c>
      <c r="P11" s="169">
        <v>0</v>
      </c>
      <c r="Q11" s="169">
        <v>0</v>
      </c>
      <c r="R11" s="169">
        <v>0</v>
      </c>
      <c r="S11" s="169">
        <v>0</v>
      </c>
      <c r="T11" s="169">
        <v>0</v>
      </c>
      <c r="U11" s="169">
        <v>0</v>
      </c>
      <c r="V11" s="169">
        <v>0</v>
      </c>
      <c r="W11" s="169">
        <v>1</v>
      </c>
      <c r="X11" s="169">
        <v>0</v>
      </c>
      <c r="Y11" s="169">
        <v>0</v>
      </c>
      <c r="Z11" s="169">
        <v>0</v>
      </c>
      <c r="AA11" s="169">
        <v>0</v>
      </c>
      <c r="AB11" s="169">
        <v>0</v>
      </c>
      <c r="AC11" s="169">
        <v>0</v>
      </c>
      <c r="AD11" s="169">
        <v>0</v>
      </c>
      <c r="AE11" s="169">
        <v>0</v>
      </c>
      <c r="AF11" s="169">
        <v>0</v>
      </c>
      <c r="AG11" s="169">
        <v>0</v>
      </c>
      <c r="AH11" s="169">
        <v>0</v>
      </c>
      <c r="AI11" s="169">
        <v>0</v>
      </c>
      <c r="AJ11" s="169">
        <v>0</v>
      </c>
      <c r="AK11" s="169">
        <v>0</v>
      </c>
      <c r="AL11" s="169">
        <v>0</v>
      </c>
      <c r="AM11" s="169">
        <v>0</v>
      </c>
      <c r="AN11" s="169">
        <v>1</v>
      </c>
      <c r="AO11" s="169">
        <v>0</v>
      </c>
      <c r="AP11" s="169">
        <v>0</v>
      </c>
      <c r="AQ11" s="169">
        <v>0</v>
      </c>
      <c r="AR11" s="169">
        <v>0</v>
      </c>
      <c r="AS11" s="169">
        <v>0</v>
      </c>
      <c r="AT11" s="169">
        <v>0</v>
      </c>
      <c r="AU11" s="169">
        <v>0</v>
      </c>
      <c r="AV11" s="169">
        <v>0</v>
      </c>
      <c r="AW11" s="169">
        <v>0</v>
      </c>
    </row>
    <row r="12" spans="1:49" x14ac:dyDescent="0.3">
      <c r="A12" s="169" t="s">
        <v>104</v>
      </c>
      <c r="B12" s="194">
        <v>9</v>
      </c>
      <c r="C12" s="169">
        <v>54</v>
      </c>
      <c r="D12" s="169">
        <v>2</v>
      </c>
      <c r="E12" s="169">
        <v>2</v>
      </c>
      <c r="F12" s="169">
        <v>624</v>
      </c>
      <c r="G12" s="169">
        <v>0</v>
      </c>
      <c r="H12" s="169">
        <v>0</v>
      </c>
      <c r="I12" s="169">
        <v>0</v>
      </c>
      <c r="J12" s="169">
        <v>0</v>
      </c>
      <c r="K12" s="169">
        <v>0</v>
      </c>
      <c r="L12" s="169">
        <v>312</v>
      </c>
      <c r="M12" s="169">
        <v>0</v>
      </c>
      <c r="N12" s="169">
        <v>0</v>
      </c>
      <c r="O12" s="169">
        <v>0</v>
      </c>
      <c r="P12" s="169">
        <v>0</v>
      </c>
      <c r="Q12" s="169">
        <v>0</v>
      </c>
      <c r="R12" s="169">
        <v>0</v>
      </c>
      <c r="S12" s="169">
        <v>0</v>
      </c>
      <c r="T12" s="169">
        <v>0</v>
      </c>
      <c r="U12" s="169">
        <v>0</v>
      </c>
      <c r="V12" s="169">
        <v>0</v>
      </c>
      <c r="W12" s="169">
        <v>160</v>
      </c>
      <c r="X12" s="169">
        <v>0</v>
      </c>
      <c r="Y12" s="169">
        <v>0</v>
      </c>
      <c r="Z12" s="169">
        <v>0</v>
      </c>
      <c r="AA12" s="169">
        <v>0</v>
      </c>
      <c r="AB12" s="169">
        <v>0</v>
      </c>
      <c r="AC12" s="169">
        <v>0</v>
      </c>
      <c r="AD12" s="169">
        <v>0</v>
      </c>
      <c r="AE12" s="169">
        <v>0</v>
      </c>
      <c r="AF12" s="169">
        <v>0</v>
      </c>
      <c r="AG12" s="169">
        <v>0</v>
      </c>
      <c r="AH12" s="169">
        <v>0</v>
      </c>
      <c r="AI12" s="169">
        <v>0</v>
      </c>
      <c r="AJ12" s="169">
        <v>0</v>
      </c>
      <c r="AK12" s="169">
        <v>0</v>
      </c>
      <c r="AL12" s="169">
        <v>0</v>
      </c>
      <c r="AM12" s="169">
        <v>0</v>
      </c>
      <c r="AN12" s="169">
        <v>152</v>
      </c>
      <c r="AO12" s="169">
        <v>0</v>
      </c>
      <c r="AP12" s="169">
        <v>0</v>
      </c>
      <c r="AQ12" s="169">
        <v>0</v>
      </c>
      <c r="AR12" s="169">
        <v>0</v>
      </c>
      <c r="AS12" s="169">
        <v>0</v>
      </c>
      <c r="AT12" s="169">
        <v>0</v>
      </c>
      <c r="AU12" s="169">
        <v>0</v>
      </c>
      <c r="AV12" s="169">
        <v>0</v>
      </c>
      <c r="AW12" s="169">
        <v>0</v>
      </c>
    </row>
    <row r="13" spans="1:49" x14ac:dyDescent="0.3">
      <c r="A13" s="169" t="s">
        <v>105</v>
      </c>
      <c r="B13" s="194">
        <v>10</v>
      </c>
      <c r="C13" s="169">
        <v>54</v>
      </c>
      <c r="D13" s="169">
        <v>2</v>
      </c>
      <c r="E13" s="169">
        <v>5</v>
      </c>
      <c r="F13" s="169">
        <v>20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20</v>
      </c>
      <c r="M13" s="169">
        <v>0</v>
      </c>
      <c r="N13" s="169">
        <v>0</v>
      </c>
      <c r="O13" s="169">
        <v>0</v>
      </c>
      <c r="P13" s="169">
        <v>0</v>
      </c>
      <c r="Q13" s="169">
        <v>0</v>
      </c>
      <c r="R13" s="169">
        <v>0</v>
      </c>
      <c r="S13" s="169">
        <v>0</v>
      </c>
      <c r="T13" s="169">
        <v>0</v>
      </c>
      <c r="U13" s="169">
        <v>0</v>
      </c>
      <c r="V13" s="169">
        <v>0</v>
      </c>
      <c r="W13" s="169">
        <v>0</v>
      </c>
      <c r="X13" s="169">
        <v>0</v>
      </c>
      <c r="Y13" s="169">
        <v>0</v>
      </c>
      <c r="Z13" s="169">
        <v>0</v>
      </c>
      <c r="AA13" s="169">
        <v>0</v>
      </c>
      <c r="AB13" s="169">
        <v>0</v>
      </c>
      <c r="AC13" s="169">
        <v>0</v>
      </c>
      <c r="AD13" s="169">
        <v>0</v>
      </c>
      <c r="AE13" s="169">
        <v>0</v>
      </c>
      <c r="AF13" s="169">
        <v>0</v>
      </c>
      <c r="AG13" s="169">
        <v>0</v>
      </c>
      <c r="AH13" s="169">
        <v>0</v>
      </c>
      <c r="AI13" s="169">
        <v>0</v>
      </c>
      <c r="AJ13" s="169">
        <v>0</v>
      </c>
      <c r="AK13" s="169">
        <v>0</v>
      </c>
      <c r="AL13" s="169">
        <v>0</v>
      </c>
      <c r="AM13" s="169">
        <v>0</v>
      </c>
      <c r="AN13" s="169">
        <v>0</v>
      </c>
      <c r="AO13" s="169">
        <v>0</v>
      </c>
      <c r="AP13" s="169">
        <v>0</v>
      </c>
      <c r="AQ13" s="169">
        <v>0</v>
      </c>
      <c r="AR13" s="169">
        <v>0</v>
      </c>
      <c r="AS13" s="169">
        <v>0</v>
      </c>
      <c r="AT13" s="169">
        <v>0</v>
      </c>
      <c r="AU13" s="169">
        <v>0</v>
      </c>
      <c r="AV13" s="169">
        <v>0</v>
      </c>
      <c r="AW13" s="169">
        <v>0</v>
      </c>
    </row>
    <row r="14" spans="1:49" x14ac:dyDescent="0.3">
      <c r="A14" s="169" t="s">
        <v>106</v>
      </c>
      <c r="B14" s="194">
        <v>11</v>
      </c>
      <c r="C14" s="169">
        <v>54</v>
      </c>
      <c r="D14" s="169">
        <v>2</v>
      </c>
      <c r="E14" s="169">
        <v>6</v>
      </c>
      <c r="F14" s="169">
        <v>185958</v>
      </c>
      <c r="G14" s="169">
        <v>0</v>
      </c>
      <c r="H14" s="169">
        <v>0</v>
      </c>
      <c r="I14" s="169">
        <v>0</v>
      </c>
      <c r="J14" s="169">
        <v>0</v>
      </c>
      <c r="K14" s="169">
        <v>0</v>
      </c>
      <c r="L14" s="169">
        <v>126627</v>
      </c>
      <c r="M14" s="169">
        <v>0</v>
      </c>
      <c r="N14" s="169">
        <v>0</v>
      </c>
      <c r="O14" s="169">
        <v>0</v>
      </c>
      <c r="P14" s="169">
        <v>0</v>
      </c>
      <c r="Q14" s="169">
        <v>0</v>
      </c>
      <c r="R14" s="169">
        <v>0</v>
      </c>
      <c r="S14" s="169">
        <v>0</v>
      </c>
      <c r="T14" s="169">
        <v>0</v>
      </c>
      <c r="U14" s="169">
        <v>0</v>
      </c>
      <c r="V14" s="169">
        <v>0</v>
      </c>
      <c r="W14" s="169">
        <v>29040</v>
      </c>
      <c r="X14" s="169">
        <v>0</v>
      </c>
      <c r="Y14" s="169">
        <v>0</v>
      </c>
      <c r="Z14" s="169">
        <v>0</v>
      </c>
      <c r="AA14" s="169">
        <v>0</v>
      </c>
      <c r="AB14" s="169">
        <v>0</v>
      </c>
      <c r="AC14" s="169">
        <v>0</v>
      </c>
      <c r="AD14" s="169">
        <v>0</v>
      </c>
      <c r="AE14" s="169">
        <v>0</v>
      </c>
      <c r="AF14" s="169">
        <v>0</v>
      </c>
      <c r="AG14" s="169">
        <v>0</v>
      </c>
      <c r="AH14" s="169">
        <v>0</v>
      </c>
      <c r="AI14" s="169">
        <v>0</v>
      </c>
      <c r="AJ14" s="169">
        <v>0</v>
      </c>
      <c r="AK14" s="169">
        <v>0</v>
      </c>
      <c r="AL14" s="169">
        <v>0</v>
      </c>
      <c r="AM14" s="169">
        <v>0</v>
      </c>
      <c r="AN14" s="169">
        <v>29691</v>
      </c>
      <c r="AO14" s="169">
        <v>0</v>
      </c>
      <c r="AP14" s="169">
        <v>0</v>
      </c>
      <c r="AQ14" s="169">
        <v>0</v>
      </c>
      <c r="AR14" s="169">
        <v>0</v>
      </c>
      <c r="AS14" s="169">
        <v>0</v>
      </c>
      <c r="AT14" s="169">
        <v>0</v>
      </c>
      <c r="AU14" s="169">
        <v>0</v>
      </c>
      <c r="AV14" s="169">
        <v>0</v>
      </c>
      <c r="AW14" s="169">
        <v>600</v>
      </c>
    </row>
    <row r="15" spans="1:49" x14ac:dyDescent="0.3">
      <c r="A15" s="169" t="s">
        <v>107</v>
      </c>
      <c r="B15" s="194">
        <v>12</v>
      </c>
      <c r="C15" s="169">
        <v>54</v>
      </c>
      <c r="D15" s="169">
        <v>2</v>
      </c>
      <c r="E15" s="169">
        <v>10</v>
      </c>
      <c r="F15" s="169">
        <v>3860</v>
      </c>
      <c r="G15" s="169">
        <v>0</v>
      </c>
      <c r="H15" s="169">
        <v>0</v>
      </c>
      <c r="I15" s="169">
        <v>0</v>
      </c>
      <c r="J15" s="169">
        <v>0</v>
      </c>
      <c r="K15" s="169">
        <v>0</v>
      </c>
      <c r="L15" s="169">
        <v>0</v>
      </c>
      <c r="M15" s="169">
        <v>0</v>
      </c>
      <c r="N15" s="169">
        <v>0</v>
      </c>
      <c r="O15" s="169">
        <v>0</v>
      </c>
      <c r="P15" s="169">
        <v>0</v>
      </c>
      <c r="Q15" s="169">
        <v>0</v>
      </c>
      <c r="R15" s="169">
        <v>0</v>
      </c>
      <c r="S15" s="169">
        <v>0</v>
      </c>
      <c r="T15" s="169">
        <v>0</v>
      </c>
      <c r="U15" s="169">
        <v>0</v>
      </c>
      <c r="V15" s="169">
        <v>0</v>
      </c>
      <c r="W15" s="169">
        <v>0</v>
      </c>
      <c r="X15" s="169">
        <v>0</v>
      </c>
      <c r="Y15" s="169">
        <v>0</v>
      </c>
      <c r="Z15" s="169">
        <v>0</v>
      </c>
      <c r="AA15" s="169">
        <v>0</v>
      </c>
      <c r="AB15" s="169">
        <v>0</v>
      </c>
      <c r="AC15" s="169">
        <v>0</v>
      </c>
      <c r="AD15" s="169">
        <v>0</v>
      </c>
      <c r="AE15" s="169">
        <v>0</v>
      </c>
      <c r="AF15" s="169">
        <v>0</v>
      </c>
      <c r="AG15" s="169">
        <v>0</v>
      </c>
      <c r="AH15" s="169">
        <v>0</v>
      </c>
      <c r="AI15" s="169">
        <v>0</v>
      </c>
      <c r="AJ15" s="169">
        <v>0</v>
      </c>
      <c r="AK15" s="169">
        <v>0</v>
      </c>
      <c r="AL15" s="169">
        <v>0</v>
      </c>
      <c r="AM15" s="169">
        <v>0</v>
      </c>
      <c r="AN15" s="169">
        <v>0</v>
      </c>
      <c r="AO15" s="169">
        <v>0</v>
      </c>
      <c r="AP15" s="169">
        <v>0</v>
      </c>
      <c r="AQ15" s="169">
        <v>0</v>
      </c>
      <c r="AR15" s="169">
        <v>0</v>
      </c>
      <c r="AS15" s="169">
        <v>0</v>
      </c>
      <c r="AT15" s="169">
        <v>0</v>
      </c>
      <c r="AU15" s="169">
        <v>0</v>
      </c>
      <c r="AV15" s="169">
        <v>0</v>
      </c>
      <c r="AW15" s="169">
        <v>3860</v>
      </c>
    </row>
    <row r="16" spans="1:49" x14ac:dyDescent="0.3">
      <c r="A16" s="169" t="s">
        <v>95</v>
      </c>
      <c r="B16" s="194">
        <v>2017</v>
      </c>
      <c r="C16" s="169">
        <v>54</v>
      </c>
      <c r="D16" s="169">
        <v>2</v>
      </c>
      <c r="E16" s="169">
        <v>11</v>
      </c>
      <c r="F16" s="169">
        <v>686.14630082704161</v>
      </c>
      <c r="G16" s="169">
        <v>0</v>
      </c>
      <c r="H16" s="169">
        <v>0</v>
      </c>
      <c r="I16" s="169">
        <v>0</v>
      </c>
      <c r="J16" s="169">
        <v>0</v>
      </c>
      <c r="K16" s="169">
        <v>477.8129674937083</v>
      </c>
      <c r="L16" s="169">
        <v>0</v>
      </c>
      <c r="M16" s="169">
        <v>0</v>
      </c>
      <c r="N16" s="169">
        <v>0</v>
      </c>
      <c r="O16" s="169">
        <v>0</v>
      </c>
      <c r="P16" s="169">
        <v>0</v>
      </c>
      <c r="Q16" s="169">
        <v>0</v>
      </c>
      <c r="R16" s="169">
        <v>0</v>
      </c>
      <c r="S16" s="169">
        <v>0</v>
      </c>
      <c r="T16" s="169">
        <v>0</v>
      </c>
      <c r="U16" s="169">
        <v>0</v>
      </c>
      <c r="V16" s="169">
        <v>0</v>
      </c>
      <c r="W16" s="169">
        <v>0</v>
      </c>
      <c r="X16" s="169">
        <v>0</v>
      </c>
      <c r="Y16" s="169">
        <v>0</v>
      </c>
      <c r="Z16" s="169">
        <v>0</v>
      </c>
      <c r="AA16" s="169">
        <v>0</v>
      </c>
      <c r="AB16" s="169">
        <v>0</v>
      </c>
      <c r="AC16" s="169">
        <v>0</v>
      </c>
      <c r="AD16" s="169">
        <v>0</v>
      </c>
      <c r="AE16" s="169">
        <v>0</v>
      </c>
      <c r="AF16" s="169">
        <v>0</v>
      </c>
      <c r="AG16" s="169">
        <v>0</v>
      </c>
      <c r="AH16" s="169">
        <v>0</v>
      </c>
      <c r="AI16" s="169">
        <v>0</v>
      </c>
      <c r="AJ16" s="169">
        <v>0</v>
      </c>
      <c r="AK16" s="169">
        <v>0</v>
      </c>
      <c r="AL16" s="169">
        <v>0</v>
      </c>
      <c r="AM16" s="169">
        <v>0</v>
      </c>
      <c r="AN16" s="169">
        <v>0</v>
      </c>
      <c r="AO16" s="169">
        <v>0</v>
      </c>
      <c r="AP16" s="169">
        <v>0</v>
      </c>
      <c r="AQ16" s="169">
        <v>0</v>
      </c>
      <c r="AR16" s="169">
        <v>0</v>
      </c>
      <c r="AS16" s="169">
        <v>0</v>
      </c>
      <c r="AT16" s="169">
        <v>0</v>
      </c>
      <c r="AU16" s="169">
        <v>0</v>
      </c>
      <c r="AV16" s="169">
        <v>0</v>
      </c>
      <c r="AW16" s="169">
        <v>208.33333333333334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3" bestFit="1" customWidth="1"/>
    <col min="2" max="2" width="11.6640625" style="113" hidden="1" customWidth="1"/>
    <col min="3" max="4" width="11" style="115" customWidth="1"/>
    <col min="5" max="5" width="11" style="116" customWidth="1"/>
    <col min="6" max="16384" width="8.88671875" style="113"/>
  </cols>
  <sheetData>
    <row r="1" spans="1:5" ht="18.600000000000001" thickBot="1" x14ac:dyDescent="0.4">
      <c r="A1" s="274" t="s">
        <v>73</v>
      </c>
      <c r="B1" s="274"/>
      <c r="C1" s="275"/>
      <c r="D1" s="275"/>
      <c r="E1" s="275"/>
    </row>
    <row r="2" spans="1:5" ht="14.4" customHeight="1" thickBot="1" x14ac:dyDescent="0.35">
      <c r="A2" s="173" t="s">
        <v>217</v>
      </c>
      <c r="B2" s="114"/>
    </row>
    <row r="3" spans="1:5" ht="14.4" customHeight="1" thickBot="1" x14ac:dyDescent="0.35">
      <c r="A3" s="117"/>
      <c r="C3" s="118" t="s">
        <v>62</v>
      </c>
      <c r="D3" s="119" t="s">
        <v>55</v>
      </c>
      <c r="E3" s="120" t="s">
        <v>57</v>
      </c>
    </row>
    <row r="4" spans="1:5" ht="14.4" customHeight="1" thickBot="1" x14ac:dyDescent="0.3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579.16501455908826</v>
      </c>
      <c r="D4" s="123">
        <f ca="1">IF(ISERROR(VLOOKUP("Náklady celkem",INDIRECT("HI!$A:$G"),5,0)),0,VLOOKUP("Náklady celkem",INDIRECT("HI!$A:$G"),5,0))</f>
        <v>592.41003000000001</v>
      </c>
      <c r="E4" s="124">
        <f ca="1">IF(C4=0,0,D4/C4)</f>
        <v>1.0228691566444064</v>
      </c>
    </row>
    <row r="5" spans="1:5" ht="14.4" customHeight="1" x14ac:dyDescent="0.3">
      <c r="A5" s="125" t="s">
        <v>82</v>
      </c>
      <c r="B5" s="126"/>
      <c r="C5" s="127"/>
      <c r="D5" s="127"/>
      <c r="E5" s="128"/>
    </row>
    <row r="6" spans="1:5" ht="14.4" customHeight="1" x14ac:dyDescent="0.3">
      <c r="A6" s="129" t="s">
        <v>87</v>
      </c>
      <c r="B6" s="130"/>
      <c r="C6" s="131"/>
      <c r="D6" s="131"/>
      <c r="E6" s="128"/>
    </row>
    <row r="7" spans="1:5" ht="14.4" customHeight="1" x14ac:dyDescent="0.3">
      <c r="A7" s="25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66</v>
      </c>
      <c r="C7" s="131">
        <f>IF(ISERROR(HI!F5),"",HI!F5)</f>
        <v>0.83333333333333337</v>
      </c>
      <c r="D7" s="131">
        <f>IF(ISERROR(HI!E5),"",HI!E5)</f>
        <v>0.41959999999999997</v>
      </c>
      <c r="E7" s="128">
        <f t="shared" ref="E7:E12" si="0">IF(C7=0,0,D7/C7)</f>
        <v>0.50351999999999997</v>
      </c>
    </row>
    <row r="8" spans="1:5" ht="14.4" customHeight="1" x14ac:dyDescent="0.3">
      <c r="A8" s="252" t="str">
        <f>HYPERLINK("#'LŽ Statim'!A1","Podíl statimových žádanek (max. 30%)")</f>
        <v>Podíl statimových žádanek (max. 30%)</v>
      </c>
      <c r="B8" s="250" t="s">
        <v>173</v>
      </c>
      <c r="C8" s="251">
        <v>0.3</v>
      </c>
      <c r="D8" s="251">
        <f>IF('LŽ Statim'!G3="",0,'LŽ Statim'!G3)</f>
        <v>0</v>
      </c>
      <c r="E8" s="128">
        <f>IF(C8=0,0,D8/C8)</f>
        <v>0</v>
      </c>
    </row>
    <row r="9" spans="1:5" ht="14.4" customHeight="1" x14ac:dyDescent="0.3">
      <c r="A9" s="132" t="s">
        <v>83</v>
      </c>
      <c r="B9" s="130"/>
      <c r="C9" s="131"/>
      <c r="D9" s="131"/>
      <c r="E9" s="128"/>
    </row>
    <row r="10" spans="1:5" ht="14.4" customHeight="1" x14ac:dyDescent="0.3">
      <c r="A10" s="132" t="s">
        <v>84</v>
      </c>
      <c r="B10" s="130"/>
      <c r="C10" s="131"/>
      <c r="D10" s="131"/>
      <c r="E10" s="128"/>
    </row>
    <row r="11" spans="1:5" ht="14.4" customHeight="1" x14ac:dyDescent="0.3">
      <c r="A11" s="133" t="s">
        <v>88</v>
      </c>
      <c r="B11" s="130"/>
      <c r="C11" s="127"/>
      <c r="D11" s="127"/>
      <c r="E11" s="128"/>
    </row>
    <row r="12" spans="1:5" ht="14.4" customHeight="1" x14ac:dyDescent="0.3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66</v>
      </c>
      <c r="C12" s="131">
        <f>IF(ISERROR(HI!F6),"",HI!F6)</f>
        <v>11.527777777777667</v>
      </c>
      <c r="D12" s="131">
        <f>IF(ISERROR(HI!E6),"",HI!E6)</f>
        <v>10.79599</v>
      </c>
      <c r="E12" s="128">
        <f t="shared" si="0"/>
        <v>0.93651961445784038</v>
      </c>
    </row>
    <row r="13" spans="1:5" ht="14.4" customHeight="1" thickBot="1" x14ac:dyDescent="0.3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492.83333333333331</v>
      </c>
      <c r="D13" s="127">
        <f ca="1">IF(ISERROR(VLOOKUP("Osobní náklady (Kč) *",INDIRECT("HI!$A:$G"),5,0)),0,VLOOKUP("Osobní náklady (Kč) *",INDIRECT("HI!$A:$G"),5,0))</f>
        <v>505.2396</v>
      </c>
      <c r="E13" s="128">
        <f ca="1">IF(C13=0,0,D13/C13)</f>
        <v>1.0251733513696315</v>
      </c>
    </row>
    <row r="14" spans="1:5" ht="14.4" customHeight="1" thickBot="1" x14ac:dyDescent="0.35">
      <c r="A14" s="139"/>
      <c r="B14" s="140"/>
      <c r="C14" s="141"/>
      <c r="D14" s="141"/>
      <c r="E14" s="142"/>
    </row>
    <row r="15" spans="1:5" ht="14.4" customHeight="1" thickBot="1" x14ac:dyDescent="0.3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" customHeight="1" x14ac:dyDescent="0.3">
      <c r="A16" s="147" t="str">
        <f>HYPERLINK("#HI!A1","Ambulance (body za výkony + Kč za ZUM a ZULP)")</f>
        <v>Ambulance (body za výkony + Kč za ZUM a ZULP)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" customHeight="1" x14ac:dyDescent="0.3">
      <c r="A17" s="148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" customHeight="1" thickBot="1" x14ac:dyDescent="0.35">
      <c r="A18" s="149" t="s">
        <v>85</v>
      </c>
      <c r="B18" s="136"/>
      <c r="C18" s="137"/>
      <c r="D18" s="137"/>
      <c r="E18" s="138"/>
    </row>
    <row r="19" spans="1:5" ht="14.4" customHeight="1" thickBot="1" x14ac:dyDescent="0.35">
      <c r="A19" s="150"/>
      <c r="B19" s="151"/>
      <c r="C19" s="152"/>
      <c r="D19" s="152"/>
      <c r="E19" s="153"/>
    </row>
    <row r="20" spans="1:5" ht="14.4" customHeight="1" thickBot="1" x14ac:dyDescent="0.35">
      <c r="A20" s="154" t="s">
        <v>86</v>
      </c>
      <c r="B20" s="155"/>
      <c r="C20" s="156"/>
      <c r="D20" s="156"/>
      <c r="E20" s="157"/>
    </row>
  </sheetData>
  <mergeCells count="1">
    <mergeCell ref="A1:E1"/>
  </mergeCells>
  <conditionalFormatting sqref="E5">
    <cfRule type="cellIs" dxfId="57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5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4" priority="11" operator="lessThan">
      <formula>1</formula>
    </cfRule>
    <cfRule type="iconSet" priority="12">
      <iconSet iconSet="3Symbols2">
        <cfvo type="percent" val="0"/>
        <cfvo type="num" val="1"/>
        <cfvo type="num" val="1"/>
      </iconSet>
    </cfRule>
  </conditionalFormatting>
  <conditionalFormatting sqref="E17">
    <cfRule type="cellIs" dxfId="53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6">
    <cfRule type="cellIs" dxfId="52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51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50" priority="25" operator="lessThan">
      <formula>1</formula>
    </cfRule>
    <cfRule type="iconSet" priority="26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9" priority="31" operator="greaterThan">
      <formula>1</formula>
    </cfRule>
    <cfRule type="iconSet" priority="3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5" bestFit="1" customWidth="1"/>
    <col min="2" max="2" width="9.5546875" style="95" hidden="1" customWidth="1" outlineLevel="1"/>
    <col min="3" max="3" width="9.5546875" style="95" customWidth="1" collapsed="1"/>
    <col min="4" max="4" width="2.21875" style="95" customWidth="1"/>
    <col min="5" max="8" width="9.5546875" style="95" customWidth="1"/>
    <col min="9" max="10" width="9.77734375" style="95" hidden="1" customWidth="1" outlineLevel="1"/>
    <col min="11" max="11" width="8.88671875" style="95" collapsed="1"/>
    <col min="12" max="16384" width="8.88671875" style="95"/>
  </cols>
  <sheetData>
    <row r="1" spans="1:10" ht="18.600000000000001" customHeight="1" thickBot="1" x14ac:dyDescent="0.4">
      <c r="A1" s="285" t="s">
        <v>76</v>
      </c>
      <c r="B1" s="285"/>
      <c r="C1" s="285"/>
      <c r="D1" s="285"/>
      <c r="E1" s="285"/>
      <c r="F1" s="285"/>
      <c r="G1" s="285"/>
      <c r="H1" s="285"/>
      <c r="I1" s="285"/>
      <c r="J1" s="285"/>
    </row>
    <row r="2" spans="1:10" ht="14.4" customHeight="1" thickBot="1" x14ac:dyDescent="0.35">
      <c r="A2" s="173" t="s">
        <v>217</v>
      </c>
      <c r="B2" s="77"/>
      <c r="C2" s="77"/>
      <c r="D2" s="77"/>
      <c r="E2" s="77"/>
      <c r="F2" s="77"/>
    </row>
    <row r="3" spans="1:10" ht="14.4" customHeight="1" x14ac:dyDescent="0.3">
      <c r="A3" s="276"/>
      <c r="B3" s="73">
        <v>2015</v>
      </c>
      <c r="C3" s="40">
        <v>2016</v>
      </c>
      <c r="D3" s="7"/>
      <c r="E3" s="280">
        <v>2017</v>
      </c>
      <c r="F3" s="281"/>
      <c r="G3" s="281"/>
      <c r="H3" s="282"/>
      <c r="I3" s="283">
        <v>2017</v>
      </c>
      <c r="J3" s="284"/>
    </row>
    <row r="4" spans="1:10" ht="14.4" customHeight="1" thickBot="1" x14ac:dyDescent="0.35">
      <c r="A4" s="277"/>
      <c r="B4" s="278" t="s">
        <v>55</v>
      </c>
      <c r="C4" s="279"/>
      <c r="D4" s="7"/>
      <c r="E4" s="94" t="s">
        <v>55</v>
      </c>
      <c r="F4" s="75" t="s">
        <v>56</v>
      </c>
      <c r="G4" s="75" t="s">
        <v>52</v>
      </c>
      <c r="H4" s="76" t="s">
        <v>57</v>
      </c>
      <c r="I4" s="263" t="s">
        <v>208</v>
      </c>
      <c r="J4" s="264" t="s">
        <v>209</v>
      </c>
    </row>
    <row r="5" spans="1:10" ht="14.4" customHeight="1" x14ac:dyDescent="0.3">
      <c r="A5" s="78" t="str">
        <f>HYPERLINK("#'Léky Žádanky'!A1","Léky (Kč)")</f>
        <v>Léky (Kč)</v>
      </c>
      <c r="B5" s="27">
        <v>0.40909000000000001</v>
      </c>
      <c r="C5" s="29">
        <v>0.15182999999999999</v>
      </c>
      <c r="D5" s="8"/>
      <c r="E5" s="83">
        <v>0.41959999999999997</v>
      </c>
      <c r="F5" s="28">
        <v>0.83333333333333337</v>
      </c>
      <c r="G5" s="82">
        <f>E5-F5</f>
        <v>-0.4137333333333334</v>
      </c>
      <c r="H5" s="88">
        <f>IF(F5&lt;0.00000001,"",E5/F5)</f>
        <v>0.50351999999999997</v>
      </c>
    </row>
    <row r="6" spans="1:10" ht="14.4" customHeight="1" x14ac:dyDescent="0.3">
      <c r="A6" s="78" t="str">
        <f>HYPERLINK("#'Materiál Žádanky'!A1","Materiál - SZM (Kč)")</f>
        <v>Materiál - SZM (Kč)</v>
      </c>
      <c r="B6" s="10">
        <v>10.48005</v>
      </c>
      <c r="C6" s="31">
        <v>8.7509599999999992</v>
      </c>
      <c r="D6" s="8"/>
      <c r="E6" s="84">
        <v>10.79599</v>
      </c>
      <c r="F6" s="30">
        <v>11.527777777777667</v>
      </c>
      <c r="G6" s="85">
        <f>E6-F6</f>
        <v>-0.7317877777776669</v>
      </c>
      <c r="H6" s="89">
        <f>IF(F6&lt;0.00000001,"",E6/F6)</f>
        <v>0.93651961445784038</v>
      </c>
    </row>
    <row r="7" spans="1:10" ht="14.4" customHeight="1" x14ac:dyDescent="0.3">
      <c r="A7" s="78" t="str">
        <f>HYPERLINK("#'Osobní náklady'!A1","Osobní náklady (Kč) *")</f>
        <v>Osobní náklady (Kč) *</v>
      </c>
      <c r="B7" s="10">
        <v>429.94898000000103</v>
      </c>
      <c r="C7" s="31">
        <v>454.75261999999998</v>
      </c>
      <c r="D7" s="8"/>
      <c r="E7" s="84">
        <v>505.2396</v>
      </c>
      <c r="F7" s="30">
        <v>492.83333333333331</v>
      </c>
      <c r="G7" s="85">
        <f>E7-F7</f>
        <v>12.406266666666681</v>
      </c>
      <c r="H7" s="89">
        <f>IF(F7&lt;0.00000001,"",E7/F7)</f>
        <v>1.0251733513696315</v>
      </c>
    </row>
    <row r="8" spans="1:10" ht="14.4" customHeight="1" thickBot="1" x14ac:dyDescent="0.35">
      <c r="A8" s="1" t="s">
        <v>58</v>
      </c>
      <c r="B8" s="11">
        <v>59.170889999999979</v>
      </c>
      <c r="C8" s="33">
        <v>99.76234000000008</v>
      </c>
      <c r="D8" s="8"/>
      <c r="E8" s="86">
        <v>75.954840000000004</v>
      </c>
      <c r="F8" s="32">
        <v>73.970570114643948</v>
      </c>
      <c r="G8" s="87">
        <f>E8-F8</f>
        <v>1.9842698853560563</v>
      </c>
      <c r="H8" s="90">
        <f>IF(F8&lt;0.00000001,"",E8/F8)</f>
        <v>1.0268251262938857</v>
      </c>
    </row>
    <row r="9" spans="1:10" ht="14.4" customHeight="1" thickBot="1" x14ac:dyDescent="0.35">
      <c r="A9" s="2" t="s">
        <v>59</v>
      </c>
      <c r="B9" s="3">
        <v>500.00901000000101</v>
      </c>
      <c r="C9" s="35">
        <v>563.41775000000007</v>
      </c>
      <c r="D9" s="8"/>
      <c r="E9" s="3">
        <v>592.41003000000001</v>
      </c>
      <c r="F9" s="34">
        <v>579.16501455908826</v>
      </c>
      <c r="G9" s="34">
        <f>E9-F9</f>
        <v>13.245015440911743</v>
      </c>
      <c r="H9" s="91">
        <f>IF(F9&lt;0.00000001,"",E9/F9)</f>
        <v>1.0228691566444064</v>
      </c>
    </row>
    <row r="10" spans="1:10" ht="14.4" customHeight="1" thickBot="1" x14ac:dyDescent="0.35">
      <c r="A10" s="12"/>
      <c r="B10" s="12"/>
      <c r="C10" s="74"/>
      <c r="D10" s="8"/>
      <c r="E10" s="12"/>
      <c r="F10" s="13"/>
    </row>
    <row r="11" spans="1:10" ht="14.4" customHeight="1" x14ac:dyDescent="0.3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" customHeight="1" thickBot="1" x14ac:dyDescent="0.3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" customHeight="1" thickBot="1" x14ac:dyDescent="0.35">
      <c r="A14" s="12"/>
      <c r="B14" s="12"/>
      <c r="C14" s="74"/>
      <c r="D14" s="8"/>
      <c r="E14" s="12"/>
      <c r="F14" s="13"/>
    </row>
    <row r="15" spans="1:10" ht="14.4" customHeight="1" thickBot="1" x14ac:dyDescent="0.3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8" t="s">
        <v>126</v>
      </c>
      <c r="B18" s="229"/>
      <c r="C18" s="229"/>
      <c r="D18" s="229"/>
      <c r="E18" s="229"/>
      <c r="F18" s="229"/>
      <c r="G18" s="229"/>
      <c r="H18" s="229"/>
    </row>
    <row r="19" spans="1:8" x14ac:dyDescent="0.3">
      <c r="A19" s="227" t="s">
        <v>125</v>
      </c>
      <c r="B19" s="229"/>
      <c r="C19" s="229"/>
      <c r="D19" s="229"/>
      <c r="E19" s="229"/>
      <c r="F19" s="229"/>
      <c r="G19" s="229"/>
      <c r="H19" s="229"/>
    </row>
    <row r="20" spans="1:8" ht="14.4" customHeight="1" x14ac:dyDescent="0.3">
      <c r="A20" s="80" t="s">
        <v>174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207</v>
      </c>
    </row>
    <row r="23" spans="1:8" ht="14.4" customHeight="1" x14ac:dyDescent="0.3">
      <c r="A23" s="81" t="s">
        <v>92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8" priority="8" operator="greaterThan">
      <formula>0</formula>
    </cfRule>
  </conditionalFormatting>
  <conditionalFormatting sqref="G11:G13 G15">
    <cfRule type="cellIs" dxfId="47" priority="7" operator="lessThan">
      <formula>0</formula>
    </cfRule>
  </conditionalFormatting>
  <conditionalFormatting sqref="H5:H9">
    <cfRule type="cellIs" dxfId="46" priority="6" operator="greaterThan">
      <formula>1</formula>
    </cfRule>
  </conditionalFormatting>
  <conditionalFormatting sqref="H11:H13 H15">
    <cfRule type="cellIs" dxfId="45" priority="5" operator="lessThan">
      <formula>1</formula>
    </cfRule>
  </conditionalFormatting>
  <conditionalFormatting sqref="I11:I13">
    <cfRule type="cellIs" dxfId="44" priority="4" operator="lessThan">
      <formula>0</formula>
    </cfRule>
  </conditionalFormatting>
  <conditionalFormatting sqref="J11:J13">
    <cfRule type="cellIs" dxfId="43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5" bestFit="1" customWidth="1"/>
    <col min="2" max="2" width="12.77734375" style="95" bestFit="1" customWidth="1"/>
    <col min="3" max="3" width="13.6640625" style="95" bestFit="1" customWidth="1"/>
    <col min="4" max="15" width="7.77734375" style="95" bestFit="1" customWidth="1"/>
    <col min="16" max="16" width="8.88671875" style="95" customWidth="1"/>
    <col min="17" max="17" width="6.6640625" style="95" bestFit="1" customWidth="1"/>
    <col min="18" max="16384" width="8.88671875" style="95"/>
  </cols>
  <sheetData>
    <row r="1" spans="1:17" s="158" customFormat="1" ht="18.600000000000001" customHeight="1" thickBot="1" x14ac:dyDescent="0.4">
      <c r="A1" s="286" t="s">
        <v>219</v>
      </c>
      <c r="B1" s="286"/>
      <c r="C1" s="286"/>
      <c r="D1" s="286"/>
      <c r="E1" s="286"/>
      <c r="F1" s="286"/>
      <c r="G1" s="286"/>
      <c r="H1" s="274"/>
      <c r="I1" s="274"/>
      <c r="J1" s="274"/>
      <c r="K1" s="274"/>
      <c r="L1" s="274"/>
      <c r="M1" s="274"/>
      <c r="N1" s="274"/>
      <c r="O1" s="274"/>
      <c r="P1" s="274"/>
      <c r="Q1" s="274"/>
    </row>
    <row r="2" spans="1:17" s="158" customFormat="1" ht="14.4" customHeight="1" thickBot="1" x14ac:dyDescent="0.3">
      <c r="A2" s="173" t="s">
        <v>217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" customHeight="1" x14ac:dyDescent="0.3">
      <c r="A3" s="58"/>
      <c r="B3" s="287" t="s">
        <v>13</v>
      </c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103"/>
      <c r="Q3" s="105"/>
    </row>
    <row r="4" spans="1:17" ht="14.4" customHeight="1" x14ac:dyDescent="0.3">
      <c r="A4" s="59"/>
      <c r="B4" s="20">
        <v>2017</v>
      </c>
      <c r="C4" s="104" t="s">
        <v>14</v>
      </c>
      <c r="D4" s="262" t="s">
        <v>186</v>
      </c>
      <c r="E4" s="262" t="s">
        <v>187</v>
      </c>
      <c r="F4" s="262" t="s">
        <v>188</v>
      </c>
      <c r="G4" s="262" t="s">
        <v>189</v>
      </c>
      <c r="H4" s="262" t="s">
        <v>190</v>
      </c>
      <c r="I4" s="262" t="s">
        <v>191</v>
      </c>
      <c r="J4" s="262" t="s">
        <v>192</v>
      </c>
      <c r="K4" s="262" t="s">
        <v>193</v>
      </c>
      <c r="L4" s="262" t="s">
        <v>194</v>
      </c>
      <c r="M4" s="262" t="s">
        <v>195</v>
      </c>
      <c r="N4" s="262" t="s">
        <v>196</v>
      </c>
      <c r="O4" s="262" t="s">
        <v>197</v>
      </c>
      <c r="P4" s="289" t="s">
        <v>2</v>
      </c>
      <c r="Q4" s="290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218</v>
      </c>
    </row>
    <row r="7" spans="1:17" ht="14.4" customHeight="1" x14ac:dyDescent="0.3">
      <c r="A7" s="15" t="s">
        <v>19</v>
      </c>
      <c r="B7" s="46">
        <v>5</v>
      </c>
      <c r="C7" s="47">
        <v>0.416666666666</v>
      </c>
      <c r="D7" s="47">
        <v>0.41959999999999997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0.41959999999999997</v>
      </c>
      <c r="Q7" s="68">
        <v>0.50351999999999997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218</v>
      </c>
    </row>
    <row r="9" spans="1:17" ht="14.4" customHeight="1" x14ac:dyDescent="0.3">
      <c r="A9" s="15" t="s">
        <v>21</v>
      </c>
      <c r="B9" s="46">
        <v>69.166666666666003</v>
      </c>
      <c r="C9" s="47">
        <v>5.7638888888880002</v>
      </c>
      <c r="D9" s="47">
        <v>9.3679900000000007</v>
      </c>
      <c r="E9" s="47">
        <v>1.4279999999999999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10.79599</v>
      </c>
      <c r="Q9" s="68">
        <v>0.93651961445700005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218</v>
      </c>
    </row>
    <row r="11" spans="1:17" ht="14.4" customHeight="1" x14ac:dyDescent="0.3">
      <c r="A11" s="15" t="s">
        <v>23</v>
      </c>
      <c r="B11" s="46">
        <v>179.59544833546599</v>
      </c>
      <c r="C11" s="47">
        <v>14.966287361288</v>
      </c>
      <c r="D11" s="47">
        <v>31.756910000000001</v>
      </c>
      <c r="E11" s="47">
        <v>5.2434500000000002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37.000360000000001</v>
      </c>
      <c r="Q11" s="68">
        <v>1.236123532403</v>
      </c>
    </row>
    <row r="12" spans="1:17" ht="14.4" customHeight="1" x14ac:dyDescent="0.3">
      <c r="A12" s="15" t="s">
        <v>24</v>
      </c>
      <c r="B12" s="46">
        <v>0.28258659069399999</v>
      </c>
      <c r="C12" s="47">
        <v>2.3548882556999998E-2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8">
        <v>0</v>
      </c>
    </row>
    <row r="13" spans="1:17" ht="14.4" customHeight="1" x14ac:dyDescent="0.3">
      <c r="A13" s="15" t="s">
        <v>25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68" t="s">
        <v>218</v>
      </c>
    </row>
    <row r="14" spans="1:17" ht="14.4" customHeight="1" x14ac:dyDescent="0.3">
      <c r="A14" s="15" t="s">
        <v>26</v>
      </c>
      <c r="B14" s="46">
        <v>66.868659554657995</v>
      </c>
      <c r="C14" s="47">
        <v>5.5723882962209998</v>
      </c>
      <c r="D14" s="47">
        <v>4.1040000000000001</v>
      </c>
      <c r="E14" s="47">
        <v>3.726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7.83</v>
      </c>
      <c r="Q14" s="68">
        <v>0.70257128395900004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218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218</v>
      </c>
    </row>
    <row r="17" spans="1:17" ht="14.4" customHeight="1" x14ac:dyDescent="0.3">
      <c r="A17" s="15" t="s">
        <v>29</v>
      </c>
      <c r="B17" s="46">
        <v>2.517552208528</v>
      </c>
      <c r="C17" s="47">
        <v>0.20979601737699999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68">
        <v>0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0.14399999999999999</v>
      </c>
      <c r="E18" s="47">
        <v>3.18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3.3239999999999998</v>
      </c>
      <c r="Q18" s="68" t="s">
        <v>218</v>
      </c>
    </row>
    <row r="19" spans="1:17" ht="14.4" customHeight="1" x14ac:dyDescent="0.3">
      <c r="A19" s="15" t="s">
        <v>31</v>
      </c>
      <c r="B19" s="46">
        <v>122.55917399851501</v>
      </c>
      <c r="C19" s="47">
        <v>10.213264499876001</v>
      </c>
      <c r="D19" s="47">
        <v>4.7518200000000004</v>
      </c>
      <c r="E19" s="47">
        <v>7.2326600000000001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11.98448</v>
      </c>
      <c r="Q19" s="68">
        <v>0.58671152598300003</v>
      </c>
    </row>
    <row r="20" spans="1:17" ht="14.4" customHeight="1" x14ac:dyDescent="0.3">
      <c r="A20" s="15" t="s">
        <v>32</v>
      </c>
      <c r="B20" s="46">
        <v>2957</v>
      </c>
      <c r="C20" s="47">
        <v>246.416666666667</v>
      </c>
      <c r="D20" s="47">
        <v>252.43528000000001</v>
      </c>
      <c r="E20" s="47">
        <v>252.80431999999999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505.2396</v>
      </c>
      <c r="Q20" s="68">
        <v>1.025173351369</v>
      </c>
    </row>
    <row r="21" spans="1:17" ht="14.4" customHeight="1" x14ac:dyDescent="0.3">
      <c r="A21" s="16" t="s">
        <v>33</v>
      </c>
      <c r="B21" s="46">
        <v>72</v>
      </c>
      <c r="C21" s="47">
        <v>6</v>
      </c>
      <c r="D21" s="47">
        <v>5.9379999999999997</v>
      </c>
      <c r="E21" s="47">
        <v>5.9379999999999997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11.875999999999999</v>
      </c>
      <c r="Q21" s="68">
        <v>0.98966666666600001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218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218</v>
      </c>
    </row>
    <row r="24" spans="1:17" ht="14.4" customHeight="1" x14ac:dyDescent="0.3">
      <c r="A24" s="16" t="s">
        <v>36</v>
      </c>
      <c r="B24" s="46">
        <v>0</v>
      </c>
      <c r="C24" s="47">
        <v>0</v>
      </c>
      <c r="D24" s="47">
        <v>0</v>
      </c>
      <c r="E24" s="47">
        <v>3.94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3.94</v>
      </c>
      <c r="Q24" s="68" t="s">
        <v>218</v>
      </c>
    </row>
    <row r="25" spans="1:17" ht="14.4" customHeight="1" x14ac:dyDescent="0.3">
      <c r="A25" s="17" t="s">
        <v>37</v>
      </c>
      <c r="B25" s="49">
        <v>3474.9900873545298</v>
      </c>
      <c r="C25" s="50">
        <v>289.58250727954402</v>
      </c>
      <c r="D25" s="50">
        <v>308.91759999999999</v>
      </c>
      <c r="E25" s="50">
        <v>283.49243000000001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592.41003000000001</v>
      </c>
      <c r="Q25" s="69">
        <v>1.022869156644</v>
      </c>
    </row>
    <row r="26" spans="1:17" ht="14.4" customHeight="1" x14ac:dyDescent="0.3">
      <c r="A26" s="15" t="s">
        <v>38</v>
      </c>
      <c r="B26" s="46">
        <v>0</v>
      </c>
      <c r="C26" s="47">
        <v>0</v>
      </c>
      <c r="D26" s="47">
        <v>37.882550000000002</v>
      </c>
      <c r="E26" s="47">
        <v>29.726120000000002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67.608670000000004</v>
      </c>
      <c r="Q26" s="68" t="s">
        <v>218</v>
      </c>
    </row>
    <row r="27" spans="1:17" ht="14.4" customHeight="1" x14ac:dyDescent="0.3">
      <c r="A27" s="18" t="s">
        <v>39</v>
      </c>
      <c r="B27" s="49">
        <v>3474.9900873545298</v>
      </c>
      <c r="C27" s="50">
        <v>289.58250727954402</v>
      </c>
      <c r="D27" s="50">
        <v>346.80014999999997</v>
      </c>
      <c r="E27" s="50">
        <v>313.21854999999999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660.01869999999997</v>
      </c>
      <c r="Q27" s="69">
        <v>1.1396038838810001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12.5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218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10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218</v>
      </c>
    </row>
    <row r="32" spans="1:17" ht="14.4" customHeight="1" x14ac:dyDescent="0.3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" customHeight="1" x14ac:dyDescent="0.3">
      <c r="A33" s="79" t="s">
        <v>90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" customHeight="1" x14ac:dyDescent="0.3">
      <c r="A34" s="101" t="s">
        <v>198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" customHeight="1" x14ac:dyDescent="0.3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5" customWidth="1"/>
    <col min="2" max="11" width="10" style="95" customWidth="1"/>
    <col min="12" max="16384" width="8.88671875" style="95"/>
  </cols>
  <sheetData>
    <row r="1" spans="1:11" s="55" customFormat="1" ht="18.600000000000001" customHeight="1" thickBot="1" x14ac:dyDescent="0.4">
      <c r="A1" s="286" t="s">
        <v>45</v>
      </c>
      <c r="B1" s="286"/>
      <c r="C1" s="286"/>
      <c r="D1" s="286"/>
      <c r="E1" s="286"/>
      <c r="F1" s="286"/>
      <c r="G1" s="286"/>
      <c r="H1" s="291"/>
      <c r="I1" s="291"/>
      <c r="J1" s="291"/>
      <c r="K1" s="291"/>
    </row>
    <row r="2" spans="1:11" s="55" customFormat="1" ht="14.4" customHeight="1" thickBot="1" x14ac:dyDescent="0.35">
      <c r="A2" s="173" t="s">
        <v>217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87" t="s">
        <v>46</v>
      </c>
      <c r="C3" s="288"/>
      <c r="D3" s="288"/>
      <c r="E3" s="288"/>
      <c r="F3" s="294" t="s">
        <v>47</v>
      </c>
      <c r="G3" s="288"/>
      <c r="H3" s="288"/>
      <c r="I3" s="288"/>
      <c r="J3" s="288"/>
      <c r="K3" s="295"/>
    </row>
    <row r="4" spans="1:11" ht="14.4" customHeight="1" x14ac:dyDescent="0.3">
      <c r="A4" s="59"/>
      <c r="B4" s="292"/>
      <c r="C4" s="293"/>
      <c r="D4" s="293"/>
      <c r="E4" s="293"/>
      <c r="F4" s="296" t="s">
        <v>199</v>
      </c>
      <c r="G4" s="298" t="s">
        <v>48</v>
      </c>
      <c r="H4" s="106" t="s">
        <v>80</v>
      </c>
      <c r="I4" s="296" t="s">
        <v>49</v>
      </c>
      <c r="J4" s="298" t="s">
        <v>206</v>
      </c>
      <c r="K4" s="299" t="s">
        <v>200</v>
      </c>
    </row>
    <row r="5" spans="1:11" ht="42" thickBot="1" x14ac:dyDescent="0.35">
      <c r="A5" s="60"/>
      <c r="B5" s="24" t="s">
        <v>202</v>
      </c>
      <c r="C5" s="25" t="s">
        <v>203</v>
      </c>
      <c r="D5" s="26" t="s">
        <v>204</v>
      </c>
      <c r="E5" s="26" t="s">
        <v>205</v>
      </c>
      <c r="F5" s="297"/>
      <c r="G5" s="297"/>
      <c r="H5" s="25" t="s">
        <v>201</v>
      </c>
      <c r="I5" s="297"/>
      <c r="J5" s="297"/>
      <c r="K5" s="300"/>
    </row>
    <row r="6" spans="1:11" ht="14.4" customHeight="1" thickBot="1" x14ac:dyDescent="0.35">
      <c r="A6" s="340" t="s">
        <v>220</v>
      </c>
      <c r="B6" s="322">
        <v>3502.1181136721002</v>
      </c>
      <c r="C6" s="322">
        <v>3642.5749700000001</v>
      </c>
      <c r="D6" s="323">
        <v>140.4568563279</v>
      </c>
      <c r="E6" s="324">
        <v>1.0401062590600001</v>
      </c>
      <c r="F6" s="322">
        <v>3474.9900873545298</v>
      </c>
      <c r="G6" s="323">
        <v>579.16501455908804</v>
      </c>
      <c r="H6" s="325">
        <v>283.49243000000001</v>
      </c>
      <c r="I6" s="322">
        <v>592.41003000000001</v>
      </c>
      <c r="J6" s="323">
        <v>13.245015440911001</v>
      </c>
      <c r="K6" s="326">
        <v>0.170478192774</v>
      </c>
    </row>
    <row r="7" spans="1:11" ht="14.4" customHeight="1" thickBot="1" x14ac:dyDescent="0.35">
      <c r="A7" s="341" t="s">
        <v>221</v>
      </c>
      <c r="B7" s="322">
        <v>364.95377963261501</v>
      </c>
      <c r="C7" s="322">
        <v>303.10581999999999</v>
      </c>
      <c r="D7" s="323">
        <v>-61.847959632614</v>
      </c>
      <c r="E7" s="324">
        <v>0.83053207533600004</v>
      </c>
      <c r="F7" s="322">
        <v>320.91336114748498</v>
      </c>
      <c r="G7" s="323">
        <v>53.485560191246996</v>
      </c>
      <c r="H7" s="325">
        <v>10.397449999999999</v>
      </c>
      <c r="I7" s="322">
        <v>56.045949999999998</v>
      </c>
      <c r="J7" s="323">
        <v>2.5603898087519998</v>
      </c>
      <c r="K7" s="326">
        <v>0.17464511231099999</v>
      </c>
    </row>
    <row r="8" spans="1:11" ht="14.4" customHeight="1" thickBot="1" x14ac:dyDescent="0.35">
      <c r="A8" s="342" t="s">
        <v>222</v>
      </c>
      <c r="B8" s="322">
        <v>269.07206975175899</v>
      </c>
      <c r="C8" s="322">
        <v>237.94882000000001</v>
      </c>
      <c r="D8" s="323">
        <v>-31.123249751759001</v>
      </c>
      <c r="E8" s="324">
        <v>0.88433117647399995</v>
      </c>
      <c r="F8" s="322">
        <v>254.04470159282701</v>
      </c>
      <c r="G8" s="323">
        <v>42.340783598804002</v>
      </c>
      <c r="H8" s="325">
        <v>6.6714500000000001</v>
      </c>
      <c r="I8" s="322">
        <v>48.215949999999999</v>
      </c>
      <c r="J8" s="323">
        <v>5.875166401195</v>
      </c>
      <c r="K8" s="326">
        <v>0.189793173003</v>
      </c>
    </row>
    <row r="9" spans="1:11" ht="14.4" customHeight="1" thickBot="1" x14ac:dyDescent="0.35">
      <c r="A9" s="343" t="s">
        <v>223</v>
      </c>
      <c r="B9" s="327">
        <v>4.9999990731189996</v>
      </c>
      <c r="C9" s="327">
        <v>0.45740999999999998</v>
      </c>
      <c r="D9" s="328">
        <v>-4.5425890731190002</v>
      </c>
      <c r="E9" s="329">
        <v>9.1482016957999998E-2</v>
      </c>
      <c r="F9" s="327">
        <v>5</v>
      </c>
      <c r="G9" s="328">
        <v>0.83333333333299997</v>
      </c>
      <c r="H9" s="330">
        <v>0</v>
      </c>
      <c r="I9" s="327">
        <v>0.41959999999999997</v>
      </c>
      <c r="J9" s="328">
        <v>-0.413733333333</v>
      </c>
      <c r="K9" s="331">
        <v>8.3919999999999995E-2</v>
      </c>
    </row>
    <row r="10" spans="1:11" ht="14.4" customHeight="1" thickBot="1" x14ac:dyDescent="0.35">
      <c r="A10" s="344" t="s">
        <v>224</v>
      </c>
      <c r="B10" s="322">
        <v>4.9999990731189996</v>
      </c>
      <c r="C10" s="322">
        <v>0.45740999999999998</v>
      </c>
      <c r="D10" s="323">
        <v>-4.5425890731190002</v>
      </c>
      <c r="E10" s="324">
        <v>9.1482016957999998E-2</v>
      </c>
      <c r="F10" s="322">
        <v>5</v>
      </c>
      <c r="G10" s="323">
        <v>0.83333333333299997</v>
      </c>
      <c r="H10" s="325">
        <v>0</v>
      </c>
      <c r="I10" s="322">
        <v>0.41959999999999997</v>
      </c>
      <c r="J10" s="323">
        <v>-0.413733333333</v>
      </c>
      <c r="K10" s="326">
        <v>8.3919999999999995E-2</v>
      </c>
    </row>
    <row r="11" spans="1:11" ht="14.4" customHeight="1" thickBot="1" x14ac:dyDescent="0.35">
      <c r="A11" s="343" t="s">
        <v>225</v>
      </c>
      <c r="B11" s="327">
        <v>67.142006061545004</v>
      </c>
      <c r="C11" s="327">
        <v>61.033059999999999</v>
      </c>
      <c r="D11" s="328">
        <v>-6.1089460615449998</v>
      </c>
      <c r="E11" s="329">
        <v>0.90901454365300005</v>
      </c>
      <c r="F11" s="327">
        <v>69.166666666666003</v>
      </c>
      <c r="G11" s="328">
        <v>11.527777777777001</v>
      </c>
      <c r="H11" s="330">
        <v>1.4279999999999999</v>
      </c>
      <c r="I11" s="327">
        <v>10.79599</v>
      </c>
      <c r="J11" s="328">
        <v>-0.73178777777699999</v>
      </c>
      <c r="K11" s="331">
        <v>0.15608660240899999</v>
      </c>
    </row>
    <row r="12" spans="1:11" ht="14.4" customHeight="1" thickBot="1" x14ac:dyDescent="0.35">
      <c r="A12" s="344" t="s">
        <v>226</v>
      </c>
      <c r="B12" s="322">
        <v>63.000005687607</v>
      </c>
      <c r="C12" s="322">
        <v>58.613059999999997</v>
      </c>
      <c r="D12" s="323">
        <v>-4.3869456876069997</v>
      </c>
      <c r="E12" s="324">
        <v>0.93036594775299997</v>
      </c>
      <c r="F12" s="322">
        <v>60</v>
      </c>
      <c r="G12" s="323">
        <v>10</v>
      </c>
      <c r="H12" s="325">
        <v>1.4279999999999999</v>
      </c>
      <c r="I12" s="322">
        <v>10.51999</v>
      </c>
      <c r="J12" s="323">
        <v>0.51998999999899997</v>
      </c>
      <c r="K12" s="326">
        <v>0.17533316666599999</v>
      </c>
    </row>
    <row r="13" spans="1:11" ht="14.4" customHeight="1" thickBot="1" x14ac:dyDescent="0.35">
      <c r="A13" s="344" t="s">
        <v>227</v>
      </c>
      <c r="B13" s="322">
        <v>4.0000003611170003</v>
      </c>
      <c r="C13" s="322">
        <v>2.42</v>
      </c>
      <c r="D13" s="323">
        <v>-1.5800003611169999</v>
      </c>
      <c r="E13" s="324">
        <v>0.60499994538000001</v>
      </c>
      <c r="F13" s="322">
        <v>4</v>
      </c>
      <c r="G13" s="323">
        <v>0.66666666666600005</v>
      </c>
      <c r="H13" s="325">
        <v>0</v>
      </c>
      <c r="I13" s="322">
        <v>0</v>
      </c>
      <c r="J13" s="323">
        <v>-0.66666666666600005</v>
      </c>
      <c r="K13" s="326">
        <v>0</v>
      </c>
    </row>
    <row r="14" spans="1:11" ht="14.4" customHeight="1" thickBot="1" x14ac:dyDescent="0.35">
      <c r="A14" s="344" t="s">
        <v>228</v>
      </c>
      <c r="B14" s="322">
        <v>0</v>
      </c>
      <c r="C14" s="322">
        <v>0</v>
      </c>
      <c r="D14" s="323">
        <v>0</v>
      </c>
      <c r="E14" s="324">
        <v>1</v>
      </c>
      <c r="F14" s="322">
        <v>5.1666666666659999</v>
      </c>
      <c r="G14" s="323">
        <v>0.86111111111100003</v>
      </c>
      <c r="H14" s="325">
        <v>0</v>
      </c>
      <c r="I14" s="322">
        <v>0</v>
      </c>
      <c r="J14" s="323">
        <v>-0.86111111111100003</v>
      </c>
      <c r="K14" s="326">
        <v>0</v>
      </c>
    </row>
    <row r="15" spans="1:11" ht="14.4" customHeight="1" thickBot="1" x14ac:dyDescent="0.35">
      <c r="A15" s="344" t="s">
        <v>229</v>
      </c>
      <c r="B15" s="322">
        <v>0.14200001281899999</v>
      </c>
      <c r="C15" s="322">
        <v>0</v>
      </c>
      <c r="D15" s="323">
        <v>-0.14200001281899999</v>
      </c>
      <c r="E15" s="324">
        <v>0</v>
      </c>
      <c r="F15" s="322">
        <v>0</v>
      </c>
      <c r="G15" s="323">
        <v>0</v>
      </c>
      <c r="H15" s="325">
        <v>0</v>
      </c>
      <c r="I15" s="322">
        <v>0.27600000000000002</v>
      </c>
      <c r="J15" s="323">
        <v>0.27600000000000002</v>
      </c>
      <c r="K15" s="332" t="s">
        <v>230</v>
      </c>
    </row>
    <row r="16" spans="1:11" ht="14.4" customHeight="1" thickBot="1" x14ac:dyDescent="0.35">
      <c r="A16" s="343" t="s">
        <v>231</v>
      </c>
      <c r="B16" s="327">
        <v>196.43142752793401</v>
      </c>
      <c r="C16" s="327">
        <v>175.56406999999999</v>
      </c>
      <c r="D16" s="328">
        <v>-20.867357527932999</v>
      </c>
      <c r="E16" s="329">
        <v>0.89376772448999997</v>
      </c>
      <c r="F16" s="327">
        <v>179.59544833546599</v>
      </c>
      <c r="G16" s="328">
        <v>29.932574722577002</v>
      </c>
      <c r="H16" s="330">
        <v>5.2434500000000002</v>
      </c>
      <c r="I16" s="327">
        <v>37.000360000000001</v>
      </c>
      <c r="J16" s="328">
        <v>7.0677852774219998</v>
      </c>
      <c r="K16" s="331">
        <v>0.206020588733</v>
      </c>
    </row>
    <row r="17" spans="1:11" ht="14.4" customHeight="1" thickBot="1" x14ac:dyDescent="0.35">
      <c r="A17" s="344" t="s">
        <v>232</v>
      </c>
      <c r="B17" s="322">
        <v>0</v>
      </c>
      <c r="C17" s="322">
        <v>1.6930000000000001E-2</v>
      </c>
      <c r="D17" s="323">
        <v>1.6930000000000001E-2</v>
      </c>
      <c r="E17" s="333" t="s">
        <v>230</v>
      </c>
      <c r="F17" s="322">
        <v>0</v>
      </c>
      <c r="G17" s="323">
        <v>0</v>
      </c>
      <c r="H17" s="325">
        <v>3.388E-2</v>
      </c>
      <c r="I17" s="322">
        <v>0.21648000000000001</v>
      </c>
      <c r="J17" s="323">
        <v>0.21648000000000001</v>
      </c>
      <c r="K17" s="332" t="s">
        <v>218</v>
      </c>
    </row>
    <row r="18" spans="1:11" ht="14.4" customHeight="1" thickBot="1" x14ac:dyDescent="0.35">
      <c r="A18" s="344" t="s">
        <v>233</v>
      </c>
      <c r="B18" s="322">
        <v>1.2216282037790001</v>
      </c>
      <c r="C18" s="322">
        <v>5.0527499999999996</v>
      </c>
      <c r="D18" s="323">
        <v>3.8311217962200002</v>
      </c>
      <c r="E18" s="324">
        <v>4.1360783783189996</v>
      </c>
      <c r="F18" s="322">
        <v>6.0605417942940001</v>
      </c>
      <c r="G18" s="323">
        <v>1.0100902990489999</v>
      </c>
      <c r="H18" s="325">
        <v>0.39878000000000002</v>
      </c>
      <c r="I18" s="322">
        <v>1.2856099999999999</v>
      </c>
      <c r="J18" s="323">
        <v>0.27551970095</v>
      </c>
      <c r="K18" s="326">
        <v>0.21212789939099999</v>
      </c>
    </row>
    <row r="19" spans="1:11" ht="14.4" customHeight="1" thickBot="1" x14ac:dyDescent="0.35">
      <c r="A19" s="344" t="s">
        <v>234</v>
      </c>
      <c r="B19" s="322">
        <v>7.2780101808030002</v>
      </c>
      <c r="C19" s="322">
        <v>4.2870600000000003</v>
      </c>
      <c r="D19" s="323">
        <v>-2.9909501808029999</v>
      </c>
      <c r="E19" s="324">
        <v>0.58904286934100003</v>
      </c>
      <c r="F19" s="322">
        <v>5</v>
      </c>
      <c r="G19" s="323">
        <v>0.83333333333299997</v>
      </c>
      <c r="H19" s="325">
        <v>1.7122999999999999</v>
      </c>
      <c r="I19" s="322">
        <v>2.5890900000000001</v>
      </c>
      <c r="J19" s="323">
        <v>1.7557566666660001</v>
      </c>
      <c r="K19" s="326">
        <v>0.517818</v>
      </c>
    </row>
    <row r="20" spans="1:11" ht="14.4" customHeight="1" thickBot="1" x14ac:dyDescent="0.35">
      <c r="A20" s="344" t="s">
        <v>235</v>
      </c>
      <c r="B20" s="322">
        <v>0.19923769720000001</v>
      </c>
      <c r="C20" s="322">
        <v>0</v>
      </c>
      <c r="D20" s="323">
        <v>-0.19923769720000001</v>
      </c>
      <c r="E20" s="324">
        <v>0</v>
      </c>
      <c r="F20" s="322">
        <v>0</v>
      </c>
      <c r="G20" s="323">
        <v>0</v>
      </c>
      <c r="H20" s="325">
        <v>0</v>
      </c>
      <c r="I20" s="322">
        <v>0</v>
      </c>
      <c r="J20" s="323">
        <v>0</v>
      </c>
      <c r="K20" s="326">
        <v>2</v>
      </c>
    </row>
    <row r="21" spans="1:11" ht="14.4" customHeight="1" thickBot="1" x14ac:dyDescent="0.35">
      <c r="A21" s="344" t="s">
        <v>236</v>
      </c>
      <c r="B21" s="322">
        <v>182.85581176229701</v>
      </c>
      <c r="C21" s="322">
        <v>154.42044999999999</v>
      </c>
      <c r="D21" s="323">
        <v>-28.435361762296001</v>
      </c>
      <c r="E21" s="324">
        <v>0.84449298336</v>
      </c>
      <c r="F21" s="322">
        <v>160</v>
      </c>
      <c r="G21" s="323">
        <v>26.666666666666</v>
      </c>
      <c r="H21" s="325">
        <v>1.343</v>
      </c>
      <c r="I21" s="322">
        <v>27.91479</v>
      </c>
      <c r="J21" s="323">
        <v>1.248123333333</v>
      </c>
      <c r="K21" s="326">
        <v>0.17446743749999999</v>
      </c>
    </row>
    <row r="22" spans="1:11" ht="14.4" customHeight="1" thickBot="1" x14ac:dyDescent="0.35">
      <c r="A22" s="344" t="s">
        <v>237</v>
      </c>
      <c r="B22" s="322">
        <v>4.2506330407900004</v>
      </c>
      <c r="C22" s="322">
        <v>10.4933</v>
      </c>
      <c r="D22" s="323">
        <v>6.2426669592090001</v>
      </c>
      <c r="E22" s="324">
        <v>2.468644058262</v>
      </c>
      <c r="F22" s="322">
        <v>6.5349065411709999</v>
      </c>
      <c r="G22" s="323">
        <v>1.0891510901949999</v>
      </c>
      <c r="H22" s="325">
        <v>0</v>
      </c>
      <c r="I22" s="322">
        <v>0</v>
      </c>
      <c r="J22" s="323">
        <v>-1.0891510901949999</v>
      </c>
      <c r="K22" s="326">
        <v>0</v>
      </c>
    </row>
    <row r="23" spans="1:11" ht="14.4" customHeight="1" thickBot="1" x14ac:dyDescent="0.35">
      <c r="A23" s="344" t="s">
        <v>238</v>
      </c>
      <c r="B23" s="322">
        <v>0</v>
      </c>
      <c r="C23" s="322">
        <v>0</v>
      </c>
      <c r="D23" s="323">
        <v>0</v>
      </c>
      <c r="E23" s="324">
        <v>1</v>
      </c>
      <c r="F23" s="322">
        <v>0</v>
      </c>
      <c r="G23" s="323">
        <v>0</v>
      </c>
      <c r="H23" s="325">
        <v>0.35</v>
      </c>
      <c r="I23" s="322">
        <v>2.7578999999999998</v>
      </c>
      <c r="J23" s="323">
        <v>2.7578999999999998</v>
      </c>
      <c r="K23" s="332" t="s">
        <v>230</v>
      </c>
    </row>
    <row r="24" spans="1:11" ht="14.4" customHeight="1" thickBot="1" x14ac:dyDescent="0.35">
      <c r="A24" s="344" t="s">
        <v>239</v>
      </c>
      <c r="B24" s="322">
        <v>0.62610664306200003</v>
      </c>
      <c r="C24" s="322">
        <v>1.29358</v>
      </c>
      <c r="D24" s="323">
        <v>0.66747335693700005</v>
      </c>
      <c r="E24" s="324">
        <v>2.0660697571769999</v>
      </c>
      <c r="F24" s="322">
        <v>2</v>
      </c>
      <c r="G24" s="323">
        <v>0.33333333333300003</v>
      </c>
      <c r="H24" s="325">
        <v>0.87309000000000003</v>
      </c>
      <c r="I24" s="322">
        <v>1.7040900000000001</v>
      </c>
      <c r="J24" s="323">
        <v>1.370756666666</v>
      </c>
      <c r="K24" s="326">
        <v>0.85204500000000005</v>
      </c>
    </row>
    <row r="25" spans="1:11" ht="14.4" customHeight="1" thickBot="1" x14ac:dyDescent="0.35">
      <c r="A25" s="344" t="s">
        <v>240</v>
      </c>
      <c r="B25" s="322">
        <v>0</v>
      </c>
      <c r="C25" s="322">
        <v>0</v>
      </c>
      <c r="D25" s="323">
        <v>0</v>
      </c>
      <c r="E25" s="324">
        <v>1</v>
      </c>
      <c r="F25" s="322">
        <v>0</v>
      </c>
      <c r="G25" s="323">
        <v>0</v>
      </c>
      <c r="H25" s="325">
        <v>0.53239999999999998</v>
      </c>
      <c r="I25" s="322">
        <v>0.53239999999999998</v>
      </c>
      <c r="J25" s="323">
        <v>0.53239999999999998</v>
      </c>
      <c r="K25" s="332" t="s">
        <v>230</v>
      </c>
    </row>
    <row r="26" spans="1:11" ht="14.4" customHeight="1" thickBot="1" x14ac:dyDescent="0.35">
      <c r="A26" s="343" t="s">
        <v>241</v>
      </c>
      <c r="B26" s="327">
        <v>0.295110016295</v>
      </c>
      <c r="C26" s="327">
        <v>0.26991999999999999</v>
      </c>
      <c r="D26" s="328">
        <v>-2.5190016294999999E-2</v>
      </c>
      <c r="E26" s="329">
        <v>0.91464194739299998</v>
      </c>
      <c r="F26" s="327">
        <v>0.28258659069399999</v>
      </c>
      <c r="G26" s="328">
        <v>4.7097765115000002E-2</v>
      </c>
      <c r="H26" s="330">
        <v>0</v>
      </c>
      <c r="I26" s="327">
        <v>0</v>
      </c>
      <c r="J26" s="328">
        <v>-4.7097765115000002E-2</v>
      </c>
      <c r="K26" s="331">
        <v>0</v>
      </c>
    </row>
    <row r="27" spans="1:11" ht="14.4" customHeight="1" thickBot="1" x14ac:dyDescent="0.35">
      <c r="A27" s="344" t="s">
        <v>242</v>
      </c>
      <c r="B27" s="322">
        <v>0.295110016295</v>
      </c>
      <c r="C27" s="322">
        <v>0.26991999999999999</v>
      </c>
      <c r="D27" s="323">
        <v>-2.5190016294999999E-2</v>
      </c>
      <c r="E27" s="324">
        <v>0.91464194739299998</v>
      </c>
      <c r="F27" s="322">
        <v>0.28258659069399999</v>
      </c>
      <c r="G27" s="323">
        <v>4.7097765115000002E-2</v>
      </c>
      <c r="H27" s="325">
        <v>0</v>
      </c>
      <c r="I27" s="322">
        <v>0</v>
      </c>
      <c r="J27" s="323">
        <v>-4.7097765115000002E-2</v>
      </c>
      <c r="K27" s="326">
        <v>0</v>
      </c>
    </row>
    <row r="28" spans="1:11" ht="14.4" customHeight="1" thickBot="1" x14ac:dyDescent="0.35">
      <c r="A28" s="343" t="s">
        <v>243</v>
      </c>
      <c r="B28" s="327">
        <v>0.20352707286499999</v>
      </c>
      <c r="C28" s="327">
        <v>0.62436000000000003</v>
      </c>
      <c r="D28" s="328">
        <v>0.420832927134</v>
      </c>
      <c r="E28" s="329">
        <v>3.0676999929790001</v>
      </c>
      <c r="F28" s="327">
        <v>0</v>
      </c>
      <c r="G28" s="328">
        <v>0</v>
      </c>
      <c r="H28" s="330">
        <v>0</v>
      </c>
      <c r="I28" s="327">
        <v>0</v>
      </c>
      <c r="J28" s="328">
        <v>0</v>
      </c>
      <c r="K28" s="334" t="s">
        <v>218</v>
      </c>
    </row>
    <row r="29" spans="1:11" ht="14.4" customHeight="1" thickBot="1" x14ac:dyDescent="0.35">
      <c r="A29" s="344" t="s">
        <v>244</v>
      </c>
      <c r="B29" s="322">
        <v>0</v>
      </c>
      <c r="C29" s="322">
        <v>0.62436000000000003</v>
      </c>
      <c r="D29" s="323">
        <v>0.62436000000000003</v>
      </c>
      <c r="E29" s="333" t="s">
        <v>218</v>
      </c>
      <c r="F29" s="322">
        <v>0</v>
      </c>
      <c r="G29" s="323">
        <v>0</v>
      </c>
      <c r="H29" s="325">
        <v>0</v>
      </c>
      <c r="I29" s="322">
        <v>0</v>
      </c>
      <c r="J29" s="323">
        <v>0</v>
      </c>
      <c r="K29" s="332" t="s">
        <v>218</v>
      </c>
    </row>
    <row r="30" spans="1:11" ht="14.4" customHeight="1" thickBot="1" x14ac:dyDescent="0.35">
      <c r="A30" s="344" t="s">
        <v>245</v>
      </c>
      <c r="B30" s="322">
        <v>7.9894707789E-2</v>
      </c>
      <c r="C30" s="322">
        <v>0</v>
      </c>
      <c r="D30" s="323">
        <v>-7.9894707789E-2</v>
      </c>
      <c r="E30" s="324">
        <v>0</v>
      </c>
      <c r="F30" s="322">
        <v>0</v>
      </c>
      <c r="G30" s="323">
        <v>0</v>
      </c>
      <c r="H30" s="325">
        <v>0</v>
      </c>
      <c r="I30" s="322">
        <v>0</v>
      </c>
      <c r="J30" s="323">
        <v>0</v>
      </c>
      <c r="K30" s="326">
        <v>2</v>
      </c>
    </row>
    <row r="31" spans="1:11" ht="14.4" customHeight="1" thickBot="1" x14ac:dyDescent="0.35">
      <c r="A31" s="344" t="s">
        <v>246</v>
      </c>
      <c r="B31" s="322">
        <v>0.123632365075</v>
      </c>
      <c r="C31" s="322">
        <v>0</v>
      </c>
      <c r="D31" s="323">
        <v>-0.123632365075</v>
      </c>
      <c r="E31" s="324">
        <v>0</v>
      </c>
      <c r="F31" s="322">
        <v>0</v>
      </c>
      <c r="G31" s="323">
        <v>0</v>
      </c>
      <c r="H31" s="325">
        <v>0</v>
      </c>
      <c r="I31" s="322">
        <v>0</v>
      </c>
      <c r="J31" s="323">
        <v>0</v>
      </c>
      <c r="K31" s="326">
        <v>2</v>
      </c>
    </row>
    <row r="32" spans="1:11" ht="14.4" customHeight="1" thickBot="1" x14ac:dyDescent="0.35">
      <c r="A32" s="342" t="s">
        <v>26</v>
      </c>
      <c r="B32" s="322">
        <v>95.881709880854999</v>
      </c>
      <c r="C32" s="322">
        <v>65.156999999999996</v>
      </c>
      <c r="D32" s="323">
        <v>-30.724709880854999</v>
      </c>
      <c r="E32" s="324">
        <v>0.67955609136399997</v>
      </c>
      <c r="F32" s="322">
        <v>66.868659554657995</v>
      </c>
      <c r="G32" s="323">
        <v>11.144776592443</v>
      </c>
      <c r="H32" s="325">
        <v>3.726</v>
      </c>
      <c r="I32" s="322">
        <v>7.83</v>
      </c>
      <c r="J32" s="323">
        <v>-3.3147765924430002</v>
      </c>
      <c r="K32" s="326">
        <v>0.11709521399300001</v>
      </c>
    </row>
    <row r="33" spans="1:11" ht="14.4" customHeight="1" thickBot="1" x14ac:dyDescent="0.35">
      <c r="A33" s="343" t="s">
        <v>247</v>
      </c>
      <c r="B33" s="327">
        <v>95.881709880854999</v>
      </c>
      <c r="C33" s="327">
        <v>65.156999999999996</v>
      </c>
      <c r="D33" s="328">
        <v>-30.724709880854999</v>
      </c>
      <c r="E33" s="329">
        <v>0.67955609136399997</v>
      </c>
      <c r="F33" s="327">
        <v>66.868659554657995</v>
      </c>
      <c r="G33" s="328">
        <v>11.144776592443</v>
      </c>
      <c r="H33" s="330">
        <v>3.726</v>
      </c>
      <c r="I33" s="327">
        <v>7.83</v>
      </c>
      <c r="J33" s="328">
        <v>-3.3147765924430002</v>
      </c>
      <c r="K33" s="331">
        <v>0.11709521399300001</v>
      </c>
    </row>
    <row r="34" spans="1:11" ht="14.4" customHeight="1" thickBot="1" x14ac:dyDescent="0.35">
      <c r="A34" s="344" t="s">
        <v>248</v>
      </c>
      <c r="B34" s="322">
        <v>41.658870331895997</v>
      </c>
      <c r="C34" s="322">
        <v>37.850999999999999</v>
      </c>
      <c r="D34" s="323">
        <v>-3.8078703318949998</v>
      </c>
      <c r="E34" s="324">
        <v>0.90859400887300001</v>
      </c>
      <c r="F34" s="322">
        <v>38.999999999998998</v>
      </c>
      <c r="G34" s="323">
        <v>6.4999999999989999</v>
      </c>
      <c r="H34" s="325">
        <v>3.1259999999999999</v>
      </c>
      <c r="I34" s="322">
        <v>6.4569999999999999</v>
      </c>
      <c r="J34" s="323">
        <v>-4.2999999998999998E-2</v>
      </c>
      <c r="K34" s="326">
        <v>0.165564102564</v>
      </c>
    </row>
    <row r="35" spans="1:11" ht="14.4" customHeight="1" thickBot="1" x14ac:dyDescent="0.35">
      <c r="A35" s="344" t="s">
        <v>249</v>
      </c>
      <c r="B35" s="322">
        <v>7.2946743808649996</v>
      </c>
      <c r="C35" s="322">
        <v>7.2859999999999996</v>
      </c>
      <c r="D35" s="323">
        <v>-8.6743808649999993E-3</v>
      </c>
      <c r="E35" s="324">
        <v>0.99881086112700002</v>
      </c>
      <c r="F35" s="322">
        <v>7.8686595546579996</v>
      </c>
      <c r="G35" s="323">
        <v>1.3114432591089999</v>
      </c>
      <c r="H35" s="325">
        <v>0.6</v>
      </c>
      <c r="I35" s="322">
        <v>1.373</v>
      </c>
      <c r="J35" s="323">
        <v>6.1556740890000003E-2</v>
      </c>
      <c r="K35" s="326">
        <v>0.17448969426899999</v>
      </c>
    </row>
    <row r="36" spans="1:11" ht="14.4" customHeight="1" thickBot="1" x14ac:dyDescent="0.35">
      <c r="A36" s="344" t="s">
        <v>250</v>
      </c>
      <c r="B36" s="322">
        <v>46.928165168093997</v>
      </c>
      <c r="C36" s="322">
        <v>20.02</v>
      </c>
      <c r="D36" s="323">
        <v>-26.908165168094001</v>
      </c>
      <c r="E36" s="324">
        <v>0.42660947702200003</v>
      </c>
      <c r="F36" s="322">
        <v>19.999999999999002</v>
      </c>
      <c r="G36" s="323">
        <v>3.333333333333</v>
      </c>
      <c r="H36" s="325">
        <v>0</v>
      </c>
      <c r="I36" s="322">
        <v>0</v>
      </c>
      <c r="J36" s="323">
        <v>-3.333333333333</v>
      </c>
      <c r="K36" s="326">
        <v>0</v>
      </c>
    </row>
    <row r="37" spans="1:11" ht="14.4" customHeight="1" thickBot="1" x14ac:dyDescent="0.35">
      <c r="A37" s="345" t="s">
        <v>251</v>
      </c>
      <c r="B37" s="327">
        <v>234.16391219154599</v>
      </c>
      <c r="C37" s="327">
        <v>205.61169000000001</v>
      </c>
      <c r="D37" s="328">
        <v>-28.552222191544999</v>
      </c>
      <c r="E37" s="329">
        <v>0.87806736774899996</v>
      </c>
      <c r="F37" s="327">
        <v>125.076726207043</v>
      </c>
      <c r="G37" s="328">
        <v>20.846121034507</v>
      </c>
      <c r="H37" s="330">
        <v>10.412660000000001</v>
      </c>
      <c r="I37" s="327">
        <v>15.308479999999999</v>
      </c>
      <c r="J37" s="328">
        <v>-5.5376410345069997</v>
      </c>
      <c r="K37" s="331">
        <v>0.12239271417</v>
      </c>
    </row>
    <row r="38" spans="1:11" ht="14.4" customHeight="1" thickBot="1" x14ac:dyDescent="0.35">
      <c r="A38" s="342" t="s">
        <v>29</v>
      </c>
      <c r="B38" s="322">
        <v>47.732521713368001</v>
      </c>
      <c r="C38" s="322">
        <v>3.0953599999999999</v>
      </c>
      <c r="D38" s="323">
        <v>-44.637161713368002</v>
      </c>
      <c r="E38" s="324">
        <v>6.4848029998999995E-2</v>
      </c>
      <c r="F38" s="322">
        <v>2.517552208528</v>
      </c>
      <c r="G38" s="323">
        <v>0.41959203475399998</v>
      </c>
      <c r="H38" s="325">
        <v>0</v>
      </c>
      <c r="I38" s="322">
        <v>0</v>
      </c>
      <c r="J38" s="323">
        <v>-0.41959203475399998</v>
      </c>
      <c r="K38" s="326">
        <v>0</v>
      </c>
    </row>
    <row r="39" spans="1:11" ht="14.4" customHeight="1" thickBot="1" x14ac:dyDescent="0.35">
      <c r="A39" s="346" t="s">
        <v>252</v>
      </c>
      <c r="B39" s="322">
        <v>47.732521713368001</v>
      </c>
      <c r="C39" s="322">
        <v>3.0953599999999999</v>
      </c>
      <c r="D39" s="323">
        <v>-44.637161713368002</v>
      </c>
      <c r="E39" s="324">
        <v>6.4848029998999995E-2</v>
      </c>
      <c r="F39" s="322">
        <v>2.517552208528</v>
      </c>
      <c r="G39" s="323">
        <v>0.41959203475399998</v>
      </c>
      <c r="H39" s="325">
        <v>0</v>
      </c>
      <c r="I39" s="322">
        <v>0</v>
      </c>
      <c r="J39" s="323">
        <v>-0.41959203475399998</v>
      </c>
      <c r="K39" s="326">
        <v>0</v>
      </c>
    </row>
    <row r="40" spans="1:11" ht="14.4" customHeight="1" thickBot="1" x14ac:dyDescent="0.35">
      <c r="A40" s="344" t="s">
        <v>253</v>
      </c>
      <c r="B40" s="322">
        <v>46.401899205451002</v>
      </c>
      <c r="C40" s="322">
        <v>0</v>
      </c>
      <c r="D40" s="323">
        <v>-46.401899205451002</v>
      </c>
      <c r="E40" s="324">
        <v>0</v>
      </c>
      <c r="F40" s="322">
        <v>0</v>
      </c>
      <c r="G40" s="323">
        <v>0</v>
      </c>
      <c r="H40" s="325">
        <v>0</v>
      </c>
      <c r="I40" s="322">
        <v>0</v>
      </c>
      <c r="J40" s="323">
        <v>0</v>
      </c>
      <c r="K40" s="326">
        <v>2</v>
      </c>
    </row>
    <row r="41" spans="1:11" ht="14.4" customHeight="1" thickBot="1" x14ac:dyDescent="0.35">
      <c r="A41" s="344" t="s">
        <v>254</v>
      </c>
      <c r="B41" s="322">
        <v>0.95754424446499997</v>
      </c>
      <c r="C41" s="322">
        <v>1.92523</v>
      </c>
      <c r="D41" s="323">
        <v>0.96768575553400005</v>
      </c>
      <c r="E41" s="324">
        <v>2.0105911670690002</v>
      </c>
      <c r="F41" s="322">
        <v>2.517552208528</v>
      </c>
      <c r="G41" s="323">
        <v>0.41959203475399998</v>
      </c>
      <c r="H41" s="325">
        <v>0</v>
      </c>
      <c r="I41" s="322">
        <v>0</v>
      </c>
      <c r="J41" s="323">
        <v>-0.41959203475399998</v>
      </c>
      <c r="K41" s="326">
        <v>0</v>
      </c>
    </row>
    <row r="42" spans="1:11" ht="14.4" customHeight="1" thickBot="1" x14ac:dyDescent="0.35">
      <c r="A42" s="344" t="s">
        <v>255</v>
      </c>
      <c r="B42" s="322">
        <v>0.37307826345099998</v>
      </c>
      <c r="C42" s="322">
        <v>1.1701299999999999</v>
      </c>
      <c r="D42" s="323">
        <v>0.79705173654799999</v>
      </c>
      <c r="E42" s="324">
        <v>3.1364196594410001</v>
      </c>
      <c r="F42" s="322">
        <v>0</v>
      </c>
      <c r="G42" s="323">
        <v>0</v>
      </c>
      <c r="H42" s="325">
        <v>0</v>
      </c>
      <c r="I42" s="322">
        <v>0</v>
      </c>
      <c r="J42" s="323">
        <v>0</v>
      </c>
      <c r="K42" s="332" t="s">
        <v>218</v>
      </c>
    </row>
    <row r="43" spans="1:11" ht="14.4" customHeight="1" thickBot="1" x14ac:dyDescent="0.35">
      <c r="A43" s="347" t="s">
        <v>30</v>
      </c>
      <c r="B43" s="327">
        <v>0</v>
      </c>
      <c r="C43" s="327">
        <v>16.734999999999999</v>
      </c>
      <c r="D43" s="328">
        <v>16.734999999999999</v>
      </c>
      <c r="E43" s="335" t="s">
        <v>218</v>
      </c>
      <c r="F43" s="327">
        <v>0</v>
      </c>
      <c r="G43" s="328">
        <v>0</v>
      </c>
      <c r="H43" s="330">
        <v>3.18</v>
      </c>
      <c r="I43" s="327">
        <v>3.3239999999999998</v>
      </c>
      <c r="J43" s="328">
        <v>3.3239999999999998</v>
      </c>
      <c r="K43" s="334" t="s">
        <v>218</v>
      </c>
    </row>
    <row r="44" spans="1:11" ht="14.4" customHeight="1" thickBot="1" x14ac:dyDescent="0.35">
      <c r="A44" s="343" t="s">
        <v>256</v>
      </c>
      <c r="B44" s="327">
        <v>0</v>
      </c>
      <c r="C44" s="327">
        <v>16.734999999999999</v>
      </c>
      <c r="D44" s="328">
        <v>16.734999999999999</v>
      </c>
      <c r="E44" s="335" t="s">
        <v>218</v>
      </c>
      <c r="F44" s="327">
        <v>0</v>
      </c>
      <c r="G44" s="328">
        <v>0</v>
      </c>
      <c r="H44" s="330">
        <v>3.18</v>
      </c>
      <c r="I44" s="327">
        <v>3.3239999999999998</v>
      </c>
      <c r="J44" s="328">
        <v>3.3239999999999998</v>
      </c>
      <c r="K44" s="334" t="s">
        <v>218</v>
      </c>
    </row>
    <row r="45" spans="1:11" ht="14.4" customHeight="1" thickBot="1" x14ac:dyDescent="0.35">
      <c r="A45" s="344" t="s">
        <v>257</v>
      </c>
      <c r="B45" s="322">
        <v>0</v>
      </c>
      <c r="C45" s="322">
        <v>13</v>
      </c>
      <c r="D45" s="323">
        <v>13</v>
      </c>
      <c r="E45" s="333" t="s">
        <v>218</v>
      </c>
      <c r="F45" s="322">
        <v>0</v>
      </c>
      <c r="G45" s="323">
        <v>0</v>
      </c>
      <c r="H45" s="325">
        <v>1.105</v>
      </c>
      <c r="I45" s="322">
        <v>1.2490000000000001</v>
      </c>
      <c r="J45" s="323">
        <v>1.2490000000000001</v>
      </c>
      <c r="K45" s="332" t="s">
        <v>218</v>
      </c>
    </row>
    <row r="46" spans="1:11" ht="14.4" customHeight="1" thickBot="1" x14ac:dyDescent="0.35">
      <c r="A46" s="344" t="s">
        <v>258</v>
      </c>
      <c r="B46" s="322">
        <v>0</v>
      </c>
      <c r="C46" s="322">
        <v>3.7349999999999999</v>
      </c>
      <c r="D46" s="323">
        <v>3.7349999999999999</v>
      </c>
      <c r="E46" s="333" t="s">
        <v>218</v>
      </c>
      <c r="F46" s="322">
        <v>0</v>
      </c>
      <c r="G46" s="323">
        <v>0</v>
      </c>
      <c r="H46" s="325">
        <v>2.0750000000000002</v>
      </c>
      <c r="I46" s="322">
        <v>2.0750000000000002</v>
      </c>
      <c r="J46" s="323">
        <v>2.0750000000000002</v>
      </c>
      <c r="K46" s="332" t="s">
        <v>218</v>
      </c>
    </row>
    <row r="47" spans="1:11" ht="14.4" customHeight="1" thickBot="1" x14ac:dyDescent="0.35">
      <c r="A47" s="342" t="s">
        <v>31</v>
      </c>
      <c r="B47" s="322">
        <v>186.43139047817701</v>
      </c>
      <c r="C47" s="322">
        <v>185.78133</v>
      </c>
      <c r="D47" s="323">
        <v>-0.65006047817699997</v>
      </c>
      <c r="E47" s="324">
        <v>0.99651313828300003</v>
      </c>
      <c r="F47" s="322">
        <v>122.55917399851501</v>
      </c>
      <c r="G47" s="323">
        <v>20.426528999752001</v>
      </c>
      <c r="H47" s="325">
        <v>7.2326600000000001</v>
      </c>
      <c r="I47" s="322">
        <v>11.98448</v>
      </c>
      <c r="J47" s="323">
        <v>-8.4420489997520001</v>
      </c>
      <c r="K47" s="326">
        <v>9.7785254330000002E-2</v>
      </c>
    </row>
    <row r="48" spans="1:11" ht="14.4" customHeight="1" thickBot="1" x14ac:dyDescent="0.35">
      <c r="A48" s="343" t="s">
        <v>259</v>
      </c>
      <c r="B48" s="327">
        <v>13.846899152162999</v>
      </c>
      <c r="C48" s="327">
        <v>9.7275799999999997</v>
      </c>
      <c r="D48" s="328">
        <v>-4.1193191521630004</v>
      </c>
      <c r="E48" s="329">
        <v>0.70250962999699995</v>
      </c>
      <c r="F48" s="327">
        <v>11.046915470491999</v>
      </c>
      <c r="G48" s="328">
        <v>1.841152578415</v>
      </c>
      <c r="H48" s="330">
        <v>1.10378</v>
      </c>
      <c r="I48" s="327">
        <v>1.5193000000000001</v>
      </c>
      <c r="J48" s="328">
        <v>-0.32185257841499998</v>
      </c>
      <c r="K48" s="331">
        <v>0.13753160364600001</v>
      </c>
    </row>
    <row r="49" spans="1:11" ht="14.4" customHeight="1" thickBot="1" x14ac:dyDescent="0.35">
      <c r="A49" s="344" t="s">
        <v>260</v>
      </c>
      <c r="B49" s="322">
        <v>0.104713913428</v>
      </c>
      <c r="C49" s="322">
        <v>0.22869999999999999</v>
      </c>
      <c r="D49" s="323">
        <v>0.12398608657100001</v>
      </c>
      <c r="E49" s="324">
        <v>2.184045964014</v>
      </c>
      <c r="F49" s="322">
        <v>0.227604475232</v>
      </c>
      <c r="G49" s="323">
        <v>3.7934079204999999E-2</v>
      </c>
      <c r="H49" s="325">
        <v>0</v>
      </c>
      <c r="I49" s="322">
        <v>2.6599999999999999E-2</v>
      </c>
      <c r="J49" s="323">
        <v>-1.1334079205E-2</v>
      </c>
      <c r="K49" s="326">
        <v>0.116869406776</v>
      </c>
    </row>
    <row r="50" spans="1:11" ht="14.4" customHeight="1" thickBot="1" x14ac:dyDescent="0.35">
      <c r="A50" s="344" t="s">
        <v>261</v>
      </c>
      <c r="B50" s="322">
        <v>13.742185238734001</v>
      </c>
      <c r="C50" s="322">
        <v>9.4988799999999998</v>
      </c>
      <c r="D50" s="323">
        <v>-4.243305238734</v>
      </c>
      <c r="E50" s="324">
        <v>0.69122048895199995</v>
      </c>
      <c r="F50" s="322">
        <v>10.81931099526</v>
      </c>
      <c r="G50" s="323">
        <v>1.80321849921</v>
      </c>
      <c r="H50" s="325">
        <v>1.10378</v>
      </c>
      <c r="I50" s="322">
        <v>1.4926999999999999</v>
      </c>
      <c r="J50" s="323">
        <v>-0.31051849921000002</v>
      </c>
      <c r="K50" s="326">
        <v>0.137966271664</v>
      </c>
    </row>
    <row r="51" spans="1:11" ht="14.4" customHeight="1" thickBot="1" x14ac:dyDescent="0.35">
      <c r="A51" s="343" t="s">
        <v>262</v>
      </c>
      <c r="B51" s="327">
        <v>0.99999840846400001</v>
      </c>
      <c r="C51" s="327">
        <v>0.54</v>
      </c>
      <c r="D51" s="328">
        <v>-0.45999840846399997</v>
      </c>
      <c r="E51" s="329">
        <v>0.54000085942999998</v>
      </c>
      <c r="F51" s="327">
        <v>1</v>
      </c>
      <c r="G51" s="328">
        <v>0.166666666666</v>
      </c>
      <c r="H51" s="330">
        <v>0</v>
      </c>
      <c r="I51" s="327">
        <v>0.13500000000000001</v>
      </c>
      <c r="J51" s="328">
        <v>-3.1666666666000001E-2</v>
      </c>
      <c r="K51" s="331">
        <v>0.13500000000000001</v>
      </c>
    </row>
    <row r="52" spans="1:11" ht="14.4" customHeight="1" thickBot="1" x14ac:dyDescent="0.35">
      <c r="A52" s="344" t="s">
        <v>263</v>
      </c>
      <c r="B52" s="322">
        <v>0.99999840846400001</v>
      </c>
      <c r="C52" s="322">
        <v>0.54</v>
      </c>
      <c r="D52" s="323">
        <v>-0.45999840846399997</v>
      </c>
      <c r="E52" s="324">
        <v>0.54000085942999998</v>
      </c>
      <c r="F52" s="322">
        <v>1</v>
      </c>
      <c r="G52" s="323">
        <v>0.166666666666</v>
      </c>
      <c r="H52" s="325">
        <v>0</v>
      </c>
      <c r="I52" s="322">
        <v>0.13500000000000001</v>
      </c>
      <c r="J52" s="323">
        <v>-3.1666666666000001E-2</v>
      </c>
      <c r="K52" s="326">
        <v>0.13500000000000001</v>
      </c>
    </row>
    <row r="53" spans="1:11" ht="14.4" customHeight="1" thickBot="1" x14ac:dyDescent="0.35">
      <c r="A53" s="343" t="s">
        <v>264</v>
      </c>
      <c r="B53" s="327">
        <v>32.861592169601998</v>
      </c>
      <c r="C53" s="327">
        <v>30.953659999999999</v>
      </c>
      <c r="D53" s="328">
        <v>-1.907932169602</v>
      </c>
      <c r="E53" s="329">
        <v>0.94194036126500003</v>
      </c>
      <c r="F53" s="327">
        <v>18.134994819422001</v>
      </c>
      <c r="G53" s="328">
        <v>3.02249913657</v>
      </c>
      <c r="H53" s="330">
        <v>2.4461300000000001</v>
      </c>
      <c r="I53" s="327">
        <v>4.9794299999999998</v>
      </c>
      <c r="J53" s="328">
        <v>1.9569308634289999</v>
      </c>
      <c r="K53" s="331">
        <v>0.27457576081899998</v>
      </c>
    </row>
    <row r="54" spans="1:11" ht="14.4" customHeight="1" thickBot="1" x14ac:dyDescent="0.35">
      <c r="A54" s="344" t="s">
        <v>265</v>
      </c>
      <c r="B54" s="322">
        <v>18.301082131855999</v>
      </c>
      <c r="C54" s="322">
        <v>16.41048</v>
      </c>
      <c r="D54" s="323">
        <v>-1.890602131856</v>
      </c>
      <c r="E54" s="324">
        <v>0.89669451684599999</v>
      </c>
      <c r="F54" s="322">
        <v>0</v>
      </c>
      <c r="G54" s="323">
        <v>0</v>
      </c>
      <c r="H54" s="325">
        <v>1.28979</v>
      </c>
      <c r="I54" s="322">
        <v>2.57958</v>
      </c>
      <c r="J54" s="323">
        <v>2.57958</v>
      </c>
      <c r="K54" s="332" t="s">
        <v>218</v>
      </c>
    </row>
    <row r="55" spans="1:11" ht="14.4" customHeight="1" thickBot="1" x14ac:dyDescent="0.35">
      <c r="A55" s="344" t="s">
        <v>266</v>
      </c>
      <c r="B55" s="322">
        <v>14.560510037746001</v>
      </c>
      <c r="C55" s="322">
        <v>14.54318</v>
      </c>
      <c r="D55" s="323">
        <v>-1.7330037746000001E-2</v>
      </c>
      <c r="E55" s="324">
        <v>0.99880979184700003</v>
      </c>
      <c r="F55" s="322">
        <v>18.134994819422001</v>
      </c>
      <c r="G55" s="323">
        <v>3.02249913657</v>
      </c>
      <c r="H55" s="325">
        <v>1.1563399999999999</v>
      </c>
      <c r="I55" s="322">
        <v>2.3998499999999998</v>
      </c>
      <c r="J55" s="323">
        <v>-0.62264913656999998</v>
      </c>
      <c r="K55" s="326">
        <v>0.132332544006</v>
      </c>
    </row>
    <row r="56" spans="1:11" ht="14.4" customHeight="1" thickBot="1" x14ac:dyDescent="0.35">
      <c r="A56" s="343" t="s">
        <v>267</v>
      </c>
      <c r="B56" s="327">
        <v>55.103205567407002</v>
      </c>
      <c r="C56" s="327">
        <v>84.803089999999997</v>
      </c>
      <c r="D56" s="328">
        <v>29.699884432592</v>
      </c>
      <c r="E56" s="329">
        <v>1.538986509528</v>
      </c>
      <c r="F56" s="327">
        <v>91.502317430000005</v>
      </c>
      <c r="G56" s="328">
        <v>15.250386238333</v>
      </c>
      <c r="H56" s="330">
        <v>2.18275</v>
      </c>
      <c r="I56" s="327">
        <v>2.18275</v>
      </c>
      <c r="J56" s="328">
        <v>-13.067636238333</v>
      </c>
      <c r="K56" s="331">
        <v>2.3854587088999998E-2</v>
      </c>
    </row>
    <row r="57" spans="1:11" ht="14.4" customHeight="1" thickBot="1" x14ac:dyDescent="0.35">
      <c r="A57" s="344" t="s">
        <v>268</v>
      </c>
      <c r="B57" s="322">
        <v>2.999995225393</v>
      </c>
      <c r="C57" s="322">
        <v>0</v>
      </c>
      <c r="D57" s="323">
        <v>-2.999995225393</v>
      </c>
      <c r="E57" s="324">
        <v>0</v>
      </c>
      <c r="F57" s="322">
        <v>0</v>
      </c>
      <c r="G57" s="323">
        <v>0</v>
      </c>
      <c r="H57" s="325">
        <v>0</v>
      </c>
      <c r="I57" s="322">
        <v>0</v>
      </c>
      <c r="J57" s="323">
        <v>0</v>
      </c>
      <c r="K57" s="326">
        <v>2</v>
      </c>
    </row>
    <row r="58" spans="1:11" ht="14.4" customHeight="1" thickBot="1" x14ac:dyDescent="0.35">
      <c r="A58" s="344" t="s">
        <v>269</v>
      </c>
      <c r="B58" s="322">
        <v>10.686596694457</v>
      </c>
      <c r="C58" s="322">
        <v>15.186</v>
      </c>
      <c r="D58" s="323">
        <v>4.4994033055429998</v>
      </c>
      <c r="E58" s="324">
        <v>1.4210323860980001</v>
      </c>
      <c r="F58" s="322">
        <v>15.387200494781</v>
      </c>
      <c r="G58" s="323">
        <v>2.5645334157959998</v>
      </c>
      <c r="H58" s="325">
        <v>0.82299999999999995</v>
      </c>
      <c r="I58" s="322">
        <v>0.82299999999999995</v>
      </c>
      <c r="J58" s="323">
        <v>-1.7415334157960001</v>
      </c>
      <c r="K58" s="326">
        <v>5.3486012628999997E-2</v>
      </c>
    </row>
    <row r="59" spans="1:11" ht="14.4" customHeight="1" thickBot="1" x14ac:dyDescent="0.35">
      <c r="A59" s="344" t="s">
        <v>270</v>
      </c>
      <c r="B59" s="322">
        <v>41.416613647557</v>
      </c>
      <c r="C59" s="322">
        <v>69.617090000000005</v>
      </c>
      <c r="D59" s="323">
        <v>28.200476352441999</v>
      </c>
      <c r="E59" s="324">
        <v>1.6808976849820001</v>
      </c>
      <c r="F59" s="322">
        <v>76.115116935217998</v>
      </c>
      <c r="G59" s="323">
        <v>12.685852822536001</v>
      </c>
      <c r="H59" s="325">
        <v>1.35975</v>
      </c>
      <c r="I59" s="322">
        <v>1.35975</v>
      </c>
      <c r="J59" s="323">
        <v>-11.326102822536001</v>
      </c>
      <c r="K59" s="326">
        <v>1.7864388241E-2</v>
      </c>
    </row>
    <row r="60" spans="1:11" ht="14.4" customHeight="1" thickBot="1" x14ac:dyDescent="0.35">
      <c r="A60" s="343" t="s">
        <v>271</v>
      </c>
      <c r="B60" s="327">
        <v>83.619695180538997</v>
      </c>
      <c r="C60" s="327">
        <v>59.756999999999998</v>
      </c>
      <c r="D60" s="328">
        <v>-23.862695180538999</v>
      </c>
      <c r="E60" s="329">
        <v>0.71462829266399996</v>
      </c>
      <c r="F60" s="327">
        <v>0.87494627859899998</v>
      </c>
      <c r="G60" s="328">
        <v>0.14582437976599999</v>
      </c>
      <c r="H60" s="330">
        <v>1.5</v>
      </c>
      <c r="I60" s="327">
        <v>3.1680000000000001</v>
      </c>
      <c r="J60" s="328">
        <v>3.0221756202329999</v>
      </c>
      <c r="K60" s="331">
        <v>3.6207937304120001</v>
      </c>
    </row>
    <row r="61" spans="1:11" ht="14.4" customHeight="1" thickBot="1" x14ac:dyDescent="0.35">
      <c r="A61" s="344" t="s">
        <v>272</v>
      </c>
      <c r="B61" s="322">
        <v>0.98448469295899999</v>
      </c>
      <c r="C61" s="322">
        <v>0.29899999999999999</v>
      </c>
      <c r="D61" s="323">
        <v>-0.68548469295900005</v>
      </c>
      <c r="E61" s="324">
        <v>0.30371218784600001</v>
      </c>
      <c r="F61" s="322">
        <v>0.87494627859899998</v>
      </c>
      <c r="G61" s="323">
        <v>0.14582437976599999</v>
      </c>
      <c r="H61" s="325">
        <v>0</v>
      </c>
      <c r="I61" s="322">
        <v>0</v>
      </c>
      <c r="J61" s="323">
        <v>-0.14582437976599999</v>
      </c>
      <c r="K61" s="326">
        <v>0</v>
      </c>
    </row>
    <row r="62" spans="1:11" ht="14.4" customHeight="1" thickBot="1" x14ac:dyDescent="0.35">
      <c r="A62" s="344" t="s">
        <v>273</v>
      </c>
      <c r="B62" s="322">
        <v>30.183894459967998</v>
      </c>
      <c r="C62" s="322">
        <v>28.704999999999998</v>
      </c>
      <c r="D62" s="323">
        <v>-1.4788944599680001</v>
      </c>
      <c r="E62" s="324">
        <v>0.951003855319</v>
      </c>
      <c r="F62" s="322">
        <v>0</v>
      </c>
      <c r="G62" s="323">
        <v>0</v>
      </c>
      <c r="H62" s="325">
        <v>1.5</v>
      </c>
      <c r="I62" s="322">
        <v>3.1680000000000001</v>
      </c>
      <c r="J62" s="323">
        <v>3.1680000000000001</v>
      </c>
      <c r="K62" s="332" t="s">
        <v>218</v>
      </c>
    </row>
    <row r="63" spans="1:11" ht="14.4" customHeight="1" thickBot="1" x14ac:dyDescent="0.35">
      <c r="A63" s="344" t="s">
        <v>274</v>
      </c>
      <c r="B63" s="322">
        <v>52.451316027611</v>
      </c>
      <c r="C63" s="322">
        <v>30.753</v>
      </c>
      <c r="D63" s="323">
        <v>-21.698316027611</v>
      </c>
      <c r="E63" s="324">
        <v>0.58631512665499996</v>
      </c>
      <c r="F63" s="322">
        <v>0</v>
      </c>
      <c r="G63" s="323">
        <v>0</v>
      </c>
      <c r="H63" s="325">
        <v>0</v>
      </c>
      <c r="I63" s="322">
        <v>0</v>
      </c>
      <c r="J63" s="323">
        <v>0</v>
      </c>
      <c r="K63" s="332" t="s">
        <v>218</v>
      </c>
    </row>
    <row r="64" spans="1:11" ht="14.4" customHeight="1" thickBot="1" x14ac:dyDescent="0.35">
      <c r="A64" s="341" t="s">
        <v>32</v>
      </c>
      <c r="B64" s="322">
        <v>2831.0002555812498</v>
      </c>
      <c r="C64" s="322">
        <v>3042.8712599999999</v>
      </c>
      <c r="D64" s="323">
        <v>211.871004418756</v>
      </c>
      <c r="E64" s="324">
        <v>1.0748396274430001</v>
      </c>
      <c r="F64" s="322">
        <v>2957</v>
      </c>
      <c r="G64" s="323">
        <v>492.83333333333297</v>
      </c>
      <c r="H64" s="325">
        <v>252.80431999999999</v>
      </c>
      <c r="I64" s="322">
        <v>505.2396</v>
      </c>
      <c r="J64" s="323">
        <v>12.406266666665999</v>
      </c>
      <c r="K64" s="326">
        <v>0.17086222522799999</v>
      </c>
    </row>
    <row r="65" spans="1:11" ht="14.4" customHeight="1" thickBot="1" x14ac:dyDescent="0.35">
      <c r="A65" s="347" t="s">
        <v>275</v>
      </c>
      <c r="B65" s="327">
        <v>2106.00019012861</v>
      </c>
      <c r="C65" s="327">
        <v>2246.328</v>
      </c>
      <c r="D65" s="328">
        <v>140.32780987138801</v>
      </c>
      <c r="E65" s="329">
        <v>1.0666323823370001</v>
      </c>
      <c r="F65" s="327">
        <v>2192</v>
      </c>
      <c r="G65" s="328">
        <v>365.333333333334</v>
      </c>
      <c r="H65" s="330">
        <v>185.958</v>
      </c>
      <c r="I65" s="327">
        <v>371.64499999999998</v>
      </c>
      <c r="J65" s="328">
        <v>6.3116666666660004</v>
      </c>
      <c r="K65" s="331">
        <v>0.169546076642</v>
      </c>
    </row>
    <row r="66" spans="1:11" ht="14.4" customHeight="1" thickBot="1" x14ac:dyDescent="0.35">
      <c r="A66" s="343" t="s">
        <v>276</v>
      </c>
      <c r="B66" s="327">
        <v>2040.0001841701701</v>
      </c>
      <c r="C66" s="327">
        <v>2186.328</v>
      </c>
      <c r="D66" s="328">
        <v>146.32781582983401</v>
      </c>
      <c r="E66" s="329">
        <v>1.0717293150089999</v>
      </c>
      <c r="F66" s="327">
        <v>2126</v>
      </c>
      <c r="G66" s="328">
        <v>354.333333333334</v>
      </c>
      <c r="H66" s="330">
        <v>180.958</v>
      </c>
      <c r="I66" s="327">
        <v>361.64499999999998</v>
      </c>
      <c r="J66" s="328">
        <v>7.3116666666660004</v>
      </c>
      <c r="K66" s="331">
        <v>0.170105832549</v>
      </c>
    </row>
    <row r="67" spans="1:11" ht="14.4" customHeight="1" thickBot="1" x14ac:dyDescent="0.35">
      <c r="A67" s="344" t="s">
        <v>277</v>
      </c>
      <c r="B67" s="322">
        <v>2040.0001841701701</v>
      </c>
      <c r="C67" s="322">
        <v>2186.328</v>
      </c>
      <c r="D67" s="323">
        <v>146.32781582983401</v>
      </c>
      <c r="E67" s="324">
        <v>1.0717293150089999</v>
      </c>
      <c r="F67" s="322">
        <v>2126</v>
      </c>
      <c r="G67" s="323">
        <v>354.333333333334</v>
      </c>
      <c r="H67" s="325">
        <v>180.958</v>
      </c>
      <c r="I67" s="322">
        <v>361.64499999999998</v>
      </c>
      <c r="J67" s="323">
        <v>7.3116666666660004</v>
      </c>
      <c r="K67" s="326">
        <v>0.170105832549</v>
      </c>
    </row>
    <row r="68" spans="1:11" ht="14.4" customHeight="1" thickBot="1" x14ac:dyDescent="0.35">
      <c r="A68" s="343" t="s">
        <v>278</v>
      </c>
      <c r="B68" s="327">
        <v>60.000005416769</v>
      </c>
      <c r="C68" s="327">
        <v>60</v>
      </c>
      <c r="D68" s="328">
        <v>-5.4167695893170301E-6</v>
      </c>
      <c r="E68" s="329">
        <v>0.99999990971999997</v>
      </c>
      <c r="F68" s="327">
        <v>60</v>
      </c>
      <c r="G68" s="328">
        <v>9.9999999999989999</v>
      </c>
      <c r="H68" s="330">
        <v>5</v>
      </c>
      <c r="I68" s="327">
        <v>10</v>
      </c>
      <c r="J68" s="328">
        <v>8.8817841970012507E-15</v>
      </c>
      <c r="K68" s="331">
        <v>0.166666666666</v>
      </c>
    </row>
    <row r="69" spans="1:11" ht="14.4" customHeight="1" thickBot="1" x14ac:dyDescent="0.35">
      <c r="A69" s="344" t="s">
        <v>279</v>
      </c>
      <c r="B69" s="322">
        <v>60.000005416769</v>
      </c>
      <c r="C69" s="322">
        <v>60</v>
      </c>
      <c r="D69" s="323">
        <v>-5.4167695893170301E-6</v>
      </c>
      <c r="E69" s="324">
        <v>0.99999990971999997</v>
      </c>
      <c r="F69" s="322">
        <v>60</v>
      </c>
      <c r="G69" s="323">
        <v>9.9999999999989999</v>
      </c>
      <c r="H69" s="325">
        <v>5</v>
      </c>
      <c r="I69" s="322">
        <v>10</v>
      </c>
      <c r="J69" s="323">
        <v>8.8817841970012507E-15</v>
      </c>
      <c r="K69" s="326">
        <v>0.166666666666</v>
      </c>
    </row>
    <row r="70" spans="1:11" ht="14.4" customHeight="1" thickBot="1" x14ac:dyDescent="0.35">
      <c r="A70" s="343" t="s">
        <v>280</v>
      </c>
      <c r="B70" s="327">
        <v>6.0000005416760001</v>
      </c>
      <c r="C70" s="327">
        <v>0</v>
      </c>
      <c r="D70" s="328">
        <v>-6.0000005416760001</v>
      </c>
      <c r="E70" s="329">
        <v>0</v>
      </c>
      <c r="F70" s="327">
        <v>6</v>
      </c>
      <c r="G70" s="328">
        <v>1</v>
      </c>
      <c r="H70" s="330">
        <v>0</v>
      </c>
      <c r="I70" s="327">
        <v>0</v>
      </c>
      <c r="J70" s="328">
        <v>-1</v>
      </c>
      <c r="K70" s="331">
        <v>0</v>
      </c>
    </row>
    <row r="71" spans="1:11" ht="14.4" customHeight="1" thickBot="1" x14ac:dyDescent="0.35">
      <c r="A71" s="344" t="s">
        <v>281</v>
      </c>
      <c r="B71" s="322">
        <v>6.0000005416760001</v>
      </c>
      <c r="C71" s="322">
        <v>0</v>
      </c>
      <c r="D71" s="323">
        <v>-6.0000005416760001</v>
      </c>
      <c r="E71" s="324">
        <v>0</v>
      </c>
      <c r="F71" s="322">
        <v>6</v>
      </c>
      <c r="G71" s="323">
        <v>1</v>
      </c>
      <c r="H71" s="325">
        <v>0</v>
      </c>
      <c r="I71" s="322">
        <v>0</v>
      </c>
      <c r="J71" s="323">
        <v>-1</v>
      </c>
      <c r="K71" s="326">
        <v>0</v>
      </c>
    </row>
    <row r="72" spans="1:11" ht="14.4" customHeight="1" thickBot="1" x14ac:dyDescent="0.35">
      <c r="A72" s="342" t="s">
        <v>282</v>
      </c>
      <c r="B72" s="322">
        <v>694.00006265396905</v>
      </c>
      <c r="C72" s="322">
        <v>763.75121000000001</v>
      </c>
      <c r="D72" s="323">
        <v>69.751147346031004</v>
      </c>
      <c r="E72" s="324">
        <v>1.100505966929</v>
      </c>
      <c r="F72" s="322">
        <v>721.99999999999898</v>
      </c>
      <c r="G72" s="323">
        <v>120.333333333333</v>
      </c>
      <c r="H72" s="325">
        <v>63.225859999999997</v>
      </c>
      <c r="I72" s="322">
        <v>126.35961</v>
      </c>
      <c r="J72" s="323">
        <v>6.0262766666659999</v>
      </c>
      <c r="K72" s="326">
        <v>0.17501331024899999</v>
      </c>
    </row>
    <row r="73" spans="1:11" ht="14.4" customHeight="1" thickBot="1" x14ac:dyDescent="0.35">
      <c r="A73" s="343" t="s">
        <v>283</v>
      </c>
      <c r="B73" s="327">
        <v>184.00001661142699</v>
      </c>
      <c r="C73" s="327">
        <v>202.16917000000001</v>
      </c>
      <c r="D73" s="328">
        <v>18.169153388573001</v>
      </c>
      <c r="E73" s="329">
        <v>1.098745389936</v>
      </c>
      <c r="F73" s="327">
        <v>190.99999999999901</v>
      </c>
      <c r="G73" s="328">
        <v>31.833333333333002</v>
      </c>
      <c r="H73" s="330">
        <v>16.736360000000001</v>
      </c>
      <c r="I73" s="327">
        <v>33.448360000000001</v>
      </c>
      <c r="J73" s="328">
        <v>1.615026666666</v>
      </c>
      <c r="K73" s="331">
        <v>0.175122303664</v>
      </c>
    </row>
    <row r="74" spans="1:11" ht="14.4" customHeight="1" thickBot="1" x14ac:dyDescent="0.35">
      <c r="A74" s="344" t="s">
        <v>284</v>
      </c>
      <c r="B74" s="322">
        <v>184.00001661142699</v>
      </c>
      <c r="C74" s="322">
        <v>202.16917000000001</v>
      </c>
      <c r="D74" s="323">
        <v>18.169153388573001</v>
      </c>
      <c r="E74" s="324">
        <v>1.098745389936</v>
      </c>
      <c r="F74" s="322">
        <v>190.99999999999901</v>
      </c>
      <c r="G74" s="323">
        <v>31.833333333333002</v>
      </c>
      <c r="H74" s="325">
        <v>16.736360000000001</v>
      </c>
      <c r="I74" s="322">
        <v>33.448360000000001</v>
      </c>
      <c r="J74" s="323">
        <v>1.615026666666</v>
      </c>
      <c r="K74" s="326">
        <v>0.175122303664</v>
      </c>
    </row>
    <row r="75" spans="1:11" ht="14.4" customHeight="1" thickBot="1" x14ac:dyDescent="0.35">
      <c r="A75" s="343" t="s">
        <v>285</v>
      </c>
      <c r="B75" s="327">
        <v>510.00004604254201</v>
      </c>
      <c r="C75" s="327">
        <v>561.58204000000001</v>
      </c>
      <c r="D75" s="328">
        <v>51.581993957458003</v>
      </c>
      <c r="E75" s="329">
        <v>1.101141155491</v>
      </c>
      <c r="F75" s="327">
        <v>531</v>
      </c>
      <c r="G75" s="328">
        <v>88.5</v>
      </c>
      <c r="H75" s="330">
        <v>46.4895</v>
      </c>
      <c r="I75" s="327">
        <v>92.911249999999995</v>
      </c>
      <c r="J75" s="328">
        <v>4.4112499999999999</v>
      </c>
      <c r="K75" s="331">
        <v>0.17497410546100001</v>
      </c>
    </row>
    <row r="76" spans="1:11" ht="14.4" customHeight="1" thickBot="1" x14ac:dyDescent="0.35">
      <c r="A76" s="344" t="s">
        <v>286</v>
      </c>
      <c r="B76" s="322">
        <v>510.00004604254201</v>
      </c>
      <c r="C76" s="322">
        <v>561.58204000000001</v>
      </c>
      <c r="D76" s="323">
        <v>51.581993957458003</v>
      </c>
      <c r="E76" s="324">
        <v>1.101141155491</v>
      </c>
      <c r="F76" s="322">
        <v>531</v>
      </c>
      <c r="G76" s="323">
        <v>88.5</v>
      </c>
      <c r="H76" s="325">
        <v>46.4895</v>
      </c>
      <c r="I76" s="322">
        <v>92.911249999999995</v>
      </c>
      <c r="J76" s="323">
        <v>4.4112499999999999</v>
      </c>
      <c r="K76" s="326">
        <v>0.17497410546100001</v>
      </c>
    </row>
    <row r="77" spans="1:11" ht="14.4" customHeight="1" thickBot="1" x14ac:dyDescent="0.35">
      <c r="A77" s="342" t="s">
        <v>287</v>
      </c>
      <c r="B77" s="322">
        <v>31.000002798663999</v>
      </c>
      <c r="C77" s="322">
        <v>32.792050000000003</v>
      </c>
      <c r="D77" s="323">
        <v>1.792047201335</v>
      </c>
      <c r="E77" s="324">
        <v>1.0578079690169999</v>
      </c>
      <c r="F77" s="322">
        <v>43</v>
      </c>
      <c r="G77" s="323">
        <v>7.1666666666659999</v>
      </c>
      <c r="H77" s="325">
        <v>3.62046</v>
      </c>
      <c r="I77" s="322">
        <v>7.2349899999999998</v>
      </c>
      <c r="J77" s="323">
        <v>6.8323333333000003E-2</v>
      </c>
      <c r="K77" s="326">
        <v>0.16825558139499999</v>
      </c>
    </row>
    <row r="78" spans="1:11" ht="14.4" customHeight="1" thickBot="1" x14ac:dyDescent="0.35">
      <c r="A78" s="343" t="s">
        <v>288</v>
      </c>
      <c r="B78" s="327">
        <v>31.000002798663999</v>
      </c>
      <c r="C78" s="327">
        <v>32.792050000000003</v>
      </c>
      <c r="D78" s="328">
        <v>1.792047201335</v>
      </c>
      <c r="E78" s="329">
        <v>1.0578079690169999</v>
      </c>
      <c r="F78" s="327">
        <v>43</v>
      </c>
      <c r="G78" s="328">
        <v>7.1666666666659999</v>
      </c>
      <c r="H78" s="330">
        <v>3.62046</v>
      </c>
      <c r="I78" s="327">
        <v>7.2349899999999998</v>
      </c>
      <c r="J78" s="328">
        <v>6.8323333333000003E-2</v>
      </c>
      <c r="K78" s="331">
        <v>0.16825558139499999</v>
      </c>
    </row>
    <row r="79" spans="1:11" ht="14.4" customHeight="1" thickBot="1" x14ac:dyDescent="0.35">
      <c r="A79" s="344" t="s">
        <v>289</v>
      </c>
      <c r="B79" s="322">
        <v>31.000002798663999</v>
      </c>
      <c r="C79" s="322">
        <v>32.792050000000003</v>
      </c>
      <c r="D79" s="323">
        <v>1.792047201335</v>
      </c>
      <c r="E79" s="324">
        <v>1.0578079690169999</v>
      </c>
      <c r="F79" s="322">
        <v>43</v>
      </c>
      <c r="G79" s="323">
        <v>7.1666666666659999</v>
      </c>
      <c r="H79" s="325">
        <v>3.62046</v>
      </c>
      <c r="I79" s="322">
        <v>7.2349899999999998</v>
      </c>
      <c r="J79" s="323">
        <v>6.8323333333000003E-2</v>
      </c>
      <c r="K79" s="326">
        <v>0.16825558139499999</v>
      </c>
    </row>
    <row r="80" spans="1:11" ht="14.4" customHeight="1" thickBot="1" x14ac:dyDescent="0.35">
      <c r="A80" s="341" t="s">
        <v>290</v>
      </c>
      <c r="B80" s="322">
        <v>0</v>
      </c>
      <c r="C80" s="322">
        <v>19.7302</v>
      </c>
      <c r="D80" s="323">
        <v>19.7302</v>
      </c>
      <c r="E80" s="333" t="s">
        <v>218</v>
      </c>
      <c r="F80" s="322">
        <v>0</v>
      </c>
      <c r="G80" s="323">
        <v>0</v>
      </c>
      <c r="H80" s="325">
        <v>3.94</v>
      </c>
      <c r="I80" s="322">
        <v>3.94</v>
      </c>
      <c r="J80" s="323">
        <v>3.94</v>
      </c>
      <c r="K80" s="332" t="s">
        <v>218</v>
      </c>
    </row>
    <row r="81" spans="1:11" ht="14.4" customHeight="1" thickBot="1" x14ac:dyDescent="0.35">
      <c r="A81" s="342" t="s">
        <v>291</v>
      </c>
      <c r="B81" s="322">
        <v>0</v>
      </c>
      <c r="C81" s="322">
        <v>19.7302</v>
      </c>
      <c r="D81" s="323">
        <v>19.7302</v>
      </c>
      <c r="E81" s="333" t="s">
        <v>218</v>
      </c>
      <c r="F81" s="322">
        <v>0</v>
      </c>
      <c r="G81" s="323">
        <v>0</v>
      </c>
      <c r="H81" s="325">
        <v>3.94</v>
      </c>
      <c r="I81" s="322">
        <v>3.94</v>
      </c>
      <c r="J81" s="323">
        <v>3.94</v>
      </c>
      <c r="K81" s="332" t="s">
        <v>218</v>
      </c>
    </row>
    <row r="82" spans="1:11" ht="14.4" customHeight="1" thickBot="1" x14ac:dyDescent="0.35">
      <c r="A82" s="343" t="s">
        <v>292</v>
      </c>
      <c r="B82" s="327">
        <v>0</v>
      </c>
      <c r="C82" s="327">
        <v>18.280200000000001</v>
      </c>
      <c r="D82" s="328">
        <v>18.280200000000001</v>
      </c>
      <c r="E82" s="335" t="s">
        <v>218</v>
      </c>
      <c r="F82" s="327">
        <v>0</v>
      </c>
      <c r="G82" s="328">
        <v>0</v>
      </c>
      <c r="H82" s="330">
        <v>3.94</v>
      </c>
      <c r="I82" s="327">
        <v>3.94</v>
      </c>
      <c r="J82" s="328">
        <v>3.94</v>
      </c>
      <c r="K82" s="334" t="s">
        <v>218</v>
      </c>
    </row>
    <row r="83" spans="1:11" ht="14.4" customHeight="1" thickBot="1" x14ac:dyDescent="0.35">
      <c r="A83" s="344" t="s">
        <v>293</v>
      </c>
      <c r="B83" s="322">
        <v>0</v>
      </c>
      <c r="C83" s="322">
        <v>0.38719999999999999</v>
      </c>
      <c r="D83" s="323">
        <v>0.38719999999999999</v>
      </c>
      <c r="E83" s="333" t="s">
        <v>230</v>
      </c>
      <c r="F83" s="322">
        <v>0</v>
      </c>
      <c r="G83" s="323">
        <v>0</v>
      </c>
      <c r="H83" s="325">
        <v>0</v>
      </c>
      <c r="I83" s="322">
        <v>0</v>
      </c>
      <c r="J83" s="323">
        <v>0</v>
      </c>
      <c r="K83" s="332" t="s">
        <v>218</v>
      </c>
    </row>
    <row r="84" spans="1:11" ht="14.4" customHeight="1" thickBot="1" x14ac:dyDescent="0.35">
      <c r="A84" s="344" t="s">
        <v>294</v>
      </c>
      <c r="B84" s="322">
        <v>0</v>
      </c>
      <c r="C84" s="322">
        <v>17.562999999999999</v>
      </c>
      <c r="D84" s="323">
        <v>17.562999999999999</v>
      </c>
      <c r="E84" s="333" t="s">
        <v>218</v>
      </c>
      <c r="F84" s="322">
        <v>0</v>
      </c>
      <c r="G84" s="323">
        <v>0</v>
      </c>
      <c r="H84" s="325">
        <v>3.94</v>
      </c>
      <c r="I84" s="322">
        <v>3.94</v>
      </c>
      <c r="J84" s="323">
        <v>3.94</v>
      </c>
      <c r="K84" s="332" t="s">
        <v>218</v>
      </c>
    </row>
    <row r="85" spans="1:11" ht="14.4" customHeight="1" thickBot="1" x14ac:dyDescent="0.35">
      <c r="A85" s="344" t="s">
        <v>295</v>
      </c>
      <c r="B85" s="322">
        <v>0</v>
      </c>
      <c r="C85" s="322">
        <v>0.33</v>
      </c>
      <c r="D85" s="323">
        <v>0.33</v>
      </c>
      <c r="E85" s="333" t="s">
        <v>218</v>
      </c>
      <c r="F85" s="322">
        <v>0</v>
      </c>
      <c r="G85" s="323">
        <v>0</v>
      </c>
      <c r="H85" s="325">
        <v>0</v>
      </c>
      <c r="I85" s="322">
        <v>0</v>
      </c>
      <c r="J85" s="323">
        <v>0</v>
      </c>
      <c r="K85" s="332" t="s">
        <v>218</v>
      </c>
    </row>
    <row r="86" spans="1:11" ht="14.4" customHeight="1" thickBot="1" x14ac:dyDescent="0.35">
      <c r="A86" s="346" t="s">
        <v>296</v>
      </c>
      <c r="B86" s="322">
        <v>0</v>
      </c>
      <c r="C86" s="322">
        <v>1.45</v>
      </c>
      <c r="D86" s="323">
        <v>1.45</v>
      </c>
      <c r="E86" s="333" t="s">
        <v>218</v>
      </c>
      <c r="F86" s="322">
        <v>0</v>
      </c>
      <c r="G86" s="323">
        <v>0</v>
      </c>
      <c r="H86" s="325">
        <v>0</v>
      </c>
      <c r="I86" s="322">
        <v>0</v>
      </c>
      <c r="J86" s="323">
        <v>0</v>
      </c>
      <c r="K86" s="332" t="s">
        <v>218</v>
      </c>
    </row>
    <row r="87" spans="1:11" ht="14.4" customHeight="1" thickBot="1" x14ac:dyDescent="0.35">
      <c r="A87" s="344" t="s">
        <v>297</v>
      </c>
      <c r="B87" s="322">
        <v>0</v>
      </c>
      <c r="C87" s="322">
        <v>1.45</v>
      </c>
      <c r="D87" s="323">
        <v>1.45</v>
      </c>
      <c r="E87" s="333" t="s">
        <v>218</v>
      </c>
      <c r="F87" s="322">
        <v>0</v>
      </c>
      <c r="G87" s="323">
        <v>0</v>
      </c>
      <c r="H87" s="325">
        <v>0</v>
      </c>
      <c r="I87" s="322">
        <v>0</v>
      </c>
      <c r="J87" s="323">
        <v>0</v>
      </c>
      <c r="K87" s="332" t="s">
        <v>218</v>
      </c>
    </row>
    <row r="88" spans="1:11" ht="14.4" customHeight="1" thickBot="1" x14ac:dyDescent="0.35">
      <c r="A88" s="341" t="s">
        <v>298</v>
      </c>
      <c r="B88" s="322">
        <v>72.000166266695004</v>
      </c>
      <c r="C88" s="322">
        <v>71.256</v>
      </c>
      <c r="D88" s="323">
        <v>-0.74416626669499997</v>
      </c>
      <c r="E88" s="324">
        <v>0.98966438127400003</v>
      </c>
      <c r="F88" s="322">
        <v>72</v>
      </c>
      <c r="G88" s="323">
        <v>12</v>
      </c>
      <c r="H88" s="325">
        <v>5.9379999999999997</v>
      </c>
      <c r="I88" s="322">
        <v>11.875999999999999</v>
      </c>
      <c r="J88" s="323">
        <v>-0.124</v>
      </c>
      <c r="K88" s="326">
        <v>0.164944444444</v>
      </c>
    </row>
    <row r="89" spans="1:11" ht="14.4" customHeight="1" thickBot="1" x14ac:dyDescent="0.35">
      <c r="A89" s="342" t="s">
        <v>299</v>
      </c>
      <c r="B89" s="322">
        <v>72.000166266695004</v>
      </c>
      <c r="C89" s="322">
        <v>71.256</v>
      </c>
      <c r="D89" s="323">
        <v>-0.74416626669499997</v>
      </c>
      <c r="E89" s="324">
        <v>0.98966438127400003</v>
      </c>
      <c r="F89" s="322">
        <v>72</v>
      </c>
      <c r="G89" s="323">
        <v>12</v>
      </c>
      <c r="H89" s="325">
        <v>5.9379999999999997</v>
      </c>
      <c r="I89" s="322">
        <v>11.875999999999999</v>
      </c>
      <c r="J89" s="323">
        <v>-0.124</v>
      </c>
      <c r="K89" s="326">
        <v>0.164944444444</v>
      </c>
    </row>
    <row r="90" spans="1:11" ht="14.4" customHeight="1" thickBot="1" x14ac:dyDescent="0.35">
      <c r="A90" s="343" t="s">
        <v>300</v>
      </c>
      <c r="B90" s="327">
        <v>72.000166266695004</v>
      </c>
      <c r="C90" s="327">
        <v>71.256</v>
      </c>
      <c r="D90" s="328">
        <v>-0.74416626669499997</v>
      </c>
      <c r="E90" s="329">
        <v>0.98966438127400003</v>
      </c>
      <c r="F90" s="327">
        <v>72</v>
      </c>
      <c r="G90" s="328">
        <v>12</v>
      </c>
      <c r="H90" s="330">
        <v>5.9379999999999997</v>
      </c>
      <c r="I90" s="327">
        <v>11.875999999999999</v>
      </c>
      <c r="J90" s="328">
        <v>-0.124</v>
      </c>
      <c r="K90" s="331">
        <v>0.164944444444</v>
      </c>
    </row>
    <row r="91" spans="1:11" ht="14.4" customHeight="1" thickBot="1" x14ac:dyDescent="0.35">
      <c r="A91" s="344" t="s">
        <v>301</v>
      </c>
      <c r="B91" s="322">
        <v>15.000034638894</v>
      </c>
      <c r="C91" s="322">
        <v>14.58</v>
      </c>
      <c r="D91" s="323">
        <v>-0.420034638894</v>
      </c>
      <c r="E91" s="324">
        <v>0.97199775540400002</v>
      </c>
      <c r="F91" s="322">
        <v>15</v>
      </c>
      <c r="G91" s="323">
        <v>2.5</v>
      </c>
      <c r="H91" s="325">
        <v>1.2150000000000001</v>
      </c>
      <c r="I91" s="322">
        <v>2.4300000000000002</v>
      </c>
      <c r="J91" s="323">
        <v>-7.0000000000000007E-2</v>
      </c>
      <c r="K91" s="326">
        <v>0.16200000000000001</v>
      </c>
    </row>
    <row r="92" spans="1:11" ht="14.4" customHeight="1" thickBot="1" x14ac:dyDescent="0.35">
      <c r="A92" s="344" t="s">
        <v>302</v>
      </c>
      <c r="B92" s="322">
        <v>57.000131627800002</v>
      </c>
      <c r="C92" s="322">
        <v>56.676000000000002</v>
      </c>
      <c r="D92" s="323">
        <v>-0.32413162779999999</v>
      </c>
      <c r="E92" s="324">
        <v>0.99431349334499997</v>
      </c>
      <c r="F92" s="322">
        <v>57</v>
      </c>
      <c r="G92" s="323">
        <v>9.5</v>
      </c>
      <c r="H92" s="325">
        <v>4.7229999999999999</v>
      </c>
      <c r="I92" s="322">
        <v>9.4459999999999997</v>
      </c>
      <c r="J92" s="323">
        <v>-5.3999999999999999E-2</v>
      </c>
      <c r="K92" s="326">
        <v>0.16571929824500001</v>
      </c>
    </row>
    <row r="93" spans="1:11" ht="14.4" customHeight="1" thickBot="1" x14ac:dyDescent="0.35">
      <c r="A93" s="340" t="s">
        <v>303</v>
      </c>
      <c r="B93" s="322">
        <v>149.91698991823799</v>
      </c>
      <c r="C93" s="322">
        <v>6.1600799999999998</v>
      </c>
      <c r="D93" s="323">
        <v>-143.75690991823799</v>
      </c>
      <c r="E93" s="324">
        <v>4.1089939194000002E-2</v>
      </c>
      <c r="F93" s="322">
        <v>5.4297829144070002</v>
      </c>
      <c r="G93" s="323">
        <v>0.90496381906699996</v>
      </c>
      <c r="H93" s="325">
        <v>0</v>
      </c>
      <c r="I93" s="322">
        <v>0</v>
      </c>
      <c r="J93" s="323">
        <v>-0.90496381906699996</v>
      </c>
      <c r="K93" s="326">
        <v>0</v>
      </c>
    </row>
    <row r="94" spans="1:11" ht="14.4" customHeight="1" thickBot="1" x14ac:dyDescent="0.35">
      <c r="A94" s="341" t="s">
        <v>304</v>
      </c>
      <c r="B94" s="322">
        <v>0.70850209533200004</v>
      </c>
      <c r="C94" s="322">
        <v>0</v>
      </c>
      <c r="D94" s="323">
        <v>-0.70850209533200004</v>
      </c>
      <c r="E94" s="324">
        <v>0</v>
      </c>
      <c r="F94" s="322">
        <v>0</v>
      </c>
      <c r="G94" s="323">
        <v>0</v>
      </c>
      <c r="H94" s="325">
        <v>0</v>
      </c>
      <c r="I94" s="322">
        <v>0</v>
      </c>
      <c r="J94" s="323">
        <v>0</v>
      </c>
      <c r="K94" s="332" t="s">
        <v>218</v>
      </c>
    </row>
    <row r="95" spans="1:11" ht="14.4" customHeight="1" thickBot="1" x14ac:dyDescent="0.35">
      <c r="A95" s="342" t="s">
        <v>305</v>
      </c>
      <c r="B95" s="322">
        <v>0.70850209533200004</v>
      </c>
      <c r="C95" s="322">
        <v>0</v>
      </c>
      <c r="D95" s="323">
        <v>-0.70850209533200004</v>
      </c>
      <c r="E95" s="324">
        <v>0</v>
      </c>
      <c r="F95" s="322">
        <v>0</v>
      </c>
      <c r="G95" s="323">
        <v>0</v>
      </c>
      <c r="H95" s="325">
        <v>0</v>
      </c>
      <c r="I95" s="322">
        <v>0</v>
      </c>
      <c r="J95" s="323">
        <v>0</v>
      </c>
      <c r="K95" s="332" t="s">
        <v>218</v>
      </c>
    </row>
    <row r="96" spans="1:11" ht="14.4" customHeight="1" thickBot="1" x14ac:dyDescent="0.35">
      <c r="A96" s="343" t="s">
        <v>306</v>
      </c>
      <c r="B96" s="327">
        <v>0.70850209533200004</v>
      </c>
      <c r="C96" s="327">
        <v>0</v>
      </c>
      <c r="D96" s="328">
        <v>-0.70850209533200004</v>
      </c>
      <c r="E96" s="329">
        <v>0</v>
      </c>
      <c r="F96" s="327">
        <v>0</v>
      </c>
      <c r="G96" s="328">
        <v>0</v>
      </c>
      <c r="H96" s="330">
        <v>0</v>
      </c>
      <c r="I96" s="327">
        <v>0</v>
      </c>
      <c r="J96" s="328">
        <v>0</v>
      </c>
      <c r="K96" s="331">
        <v>2</v>
      </c>
    </row>
    <row r="97" spans="1:11" ht="14.4" customHeight="1" thickBot="1" x14ac:dyDescent="0.35">
      <c r="A97" s="344" t="s">
        <v>307</v>
      </c>
      <c r="B97" s="322">
        <v>0.70850209533200004</v>
      </c>
      <c r="C97" s="322">
        <v>0</v>
      </c>
      <c r="D97" s="323">
        <v>-0.70850209533200004</v>
      </c>
      <c r="E97" s="324">
        <v>0</v>
      </c>
      <c r="F97" s="322">
        <v>0</v>
      </c>
      <c r="G97" s="323">
        <v>0</v>
      </c>
      <c r="H97" s="325">
        <v>0</v>
      </c>
      <c r="I97" s="322">
        <v>0</v>
      </c>
      <c r="J97" s="323">
        <v>0</v>
      </c>
      <c r="K97" s="326">
        <v>2</v>
      </c>
    </row>
    <row r="98" spans="1:11" ht="14.4" customHeight="1" thickBot="1" x14ac:dyDescent="0.35">
      <c r="A98" s="341" t="s">
        <v>308</v>
      </c>
      <c r="B98" s="322">
        <v>149.20848782290599</v>
      </c>
      <c r="C98" s="322">
        <v>6.1600799999999998</v>
      </c>
      <c r="D98" s="323">
        <v>-143.048407822906</v>
      </c>
      <c r="E98" s="324">
        <v>4.1285050801999998E-2</v>
      </c>
      <c r="F98" s="322">
        <v>5.4297829144070002</v>
      </c>
      <c r="G98" s="323">
        <v>0.90496381906699996</v>
      </c>
      <c r="H98" s="325">
        <v>0</v>
      </c>
      <c r="I98" s="322">
        <v>0</v>
      </c>
      <c r="J98" s="323">
        <v>-0.90496381906699996</v>
      </c>
      <c r="K98" s="326">
        <v>0</v>
      </c>
    </row>
    <row r="99" spans="1:11" ht="14.4" customHeight="1" thickBot="1" x14ac:dyDescent="0.35">
      <c r="A99" s="347" t="s">
        <v>309</v>
      </c>
      <c r="B99" s="327">
        <v>149.20848782290599</v>
      </c>
      <c r="C99" s="327">
        <v>6.1600799999999998</v>
      </c>
      <c r="D99" s="328">
        <v>-143.048407822906</v>
      </c>
      <c r="E99" s="329">
        <v>4.1285050801999998E-2</v>
      </c>
      <c r="F99" s="327">
        <v>5.4297829144070002</v>
      </c>
      <c r="G99" s="328">
        <v>0.90496381906699996</v>
      </c>
      <c r="H99" s="330">
        <v>0</v>
      </c>
      <c r="I99" s="327">
        <v>0</v>
      </c>
      <c r="J99" s="328">
        <v>-0.90496381906699996</v>
      </c>
      <c r="K99" s="331">
        <v>0</v>
      </c>
    </row>
    <row r="100" spans="1:11" ht="14.4" customHeight="1" thickBot="1" x14ac:dyDescent="0.35">
      <c r="A100" s="343" t="s">
        <v>310</v>
      </c>
      <c r="B100" s="327">
        <v>149.20848782290599</v>
      </c>
      <c r="C100" s="327">
        <v>6.1600799999999998</v>
      </c>
      <c r="D100" s="328">
        <v>-143.048407822906</v>
      </c>
      <c r="E100" s="329">
        <v>4.1285050801999998E-2</v>
      </c>
      <c r="F100" s="327">
        <v>5.4297829144070002</v>
      </c>
      <c r="G100" s="328">
        <v>0.90496381906699996</v>
      </c>
      <c r="H100" s="330">
        <v>0</v>
      </c>
      <c r="I100" s="327">
        <v>0</v>
      </c>
      <c r="J100" s="328">
        <v>-0.90496381906699996</v>
      </c>
      <c r="K100" s="331">
        <v>0</v>
      </c>
    </row>
    <row r="101" spans="1:11" ht="14.4" customHeight="1" thickBot="1" x14ac:dyDescent="0.35">
      <c r="A101" s="344" t="s">
        <v>311</v>
      </c>
      <c r="B101" s="322">
        <v>0.80962967675099995</v>
      </c>
      <c r="C101" s="322">
        <v>0.21</v>
      </c>
      <c r="D101" s="323">
        <v>-0.59962967675099998</v>
      </c>
      <c r="E101" s="324">
        <v>0.25937784400699998</v>
      </c>
      <c r="F101" s="322">
        <v>0.20572357266399999</v>
      </c>
      <c r="G101" s="323">
        <v>3.4287262110000001E-2</v>
      </c>
      <c r="H101" s="325">
        <v>0</v>
      </c>
      <c r="I101" s="322">
        <v>0</v>
      </c>
      <c r="J101" s="323">
        <v>-3.4287262110000001E-2</v>
      </c>
      <c r="K101" s="326">
        <v>0</v>
      </c>
    </row>
    <row r="102" spans="1:11" ht="14.4" customHeight="1" thickBot="1" x14ac:dyDescent="0.35">
      <c r="A102" s="344" t="s">
        <v>312</v>
      </c>
      <c r="B102" s="322">
        <v>148.39885814615499</v>
      </c>
      <c r="C102" s="322">
        <v>5.9500799999999998</v>
      </c>
      <c r="D102" s="323">
        <v>-142.44877814615501</v>
      </c>
      <c r="E102" s="324">
        <v>4.0095187215000001E-2</v>
      </c>
      <c r="F102" s="322">
        <v>5.2240593417429997</v>
      </c>
      <c r="G102" s="323">
        <v>0.87067655695699997</v>
      </c>
      <c r="H102" s="325">
        <v>0</v>
      </c>
      <c r="I102" s="322">
        <v>0</v>
      </c>
      <c r="J102" s="323">
        <v>-0.87067655695699997</v>
      </c>
      <c r="K102" s="326">
        <v>0</v>
      </c>
    </row>
    <row r="103" spans="1:11" ht="14.4" customHeight="1" thickBot="1" x14ac:dyDescent="0.35">
      <c r="A103" s="340" t="s">
        <v>313</v>
      </c>
      <c r="B103" s="322">
        <v>501.42696791205799</v>
      </c>
      <c r="C103" s="322">
        <v>495.05142999999998</v>
      </c>
      <c r="D103" s="323">
        <v>-6.3755379120580002</v>
      </c>
      <c r="E103" s="324">
        <v>0.987285211366</v>
      </c>
      <c r="F103" s="322">
        <v>0</v>
      </c>
      <c r="G103" s="323">
        <v>0</v>
      </c>
      <c r="H103" s="325">
        <v>29.726120000000002</v>
      </c>
      <c r="I103" s="322">
        <v>67.608670000000004</v>
      </c>
      <c r="J103" s="323">
        <v>67.608670000000004</v>
      </c>
      <c r="K103" s="332" t="s">
        <v>230</v>
      </c>
    </row>
    <row r="104" spans="1:11" ht="14.4" customHeight="1" thickBot="1" x14ac:dyDescent="0.35">
      <c r="A104" s="345" t="s">
        <v>314</v>
      </c>
      <c r="B104" s="327">
        <v>501.42696791205799</v>
      </c>
      <c r="C104" s="327">
        <v>495.05142999999998</v>
      </c>
      <c r="D104" s="328">
        <v>-6.3755379120580002</v>
      </c>
      <c r="E104" s="329">
        <v>0.987285211366</v>
      </c>
      <c r="F104" s="327">
        <v>0</v>
      </c>
      <c r="G104" s="328">
        <v>0</v>
      </c>
      <c r="H104" s="330">
        <v>29.726120000000002</v>
      </c>
      <c r="I104" s="327">
        <v>67.608670000000004</v>
      </c>
      <c r="J104" s="328">
        <v>67.608670000000004</v>
      </c>
      <c r="K104" s="334" t="s">
        <v>230</v>
      </c>
    </row>
    <row r="105" spans="1:11" ht="14.4" customHeight="1" thickBot="1" x14ac:dyDescent="0.35">
      <c r="A105" s="347" t="s">
        <v>38</v>
      </c>
      <c r="B105" s="327">
        <v>501.42696791205799</v>
      </c>
      <c r="C105" s="327">
        <v>495.05142999999998</v>
      </c>
      <c r="D105" s="328">
        <v>-6.3755379120580002</v>
      </c>
      <c r="E105" s="329">
        <v>0.987285211366</v>
      </c>
      <c r="F105" s="327">
        <v>0</v>
      </c>
      <c r="G105" s="328">
        <v>0</v>
      </c>
      <c r="H105" s="330">
        <v>29.726120000000002</v>
      </c>
      <c r="I105" s="327">
        <v>67.608670000000004</v>
      </c>
      <c r="J105" s="328">
        <v>67.608670000000004</v>
      </c>
      <c r="K105" s="334" t="s">
        <v>230</v>
      </c>
    </row>
    <row r="106" spans="1:11" ht="14.4" customHeight="1" thickBot="1" x14ac:dyDescent="0.35">
      <c r="A106" s="343" t="s">
        <v>315</v>
      </c>
      <c r="B106" s="327">
        <v>42.601398573247003</v>
      </c>
      <c r="C106" s="327">
        <v>15.6295</v>
      </c>
      <c r="D106" s="328">
        <v>-26.971898573247</v>
      </c>
      <c r="E106" s="329">
        <v>0.36687762663700002</v>
      </c>
      <c r="F106" s="327">
        <v>0</v>
      </c>
      <c r="G106" s="328">
        <v>0</v>
      </c>
      <c r="H106" s="330">
        <v>0.14699999999999999</v>
      </c>
      <c r="I106" s="327">
        <v>7.5766999999999998</v>
      </c>
      <c r="J106" s="328">
        <v>7.5766999999999998</v>
      </c>
      <c r="K106" s="334" t="s">
        <v>230</v>
      </c>
    </row>
    <row r="107" spans="1:11" ht="14.4" customHeight="1" thickBot="1" x14ac:dyDescent="0.35">
      <c r="A107" s="344" t="s">
        <v>316</v>
      </c>
      <c r="B107" s="322">
        <v>41.832161039033998</v>
      </c>
      <c r="C107" s="322">
        <v>15.115</v>
      </c>
      <c r="D107" s="323">
        <v>-26.717161039034</v>
      </c>
      <c r="E107" s="324">
        <v>0.36132486643200001</v>
      </c>
      <c r="F107" s="322">
        <v>0</v>
      </c>
      <c r="G107" s="323">
        <v>0</v>
      </c>
      <c r="H107" s="325">
        <v>0</v>
      </c>
      <c r="I107" s="322">
        <v>7.2092000000000001</v>
      </c>
      <c r="J107" s="323">
        <v>7.2092000000000001</v>
      </c>
      <c r="K107" s="332" t="s">
        <v>230</v>
      </c>
    </row>
    <row r="108" spans="1:11" ht="14.4" customHeight="1" thickBot="1" x14ac:dyDescent="0.35">
      <c r="A108" s="344" t="s">
        <v>317</v>
      </c>
      <c r="B108" s="322">
        <v>0.76923753421200003</v>
      </c>
      <c r="C108" s="322">
        <v>0.51449999999999996</v>
      </c>
      <c r="D108" s="323">
        <v>-0.25473753421200002</v>
      </c>
      <c r="E108" s="324">
        <v>0.66884411786599995</v>
      </c>
      <c r="F108" s="322">
        <v>0</v>
      </c>
      <c r="G108" s="323">
        <v>0</v>
      </c>
      <c r="H108" s="325">
        <v>0.14699999999999999</v>
      </c>
      <c r="I108" s="322">
        <v>0.36749999999999999</v>
      </c>
      <c r="J108" s="323">
        <v>0.36749999999999999</v>
      </c>
      <c r="K108" s="332" t="s">
        <v>230</v>
      </c>
    </row>
    <row r="109" spans="1:11" ht="14.4" customHeight="1" thickBot="1" x14ac:dyDescent="0.35">
      <c r="A109" s="343" t="s">
        <v>318</v>
      </c>
      <c r="B109" s="327">
        <v>5.3832688803610003</v>
      </c>
      <c r="C109" s="327">
        <v>5.4831000000000003</v>
      </c>
      <c r="D109" s="328">
        <v>9.9831119637999996E-2</v>
      </c>
      <c r="E109" s="329">
        <v>1.0185447024580001</v>
      </c>
      <c r="F109" s="327">
        <v>0</v>
      </c>
      <c r="G109" s="328">
        <v>0</v>
      </c>
      <c r="H109" s="330">
        <v>0.45119999999999999</v>
      </c>
      <c r="I109" s="327">
        <v>1.0539000000000001</v>
      </c>
      <c r="J109" s="328">
        <v>1.0539000000000001</v>
      </c>
      <c r="K109" s="334" t="s">
        <v>230</v>
      </c>
    </row>
    <row r="110" spans="1:11" ht="14.4" customHeight="1" thickBot="1" x14ac:dyDescent="0.35">
      <c r="A110" s="344" t="s">
        <v>319</v>
      </c>
      <c r="B110" s="322">
        <v>5.3832688803610003</v>
      </c>
      <c r="C110" s="322">
        <v>5.4831000000000003</v>
      </c>
      <c r="D110" s="323">
        <v>9.9831119637999996E-2</v>
      </c>
      <c r="E110" s="324">
        <v>1.0185447024580001</v>
      </c>
      <c r="F110" s="322">
        <v>0</v>
      </c>
      <c r="G110" s="323">
        <v>0</v>
      </c>
      <c r="H110" s="325">
        <v>0.45119999999999999</v>
      </c>
      <c r="I110" s="322">
        <v>1.0539000000000001</v>
      </c>
      <c r="J110" s="323">
        <v>1.0539000000000001</v>
      </c>
      <c r="K110" s="332" t="s">
        <v>230</v>
      </c>
    </row>
    <row r="111" spans="1:11" ht="14.4" customHeight="1" thickBot="1" x14ac:dyDescent="0.35">
      <c r="A111" s="343" t="s">
        <v>320</v>
      </c>
      <c r="B111" s="327">
        <v>152.30162555027701</v>
      </c>
      <c r="C111" s="327">
        <v>145.72031999999999</v>
      </c>
      <c r="D111" s="328">
        <v>-6.5813055502770004</v>
      </c>
      <c r="E111" s="329">
        <v>0.95678768675899994</v>
      </c>
      <c r="F111" s="327">
        <v>0</v>
      </c>
      <c r="G111" s="328">
        <v>0</v>
      </c>
      <c r="H111" s="330">
        <v>6.4391499999999997</v>
      </c>
      <c r="I111" s="327">
        <v>13.19219</v>
      </c>
      <c r="J111" s="328">
        <v>13.19219</v>
      </c>
      <c r="K111" s="334" t="s">
        <v>230</v>
      </c>
    </row>
    <row r="112" spans="1:11" ht="14.4" customHeight="1" thickBot="1" x14ac:dyDescent="0.35">
      <c r="A112" s="344" t="s">
        <v>321</v>
      </c>
      <c r="B112" s="322">
        <v>152.30162555027701</v>
      </c>
      <c r="C112" s="322">
        <v>145.72031999999999</v>
      </c>
      <c r="D112" s="323">
        <v>-6.5813055502770004</v>
      </c>
      <c r="E112" s="324">
        <v>0.95678768675899994</v>
      </c>
      <c r="F112" s="322">
        <v>0</v>
      </c>
      <c r="G112" s="323">
        <v>0</v>
      </c>
      <c r="H112" s="325">
        <v>6.4391499999999997</v>
      </c>
      <c r="I112" s="322">
        <v>13.19219</v>
      </c>
      <c r="J112" s="323">
        <v>13.19219</v>
      </c>
      <c r="K112" s="332" t="s">
        <v>230</v>
      </c>
    </row>
    <row r="113" spans="1:11" ht="14.4" customHeight="1" thickBot="1" x14ac:dyDescent="0.35">
      <c r="A113" s="343" t="s">
        <v>322</v>
      </c>
      <c r="B113" s="327">
        <v>0</v>
      </c>
      <c r="C113" s="327">
        <v>15.638</v>
      </c>
      <c r="D113" s="328">
        <v>15.638</v>
      </c>
      <c r="E113" s="335" t="s">
        <v>230</v>
      </c>
      <c r="F113" s="327">
        <v>0</v>
      </c>
      <c r="G113" s="328">
        <v>0</v>
      </c>
      <c r="H113" s="330">
        <v>0</v>
      </c>
      <c r="I113" s="327">
        <v>0</v>
      </c>
      <c r="J113" s="328">
        <v>0</v>
      </c>
      <c r="K113" s="331">
        <v>2</v>
      </c>
    </row>
    <row r="114" spans="1:11" ht="14.4" customHeight="1" thickBot="1" x14ac:dyDescent="0.35">
      <c r="A114" s="344" t="s">
        <v>323</v>
      </c>
      <c r="B114" s="322">
        <v>0</v>
      </c>
      <c r="C114" s="322">
        <v>15.638</v>
      </c>
      <c r="D114" s="323">
        <v>15.638</v>
      </c>
      <c r="E114" s="333" t="s">
        <v>230</v>
      </c>
      <c r="F114" s="322">
        <v>0</v>
      </c>
      <c r="G114" s="323">
        <v>0</v>
      </c>
      <c r="H114" s="325">
        <v>0</v>
      </c>
      <c r="I114" s="322">
        <v>0</v>
      </c>
      <c r="J114" s="323">
        <v>0</v>
      </c>
      <c r="K114" s="326">
        <v>2</v>
      </c>
    </row>
    <row r="115" spans="1:11" ht="14.4" customHeight="1" thickBot="1" x14ac:dyDescent="0.35">
      <c r="A115" s="343" t="s">
        <v>324</v>
      </c>
      <c r="B115" s="327">
        <v>301.14067490817098</v>
      </c>
      <c r="C115" s="327">
        <v>312.58051</v>
      </c>
      <c r="D115" s="328">
        <v>11.439835091828</v>
      </c>
      <c r="E115" s="329">
        <v>1.037988342475</v>
      </c>
      <c r="F115" s="327">
        <v>0</v>
      </c>
      <c r="G115" s="328">
        <v>0</v>
      </c>
      <c r="H115" s="330">
        <v>22.688770000000002</v>
      </c>
      <c r="I115" s="327">
        <v>45.785879999999999</v>
      </c>
      <c r="J115" s="328">
        <v>45.785879999999999</v>
      </c>
      <c r="K115" s="334" t="s">
        <v>230</v>
      </c>
    </row>
    <row r="116" spans="1:11" ht="14.4" customHeight="1" thickBot="1" x14ac:dyDescent="0.35">
      <c r="A116" s="344" t="s">
        <v>325</v>
      </c>
      <c r="B116" s="322">
        <v>301.14067490817098</v>
      </c>
      <c r="C116" s="322">
        <v>312.58051</v>
      </c>
      <c r="D116" s="323">
        <v>11.439835091828</v>
      </c>
      <c r="E116" s="324">
        <v>1.037988342475</v>
      </c>
      <c r="F116" s="322">
        <v>0</v>
      </c>
      <c r="G116" s="323">
        <v>0</v>
      </c>
      <c r="H116" s="325">
        <v>22.688770000000002</v>
      </c>
      <c r="I116" s="322">
        <v>45.785879999999999</v>
      </c>
      <c r="J116" s="323">
        <v>45.785879999999999</v>
      </c>
      <c r="K116" s="332" t="s">
        <v>230</v>
      </c>
    </row>
    <row r="117" spans="1:11" ht="14.4" customHeight="1" thickBot="1" x14ac:dyDescent="0.35">
      <c r="A117" s="348"/>
      <c r="B117" s="322">
        <v>-3853.6280916659198</v>
      </c>
      <c r="C117" s="322">
        <v>-4131.4663200000005</v>
      </c>
      <c r="D117" s="323">
        <v>-277.83822833408101</v>
      </c>
      <c r="E117" s="324">
        <v>1.0720978313739999</v>
      </c>
      <c r="F117" s="322">
        <v>-3469.56030444012</v>
      </c>
      <c r="G117" s="323">
        <v>-578.26005074002001</v>
      </c>
      <c r="H117" s="325">
        <v>-313.21854999999999</v>
      </c>
      <c r="I117" s="322">
        <v>-660.01869999999997</v>
      </c>
      <c r="J117" s="323">
        <v>-81.758649259978995</v>
      </c>
      <c r="K117" s="326">
        <v>0.190231223004</v>
      </c>
    </row>
    <row r="118" spans="1:11" ht="14.4" customHeight="1" thickBot="1" x14ac:dyDescent="0.35">
      <c r="A118" s="349" t="s">
        <v>50</v>
      </c>
      <c r="B118" s="336">
        <v>-3853.6280916659198</v>
      </c>
      <c r="C118" s="336">
        <v>-4131.4663200000005</v>
      </c>
      <c r="D118" s="337">
        <v>-277.83822833407999</v>
      </c>
      <c r="E118" s="338">
        <v>-1.986301531232</v>
      </c>
      <c r="F118" s="336">
        <v>-3469.56030444012</v>
      </c>
      <c r="G118" s="337">
        <v>-578.26005074002001</v>
      </c>
      <c r="H118" s="336">
        <v>-313.21854999999999</v>
      </c>
      <c r="I118" s="336">
        <v>-660.01869999999997</v>
      </c>
      <c r="J118" s="337">
        <v>-81.758649259978995</v>
      </c>
      <c r="K118" s="339">
        <v>0.190231223004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304" t="s">
        <v>77</v>
      </c>
      <c r="B1" s="305"/>
      <c r="C1" s="305"/>
      <c r="D1" s="305"/>
      <c r="E1" s="305"/>
      <c r="F1" s="305"/>
      <c r="G1" s="275"/>
      <c r="H1" s="306"/>
      <c r="I1" s="306"/>
    </row>
    <row r="2" spans="1:10" ht="14.4" customHeight="1" thickBot="1" x14ac:dyDescent="0.35">
      <c r="A2" s="173" t="s">
        <v>217</v>
      </c>
      <c r="B2" s="160"/>
      <c r="C2" s="160"/>
      <c r="D2" s="160"/>
      <c r="E2" s="160"/>
      <c r="F2" s="160"/>
    </row>
    <row r="3" spans="1:10" ht="14.4" customHeight="1" thickBot="1" x14ac:dyDescent="0.35">
      <c r="A3" s="173"/>
      <c r="B3" s="269"/>
      <c r="C3" s="268">
        <v>2015</v>
      </c>
      <c r="D3" s="234">
        <v>2016</v>
      </c>
      <c r="E3" s="7"/>
      <c r="F3" s="283">
        <v>2017</v>
      </c>
      <c r="G3" s="301"/>
      <c r="H3" s="301"/>
      <c r="I3" s="284"/>
    </row>
    <row r="4" spans="1:10" ht="14.4" customHeight="1" thickBot="1" x14ac:dyDescent="0.35">
      <c r="A4" s="238" t="s">
        <v>0</v>
      </c>
      <c r="B4" s="239" t="s">
        <v>162</v>
      </c>
      <c r="C4" s="302" t="s">
        <v>55</v>
      </c>
      <c r="D4" s="303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50" t="s">
        <v>326</v>
      </c>
      <c r="B5" s="351" t="s">
        <v>327</v>
      </c>
      <c r="C5" s="352" t="s">
        <v>328</v>
      </c>
      <c r="D5" s="352" t="s">
        <v>328</v>
      </c>
      <c r="E5" s="352"/>
      <c r="F5" s="352" t="s">
        <v>328</v>
      </c>
      <c r="G5" s="352" t="s">
        <v>328</v>
      </c>
      <c r="H5" s="352" t="s">
        <v>328</v>
      </c>
      <c r="I5" s="353" t="s">
        <v>328</v>
      </c>
      <c r="J5" s="354" t="s">
        <v>53</v>
      </c>
    </row>
    <row r="6" spans="1:10" ht="14.4" customHeight="1" x14ac:dyDescent="0.3">
      <c r="A6" s="350" t="s">
        <v>326</v>
      </c>
      <c r="B6" s="351" t="s">
        <v>224</v>
      </c>
      <c r="C6" s="352">
        <v>0.40909000000000001</v>
      </c>
      <c r="D6" s="352">
        <v>0.15182999999999999</v>
      </c>
      <c r="E6" s="352"/>
      <c r="F6" s="352">
        <v>0.41959999999999997</v>
      </c>
      <c r="G6" s="352">
        <v>0.83333333333333337</v>
      </c>
      <c r="H6" s="352">
        <v>-0.4137333333333334</v>
      </c>
      <c r="I6" s="353">
        <v>0.50351999999999997</v>
      </c>
      <c r="J6" s="354" t="s">
        <v>1</v>
      </c>
    </row>
    <row r="7" spans="1:10" ht="14.4" customHeight="1" x14ac:dyDescent="0.3">
      <c r="A7" s="350" t="s">
        <v>326</v>
      </c>
      <c r="B7" s="351" t="s">
        <v>329</v>
      </c>
      <c r="C7" s="352">
        <v>0.40909000000000001</v>
      </c>
      <c r="D7" s="352">
        <v>0.15182999999999999</v>
      </c>
      <c r="E7" s="352"/>
      <c r="F7" s="352">
        <v>0.41959999999999997</v>
      </c>
      <c r="G7" s="352">
        <v>0.83333333333333337</v>
      </c>
      <c r="H7" s="352">
        <v>-0.4137333333333334</v>
      </c>
      <c r="I7" s="353">
        <v>0.50351999999999997</v>
      </c>
      <c r="J7" s="354" t="s">
        <v>330</v>
      </c>
    </row>
    <row r="9" spans="1:10" ht="14.4" customHeight="1" x14ac:dyDescent="0.3">
      <c r="A9" s="350" t="s">
        <v>326</v>
      </c>
      <c r="B9" s="351" t="s">
        <v>327</v>
      </c>
      <c r="C9" s="352" t="s">
        <v>328</v>
      </c>
      <c r="D9" s="352" t="s">
        <v>328</v>
      </c>
      <c r="E9" s="352"/>
      <c r="F9" s="352" t="s">
        <v>328</v>
      </c>
      <c r="G9" s="352" t="s">
        <v>328</v>
      </c>
      <c r="H9" s="352" t="s">
        <v>328</v>
      </c>
      <c r="I9" s="353" t="s">
        <v>328</v>
      </c>
      <c r="J9" s="354" t="s">
        <v>53</v>
      </c>
    </row>
    <row r="10" spans="1:10" ht="14.4" customHeight="1" x14ac:dyDescent="0.3">
      <c r="A10" s="350" t="s">
        <v>331</v>
      </c>
      <c r="B10" s="351" t="s">
        <v>327</v>
      </c>
      <c r="C10" s="352" t="s">
        <v>328</v>
      </c>
      <c r="D10" s="352" t="s">
        <v>328</v>
      </c>
      <c r="E10" s="352"/>
      <c r="F10" s="352" t="s">
        <v>328</v>
      </c>
      <c r="G10" s="352" t="s">
        <v>328</v>
      </c>
      <c r="H10" s="352" t="s">
        <v>328</v>
      </c>
      <c r="I10" s="353" t="s">
        <v>328</v>
      </c>
      <c r="J10" s="354" t="s">
        <v>0</v>
      </c>
    </row>
    <row r="11" spans="1:10" ht="14.4" customHeight="1" x14ac:dyDescent="0.3">
      <c r="A11" s="350" t="s">
        <v>331</v>
      </c>
      <c r="B11" s="351" t="s">
        <v>224</v>
      </c>
      <c r="C11" s="352">
        <v>0.40909000000000001</v>
      </c>
      <c r="D11" s="352">
        <v>0.15182999999999999</v>
      </c>
      <c r="E11" s="352"/>
      <c r="F11" s="352">
        <v>0.41959999999999997</v>
      </c>
      <c r="G11" s="352">
        <v>0.83333333333333337</v>
      </c>
      <c r="H11" s="352">
        <v>-0.4137333333333334</v>
      </c>
      <c r="I11" s="353">
        <v>0.50351999999999997</v>
      </c>
      <c r="J11" s="354" t="s">
        <v>1</v>
      </c>
    </row>
    <row r="12" spans="1:10" ht="14.4" customHeight="1" x14ac:dyDescent="0.3">
      <c r="A12" s="350" t="s">
        <v>331</v>
      </c>
      <c r="B12" s="351" t="s">
        <v>329</v>
      </c>
      <c r="C12" s="352">
        <v>0.40909000000000001</v>
      </c>
      <c r="D12" s="352">
        <v>0.15182999999999999</v>
      </c>
      <c r="E12" s="352"/>
      <c r="F12" s="352">
        <v>0.41959999999999997</v>
      </c>
      <c r="G12" s="352">
        <v>0.83333333333333337</v>
      </c>
      <c r="H12" s="352">
        <v>-0.4137333333333334</v>
      </c>
      <c r="I12" s="353">
        <v>0.50351999999999997</v>
      </c>
      <c r="J12" s="354" t="s">
        <v>332</v>
      </c>
    </row>
    <row r="13" spans="1:10" ht="14.4" customHeight="1" x14ac:dyDescent="0.3">
      <c r="A13" s="350" t="s">
        <v>328</v>
      </c>
      <c r="B13" s="351" t="s">
        <v>328</v>
      </c>
      <c r="C13" s="352" t="s">
        <v>328</v>
      </c>
      <c r="D13" s="352" t="s">
        <v>328</v>
      </c>
      <c r="E13" s="352"/>
      <c r="F13" s="352" t="s">
        <v>328</v>
      </c>
      <c r="G13" s="352" t="s">
        <v>328</v>
      </c>
      <c r="H13" s="352" t="s">
        <v>328</v>
      </c>
      <c r="I13" s="353" t="s">
        <v>328</v>
      </c>
      <c r="J13" s="354" t="s">
        <v>333</v>
      </c>
    </row>
    <row r="14" spans="1:10" ht="14.4" customHeight="1" x14ac:dyDescent="0.3">
      <c r="A14" s="350" t="s">
        <v>326</v>
      </c>
      <c r="B14" s="351" t="s">
        <v>329</v>
      </c>
      <c r="C14" s="352">
        <v>0.40909000000000001</v>
      </c>
      <c r="D14" s="352">
        <v>0.15182999999999999</v>
      </c>
      <c r="E14" s="352"/>
      <c r="F14" s="352">
        <v>0.41959999999999997</v>
      </c>
      <c r="G14" s="352">
        <v>0.83333333333333337</v>
      </c>
      <c r="H14" s="352">
        <v>-0.4137333333333334</v>
      </c>
      <c r="I14" s="353">
        <v>0.50351999999999997</v>
      </c>
      <c r="J14" s="354" t="s">
        <v>330</v>
      </c>
    </row>
  </sheetData>
  <mergeCells count="3">
    <mergeCell ref="F3:I3"/>
    <mergeCell ref="C4:D4"/>
    <mergeCell ref="A1:I1"/>
  </mergeCells>
  <conditionalFormatting sqref="F8 F15:F65537">
    <cfRule type="cellIs" dxfId="42" priority="18" stopIfTrue="1" operator="greaterThan">
      <formula>1</formula>
    </cfRule>
  </conditionalFormatting>
  <conditionalFormatting sqref="H5:H7">
    <cfRule type="expression" dxfId="41" priority="14">
      <formula>$H5&gt;0</formula>
    </cfRule>
  </conditionalFormatting>
  <conditionalFormatting sqref="I5:I7">
    <cfRule type="expression" dxfId="40" priority="15">
      <formula>$I5&gt;1</formula>
    </cfRule>
  </conditionalFormatting>
  <conditionalFormatting sqref="B5:B7">
    <cfRule type="expression" dxfId="39" priority="11">
      <formula>OR($J5="NS",$J5="SumaNS",$J5="Účet")</formula>
    </cfRule>
  </conditionalFormatting>
  <conditionalFormatting sqref="B5:D7 F5:I7">
    <cfRule type="expression" dxfId="38" priority="17">
      <formula>AND($J5&lt;&gt;"",$J5&lt;&gt;"mezeraKL")</formula>
    </cfRule>
  </conditionalFormatting>
  <conditionalFormatting sqref="B5:D7 F5:I7">
    <cfRule type="expression" dxfId="37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6" priority="13">
      <formula>OR($J5="SumaNS",$J5="NS")</formula>
    </cfRule>
  </conditionalFormatting>
  <conditionalFormatting sqref="A5:A7">
    <cfRule type="expression" dxfId="35" priority="9">
      <formula>AND($J5&lt;&gt;"mezeraKL",$J5&lt;&gt;"")</formula>
    </cfRule>
  </conditionalFormatting>
  <conditionalFormatting sqref="A5:A7">
    <cfRule type="expression" dxfId="34" priority="10">
      <formula>AND($J5&lt;&gt;"",$J5&lt;&gt;"mezeraKL")</formula>
    </cfRule>
  </conditionalFormatting>
  <conditionalFormatting sqref="H9:H14">
    <cfRule type="expression" dxfId="33" priority="5">
      <formula>$H9&gt;0</formula>
    </cfRule>
  </conditionalFormatting>
  <conditionalFormatting sqref="A9:A14">
    <cfRule type="expression" dxfId="32" priority="2">
      <formula>AND($J9&lt;&gt;"mezeraKL",$J9&lt;&gt;"")</formula>
    </cfRule>
  </conditionalFormatting>
  <conditionalFormatting sqref="I9:I14">
    <cfRule type="expression" dxfId="31" priority="6">
      <formula>$I9&gt;1</formula>
    </cfRule>
  </conditionalFormatting>
  <conditionalFormatting sqref="B9:B14">
    <cfRule type="expression" dxfId="30" priority="1">
      <formula>OR($J9="NS",$J9="SumaNS",$J9="Účet")</formula>
    </cfRule>
  </conditionalFormatting>
  <conditionalFormatting sqref="A9:D14 F9:I14">
    <cfRule type="expression" dxfId="29" priority="8">
      <formula>AND($J9&lt;&gt;"",$J9&lt;&gt;"mezeraKL")</formula>
    </cfRule>
  </conditionalFormatting>
  <conditionalFormatting sqref="B9:D14 F9:I14">
    <cfRule type="expression" dxfId="28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7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163" bestFit="1" customWidth="1"/>
    <col min="6" max="6" width="18.77734375" style="167" customWidth="1"/>
    <col min="7" max="7" width="5" style="163" customWidth="1"/>
    <col min="8" max="8" width="12.44140625" style="163" hidden="1" customWidth="1" outlineLevel="1"/>
    <col min="9" max="9" width="8.5546875" style="163" hidden="1" customWidth="1" outlineLevel="1"/>
    <col min="10" max="10" width="25.77734375" style="163" customWidth="1" collapsed="1"/>
    <col min="11" max="11" width="8.77734375" style="163" customWidth="1"/>
    <col min="12" max="13" width="7.77734375" style="161" customWidth="1"/>
    <col min="14" max="14" width="12.6640625" style="161" customWidth="1"/>
    <col min="15" max="16384" width="8.88671875" style="95"/>
  </cols>
  <sheetData>
    <row r="1" spans="1:14" ht="18.600000000000001" customHeight="1" thickBot="1" x14ac:dyDescent="0.4">
      <c r="A1" s="311" t="s">
        <v>93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14.4" customHeight="1" thickBot="1" x14ac:dyDescent="0.35">
      <c r="A2" s="173" t="s">
        <v>217</v>
      </c>
      <c r="B2" s="57"/>
      <c r="C2" s="165"/>
      <c r="D2" s="165"/>
      <c r="E2" s="165"/>
      <c r="F2" s="165"/>
      <c r="G2" s="165"/>
      <c r="H2" s="165"/>
      <c r="I2" s="165"/>
      <c r="J2" s="165"/>
      <c r="K2" s="165"/>
      <c r="L2" s="166"/>
      <c r="M2" s="166"/>
      <c r="N2" s="166"/>
    </row>
    <row r="3" spans="1:14" ht="14.4" customHeight="1" thickBot="1" x14ac:dyDescent="0.35">
      <c r="A3" s="57"/>
      <c r="B3" s="57"/>
      <c r="C3" s="307"/>
      <c r="D3" s="308"/>
      <c r="E3" s="308"/>
      <c r="F3" s="308"/>
      <c r="G3" s="308"/>
      <c r="H3" s="308"/>
      <c r="I3" s="308"/>
      <c r="J3" s="309" t="s">
        <v>75</v>
      </c>
      <c r="K3" s="310"/>
      <c r="L3" s="71">
        <f>IF(M3&lt;&gt;0,N3/M3,0)</f>
        <v>69.934060526102513</v>
      </c>
      <c r="M3" s="71">
        <f>SUBTOTAL(9,M5:M1048576)</f>
        <v>6</v>
      </c>
      <c r="N3" s="72">
        <f>SUBTOTAL(9,N5:N1048576)</f>
        <v>419.60436315661508</v>
      </c>
    </row>
    <row r="4" spans="1:14" s="162" customFormat="1" ht="14.4" customHeight="1" thickBot="1" x14ac:dyDescent="0.35">
      <c r="A4" s="355" t="s">
        <v>3</v>
      </c>
      <c r="B4" s="356" t="s">
        <v>4</v>
      </c>
      <c r="C4" s="356" t="s">
        <v>0</v>
      </c>
      <c r="D4" s="356" t="s">
        <v>5</v>
      </c>
      <c r="E4" s="356" t="s">
        <v>6</v>
      </c>
      <c r="F4" s="356" t="s">
        <v>1</v>
      </c>
      <c r="G4" s="356" t="s">
        <v>7</v>
      </c>
      <c r="H4" s="356" t="s">
        <v>8</v>
      </c>
      <c r="I4" s="356" t="s">
        <v>9</v>
      </c>
      <c r="J4" s="357" t="s">
        <v>10</v>
      </c>
      <c r="K4" s="357" t="s">
        <v>11</v>
      </c>
      <c r="L4" s="358" t="s">
        <v>81</v>
      </c>
      <c r="M4" s="358" t="s">
        <v>12</v>
      </c>
      <c r="N4" s="359" t="s">
        <v>89</v>
      </c>
    </row>
    <row r="5" spans="1:14" ht="14.4" customHeight="1" x14ac:dyDescent="0.3">
      <c r="A5" s="360" t="s">
        <v>326</v>
      </c>
      <c r="B5" s="361" t="s">
        <v>327</v>
      </c>
      <c r="C5" s="362" t="s">
        <v>331</v>
      </c>
      <c r="D5" s="363" t="s">
        <v>341</v>
      </c>
      <c r="E5" s="362" t="s">
        <v>334</v>
      </c>
      <c r="F5" s="363" t="s">
        <v>342</v>
      </c>
      <c r="G5" s="362" t="s">
        <v>335</v>
      </c>
      <c r="H5" s="362" t="s">
        <v>336</v>
      </c>
      <c r="I5" s="362" t="s">
        <v>337</v>
      </c>
      <c r="J5" s="362" t="s">
        <v>338</v>
      </c>
      <c r="K5" s="362"/>
      <c r="L5" s="364">
        <v>78.826101774006943</v>
      </c>
      <c r="M5" s="364">
        <v>4</v>
      </c>
      <c r="N5" s="365">
        <v>315.30440709602777</v>
      </c>
    </row>
    <row r="6" spans="1:14" ht="14.4" customHeight="1" thickBot="1" x14ac:dyDescent="0.35">
      <c r="A6" s="366" t="s">
        <v>326</v>
      </c>
      <c r="B6" s="367" t="s">
        <v>327</v>
      </c>
      <c r="C6" s="368" t="s">
        <v>331</v>
      </c>
      <c r="D6" s="369" t="s">
        <v>341</v>
      </c>
      <c r="E6" s="368" t="s">
        <v>334</v>
      </c>
      <c r="F6" s="369" t="s">
        <v>342</v>
      </c>
      <c r="G6" s="368" t="s">
        <v>335</v>
      </c>
      <c r="H6" s="368" t="s">
        <v>339</v>
      </c>
      <c r="I6" s="368" t="s">
        <v>337</v>
      </c>
      <c r="J6" s="368" t="s">
        <v>340</v>
      </c>
      <c r="K6" s="368"/>
      <c r="L6" s="370">
        <v>52.149978030293653</v>
      </c>
      <c r="M6" s="370">
        <v>2</v>
      </c>
      <c r="N6" s="371">
        <v>104.29995606058731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3" customWidth="1"/>
    <col min="2" max="2" width="5.44140625" style="161" bestFit="1" customWidth="1"/>
    <col min="3" max="3" width="6.109375" style="161" bestFit="1" customWidth="1"/>
    <col min="4" max="4" width="7.44140625" style="161" bestFit="1" customWidth="1"/>
    <col min="5" max="5" width="6.21875" style="161" bestFit="1" customWidth="1"/>
    <col min="6" max="6" width="6.33203125" style="164" bestFit="1" customWidth="1"/>
    <col min="7" max="7" width="6.109375" style="164" bestFit="1" customWidth="1"/>
    <col min="8" max="8" width="7.44140625" style="164" bestFit="1" customWidth="1"/>
    <col min="9" max="9" width="6.21875" style="164" bestFit="1" customWidth="1"/>
    <col min="10" max="10" width="5.44140625" style="161" bestFit="1" customWidth="1"/>
    <col min="11" max="11" width="6.109375" style="161" bestFit="1" customWidth="1"/>
    <col min="12" max="12" width="7.44140625" style="161" bestFit="1" customWidth="1"/>
    <col min="13" max="13" width="6.21875" style="161" bestFit="1" customWidth="1"/>
    <col min="14" max="14" width="5.33203125" style="164" bestFit="1" customWidth="1"/>
    <col min="15" max="15" width="6.109375" style="164" bestFit="1" customWidth="1"/>
    <col min="16" max="16" width="7.44140625" style="164" bestFit="1" customWidth="1"/>
    <col min="17" max="17" width="6.21875" style="164" bestFit="1" customWidth="1"/>
    <col min="18" max="16384" width="8.88671875" style="95"/>
  </cols>
  <sheetData>
    <row r="1" spans="1:17" ht="18.600000000000001" customHeight="1" thickBot="1" x14ac:dyDescent="0.4">
      <c r="A1" s="312" t="s">
        <v>163</v>
      </c>
      <c r="B1" s="312"/>
      <c r="C1" s="312"/>
      <c r="D1" s="312"/>
      <c r="E1" s="312"/>
      <c r="F1" s="275"/>
      <c r="G1" s="275"/>
      <c r="H1" s="275"/>
      <c r="I1" s="275"/>
      <c r="J1" s="306"/>
      <c r="K1" s="306"/>
      <c r="L1" s="306"/>
      <c r="M1" s="306"/>
      <c r="N1" s="306"/>
      <c r="O1" s="306"/>
      <c r="P1" s="306"/>
      <c r="Q1" s="306"/>
    </row>
    <row r="2" spans="1:17" ht="14.4" customHeight="1" thickBot="1" x14ac:dyDescent="0.35">
      <c r="A2" s="173" t="s">
        <v>217</v>
      </c>
      <c r="B2" s="168"/>
      <c r="C2" s="168"/>
      <c r="D2" s="168"/>
      <c r="E2" s="168"/>
    </row>
    <row r="3" spans="1:17" ht="14.4" customHeight="1" thickBot="1" x14ac:dyDescent="0.35">
      <c r="A3" s="242" t="s">
        <v>2</v>
      </c>
      <c r="B3" s="246">
        <f>SUM(B6:B1048576)</f>
        <v>6</v>
      </c>
      <c r="C3" s="247">
        <f>SUM(C6:C1048576)</f>
        <v>0</v>
      </c>
      <c r="D3" s="247">
        <f>SUM(D6:D1048576)</f>
        <v>0</v>
      </c>
      <c r="E3" s="248">
        <f>SUM(E6:E1048576)</f>
        <v>0</v>
      </c>
      <c r="F3" s="245">
        <f>IF(SUM($B3:$E3)=0,"",B3/SUM($B3:$E3))</f>
        <v>1</v>
      </c>
      <c r="G3" s="243">
        <f t="shared" ref="G3:I3" si="0">IF(SUM($B3:$E3)=0,"",C3/SUM($B3:$E3))</f>
        <v>0</v>
      </c>
      <c r="H3" s="243">
        <f t="shared" si="0"/>
        <v>0</v>
      </c>
      <c r="I3" s="244">
        <f t="shared" si="0"/>
        <v>0</v>
      </c>
      <c r="J3" s="247">
        <f>SUM(J6:J1048576)</f>
        <v>3</v>
      </c>
      <c r="K3" s="247">
        <f>SUM(K6:K1048576)</f>
        <v>0</v>
      </c>
      <c r="L3" s="247">
        <f>SUM(L6:L1048576)</f>
        <v>0</v>
      </c>
      <c r="M3" s="248">
        <f>SUM(M6:M1048576)</f>
        <v>0</v>
      </c>
      <c r="N3" s="245">
        <f>IF(SUM($J3:$M3)=0,"",J3/SUM($J3:$M3))</f>
        <v>1</v>
      </c>
      <c r="O3" s="243">
        <f t="shared" ref="O3:Q3" si="1">IF(SUM($J3:$M3)=0,"",K3/SUM($J3:$M3))</f>
        <v>0</v>
      </c>
      <c r="P3" s="243">
        <f t="shared" si="1"/>
        <v>0</v>
      </c>
      <c r="Q3" s="244">
        <f t="shared" si="1"/>
        <v>0</v>
      </c>
    </row>
    <row r="4" spans="1:17" ht="14.4" customHeight="1" thickBot="1" x14ac:dyDescent="0.35">
      <c r="A4" s="241"/>
      <c r="B4" s="316" t="s">
        <v>165</v>
      </c>
      <c r="C4" s="317"/>
      <c r="D4" s="317"/>
      <c r="E4" s="318"/>
      <c r="F4" s="313" t="s">
        <v>170</v>
      </c>
      <c r="G4" s="314"/>
      <c r="H4" s="314"/>
      <c r="I4" s="315"/>
      <c r="J4" s="316" t="s">
        <v>171</v>
      </c>
      <c r="K4" s="317"/>
      <c r="L4" s="317"/>
      <c r="M4" s="318"/>
      <c r="N4" s="313" t="s">
        <v>172</v>
      </c>
      <c r="O4" s="314"/>
      <c r="P4" s="314"/>
      <c r="Q4" s="315"/>
    </row>
    <row r="5" spans="1:17" ht="14.4" customHeight="1" thickBot="1" x14ac:dyDescent="0.35">
      <c r="A5" s="372" t="s">
        <v>164</v>
      </c>
      <c r="B5" s="373" t="s">
        <v>166</v>
      </c>
      <c r="C5" s="373" t="s">
        <v>167</v>
      </c>
      <c r="D5" s="373" t="s">
        <v>168</v>
      </c>
      <c r="E5" s="374" t="s">
        <v>169</v>
      </c>
      <c r="F5" s="375" t="s">
        <v>166</v>
      </c>
      <c r="G5" s="376" t="s">
        <v>167</v>
      </c>
      <c r="H5" s="376" t="s">
        <v>168</v>
      </c>
      <c r="I5" s="377" t="s">
        <v>169</v>
      </c>
      <c r="J5" s="373" t="s">
        <v>166</v>
      </c>
      <c r="K5" s="373" t="s">
        <v>167</v>
      </c>
      <c r="L5" s="373" t="s">
        <v>168</v>
      </c>
      <c r="M5" s="374" t="s">
        <v>169</v>
      </c>
      <c r="N5" s="375" t="s">
        <v>166</v>
      </c>
      <c r="O5" s="376" t="s">
        <v>167</v>
      </c>
      <c r="P5" s="376" t="s">
        <v>168</v>
      </c>
      <c r="Q5" s="377" t="s">
        <v>169</v>
      </c>
    </row>
    <row r="6" spans="1:17" ht="14.4" customHeight="1" x14ac:dyDescent="0.3">
      <c r="A6" s="382" t="s">
        <v>343</v>
      </c>
      <c r="B6" s="386"/>
      <c r="C6" s="364"/>
      <c r="D6" s="364"/>
      <c r="E6" s="365"/>
      <c r="F6" s="384"/>
      <c r="G6" s="378"/>
      <c r="H6" s="378"/>
      <c r="I6" s="388"/>
      <c r="J6" s="386"/>
      <c r="K6" s="364"/>
      <c r="L6" s="364"/>
      <c r="M6" s="365"/>
      <c r="N6" s="384"/>
      <c r="O6" s="378"/>
      <c r="P6" s="378"/>
      <c r="Q6" s="379"/>
    </row>
    <row r="7" spans="1:17" ht="14.4" customHeight="1" thickBot="1" x14ac:dyDescent="0.35">
      <c r="A7" s="383" t="s">
        <v>344</v>
      </c>
      <c r="B7" s="387">
        <v>6</v>
      </c>
      <c r="C7" s="370"/>
      <c r="D7" s="370"/>
      <c r="E7" s="371"/>
      <c r="F7" s="385">
        <v>1</v>
      </c>
      <c r="G7" s="380">
        <v>0</v>
      </c>
      <c r="H7" s="380">
        <v>0</v>
      </c>
      <c r="I7" s="389">
        <v>0</v>
      </c>
      <c r="J7" s="387">
        <v>3</v>
      </c>
      <c r="K7" s="370"/>
      <c r="L7" s="370"/>
      <c r="M7" s="371"/>
      <c r="N7" s="385">
        <v>1</v>
      </c>
      <c r="O7" s="380">
        <v>0</v>
      </c>
      <c r="P7" s="380">
        <v>0</v>
      </c>
      <c r="Q7" s="38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304" t="s">
        <v>78</v>
      </c>
      <c r="B1" s="305"/>
      <c r="C1" s="305"/>
      <c r="D1" s="305"/>
      <c r="E1" s="305"/>
      <c r="F1" s="305"/>
      <c r="G1" s="275"/>
      <c r="H1" s="306"/>
      <c r="I1" s="306"/>
    </row>
    <row r="2" spans="1:10" ht="14.4" customHeight="1" thickBot="1" x14ac:dyDescent="0.35">
      <c r="A2" s="173" t="s">
        <v>217</v>
      </c>
      <c r="B2" s="160"/>
      <c r="C2" s="160"/>
      <c r="D2" s="160"/>
      <c r="E2" s="160"/>
      <c r="F2" s="160"/>
    </row>
    <row r="3" spans="1:10" ht="14.4" customHeight="1" thickBot="1" x14ac:dyDescent="0.35">
      <c r="A3" s="173"/>
      <c r="B3" s="269"/>
      <c r="C3" s="233">
        <v>2015</v>
      </c>
      <c r="D3" s="234">
        <v>2016</v>
      </c>
      <c r="E3" s="7"/>
      <c r="F3" s="283">
        <v>2017</v>
      </c>
      <c r="G3" s="301"/>
      <c r="H3" s="301"/>
      <c r="I3" s="284"/>
    </row>
    <row r="4" spans="1:10" ht="14.4" customHeight="1" thickBot="1" x14ac:dyDescent="0.35">
      <c r="A4" s="238" t="s">
        <v>0</v>
      </c>
      <c r="B4" s="239" t="s">
        <v>162</v>
      </c>
      <c r="C4" s="302" t="s">
        <v>55</v>
      </c>
      <c r="D4" s="303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50" t="s">
        <v>326</v>
      </c>
      <c r="B5" s="351" t="s">
        <v>327</v>
      </c>
      <c r="C5" s="352" t="s">
        <v>328</v>
      </c>
      <c r="D5" s="352" t="s">
        <v>328</v>
      </c>
      <c r="E5" s="352"/>
      <c r="F5" s="352" t="s">
        <v>328</v>
      </c>
      <c r="G5" s="352" t="s">
        <v>328</v>
      </c>
      <c r="H5" s="352" t="s">
        <v>328</v>
      </c>
      <c r="I5" s="353" t="s">
        <v>328</v>
      </c>
      <c r="J5" s="354" t="s">
        <v>53</v>
      </c>
    </row>
    <row r="6" spans="1:10" ht="14.4" customHeight="1" x14ac:dyDescent="0.3">
      <c r="A6" s="350" t="s">
        <v>326</v>
      </c>
      <c r="B6" s="351" t="s">
        <v>226</v>
      </c>
      <c r="C6" s="352">
        <v>10.48005</v>
      </c>
      <c r="D6" s="352">
        <v>8.7509599999999992</v>
      </c>
      <c r="E6" s="352"/>
      <c r="F6" s="352">
        <v>10.51999</v>
      </c>
      <c r="G6" s="352">
        <v>10</v>
      </c>
      <c r="H6" s="352">
        <v>0.51998999999999995</v>
      </c>
      <c r="I6" s="353">
        <v>1.0519989999999999</v>
      </c>
      <c r="J6" s="354" t="s">
        <v>1</v>
      </c>
    </row>
    <row r="7" spans="1:10" ht="14.4" customHeight="1" x14ac:dyDescent="0.3">
      <c r="A7" s="350" t="s">
        <v>326</v>
      </c>
      <c r="B7" s="351" t="s">
        <v>227</v>
      </c>
      <c r="C7" s="352">
        <v>0</v>
      </c>
      <c r="D7" s="352">
        <v>0</v>
      </c>
      <c r="E7" s="352"/>
      <c r="F7" s="352">
        <v>0</v>
      </c>
      <c r="G7" s="352">
        <v>0.66666666666666663</v>
      </c>
      <c r="H7" s="352">
        <v>-0.66666666666666663</v>
      </c>
      <c r="I7" s="353">
        <v>0</v>
      </c>
      <c r="J7" s="354" t="s">
        <v>1</v>
      </c>
    </row>
    <row r="8" spans="1:10" ht="14.4" customHeight="1" x14ac:dyDescent="0.3">
      <c r="A8" s="350" t="s">
        <v>326</v>
      </c>
      <c r="B8" s="351" t="s">
        <v>228</v>
      </c>
      <c r="C8" s="352" t="s">
        <v>328</v>
      </c>
      <c r="D8" s="352" t="s">
        <v>328</v>
      </c>
      <c r="E8" s="352"/>
      <c r="F8" s="352">
        <v>0</v>
      </c>
      <c r="G8" s="352">
        <v>0.86111111111100003</v>
      </c>
      <c r="H8" s="352">
        <v>-0.86111111111100003</v>
      </c>
      <c r="I8" s="353">
        <v>0</v>
      </c>
      <c r="J8" s="354" t="s">
        <v>1</v>
      </c>
    </row>
    <row r="9" spans="1:10" ht="14.4" customHeight="1" x14ac:dyDescent="0.3">
      <c r="A9" s="350" t="s">
        <v>326</v>
      </c>
      <c r="B9" s="351" t="s">
        <v>229</v>
      </c>
      <c r="C9" s="352">
        <v>0</v>
      </c>
      <c r="D9" s="352">
        <v>0</v>
      </c>
      <c r="E9" s="352"/>
      <c r="F9" s="352">
        <v>0.27600000000000002</v>
      </c>
      <c r="G9" s="352">
        <v>0</v>
      </c>
      <c r="H9" s="352">
        <v>0.27600000000000002</v>
      </c>
      <c r="I9" s="353" t="s">
        <v>328</v>
      </c>
      <c r="J9" s="354" t="s">
        <v>1</v>
      </c>
    </row>
    <row r="10" spans="1:10" ht="14.4" customHeight="1" x14ac:dyDescent="0.3">
      <c r="A10" s="350" t="s">
        <v>326</v>
      </c>
      <c r="B10" s="351" t="s">
        <v>329</v>
      </c>
      <c r="C10" s="352">
        <v>10.48005</v>
      </c>
      <c r="D10" s="352">
        <v>8.7509599999999992</v>
      </c>
      <c r="E10" s="352"/>
      <c r="F10" s="352">
        <v>10.79599</v>
      </c>
      <c r="G10" s="352">
        <v>11.527777777777667</v>
      </c>
      <c r="H10" s="352">
        <v>-0.7317877777776669</v>
      </c>
      <c r="I10" s="353">
        <v>0.93651961445784038</v>
      </c>
      <c r="J10" s="354" t="s">
        <v>330</v>
      </c>
    </row>
    <row r="12" spans="1:10" ht="14.4" customHeight="1" x14ac:dyDescent="0.3">
      <c r="A12" s="350" t="s">
        <v>326</v>
      </c>
      <c r="B12" s="351" t="s">
        <v>327</v>
      </c>
      <c r="C12" s="352" t="s">
        <v>328</v>
      </c>
      <c r="D12" s="352" t="s">
        <v>328</v>
      </c>
      <c r="E12" s="352"/>
      <c r="F12" s="352" t="s">
        <v>328</v>
      </c>
      <c r="G12" s="352" t="s">
        <v>328</v>
      </c>
      <c r="H12" s="352" t="s">
        <v>328</v>
      </c>
      <c r="I12" s="353" t="s">
        <v>328</v>
      </c>
      <c r="J12" s="354" t="s">
        <v>53</v>
      </c>
    </row>
    <row r="13" spans="1:10" ht="14.4" customHeight="1" x14ac:dyDescent="0.3">
      <c r="A13" s="350" t="s">
        <v>331</v>
      </c>
      <c r="B13" s="351" t="s">
        <v>327</v>
      </c>
      <c r="C13" s="352" t="s">
        <v>328</v>
      </c>
      <c r="D13" s="352" t="s">
        <v>328</v>
      </c>
      <c r="E13" s="352"/>
      <c r="F13" s="352" t="s">
        <v>328</v>
      </c>
      <c r="G13" s="352" t="s">
        <v>328</v>
      </c>
      <c r="H13" s="352" t="s">
        <v>328</v>
      </c>
      <c r="I13" s="353" t="s">
        <v>328</v>
      </c>
      <c r="J13" s="354" t="s">
        <v>0</v>
      </c>
    </row>
    <row r="14" spans="1:10" ht="14.4" customHeight="1" x14ac:dyDescent="0.3">
      <c r="A14" s="350" t="s">
        <v>331</v>
      </c>
      <c r="B14" s="351" t="s">
        <v>226</v>
      </c>
      <c r="C14" s="352">
        <v>10.48005</v>
      </c>
      <c r="D14" s="352">
        <v>8.7509599999999992</v>
      </c>
      <c r="E14" s="352"/>
      <c r="F14" s="352">
        <v>10.51999</v>
      </c>
      <c r="G14" s="352">
        <v>10</v>
      </c>
      <c r="H14" s="352">
        <v>0.51998999999999995</v>
      </c>
      <c r="I14" s="353">
        <v>1.0519989999999999</v>
      </c>
      <c r="J14" s="354" t="s">
        <v>1</v>
      </c>
    </row>
    <row r="15" spans="1:10" ht="14.4" customHeight="1" x14ac:dyDescent="0.3">
      <c r="A15" s="350" t="s">
        <v>331</v>
      </c>
      <c r="B15" s="351" t="s">
        <v>227</v>
      </c>
      <c r="C15" s="352">
        <v>0</v>
      </c>
      <c r="D15" s="352">
        <v>0</v>
      </c>
      <c r="E15" s="352"/>
      <c r="F15" s="352">
        <v>0</v>
      </c>
      <c r="G15" s="352">
        <v>0.66666666666666663</v>
      </c>
      <c r="H15" s="352">
        <v>-0.66666666666666663</v>
      </c>
      <c r="I15" s="353">
        <v>0</v>
      </c>
      <c r="J15" s="354" t="s">
        <v>1</v>
      </c>
    </row>
    <row r="16" spans="1:10" ht="14.4" customHeight="1" x14ac:dyDescent="0.3">
      <c r="A16" s="350" t="s">
        <v>331</v>
      </c>
      <c r="B16" s="351" t="s">
        <v>228</v>
      </c>
      <c r="C16" s="352" t="s">
        <v>328</v>
      </c>
      <c r="D16" s="352" t="s">
        <v>328</v>
      </c>
      <c r="E16" s="352"/>
      <c r="F16" s="352">
        <v>0</v>
      </c>
      <c r="G16" s="352">
        <v>0.86111111111100003</v>
      </c>
      <c r="H16" s="352">
        <v>-0.86111111111100003</v>
      </c>
      <c r="I16" s="353">
        <v>0</v>
      </c>
      <c r="J16" s="354" t="s">
        <v>1</v>
      </c>
    </row>
    <row r="17" spans="1:10" ht="14.4" customHeight="1" x14ac:dyDescent="0.3">
      <c r="A17" s="350" t="s">
        <v>331</v>
      </c>
      <c r="B17" s="351" t="s">
        <v>229</v>
      </c>
      <c r="C17" s="352">
        <v>0</v>
      </c>
      <c r="D17" s="352">
        <v>0</v>
      </c>
      <c r="E17" s="352"/>
      <c r="F17" s="352">
        <v>0.27600000000000002</v>
      </c>
      <c r="G17" s="352">
        <v>0</v>
      </c>
      <c r="H17" s="352">
        <v>0.27600000000000002</v>
      </c>
      <c r="I17" s="353" t="s">
        <v>328</v>
      </c>
      <c r="J17" s="354" t="s">
        <v>1</v>
      </c>
    </row>
    <row r="18" spans="1:10" ht="14.4" customHeight="1" x14ac:dyDescent="0.3">
      <c r="A18" s="350" t="s">
        <v>331</v>
      </c>
      <c r="B18" s="351" t="s">
        <v>329</v>
      </c>
      <c r="C18" s="352">
        <v>10.48005</v>
      </c>
      <c r="D18" s="352">
        <v>8.7509599999999992</v>
      </c>
      <c r="E18" s="352"/>
      <c r="F18" s="352">
        <v>10.79599</v>
      </c>
      <c r="G18" s="352">
        <v>11.527777777777667</v>
      </c>
      <c r="H18" s="352">
        <v>-0.7317877777776669</v>
      </c>
      <c r="I18" s="353">
        <v>0.93651961445784038</v>
      </c>
      <c r="J18" s="354" t="s">
        <v>332</v>
      </c>
    </row>
    <row r="19" spans="1:10" ht="14.4" customHeight="1" x14ac:dyDescent="0.3">
      <c r="A19" s="350" t="s">
        <v>328</v>
      </c>
      <c r="B19" s="351" t="s">
        <v>328</v>
      </c>
      <c r="C19" s="352" t="s">
        <v>328</v>
      </c>
      <c r="D19" s="352" t="s">
        <v>328</v>
      </c>
      <c r="E19" s="352"/>
      <c r="F19" s="352" t="s">
        <v>328</v>
      </c>
      <c r="G19" s="352" t="s">
        <v>328</v>
      </c>
      <c r="H19" s="352" t="s">
        <v>328</v>
      </c>
      <c r="I19" s="353" t="s">
        <v>328</v>
      </c>
      <c r="J19" s="354" t="s">
        <v>333</v>
      </c>
    </row>
    <row r="20" spans="1:10" ht="14.4" customHeight="1" x14ac:dyDescent="0.3">
      <c r="A20" s="350" t="s">
        <v>326</v>
      </c>
      <c r="B20" s="351" t="s">
        <v>329</v>
      </c>
      <c r="C20" s="352">
        <v>10.48005</v>
      </c>
      <c r="D20" s="352">
        <v>8.7509599999999992</v>
      </c>
      <c r="E20" s="352"/>
      <c r="F20" s="352">
        <v>10.79599</v>
      </c>
      <c r="G20" s="352">
        <v>11.527777777777667</v>
      </c>
      <c r="H20" s="352">
        <v>-0.7317877777776669</v>
      </c>
      <c r="I20" s="353">
        <v>0.93651961445784038</v>
      </c>
      <c r="J20" s="354" t="s">
        <v>330</v>
      </c>
    </row>
  </sheetData>
  <mergeCells count="3">
    <mergeCell ref="A1:I1"/>
    <mergeCell ref="F3:I3"/>
    <mergeCell ref="C4:D4"/>
  </mergeCells>
  <conditionalFormatting sqref="F11 F21:F65537">
    <cfRule type="cellIs" dxfId="25" priority="18" stopIfTrue="1" operator="greaterThan">
      <formula>1</formula>
    </cfRule>
  </conditionalFormatting>
  <conditionalFormatting sqref="H5:H10">
    <cfRule type="expression" dxfId="24" priority="14">
      <formula>$H5&gt;0</formula>
    </cfRule>
  </conditionalFormatting>
  <conditionalFormatting sqref="I5:I10">
    <cfRule type="expression" dxfId="23" priority="15">
      <formula>$I5&gt;1</formula>
    </cfRule>
  </conditionalFormatting>
  <conditionalFormatting sqref="B5:B10">
    <cfRule type="expression" dxfId="22" priority="11">
      <formula>OR($J5="NS",$J5="SumaNS",$J5="Účet")</formula>
    </cfRule>
  </conditionalFormatting>
  <conditionalFormatting sqref="F5:I10 B5:D10">
    <cfRule type="expression" dxfId="21" priority="17">
      <formula>AND($J5&lt;&gt;"",$J5&lt;&gt;"mezeraKL")</formula>
    </cfRule>
  </conditionalFormatting>
  <conditionalFormatting sqref="B5:D10 F5:I10">
    <cfRule type="expression" dxfId="20" priority="12">
      <formula>OR($J5="KL",$J5="SumaKL")</formula>
    </cfRule>
    <cfRule type="expression" priority="16" stopIfTrue="1">
      <formula>OR($J5="mezeraNS",$J5="mezeraKL")</formula>
    </cfRule>
  </conditionalFormatting>
  <conditionalFormatting sqref="B5:D10 F5:I10">
    <cfRule type="expression" dxfId="19" priority="13">
      <formula>OR($J5="SumaNS",$J5="NS")</formula>
    </cfRule>
  </conditionalFormatting>
  <conditionalFormatting sqref="A5:A10">
    <cfRule type="expression" dxfId="18" priority="9">
      <formula>AND($J5&lt;&gt;"mezeraKL",$J5&lt;&gt;"")</formula>
    </cfRule>
  </conditionalFormatting>
  <conditionalFormatting sqref="A5:A10">
    <cfRule type="expression" dxfId="17" priority="10">
      <formula>AND($J5&lt;&gt;"",$J5&lt;&gt;"mezeraKL")</formula>
    </cfRule>
  </conditionalFormatting>
  <conditionalFormatting sqref="H12:H20">
    <cfRule type="expression" dxfId="16" priority="5">
      <formula>$H12&gt;0</formula>
    </cfRule>
  </conditionalFormatting>
  <conditionalFormatting sqref="A12:A20">
    <cfRule type="expression" dxfId="15" priority="2">
      <formula>AND($J12&lt;&gt;"mezeraKL",$J12&lt;&gt;"")</formula>
    </cfRule>
  </conditionalFormatting>
  <conditionalFormatting sqref="I12:I20">
    <cfRule type="expression" dxfId="14" priority="6">
      <formula>$I12&gt;1</formula>
    </cfRule>
  </conditionalFormatting>
  <conditionalFormatting sqref="B12:B20">
    <cfRule type="expression" dxfId="13" priority="1">
      <formula>OR($J12="NS",$J12="SumaNS",$J12="Účet")</formula>
    </cfRule>
  </conditionalFormatting>
  <conditionalFormatting sqref="A12:D20 F12:I20">
    <cfRule type="expression" dxfId="12" priority="8">
      <formula>AND($J12&lt;&gt;"",$J12&lt;&gt;"mezeraKL")</formula>
    </cfRule>
  </conditionalFormatting>
  <conditionalFormatting sqref="B12:D20 F12:I20">
    <cfRule type="expression" dxfId="11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10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2017-03-31T13:35:32Z</dcterms:modified>
</cp:coreProperties>
</file>